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codeName="ThisWorkbook"/>
  <mc:AlternateContent xmlns:mc="http://schemas.openxmlformats.org/markup-compatibility/2006">
    <mc:Choice Requires="x15">
      <x15ac:absPath xmlns:x15ac="http://schemas.microsoft.com/office/spreadsheetml/2010/11/ac" url="https://d.docs.live.net/0dd2ff498d6a6106/Escritorio/AUDIENCIA ADJUDICACION LP 012-REACTIVOS/EVALUACION TECNICA/"/>
    </mc:Choice>
  </mc:AlternateContent>
  <xr:revisionPtr revIDLastSave="0" documentId="8_{F1187DE8-5E75-4187-8DE0-B9ED638BB77B}" xr6:coauthVersionLast="47" xr6:coauthVersionMax="47" xr10:uidLastSave="{00000000-0000-0000-0000-000000000000}"/>
  <bookViews>
    <workbookView xWindow="-120" yWindow="-120" windowWidth="20730" windowHeight="11160" firstSheet="1" activeTab="3" xr2:uid="{00000000-000D-0000-FFFF-FFFF00000000}"/>
  </bookViews>
  <sheets>
    <sheet name="Cotizaciones_Reactivos" sheetId="1" state="hidden" r:id="rId1"/>
    <sheet name="Distribución_Reactivos" sheetId="4" r:id="rId2"/>
    <sheet name="Cotizaciones_Elementos" sheetId="2" state="hidden" r:id="rId3"/>
    <sheet name="Distribución_Elementos" sheetId="5" r:id="rId4"/>
    <sheet name="ESTADO proceso " sheetId="7" state="hidden" r:id="rId5"/>
    <sheet name="Datos" sheetId="8" state="hidden" r:id="rId6"/>
  </sheets>
  <definedNames>
    <definedName name="_xlnm._FilterDatabase" localSheetId="2" hidden="1">Cotizaciones_Elementos!$A$2:$EH$569</definedName>
    <definedName name="_xlnm._FilterDatabase" localSheetId="0" hidden="1">Cotizaciones_Reactivos!$A$2:$FJ$479</definedName>
    <definedName name="_xlnm._FilterDatabase" localSheetId="3" hidden="1">Distribución_Elementos!$A$2:$BK$568</definedName>
    <definedName name="_xlnm._FilterDatabase" localSheetId="1" hidden="1">Distribución_Reactivos!$A$2:$BG$502</definedName>
    <definedName name="agricola">Cotizaciones_Reactivos!$B:$C</definedName>
    <definedName name="dan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G4" i="5" l="1"/>
  <c r="AZ501" i="4"/>
  <c r="AZ500" i="4"/>
  <c r="AZ499" i="4"/>
  <c r="AZ498" i="4"/>
  <c r="AZ497" i="4"/>
  <c r="AZ496" i="4"/>
  <c r="AZ495" i="4"/>
  <c r="AZ494" i="4"/>
  <c r="AZ493" i="4"/>
  <c r="AZ492" i="4"/>
  <c r="AZ491" i="4"/>
  <c r="AZ490" i="4"/>
  <c r="AZ489" i="4"/>
  <c r="AZ488" i="4"/>
  <c r="AZ487" i="4"/>
  <c r="AZ486" i="4"/>
  <c r="AZ485" i="4"/>
  <c r="AZ484" i="4"/>
  <c r="AZ483" i="4"/>
  <c r="AZ482" i="4"/>
  <c r="AZ481" i="4"/>
  <c r="AZ480" i="4"/>
  <c r="AZ479" i="4"/>
  <c r="AZ478" i="4"/>
  <c r="AZ477" i="4"/>
  <c r="AZ476" i="4"/>
  <c r="AZ475" i="4"/>
  <c r="AZ474" i="4"/>
  <c r="AZ473" i="4"/>
  <c r="AZ472" i="4"/>
  <c r="AZ471" i="4"/>
  <c r="AZ470" i="4"/>
  <c r="AZ469" i="4"/>
  <c r="AZ468" i="4"/>
  <c r="AZ467" i="4"/>
  <c r="AZ466" i="4"/>
  <c r="AZ465" i="4"/>
  <c r="AZ464" i="4"/>
  <c r="AZ463" i="4"/>
  <c r="AZ462" i="4"/>
  <c r="AZ461" i="4"/>
  <c r="AZ460" i="4"/>
  <c r="AZ459" i="4"/>
  <c r="AZ458" i="4"/>
  <c r="AZ457" i="4"/>
  <c r="AZ456" i="4"/>
  <c r="AZ455" i="4"/>
  <c r="AZ454" i="4"/>
  <c r="AZ453" i="4"/>
  <c r="AZ452" i="4"/>
  <c r="AZ451" i="4"/>
  <c r="AZ450" i="4"/>
  <c r="AZ449" i="4"/>
  <c r="AZ448" i="4"/>
  <c r="AZ447" i="4"/>
  <c r="AZ446" i="4"/>
  <c r="AZ445" i="4"/>
  <c r="AZ444" i="4"/>
  <c r="AZ443" i="4"/>
  <c r="AZ442" i="4"/>
  <c r="AZ441" i="4"/>
  <c r="AZ440" i="4"/>
  <c r="AZ439" i="4"/>
  <c r="AZ438" i="4"/>
  <c r="AZ437" i="4"/>
  <c r="AZ436" i="4"/>
  <c r="AZ435" i="4"/>
  <c r="AZ434" i="4"/>
  <c r="AZ433" i="4"/>
  <c r="AZ432" i="4"/>
  <c r="AZ431" i="4"/>
  <c r="AZ430" i="4"/>
  <c r="AZ429" i="4"/>
  <c r="AZ428" i="4"/>
  <c r="AZ427" i="4"/>
  <c r="AZ426" i="4"/>
  <c r="AZ425" i="4"/>
  <c r="AZ424" i="4"/>
  <c r="AZ423" i="4"/>
  <c r="AZ422" i="4"/>
  <c r="AZ421" i="4"/>
  <c r="AZ420" i="4"/>
  <c r="AZ419" i="4"/>
  <c r="AZ418" i="4"/>
  <c r="AZ417" i="4"/>
  <c r="AZ416" i="4"/>
  <c r="AZ415" i="4"/>
  <c r="AZ414" i="4"/>
  <c r="AZ413" i="4"/>
  <c r="AZ412" i="4"/>
  <c r="AZ411" i="4"/>
  <c r="AZ410" i="4"/>
  <c r="AZ409" i="4"/>
  <c r="AZ408" i="4"/>
  <c r="AZ407" i="4"/>
  <c r="AZ406" i="4"/>
  <c r="AZ405" i="4"/>
  <c r="AZ404" i="4"/>
  <c r="AZ403" i="4"/>
  <c r="AZ402" i="4"/>
  <c r="AZ401" i="4"/>
  <c r="AZ400" i="4"/>
  <c r="AZ399" i="4"/>
  <c r="AZ398" i="4"/>
  <c r="AZ397" i="4"/>
  <c r="AZ396" i="4"/>
  <c r="AZ395" i="4"/>
  <c r="AZ394" i="4"/>
  <c r="AZ393" i="4"/>
  <c r="AZ392" i="4"/>
  <c r="AZ391" i="4"/>
  <c r="AZ390" i="4"/>
  <c r="AZ389" i="4"/>
  <c r="AZ388" i="4"/>
  <c r="AZ387" i="4"/>
  <c r="AZ386" i="4"/>
  <c r="AZ385" i="4"/>
  <c r="AZ384" i="4"/>
  <c r="AZ383" i="4"/>
  <c r="AZ382" i="4"/>
  <c r="AZ381" i="4"/>
  <c r="AZ380" i="4"/>
  <c r="AZ379" i="4"/>
  <c r="AZ378" i="4"/>
  <c r="AZ377" i="4"/>
  <c r="AZ376" i="4"/>
  <c r="AZ375" i="4"/>
  <c r="AZ374" i="4"/>
  <c r="AZ373" i="4"/>
  <c r="AZ372" i="4"/>
  <c r="AZ371" i="4"/>
  <c r="AZ370" i="4"/>
  <c r="AZ369" i="4"/>
  <c r="AZ368" i="4"/>
  <c r="AZ367" i="4"/>
  <c r="AZ366" i="4"/>
  <c r="AZ365" i="4"/>
  <c r="AZ364" i="4"/>
  <c r="AZ363" i="4"/>
  <c r="AZ362" i="4"/>
  <c r="AZ361" i="4"/>
  <c r="AZ360" i="4"/>
  <c r="AZ359" i="4"/>
  <c r="AZ358" i="4"/>
  <c r="AZ357" i="4"/>
  <c r="AZ356" i="4"/>
  <c r="AZ355" i="4"/>
  <c r="AZ354" i="4"/>
  <c r="AZ353" i="4"/>
  <c r="AZ352" i="4"/>
  <c r="AZ351" i="4"/>
  <c r="AZ350" i="4"/>
  <c r="AZ349" i="4"/>
  <c r="AZ348" i="4"/>
  <c r="AZ347" i="4"/>
  <c r="AZ346" i="4"/>
  <c r="AZ345" i="4"/>
  <c r="AZ344" i="4"/>
  <c r="AZ343" i="4"/>
  <c r="AZ342" i="4"/>
  <c r="AZ341" i="4"/>
  <c r="AZ340" i="4"/>
  <c r="AZ339" i="4"/>
  <c r="AZ338" i="4"/>
  <c r="AZ337" i="4"/>
  <c r="AZ336" i="4"/>
  <c r="AZ335" i="4"/>
  <c r="AZ334" i="4"/>
  <c r="AZ333" i="4"/>
  <c r="AZ332" i="4"/>
  <c r="AZ331" i="4"/>
  <c r="AZ330" i="4"/>
  <c r="AZ329" i="4"/>
  <c r="AZ328" i="4"/>
  <c r="AZ327" i="4"/>
  <c r="AZ326" i="4"/>
  <c r="AZ325" i="4"/>
  <c r="AZ324" i="4"/>
  <c r="AZ323" i="4"/>
  <c r="AZ322" i="4"/>
  <c r="AZ321" i="4"/>
  <c r="AZ320" i="4"/>
  <c r="AZ319" i="4"/>
  <c r="AZ318" i="4"/>
  <c r="AZ317" i="4"/>
  <c r="AZ316" i="4"/>
  <c r="AZ315" i="4"/>
  <c r="AZ314" i="4"/>
  <c r="AZ313" i="4"/>
  <c r="AZ312" i="4"/>
  <c r="AZ311" i="4"/>
  <c r="AZ310" i="4"/>
  <c r="AZ309" i="4"/>
  <c r="AZ308" i="4"/>
  <c r="AZ307" i="4"/>
  <c r="AZ306" i="4"/>
  <c r="AZ305" i="4"/>
  <c r="AZ304" i="4"/>
  <c r="AZ303" i="4"/>
  <c r="AZ302" i="4"/>
  <c r="AZ301" i="4"/>
  <c r="AZ300" i="4"/>
  <c r="AZ299" i="4"/>
  <c r="AZ298" i="4"/>
  <c r="AZ297" i="4"/>
  <c r="AZ296" i="4"/>
  <c r="AZ295" i="4"/>
  <c r="AZ294" i="4"/>
  <c r="AZ293" i="4"/>
  <c r="AZ292" i="4"/>
  <c r="AZ291" i="4"/>
  <c r="AZ290" i="4"/>
  <c r="AZ289" i="4"/>
  <c r="AZ288" i="4"/>
  <c r="AZ287" i="4"/>
  <c r="AZ286" i="4"/>
  <c r="AZ285" i="4"/>
  <c r="AZ284" i="4"/>
  <c r="AZ283" i="4"/>
  <c r="AZ282" i="4"/>
  <c r="AZ281" i="4"/>
  <c r="AZ280" i="4"/>
  <c r="AZ279" i="4"/>
  <c r="AZ278" i="4"/>
  <c r="AZ277" i="4"/>
  <c r="AZ276" i="4"/>
  <c r="AZ275" i="4"/>
  <c r="AZ274" i="4"/>
  <c r="AZ273" i="4"/>
  <c r="AZ272" i="4"/>
  <c r="AZ271" i="4"/>
  <c r="AZ270" i="4"/>
  <c r="AZ269" i="4"/>
  <c r="AZ268" i="4"/>
  <c r="AZ267" i="4"/>
  <c r="AZ266" i="4"/>
  <c r="AZ265" i="4"/>
  <c r="AZ264" i="4"/>
  <c r="AZ263" i="4"/>
  <c r="AZ262" i="4"/>
  <c r="AZ261" i="4"/>
  <c r="AZ260" i="4"/>
  <c r="AZ259" i="4"/>
  <c r="AZ258" i="4"/>
  <c r="AZ257" i="4"/>
  <c r="AZ256" i="4"/>
  <c r="AZ255" i="4"/>
  <c r="AZ254" i="4"/>
  <c r="AZ253" i="4"/>
  <c r="AZ252" i="4"/>
  <c r="AZ251" i="4"/>
  <c r="AZ250" i="4"/>
  <c r="AZ249" i="4"/>
  <c r="AZ248" i="4"/>
  <c r="AZ247" i="4"/>
  <c r="AZ246" i="4"/>
  <c r="AZ245" i="4"/>
  <c r="AZ244" i="4"/>
  <c r="AZ243" i="4"/>
  <c r="AZ242" i="4"/>
  <c r="AZ241" i="4"/>
  <c r="AZ240" i="4"/>
  <c r="AZ239" i="4"/>
  <c r="AZ238" i="4"/>
  <c r="AZ237" i="4"/>
  <c r="AZ236" i="4"/>
  <c r="AZ235" i="4"/>
  <c r="AZ234" i="4"/>
  <c r="AZ233" i="4"/>
  <c r="AZ232" i="4"/>
  <c r="AZ231" i="4"/>
  <c r="AZ230" i="4"/>
  <c r="AZ229" i="4"/>
  <c r="AZ228" i="4"/>
  <c r="AZ227" i="4"/>
  <c r="AZ226" i="4"/>
  <c r="AZ225" i="4"/>
  <c r="AZ224" i="4"/>
  <c r="AZ223" i="4"/>
  <c r="AZ222" i="4"/>
  <c r="AZ221" i="4"/>
  <c r="AZ220" i="4"/>
  <c r="AZ219" i="4"/>
  <c r="AZ218" i="4"/>
  <c r="AZ217" i="4"/>
  <c r="AZ216" i="4"/>
  <c r="AZ215" i="4"/>
  <c r="AZ214" i="4"/>
  <c r="AZ213" i="4"/>
  <c r="AZ212" i="4"/>
  <c r="AZ211" i="4"/>
  <c r="AZ210" i="4"/>
  <c r="AZ209" i="4"/>
  <c r="AZ208" i="4"/>
  <c r="AZ207" i="4"/>
  <c r="AZ206" i="4"/>
  <c r="AZ205" i="4"/>
  <c r="AZ204" i="4"/>
  <c r="AZ203" i="4"/>
  <c r="AZ202" i="4"/>
  <c r="AZ201" i="4"/>
  <c r="AZ200" i="4"/>
  <c r="AZ199" i="4"/>
  <c r="AZ198" i="4"/>
  <c r="AZ197" i="4"/>
  <c r="AZ196" i="4"/>
  <c r="AZ195" i="4"/>
  <c r="AZ194" i="4"/>
  <c r="AZ193" i="4"/>
  <c r="AZ192" i="4"/>
  <c r="AZ191" i="4"/>
  <c r="AZ190" i="4"/>
  <c r="AZ189" i="4"/>
  <c r="AZ188" i="4"/>
  <c r="AZ187" i="4"/>
  <c r="AZ186" i="4"/>
  <c r="AZ185" i="4"/>
  <c r="AZ184" i="4"/>
  <c r="AZ183" i="4"/>
  <c r="AZ182" i="4"/>
  <c r="AZ181" i="4"/>
  <c r="AZ180" i="4"/>
  <c r="AZ179" i="4"/>
  <c r="AZ178" i="4"/>
  <c r="AZ177" i="4"/>
  <c r="AZ176" i="4"/>
  <c r="AZ175" i="4"/>
  <c r="AZ174" i="4"/>
  <c r="AZ173" i="4"/>
  <c r="AZ172" i="4"/>
  <c r="AZ171" i="4"/>
  <c r="AZ170" i="4"/>
  <c r="AZ169" i="4"/>
  <c r="AZ168" i="4"/>
  <c r="AZ167" i="4"/>
  <c r="AZ166" i="4"/>
  <c r="AZ165" i="4"/>
  <c r="AZ164" i="4"/>
  <c r="AZ163" i="4"/>
  <c r="AZ162" i="4"/>
  <c r="AZ161" i="4"/>
  <c r="AZ160" i="4"/>
  <c r="AZ159" i="4"/>
  <c r="AZ158" i="4"/>
  <c r="AZ157" i="4"/>
  <c r="AZ156" i="4"/>
  <c r="AZ155" i="4"/>
  <c r="AZ154" i="4"/>
  <c r="AZ153" i="4"/>
  <c r="AZ152" i="4"/>
  <c r="AZ151" i="4"/>
  <c r="AZ150" i="4"/>
  <c r="AZ149" i="4"/>
  <c r="AZ148" i="4"/>
  <c r="AZ147" i="4"/>
  <c r="AZ146" i="4"/>
  <c r="AZ145" i="4"/>
  <c r="AZ144" i="4"/>
  <c r="AZ143" i="4"/>
  <c r="AZ142" i="4"/>
  <c r="AZ141" i="4"/>
  <c r="AZ140" i="4"/>
  <c r="AZ139" i="4"/>
  <c r="AZ138" i="4"/>
  <c r="AZ137" i="4"/>
  <c r="AZ136" i="4"/>
  <c r="AZ135" i="4"/>
  <c r="AZ134" i="4"/>
  <c r="AZ133" i="4"/>
  <c r="AZ132" i="4"/>
  <c r="AZ131" i="4"/>
  <c r="AZ130" i="4"/>
  <c r="AZ129" i="4"/>
  <c r="AZ128" i="4"/>
  <c r="AZ127" i="4"/>
  <c r="AZ126" i="4"/>
  <c r="AZ125" i="4"/>
  <c r="AZ124" i="4"/>
  <c r="AZ123" i="4"/>
  <c r="AZ122" i="4"/>
  <c r="AZ121" i="4"/>
  <c r="AZ120" i="4"/>
  <c r="AZ119" i="4"/>
  <c r="AZ118" i="4"/>
  <c r="AZ117" i="4"/>
  <c r="AZ116" i="4"/>
  <c r="AZ115" i="4"/>
  <c r="AZ114" i="4"/>
  <c r="AZ113" i="4"/>
  <c r="AZ112" i="4"/>
  <c r="AZ111" i="4"/>
  <c r="AZ110" i="4"/>
  <c r="AZ109" i="4"/>
  <c r="AZ108" i="4"/>
  <c r="AZ107" i="4"/>
  <c r="AZ106" i="4"/>
  <c r="AZ105" i="4"/>
  <c r="AZ104" i="4"/>
  <c r="AZ103" i="4"/>
  <c r="AZ102" i="4"/>
  <c r="AZ101" i="4"/>
  <c r="AZ100" i="4"/>
  <c r="AZ99" i="4"/>
  <c r="AZ98" i="4"/>
  <c r="AZ97" i="4"/>
  <c r="AZ96" i="4"/>
  <c r="AZ95" i="4"/>
  <c r="AZ94" i="4"/>
  <c r="AZ93" i="4"/>
  <c r="AZ92" i="4"/>
  <c r="AZ91" i="4"/>
  <c r="AZ90" i="4"/>
  <c r="AZ89" i="4"/>
  <c r="AZ88" i="4"/>
  <c r="AZ87" i="4"/>
  <c r="AZ86" i="4"/>
  <c r="AZ85" i="4"/>
  <c r="AZ84" i="4"/>
  <c r="AZ83" i="4"/>
  <c r="AZ82" i="4"/>
  <c r="AZ81" i="4"/>
  <c r="AZ80" i="4"/>
  <c r="AZ79" i="4"/>
  <c r="AZ78" i="4"/>
  <c r="AZ77" i="4"/>
  <c r="AZ76" i="4"/>
  <c r="AZ75" i="4"/>
  <c r="AZ74" i="4"/>
  <c r="AZ73" i="4"/>
  <c r="AZ72" i="4"/>
  <c r="AZ71" i="4"/>
  <c r="AZ70" i="4"/>
  <c r="AZ69" i="4"/>
  <c r="AZ68" i="4"/>
  <c r="AZ67" i="4"/>
  <c r="AZ66" i="4"/>
  <c r="AZ65" i="4"/>
  <c r="AZ64" i="4"/>
  <c r="AZ63" i="4"/>
  <c r="AZ62" i="4"/>
  <c r="AZ61" i="4"/>
  <c r="AZ60" i="4"/>
  <c r="AZ59" i="4"/>
  <c r="AZ58" i="4"/>
  <c r="AZ57" i="4"/>
  <c r="AZ56" i="4"/>
  <c r="AZ55" i="4"/>
  <c r="AZ54" i="4"/>
  <c r="AZ53" i="4"/>
  <c r="AZ52" i="4"/>
  <c r="AZ51" i="4"/>
  <c r="AZ50" i="4"/>
  <c r="AZ49" i="4"/>
  <c r="AZ48" i="4"/>
  <c r="AZ47" i="4"/>
  <c r="AZ46" i="4"/>
  <c r="AZ45" i="4"/>
  <c r="AZ44" i="4"/>
  <c r="AZ43" i="4"/>
  <c r="AZ42" i="4"/>
  <c r="AZ41" i="4"/>
  <c r="AZ40" i="4"/>
  <c r="AZ39" i="4"/>
  <c r="AZ38" i="4"/>
  <c r="AZ37" i="4"/>
  <c r="AZ36" i="4"/>
  <c r="AZ35" i="4"/>
  <c r="AZ34" i="4"/>
  <c r="AZ33" i="4"/>
  <c r="AZ32" i="4"/>
  <c r="AZ31" i="4"/>
  <c r="AZ30" i="4"/>
  <c r="AZ29" i="4"/>
  <c r="AZ28" i="4"/>
  <c r="AZ27" i="4"/>
  <c r="AZ26" i="4"/>
  <c r="AZ25" i="4"/>
  <c r="AZ24" i="4"/>
  <c r="AZ23" i="4"/>
  <c r="AZ22" i="4"/>
  <c r="AZ21" i="4"/>
  <c r="AZ20" i="4"/>
  <c r="AZ19" i="4"/>
  <c r="AZ18" i="4"/>
  <c r="AZ17" i="4"/>
  <c r="AZ16" i="4"/>
  <c r="AZ15" i="4"/>
  <c r="AZ14" i="4"/>
  <c r="AZ13" i="4"/>
  <c r="AZ12" i="4"/>
  <c r="AZ11" i="4"/>
  <c r="AZ10" i="4"/>
  <c r="AZ9" i="4"/>
  <c r="AZ8" i="4"/>
  <c r="AZ7" i="4"/>
  <c r="AZ6" i="4"/>
  <c r="AZ5" i="4"/>
  <c r="AZ4" i="4"/>
  <c r="AZ3" i="4"/>
  <c r="AP5" i="4"/>
  <c r="AP4" i="4"/>
  <c r="AP3" i="4"/>
  <c r="AP501" i="4"/>
  <c r="AP500" i="4"/>
  <c r="AP499" i="4"/>
  <c r="AP498" i="4"/>
  <c r="AP497" i="4"/>
  <c r="AP496" i="4"/>
  <c r="AP495" i="4"/>
  <c r="AP494" i="4"/>
  <c r="AP493" i="4"/>
  <c r="AP492" i="4"/>
  <c r="AP491" i="4"/>
  <c r="AP490" i="4"/>
  <c r="AP489" i="4"/>
  <c r="AP488" i="4"/>
  <c r="AP487" i="4"/>
  <c r="AP486" i="4"/>
  <c r="AP485" i="4"/>
  <c r="AP484" i="4"/>
  <c r="AP483" i="4"/>
  <c r="AP482" i="4"/>
  <c r="AP481" i="4"/>
  <c r="AP480" i="4"/>
  <c r="AP479" i="4"/>
  <c r="AP478" i="4"/>
  <c r="AP477" i="4"/>
  <c r="AP476" i="4"/>
  <c r="AP475" i="4"/>
  <c r="AP474" i="4"/>
  <c r="AP473" i="4"/>
  <c r="AP472" i="4"/>
  <c r="AP471" i="4"/>
  <c r="AP470" i="4"/>
  <c r="AP469" i="4"/>
  <c r="AP468" i="4"/>
  <c r="AP467" i="4"/>
  <c r="AP466" i="4"/>
  <c r="AP465" i="4"/>
  <c r="AP464" i="4"/>
  <c r="AP463" i="4"/>
  <c r="AP462" i="4"/>
  <c r="AP461" i="4"/>
  <c r="AP460" i="4"/>
  <c r="AP459" i="4"/>
  <c r="AP458" i="4"/>
  <c r="AP457" i="4"/>
  <c r="AP456" i="4"/>
  <c r="AP455" i="4"/>
  <c r="AP454" i="4"/>
  <c r="AP453" i="4"/>
  <c r="AP452" i="4"/>
  <c r="AP451" i="4"/>
  <c r="AP450" i="4"/>
  <c r="AP449" i="4"/>
  <c r="AP448" i="4"/>
  <c r="AP447" i="4"/>
  <c r="AP446" i="4"/>
  <c r="AP445" i="4"/>
  <c r="AP444" i="4"/>
  <c r="AP443" i="4"/>
  <c r="AP442" i="4"/>
  <c r="AP441" i="4"/>
  <c r="AP440" i="4"/>
  <c r="AP439" i="4"/>
  <c r="AP438" i="4"/>
  <c r="AP437" i="4"/>
  <c r="AP436" i="4"/>
  <c r="AP435" i="4"/>
  <c r="AP434" i="4"/>
  <c r="AP433" i="4"/>
  <c r="AP432" i="4"/>
  <c r="AP431" i="4"/>
  <c r="AP430" i="4"/>
  <c r="AP429" i="4"/>
  <c r="AP428" i="4"/>
  <c r="AP427" i="4"/>
  <c r="AP426" i="4"/>
  <c r="AP425" i="4"/>
  <c r="AP424" i="4"/>
  <c r="AP423" i="4"/>
  <c r="AP422" i="4"/>
  <c r="AP421" i="4"/>
  <c r="AP420" i="4"/>
  <c r="AP419" i="4"/>
  <c r="AP418" i="4"/>
  <c r="AP417" i="4"/>
  <c r="AP416" i="4"/>
  <c r="AP415" i="4"/>
  <c r="AP414" i="4"/>
  <c r="AP413" i="4"/>
  <c r="AP412" i="4"/>
  <c r="AP411" i="4"/>
  <c r="AP410" i="4"/>
  <c r="AP409" i="4"/>
  <c r="AP408" i="4"/>
  <c r="AP407" i="4"/>
  <c r="AP406" i="4"/>
  <c r="AP405" i="4"/>
  <c r="AP404" i="4"/>
  <c r="AP403" i="4"/>
  <c r="AP402" i="4"/>
  <c r="AP401" i="4"/>
  <c r="AP400" i="4"/>
  <c r="AP399" i="4"/>
  <c r="AP398" i="4"/>
  <c r="AP397" i="4"/>
  <c r="AP396" i="4"/>
  <c r="AP395" i="4"/>
  <c r="AP394" i="4"/>
  <c r="AP393" i="4"/>
  <c r="AP392" i="4"/>
  <c r="AP391" i="4"/>
  <c r="AP390" i="4"/>
  <c r="AP389" i="4"/>
  <c r="AP388" i="4"/>
  <c r="AP387" i="4"/>
  <c r="AP386" i="4"/>
  <c r="AP385" i="4"/>
  <c r="AP384" i="4"/>
  <c r="AP383" i="4"/>
  <c r="AP382" i="4"/>
  <c r="AP381" i="4"/>
  <c r="AP380" i="4"/>
  <c r="AP379" i="4"/>
  <c r="AP378" i="4"/>
  <c r="AP377" i="4"/>
  <c r="AP376" i="4"/>
  <c r="AP375" i="4"/>
  <c r="AP374" i="4"/>
  <c r="AP373" i="4"/>
  <c r="AP372" i="4"/>
  <c r="AP371" i="4"/>
  <c r="AP370" i="4"/>
  <c r="AP369" i="4"/>
  <c r="AP368" i="4"/>
  <c r="AP367" i="4"/>
  <c r="AP366" i="4"/>
  <c r="AP365" i="4"/>
  <c r="AP364" i="4"/>
  <c r="AP363" i="4"/>
  <c r="AP362" i="4"/>
  <c r="AP361" i="4"/>
  <c r="AP360" i="4"/>
  <c r="AP359" i="4"/>
  <c r="AP358" i="4"/>
  <c r="AP357" i="4"/>
  <c r="AP356" i="4"/>
  <c r="AP355" i="4"/>
  <c r="AP354" i="4"/>
  <c r="AP353" i="4"/>
  <c r="AP352" i="4"/>
  <c r="AP351" i="4"/>
  <c r="AP350" i="4"/>
  <c r="AP349" i="4"/>
  <c r="AP348" i="4"/>
  <c r="AP347" i="4"/>
  <c r="AP346" i="4"/>
  <c r="AP345" i="4"/>
  <c r="AP344" i="4"/>
  <c r="AP343" i="4"/>
  <c r="AP342" i="4"/>
  <c r="AP341" i="4"/>
  <c r="AP340" i="4"/>
  <c r="AP339" i="4"/>
  <c r="AP338" i="4"/>
  <c r="AP337" i="4"/>
  <c r="AP336" i="4"/>
  <c r="AP335" i="4"/>
  <c r="AP334" i="4"/>
  <c r="AP333" i="4"/>
  <c r="AP332" i="4"/>
  <c r="AP331" i="4"/>
  <c r="AP330" i="4"/>
  <c r="AP329" i="4"/>
  <c r="AP328" i="4"/>
  <c r="AP327" i="4"/>
  <c r="AP326" i="4"/>
  <c r="AP325" i="4"/>
  <c r="AP324" i="4"/>
  <c r="AP323" i="4"/>
  <c r="AP322" i="4"/>
  <c r="AP321" i="4"/>
  <c r="AP320" i="4"/>
  <c r="AP319" i="4"/>
  <c r="AP318" i="4"/>
  <c r="AP317" i="4"/>
  <c r="AP316" i="4"/>
  <c r="AP315" i="4"/>
  <c r="AP314" i="4"/>
  <c r="AP313" i="4"/>
  <c r="AP312" i="4"/>
  <c r="AP311" i="4"/>
  <c r="AP310" i="4"/>
  <c r="AP309" i="4"/>
  <c r="AP308" i="4"/>
  <c r="AP307" i="4"/>
  <c r="AP306" i="4"/>
  <c r="AP305" i="4"/>
  <c r="AP304" i="4"/>
  <c r="AP303" i="4"/>
  <c r="AP302" i="4"/>
  <c r="AP301" i="4"/>
  <c r="AP300" i="4"/>
  <c r="AP299" i="4"/>
  <c r="AP298" i="4"/>
  <c r="AP297" i="4"/>
  <c r="AP296" i="4"/>
  <c r="AP295" i="4"/>
  <c r="AP294" i="4"/>
  <c r="AP293" i="4"/>
  <c r="AP292" i="4"/>
  <c r="AP291" i="4"/>
  <c r="AP290" i="4"/>
  <c r="AP289" i="4"/>
  <c r="AP288" i="4"/>
  <c r="AP287" i="4"/>
  <c r="AP286" i="4"/>
  <c r="AP285" i="4"/>
  <c r="AP284" i="4"/>
  <c r="AP283" i="4"/>
  <c r="AP282" i="4"/>
  <c r="AP281" i="4"/>
  <c r="AP280" i="4"/>
  <c r="AP279" i="4"/>
  <c r="AP278" i="4"/>
  <c r="AP277" i="4"/>
  <c r="AP276" i="4"/>
  <c r="AP275" i="4"/>
  <c r="AP274" i="4"/>
  <c r="AP273" i="4"/>
  <c r="AP272" i="4"/>
  <c r="AP271" i="4"/>
  <c r="AP270" i="4"/>
  <c r="AP269" i="4"/>
  <c r="AP268" i="4"/>
  <c r="AP267" i="4"/>
  <c r="AP266" i="4"/>
  <c r="AP265" i="4"/>
  <c r="AP264" i="4"/>
  <c r="AP263" i="4"/>
  <c r="AP262" i="4"/>
  <c r="AP261" i="4"/>
  <c r="AP260" i="4"/>
  <c r="AP259" i="4"/>
  <c r="AP258" i="4"/>
  <c r="AP257" i="4"/>
  <c r="AP256" i="4"/>
  <c r="AP255" i="4"/>
  <c r="AP254" i="4"/>
  <c r="AP253" i="4"/>
  <c r="AP252" i="4"/>
  <c r="AP251" i="4"/>
  <c r="AP250" i="4"/>
  <c r="AP249" i="4"/>
  <c r="AP248" i="4"/>
  <c r="AP247" i="4"/>
  <c r="AP246" i="4"/>
  <c r="AP245" i="4"/>
  <c r="AP244" i="4"/>
  <c r="AP243" i="4"/>
  <c r="AP242" i="4"/>
  <c r="AP241" i="4"/>
  <c r="AP240" i="4"/>
  <c r="AP239" i="4"/>
  <c r="AP238" i="4"/>
  <c r="AP237" i="4"/>
  <c r="AP236" i="4"/>
  <c r="AP235" i="4"/>
  <c r="AP234" i="4"/>
  <c r="AP233" i="4"/>
  <c r="AP232" i="4"/>
  <c r="AP231" i="4"/>
  <c r="AP230" i="4"/>
  <c r="AP229" i="4"/>
  <c r="AP228" i="4"/>
  <c r="AP227" i="4"/>
  <c r="AP226" i="4"/>
  <c r="AP225" i="4"/>
  <c r="AP224" i="4"/>
  <c r="AP223" i="4"/>
  <c r="AP222" i="4"/>
  <c r="AP221" i="4"/>
  <c r="AP220" i="4"/>
  <c r="AP219" i="4"/>
  <c r="AP218" i="4"/>
  <c r="AP217" i="4"/>
  <c r="AP216" i="4"/>
  <c r="AP215" i="4"/>
  <c r="AP214" i="4"/>
  <c r="AP213" i="4"/>
  <c r="AP212" i="4"/>
  <c r="AP211" i="4"/>
  <c r="AP210" i="4"/>
  <c r="AP209" i="4"/>
  <c r="AP208" i="4"/>
  <c r="AP207" i="4"/>
  <c r="AP206" i="4"/>
  <c r="AP205" i="4"/>
  <c r="AP204" i="4"/>
  <c r="AP203" i="4"/>
  <c r="AP202" i="4"/>
  <c r="AP201" i="4"/>
  <c r="AP200" i="4"/>
  <c r="AP199" i="4"/>
  <c r="AP198" i="4"/>
  <c r="AP197" i="4"/>
  <c r="AP196" i="4"/>
  <c r="AP195" i="4"/>
  <c r="AP194" i="4"/>
  <c r="AP193" i="4"/>
  <c r="AP192" i="4"/>
  <c r="AP191" i="4"/>
  <c r="AP190" i="4"/>
  <c r="AP189" i="4"/>
  <c r="AP188" i="4"/>
  <c r="AP187" i="4"/>
  <c r="AP186" i="4"/>
  <c r="AP185" i="4"/>
  <c r="AP184" i="4"/>
  <c r="AP183" i="4"/>
  <c r="AP182" i="4"/>
  <c r="AP181" i="4"/>
  <c r="AP180" i="4"/>
  <c r="AP179" i="4"/>
  <c r="AP178" i="4"/>
  <c r="AP177" i="4"/>
  <c r="AP176" i="4"/>
  <c r="AP175" i="4"/>
  <c r="AP174" i="4"/>
  <c r="AP173" i="4"/>
  <c r="AP172" i="4"/>
  <c r="AP171" i="4"/>
  <c r="AP170" i="4"/>
  <c r="AP169" i="4"/>
  <c r="AP168" i="4"/>
  <c r="AP167" i="4"/>
  <c r="AP166" i="4"/>
  <c r="AP165" i="4"/>
  <c r="AP164" i="4"/>
  <c r="AP163" i="4"/>
  <c r="AP162" i="4"/>
  <c r="AP161" i="4"/>
  <c r="AP160" i="4"/>
  <c r="AP159" i="4"/>
  <c r="AP158" i="4"/>
  <c r="AP157" i="4"/>
  <c r="AP156" i="4"/>
  <c r="AP155" i="4"/>
  <c r="AP154" i="4"/>
  <c r="AP153" i="4"/>
  <c r="AP152" i="4"/>
  <c r="AP151" i="4"/>
  <c r="AP150" i="4"/>
  <c r="AP149" i="4"/>
  <c r="AP148" i="4"/>
  <c r="AP147" i="4"/>
  <c r="AP146" i="4"/>
  <c r="AP145" i="4"/>
  <c r="AP144" i="4"/>
  <c r="AP143" i="4"/>
  <c r="AP142" i="4"/>
  <c r="AP141" i="4"/>
  <c r="AP140" i="4"/>
  <c r="AP139" i="4"/>
  <c r="AP138" i="4"/>
  <c r="AP137" i="4"/>
  <c r="AP136" i="4"/>
  <c r="AP135" i="4"/>
  <c r="AP134" i="4"/>
  <c r="AP133" i="4"/>
  <c r="AP132" i="4"/>
  <c r="AP131" i="4"/>
  <c r="AP130" i="4"/>
  <c r="AP129" i="4"/>
  <c r="AP128" i="4"/>
  <c r="AP127" i="4"/>
  <c r="AP126" i="4"/>
  <c r="AP125" i="4"/>
  <c r="AP124" i="4"/>
  <c r="AP123" i="4"/>
  <c r="AP122" i="4"/>
  <c r="AP121" i="4"/>
  <c r="AP120" i="4"/>
  <c r="AP119" i="4"/>
  <c r="AP118" i="4"/>
  <c r="AP117" i="4"/>
  <c r="AP116" i="4"/>
  <c r="AP115" i="4"/>
  <c r="AP114" i="4"/>
  <c r="AP113" i="4"/>
  <c r="AP112" i="4"/>
  <c r="AP111" i="4"/>
  <c r="AP110" i="4"/>
  <c r="AP109" i="4"/>
  <c r="AP108" i="4"/>
  <c r="AP107" i="4"/>
  <c r="AP106" i="4"/>
  <c r="AP105" i="4"/>
  <c r="AP104" i="4"/>
  <c r="AP103" i="4"/>
  <c r="AP102" i="4"/>
  <c r="AP101" i="4"/>
  <c r="AP100" i="4"/>
  <c r="AP99" i="4"/>
  <c r="AP98" i="4"/>
  <c r="AP97" i="4"/>
  <c r="AP96" i="4"/>
  <c r="AP95" i="4"/>
  <c r="AP94" i="4"/>
  <c r="AP93" i="4"/>
  <c r="AP92" i="4"/>
  <c r="AP91" i="4"/>
  <c r="AP90" i="4"/>
  <c r="AP89" i="4"/>
  <c r="AP88" i="4"/>
  <c r="AP87" i="4"/>
  <c r="AP86" i="4"/>
  <c r="AP85" i="4"/>
  <c r="AP84" i="4"/>
  <c r="AP83" i="4"/>
  <c r="AP82" i="4"/>
  <c r="AP81" i="4"/>
  <c r="AP80" i="4"/>
  <c r="AP79" i="4"/>
  <c r="AP78" i="4"/>
  <c r="AP77" i="4"/>
  <c r="AP76" i="4"/>
  <c r="AP75" i="4"/>
  <c r="AP74" i="4"/>
  <c r="AP73" i="4"/>
  <c r="AP72" i="4"/>
  <c r="AP71" i="4"/>
  <c r="AP70" i="4"/>
  <c r="AP69" i="4"/>
  <c r="AP68" i="4"/>
  <c r="AP67" i="4"/>
  <c r="AP66" i="4"/>
  <c r="AP65" i="4"/>
  <c r="AP64" i="4"/>
  <c r="AP63" i="4"/>
  <c r="AP62" i="4"/>
  <c r="AP61" i="4"/>
  <c r="AP60" i="4"/>
  <c r="AP59" i="4"/>
  <c r="AP58" i="4"/>
  <c r="AP57" i="4"/>
  <c r="AP56" i="4"/>
  <c r="AP55" i="4"/>
  <c r="AP54" i="4"/>
  <c r="AP53" i="4"/>
  <c r="AP52" i="4"/>
  <c r="AP51" i="4"/>
  <c r="AP50" i="4"/>
  <c r="AP49" i="4"/>
  <c r="AP48" i="4"/>
  <c r="AP47" i="4"/>
  <c r="AP46" i="4"/>
  <c r="AP45" i="4"/>
  <c r="AP44" i="4"/>
  <c r="AP43" i="4"/>
  <c r="AP42" i="4"/>
  <c r="AP41" i="4"/>
  <c r="AP40" i="4"/>
  <c r="AP39" i="4"/>
  <c r="AP38" i="4"/>
  <c r="AP37" i="4"/>
  <c r="AP36" i="4"/>
  <c r="AP35" i="4"/>
  <c r="AP34" i="4"/>
  <c r="AP33" i="4"/>
  <c r="AP32" i="4"/>
  <c r="AP31" i="4"/>
  <c r="AP30" i="4"/>
  <c r="AP29" i="4"/>
  <c r="AP28" i="4"/>
  <c r="AP27" i="4"/>
  <c r="AP26" i="4"/>
  <c r="AP25" i="4"/>
  <c r="AP24" i="4"/>
  <c r="AP23" i="4"/>
  <c r="AP22" i="4"/>
  <c r="AP21" i="4"/>
  <c r="AP20" i="4"/>
  <c r="AP19" i="4"/>
  <c r="AP18" i="4"/>
  <c r="AP17" i="4"/>
  <c r="AP16" i="4"/>
  <c r="AP15" i="4"/>
  <c r="AP14" i="4"/>
  <c r="AP13" i="4"/>
  <c r="AP12" i="4"/>
  <c r="AP11" i="4"/>
  <c r="AP10" i="4"/>
  <c r="AP9" i="4"/>
  <c r="AP8" i="4"/>
  <c r="AP7" i="4"/>
  <c r="AP6" i="4"/>
  <c r="AF3" i="4"/>
  <c r="AF501" i="4"/>
  <c r="AF500" i="4"/>
  <c r="AF499" i="4"/>
  <c r="AF498" i="4"/>
  <c r="AF497" i="4"/>
  <c r="AF496" i="4"/>
  <c r="AF495" i="4"/>
  <c r="AF494" i="4"/>
  <c r="AF493" i="4"/>
  <c r="AF492" i="4"/>
  <c r="AF491" i="4"/>
  <c r="AF490" i="4"/>
  <c r="AF489" i="4"/>
  <c r="AF488" i="4"/>
  <c r="AF487" i="4"/>
  <c r="AF486" i="4"/>
  <c r="AF485" i="4"/>
  <c r="AF484" i="4"/>
  <c r="AF483" i="4"/>
  <c r="AF482" i="4"/>
  <c r="AF481" i="4"/>
  <c r="AF480" i="4"/>
  <c r="AF479" i="4"/>
  <c r="AF478" i="4"/>
  <c r="AF477" i="4"/>
  <c r="AF476" i="4"/>
  <c r="AF475" i="4"/>
  <c r="AF474" i="4"/>
  <c r="AF473" i="4"/>
  <c r="AF472" i="4"/>
  <c r="AF471" i="4"/>
  <c r="AF470" i="4"/>
  <c r="AF469" i="4"/>
  <c r="AF468" i="4"/>
  <c r="AF467" i="4"/>
  <c r="AF466" i="4"/>
  <c r="AF465" i="4"/>
  <c r="AF464" i="4"/>
  <c r="AF463" i="4"/>
  <c r="AF462" i="4"/>
  <c r="AF461" i="4"/>
  <c r="AF460" i="4"/>
  <c r="AF459" i="4"/>
  <c r="AF458" i="4"/>
  <c r="AF457" i="4"/>
  <c r="AF456" i="4"/>
  <c r="AF455" i="4"/>
  <c r="AF454" i="4"/>
  <c r="AF453" i="4"/>
  <c r="AF452" i="4"/>
  <c r="AF451" i="4"/>
  <c r="AF450" i="4"/>
  <c r="AF449" i="4"/>
  <c r="AF448" i="4"/>
  <c r="AF447" i="4"/>
  <c r="AF446" i="4"/>
  <c r="AF445" i="4"/>
  <c r="AF444" i="4"/>
  <c r="AF443" i="4"/>
  <c r="AF442" i="4"/>
  <c r="AF441" i="4"/>
  <c r="AF440" i="4"/>
  <c r="AF439" i="4"/>
  <c r="AF438" i="4"/>
  <c r="AF437" i="4"/>
  <c r="AF436" i="4"/>
  <c r="AF435" i="4"/>
  <c r="AF434" i="4"/>
  <c r="AF433" i="4"/>
  <c r="AF432" i="4"/>
  <c r="AF431" i="4"/>
  <c r="AF430" i="4"/>
  <c r="AF429" i="4"/>
  <c r="AF428" i="4"/>
  <c r="AF427" i="4"/>
  <c r="AF426" i="4"/>
  <c r="AF425" i="4"/>
  <c r="AF424" i="4"/>
  <c r="AF423" i="4"/>
  <c r="AF422" i="4"/>
  <c r="AF421" i="4"/>
  <c r="AF420" i="4"/>
  <c r="AF419" i="4"/>
  <c r="AF418" i="4"/>
  <c r="AF417" i="4"/>
  <c r="AF416" i="4"/>
  <c r="AF415" i="4"/>
  <c r="AF414" i="4"/>
  <c r="AF413" i="4"/>
  <c r="AF412" i="4"/>
  <c r="AF411" i="4"/>
  <c r="AF410" i="4"/>
  <c r="AF409" i="4"/>
  <c r="AF408" i="4"/>
  <c r="AF407" i="4"/>
  <c r="AF406" i="4"/>
  <c r="AF405" i="4"/>
  <c r="AF404" i="4"/>
  <c r="AF403" i="4"/>
  <c r="AF402" i="4"/>
  <c r="AF401" i="4"/>
  <c r="AF400" i="4"/>
  <c r="AF399" i="4"/>
  <c r="AF398" i="4"/>
  <c r="AF397" i="4"/>
  <c r="AF396" i="4"/>
  <c r="AF395" i="4"/>
  <c r="AF394" i="4"/>
  <c r="AF393" i="4"/>
  <c r="AF392" i="4"/>
  <c r="AF391" i="4"/>
  <c r="AF390" i="4"/>
  <c r="AF389" i="4"/>
  <c r="AF388" i="4"/>
  <c r="AF387" i="4"/>
  <c r="AF386" i="4"/>
  <c r="AF385" i="4"/>
  <c r="AF384" i="4"/>
  <c r="AF383" i="4"/>
  <c r="AF382" i="4"/>
  <c r="AF381" i="4"/>
  <c r="AF380" i="4"/>
  <c r="AF379" i="4"/>
  <c r="AF378" i="4"/>
  <c r="AF377" i="4"/>
  <c r="AF376" i="4"/>
  <c r="AF375" i="4"/>
  <c r="AF374" i="4"/>
  <c r="AF373" i="4"/>
  <c r="AF372" i="4"/>
  <c r="AF371" i="4"/>
  <c r="AF370" i="4"/>
  <c r="AF369" i="4"/>
  <c r="AF368" i="4"/>
  <c r="AF367" i="4"/>
  <c r="AF366" i="4"/>
  <c r="AF365" i="4"/>
  <c r="AF364" i="4"/>
  <c r="AF363" i="4"/>
  <c r="AF362" i="4"/>
  <c r="AF361" i="4"/>
  <c r="AF360" i="4"/>
  <c r="AF359" i="4"/>
  <c r="AF358" i="4"/>
  <c r="AF357" i="4"/>
  <c r="AF356" i="4"/>
  <c r="AF355" i="4"/>
  <c r="AF354" i="4"/>
  <c r="AF353" i="4"/>
  <c r="AF352" i="4"/>
  <c r="AF351" i="4"/>
  <c r="AF350" i="4"/>
  <c r="AF349" i="4"/>
  <c r="AF348" i="4"/>
  <c r="AF347" i="4"/>
  <c r="AF346" i="4"/>
  <c r="AF345" i="4"/>
  <c r="AF344" i="4"/>
  <c r="AF343" i="4"/>
  <c r="AF342" i="4"/>
  <c r="AF341" i="4"/>
  <c r="AF340" i="4"/>
  <c r="AF339" i="4"/>
  <c r="AF338" i="4"/>
  <c r="AF337" i="4"/>
  <c r="AF336" i="4"/>
  <c r="AF335" i="4"/>
  <c r="AF334" i="4"/>
  <c r="AF333" i="4"/>
  <c r="AF332" i="4"/>
  <c r="AF331" i="4"/>
  <c r="AF330" i="4"/>
  <c r="AF329" i="4"/>
  <c r="AF328" i="4"/>
  <c r="AF327" i="4"/>
  <c r="AF326" i="4"/>
  <c r="AF325" i="4"/>
  <c r="AF324" i="4"/>
  <c r="AF323" i="4"/>
  <c r="AF322" i="4"/>
  <c r="AF321" i="4"/>
  <c r="AF320" i="4"/>
  <c r="AF319" i="4"/>
  <c r="AF318" i="4"/>
  <c r="AF317" i="4"/>
  <c r="AF316" i="4"/>
  <c r="AF315" i="4"/>
  <c r="AF314" i="4"/>
  <c r="AF313" i="4"/>
  <c r="AF312" i="4"/>
  <c r="AF311" i="4"/>
  <c r="AF310" i="4"/>
  <c r="AF309" i="4"/>
  <c r="AF308" i="4"/>
  <c r="AF307" i="4"/>
  <c r="AF306" i="4"/>
  <c r="AF305" i="4"/>
  <c r="AF304" i="4"/>
  <c r="AF303" i="4"/>
  <c r="AF302" i="4"/>
  <c r="AF301" i="4"/>
  <c r="AF300" i="4"/>
  <c r="AF299" i="4"/>
  <c r="AF298" i="4"/>
  <c r="AF297" i="4"/>
  <c r="AF296" i="4"/>
  <c r="AF295" i="4"/>
  <c r="AF294" i="4"/>
  <c r="AF293" i="4"/>
  <c r="AF292" i="4"/>
  <c r="AF291" i="4"/>
  <c r="AF290" i="4"/>
  <c r="AF289" i="4"/>
  <c r="AF288" i="4"/>
  <c r="AF287" i="4"/>
  <c r="AF286" i="4"/>
  <c r="AF285" i="4"/>
  <c r="AF284" i="4"/>
  <c r="AF283" i="4"/>
  <c r="AF282" i="4"/>
  <c r="AF281" i="4"/>
  <c r="AF280" i="4"/>
  <c r="AF279" i="4"/>
  <c r="AF278" i="4"/>
  <c r="AF277" i="4"/>
  <c r="AF276" i="4"/>
  <c r="AF275" i="4"/>
  <c r="AF274" i="4"/>
  <c r="AF273" i="4"/>
  <c r="AF272" i="4"/>
  <c r="AF271" i="4"/>
  <c r="AF270" i="4"/>
  <c r="AF269" i="4"/>
  <c r="AF268" i="4"/>
  <c r="AF267" i="4"/>
  <c r="AF266" i="4"/>
  <c r="AF265" i="4"/>
  <c r="AF264" i="4"/>
  <c r="AF263" i="4"/>
  <c r="AF262" i="4"/>
  <c r="AF261" i="4"/>
  <c r="AF260" i="4"/>
  <c r="AF259" i="4"/>
  <c r="AF258" i="4"/>
  <c r="AF257" i="4"/>
  <c r="AF256" i="4"/>
  <c r="AF255" i="4"/>
  <c r="AF254" i="4"/>
  <c r="AF253" i="4"/>
  <c r="AF252" i="4"/>
  <c r="AF251" i="4"/>
  <c r="AF250" i="4"/>
  <c r="AF249" i="4"/>
  <c r="AF248" i="4"/>
  <c r="AF247" i="4"/>
  <c r="AF246" i="4"/>
  <c r="AF245" i="4"/>
  <c r="AF244" i="4"/>
  <c r="AF243" i="4"/>
  <c r="AF242" i="4"/>
  <c r="AF241" i="4"/>
  <c r="AF240" i="4"/>
  <c r="AF239" i="4"/>
  <c r="AF238" i="4"/>
  <c r="AF237" i="4"/>
  <c r="AF236" i="4"/>
  <c r="AF235" i="4"/>
  <c r="AF234" i="4"/>
  <c r="AF233" i="4"/>
  <c r="AF232" i="4"/>
  <c r="AF231" i="4"/>
  <c r="AF230" i="4"/>
  <c r="AF229" i="4"/>
  <c r="AF228" i="4"/>
  <c r="AF227" i="4"/>
  <c r="AF226" i="4"/>
  <c r="AF225" i="4"/>
  <c r="AF224" i="4"/>
  <c r="AF223" i="4"/>
  <c r="AF222" i="4"/>
  <c r="AF221" i="4"/>
  <c r="AF220" i="4"/>
  <c r="AF219" i="4"/>
  <c r="AF218" i="4"/>
  <c r="AF217" i="4"/>
  <c r="AF216" i="4"/>
  <c r="AF215" i="4"/>
  <c r="AF214" i="4"/>
  <c r="AF213" i="4"/>
  <c r="AF212" i="4"/>
  <c r="AF211" i="4"/>
  <c r="AF210" i="4"/>
  <c r="AF209" i="4"/>
  <c r="AF208" i="4"/>
  <c r="AF207" i="4"/>
  <c r="AF206" i="4"/>
  <c r="AF205" i="4"/>
  <c r="AF204" i="4"/>
  <c r="AF203" i="4"/>
  <c r="AF202" i="4"/>
  <c r="AF201" i="4"/>
  <c r="AF200" i="4"/>
  <c r="AF199" i="4"/>
  <c r="AF198" i="4"/>
  <c r="AF197" i="4"/>
  <c r="AF196" i="4"/>
  <c r="AF195" i="4"/>
  <c r="AF194" i="4"/>
  <c r="AF193" i="4"/>
  <c r="AF192" i="4"/>
  <c r="AF191" i="4"/>
  <c r="AF190" i="4"/>
  <c r="AF189" i="4"/>
  <c r="AF188" i="4"/>
  <c r="AF187" i="4"/>
  <c r="AF186" i="4"/>
  <c r="AF185" i="4"/>
  <c r="AF184" i="4"/>
  <c r="AF183" i="4"/>
  <c r="AF182" i="4"/>
  <c r="AF181" i="4"/>
  <c r="AF180" i="4"/>
  <c r="AF179" i="4"/>
  <c r="AF178" i="4"/>
  <c r="AF177" i="4"/>
  <c r="AF176" i="4"/>
  <c r="AF175" i="4"/>
  <c r="AF174" i="4"/>
  <c r="AF173" i="4"/>
  <c r="AF172" i="4"/>
  <c r="AF171" i="4"/>
  <c r="AF170" i="4"/>
  <c r="AF169" i="4"/>
  <c r="AF168" i="4"/>
  <c r="AF167" i="4"/>
  <c r="AF166" i="4"/>
  <c r="AF165" i="4"/>
  <c r="AF164" i="4"/>
  <c r="AF163" i="4"/>
  <c r="AF162" i="4"/>
  <c r="AF161" i="4"/>
  <c r="AF160" i="4"/>
  <c r="AF159" i="4"/>
  <c r="AF158" i="4"/>
  <c r="AF157" i="4"/>
  <c r="AF156" i="4"/>
  <c r="AF155" i="4"/>
  <c r="AF154" i="4"/>
  <c r="AF153" i="4"/>
  <c r="AF152" i="4"/>
  <c r="AF151" i="4"/>
  <c r="AF150" i="4"/>
  <c r="AF149" i="4"/>
  <c r="AF148" i="4"/>
  <c r="AF147" i="4"/>
  <c r="AF146" i="4"/>
  <c r="AF145" i="4"/>
  <c r="AF144" i="4"/>
  <c r="AF143" i="4"/>
  <c r="AF142" i="4"/>
  <c r="AF141" i="4"/>
  <c r="AF140" i="4"/>
  <c r="AF139" i="4"/>
  <c r="AF138" i="4"/>
  <c r="AF137" i="4"/>
  <c r="AF136" i="4"/>
  <c r="AF135" i="4"/>
  <c r="AF134" i="4"/>
  <c r="AF133" i="4"/>
  <c r="AF132" i="4"/>
  <c r="AF131" i="4"/>
  <c r="AF130" i="4"/>
  <c r="AF129" i="4"/>
  <c r="AF128" i="4"/>
  <c r="AF127" i="4"/>
  <c r="AF126" i="4"/>
  <c r="AF125" i="4"/>
  <c r="AF124" i="4"/>
  <c r="AF123" i="4"/>
  <c r="AF122" i="4"/>
  <c r="AF121" i="4"/>
  <c r="AF120" i="4"/>
  <c r="AF119" i="4"/>
  <c r="AF118" i="4"/>
  <c r="AF117" i="4"/>
  <c r="AF116" i="4"/>
  <c r="AF115" i="4"/>
  <c r="AF114" i="4"/>
  <c r="AF113" i="4"/>
  <c r="AF112" i="4"/>
  <c r="AF111" i="4"/>
  <c r="AF110" i="4"/>
  <c r="AF109" i="4"/>
  <c r="AF108" i="4"/>
  <c r="AF107" i="4"/>
  <c r="AF106" i="4"/>
  <c r="AF105" i="4"/>
  <c r="AF104" i="4"/>
  <c r="AF103" i="4"/>
  <c r="AF102" i="4"/>
  <c r="AF101" i="4"/>
  <c r="AF100" i="4"/>
  <c r="AF99" i="4"/>
  <c r="AF98" i="4"/>
  <c r="AF97" i="4"/>
  <c r="AF96" i="4"/>
  <c r="AF95" i="4"/>
  <c r="AF94" i="4"/>
  <c r="AF93" i="4"/>
  <c r="AF92" i="4"/>
  <c r="AF91" i="4"/>
  <c r="AF90" i="4"/>
  <c r="AF89" i="4"/>
  <c r="AF88" i="4"/>
  <c r="AF87" i="4"/>
  <c r="AF86" i="4"/>
  <c r="AF85" i="4"/>
  <c r="AF84" i="4"/>
  <c r="AF83" i="4"/>
  <c r="AF82" i="4"/>
  <c r="AF81" i="4"/>
  <c r="AF80" i="4"/>
  <c r="AF79" i="4"/>
  <c r="AF78" i="4"/>
  <c r="AF77" i="4"/>
  <c r="AF76" i="4"/>
  <c r="AF75" i="4"/>
  <c r="AF74" i="4"/>
  <c r="AF73" i="4"/>
  <c r="AF72" i="4"/>
  <c r="AF71" i="4"/>
  <c r="AF70" i="4"/>
  <c r="AF69" i="4"/>
  <c r="AF68" i="4"/>
  <c r="AF67" i="4"/>
  <c r="AF66" i="4"/>
  <c r="AF65" i="4"/>
  <c r="AF64" i="4"/>
  <c r="AF63" i="4"/>
  <c r="AF62" i="4"/>
  <c r="AF61" i="4"/>
  <c r="AF60" i="4"/>
  <c r="AF59" i="4"/>
  <c r="AF58" i="4"/>
  <c r="AF57" i="4"/>
  <c r="AF56" i="4"/>
  <c r="AF55" i="4"/>
  <c r="AF54" i="4"/>
  <c r="AF53" i="4"/>
  <c r="AF52" i="4"/>
  <c r="AF51" i="4"/>
  <c r="AF50" i="4"/>
  <c r="AF49" i="4"/>
  <c r="AF48" i="4"/>
  <c r="AF47" i="4"/>
  <c r="AF46" i="4"/>
  <c r="AF45" i="4"/>
  <c r="AF44" i="4"/>
  <c r="AF43" i="4"/>
  <c r="AF42" i="4"/>
  <c r="AF41" i="4"/>
  <c r="AF40" i="4"/>
  <c r="AF39" i="4"/>
  <c r="AF38" i="4"/>
  <c r="AF37" i="4"/>
  <c r="AF36" i="4"/>
  <c r="AF35" i="4"/>
  <c r="AF34" i="4"/>
  <c r="AF33" i="4"/>
  <c r="AF32" i="4"/>
  <c r="AF31" i="4"/>
  <c r="AF30" i="4"/>
  <c r="AF29" i="4"/>
  <c r="AF28" i="4"/>
  <c r="AF27" i="4"/>
  <c r="AF26" i="4"/>
  <c r="AF25" i="4"/>
  <c r="AF24" i="4"/>
  <c r="AF23" i="4"/>
  <c r="AF22" i="4"/>
  <c r="AF21" i="4"/>
  <c r="AF20" i="4"/>
  <c r="AF19" i="4"/>
  <c r="AF18" i="4"/>
  <c r="AF17" i="4"/>
  <c r="AF16" i="4"/>
  <c r="AF15" i="4"/>
  <c r="AF14" i="4"/>
  <c r="AF13" i="4"/>
  <c r="AF12" i="4"/>
  <c r="AF11" i="4"/>
  <c r="AF10" i="4"/>
  <c r="AF9" i="4"/>
  <c r="AF8" i="4"/>
  <c r="AF7" i="4"/>
  <c r="AF6" i="4"/>
  <c r="AF5" i="4"/>
  <c r="AF4" i="4"/>
  <c r="V501" i="4"/>
  <c r="V500" i="4"/>
  <c r="V499" i="4"/>
  <c r="V498" i="4"/>
  <c r="V497" i="4"/>
  <c r="V496" i="4"/>
  <c r="V495" i="4"/>
  <c r="V494" i="4"/>
  <c r="V493" i="4"/>
  <c r="V492" i="4"/>
  <c r="V491" i="4"/>
  <c r="V490" i="4"/>
  <c r="V489" i="4"/>
  <c r="V488" i="4"/>
  <c r="V487" i="4"/>
  <c r="V486" i="4"/>
  <c r="V485" i="4"/>
  <c r="V484" i="4"/>
  <c r="V483" i="4"/>
  <c r="V482" i="4"/>
  <c r="V481" i="4"/>
  <c r="V480" i="4"/>
  <c r="V479" i="4"/>
  <c r="V478" i="4"/>
  <c r="V477" i="4"/>
  <c r="V476" i="4"/>
  <c r="V475" i="4"/>
  <c r="V474" i="4"/>
  <c r="V473" i="4"/>
  <c r="V472" i="4"/>
  <c r="V471" i="4"/>
  <c r="V470" i="4"/>
  <c r="V469" i="4"/>
  <c r="V468" i="4"/>
  <c r="V467" i="4"/>
  <c r="V466" i="4"/>
  <c r="V465" i="4"/>
  <c r="V464" i="4"/>
  <c r="V463" i="4"/>
  <c r="V462" i="4"/>
  <c r="V461" i="4"/>
  <c r="V460" i="4"/>
  <c r="V459" i="4"/>
  <c r="V458" i="4"/>
  <c r="V457" i="4"/>
  <c r="V456" i="4"/>
  <c r="V455" i="4"/>
  <c r="V454" i="4"/>
  <c r="V453" i="4"/>
  <c r="V452" i="4"/>
  <c r="V451" i="4"/>
  <c r="V450" i="4"/>
  <c r="V449" i="4"/>
  <c r="V448" i="4"/>
  <c r="V447" i="4"/>
  <c r="V446" i="4"/>
  <c r="V445" i="4"/>
  <c r="V444" i="4"/>
  <c r="V443" i="4"/>
  <c r="V442" i="4"/>
  <c r="V441" i="4"/>
  <c r="V440" i="4"/>
  <c r="V439" i="4"/>
  <c r="V438" i="4"/>
  <c r="V437" i="4"/>
  <c r="V436" i="4"/>
  <c r="V435" i="4"/>
  <c r="V434" i="4"/>
  <c r="V433" i="4"/>
  <c r="V432" i="4"/>
  <c r="V431" i="4"/>
  <c r="V430" i="4"/>
  <c r="V429" i="4"/>
  <c r="V428" i="4"/>
  <c r="V427" i="4"/>
  <c r="V426" i="4"/>
  <c r="V425" i="4"/>
  <c r="V424" i="4"/>
  <c r="V423" i="4"/>
  <c r="V422" i="4"/>
  <c r="V421" i="4"/>
  <c r="V420" i="4"/>
  <c r="V419" i="4"/>
  <c r="V418" i="4"/>
  <c r="V417" i="4"/>
  <c r="V416" i="4"/>
  <c r="V415" i="4"/>
  <c r="V414" i="4"/>
  <c r="V413" i="4"/>
  <c r="V412" i="4"/>
  <c r="V411" i="4"/>
  <c r="V410" i="4"/>
  <c r="V409" i="4"/>
  <c r="V408" i="4"/>
  <c r="V407" i="4"/>
  <c r="V406" i="4"/>
  <c r="V405" i="4"/>
  <c r="V404" i="4"/>
  <c r="V403" i="4"/>
  <c r="V402" i="4"/>
  <c r="V401" i="4"/>
  <c r="V400" i="4"/>
  <c r="V399" i="4"/>
  <c r="V398" i="4"/>
  <c r="V397" i="4"/>
  <c r="V396" i="4"/>
  <c r="V395" i="4"/>
  <c r="V394" i="4"/>
  <c r="V393" i="4"/>
  <c r="V392" i="4"/>
  <c r="V391" i="4"/>
  <c r="V390" i="4"/>
  <c r="V389" i="4"/>
  <c r="V388" i="4"/>
  <c r="V387" i="4"/>
  <c r="V386" i="4"/>
  <c r="V385" i="4"/>
  <c r="V384" i="4"/>
  <c r="V383" i="4"/>
  <c r="V382" i="4"/>
  <c r="V381" i="4"/>
  <c r="V380" i="4"/>
  <c r="V379" i="4"/>
  <c r="V378" i="4"/>
  <c r="V377" i="4"/>
  <c r="V376" i="4"/>
  <c r="V375" i="4"/>
  <c r="V374" i="4"/>
  <c r="V373" i="4"/>
  <c r="V372" i="4"/>
  <c r="V371" i="4"/>
  <c r="V370" i="4"/>
  <c r="V369" i="4"/>
  <c r="V368" i="4"/>
  <c r="V367" i="4"/>
  <c r="V366" i="4"/>
  <c r="V365" i="4"/>
  <c r="V364" i="4"/>
  <c r="V363" i="4"/>
  <c r="V362" i="4"/>
  <c r="V361" i="4"/>
  <c r="V360" i="4"/>
  <c r="V359" i="4"/>
  <c r="V358" i="4"/>
  <c r="V357" i="4"/>
  <c r="V356" i="4"/>
  <c r="V355" i="4"/>
  <c r="V354" i="4"/>
  <c r="V353" i="4"/>
  <c r="V352" i="4"/>
  <c r="V351" i="4"/>
  <c r="V350" i="4"/>
  <c r="V349" i="4"/>
  <c r="V348" i="4"/>
  <c r="V347" i="4"/>
  <c r="V346" i="4"/>
  <c r="V345" i="4"/>
  <c r="V344" i="4"/>
  <c r="V343" i="4"/>
  <c r="V342" i="4"/>
  <c r="V341" i="4"/>
  <c r="V340" i="4"/>
  <c r="V339" i="4"/>
  <c r="V338" i="4"/>
  <c r="V337" i="4"/>
  <c r="V336" i="4"/>
  <c r="V335" i="4"/>
  <c r="V334" i="4"/>
  <c r="V333" i="4"/>
  <c r="V332" i="4"/>
  <c r="V331" i="4"/>
  <c r="V330" i="4"/>
  <c r="V329" i="4"/>
  <c r="V328" i="4"/>
  <c r="V327" i="4"/>
  <c r="V326" i="4"/>
  <c r="V325" i="4"/>
  <c r="V324" i="4"/>
  <c r="V323" i="4"/>
  <c r="V322" i="4"/>
  <c r="V321" i="4"/>
  <c r="V320" i="4"/>
  <c r="V319" i="4"/>
  <c r="V318" i="4"/>
  <c r="V317" i="4"/>
  <c r="V316" i="4"/>
  <c r="V315" i="4"/>
  <c r="V314" i="4"/>
  <c r="V313" i="4"/>
  <c r="V312" i="4"/>
  <c r="V311" i="4"/>
  <c r="V310" i="4"/>
  <c r="V309" i="4"/>
  <c r="V308" i="4"/>
  <c r="V307" i="4"/>
  <c r="V306" i="4"/>
  <c r="V305" i="4"/>
  <c r="V304" i="4"/>
  <c r="V303" i="4"/>
  <c r="V302" i="4"/>
  <c r="V301" i="4"/>
  <c r="V300" i="4"/>
  <c r="V299" i="4"/>
  <c r="V298" i="4"/>
  <c r="V297" i="4"/>
  <c r="V296" i="4"/>
  <c r="V295" i="4"/>
  <c r="V294" i="4"/>
  <c r="V293" i="4"/>
  <c r="V292" i="4"/>
  <c r="V291" i="4"/>
  <c r="V290" i="4"/>
  <c r="V289" i="4"/>
  <c r="V288" i="4"/>
  <c r="V287" i="4"/>
  <c r="V286" i="4"/>
  <c r="V285" i="4"/>
  <c r="V284" i="4"/>
  <c r="V283" i="4"/>
  <c r="V282" i="4"/>
  <c r="V281" i="4"/>
  <c r="V280" i="4"/>
  <c r="V279" i="4"/>
  <c r="V278" i="4"/>
  <c r="V277" i="4"/>
  <c r="V276" i="4"/>
  <c r="V275" i="4"/>
  <c r="V274" i="4"/>
  <c r="V273" i="4"/>
  <c r="V272" i="4"/>
  <c r="V271" i="4"/>
  <c r="V270" i="4"/>
  <c r="V269" i="4"/>
  <c r="V268" i="4"/>
  <c r="V267" i="4"/>
  <c r="V266" i="4"/>
  <c r="V265" i="4"/>
  <c r="V264" i="4"/>
  <c r="V263" i="4"/>
  <c r="V262" i="4"/>
  <c r="V261" i="4"/>
  <c r="V260" i="4"/>
  <c r="V259" i="4"/>
  <c r="V258" i="4"/>
  <c r="V257" i="4"/>
  <c r="V256" i="4"/>
  <c r="V255" i="4"/>
  <c r="V254" i="4"/>
  <c r="V253" i="4"/>
  <c r="V252" i="4"/>
  <c r="V251" i="4"/>
  <c r="V250" i="4"/>
  <c r="V249" i="4"/>
  <c r="V248" i="4"/>
  <c r="V247" i="4"/>
  <c r="V246" i="4"/>
  <c r="V245" i="4"/>
  <c r="V244" i="4"/>
  <c r="V243" i="4"/>
  <c r="V242" i="4"/>
  <c r="V241" i="4"/>
  <c r="V240" i="4"/>
  <c r="V239" i="4"/>
  <c r="V238" i="4"/>
  <c r="V237" i="4"/>
  <c r="V236" i="4"/>
  <c r="V235" i="4"/>
  <c r="V234" i="4"/>
  <c r="V233" i="4"/>
  <c r="V232" i="4"/>
  <c r="V231" i="4"/>
  <c r="V230" i="4"/>
  <c r="V229" i="4"/>
  <c r="V228" i="4"/>
  <c r="V227" i="4"/>
  <c r="V226" i="4"/>
  <c r="V225" i="4"/>
  <c r="V224" i="4"/>
  <c r="V223" i="4"/>
  <c r="V222" i="4"/>
  <c r="V221" i="4"/>
  <c r="V220" i="4"/>
  <c r="V219" i="4"/>
  <c r="V218" i="4"/>
  <c r="V217" i="4"/>
  <c r="V216" i="4"/>
  <c r="V215" i="4"/>
  <c r="V214" i="4"/>
  <c r="V213" i="4"/>
  <c r="V212" i="4"/>
  <c r="V211" i="4"/>
  <c r="V210" i="4"/>
  <c r="V209" i="4"/>
  <c r="V208" i="4"/>
  <c r="V207" i="4"/>
  <c r="V206" i="4"/>
  <c r="V205" i="4"/>
  <c r="V204" i="4"/>
  <c r="V203" i="4"/>
  <c r="V202" i="4"/>
  <c r="V201" i="4"/>
  <c r="V200" i="4"/>
  <c r="V199" i="4"/>
  <c r="V198" i="4"/>
  <c r="V197" i="4"/>
  <c r="V196" i="4"/>
  <c r="V195" i="4"/>
  <c r="V194" i="4"/>
  <c r="V193" i="4"/>
  <c r="V192" i="4"/>
  <c r="V191" i="4"/>
  <c r="V190" i="4"/>
  <c r="V189" i="4"/>
  <c r="V188" i="4"/>
  <c r="V187" i="4"/>
  <c r="V186" i="4"/>
  <c r="V185" i="4"/>
  <c r="V184" i="4"/>
  <c r="V183" i="4"/>
  <c r="V182" i="4"/>
  <c r="V181" i="4"/>
  <c r="V180" i="4"/>
  <c r="V179" i="4"/>
  <c r="V178" i="4"/>
  <c r="V177" i="4"/>
  <c r="V176" i="4"/>
  <c r="V175" i="4"/>
  <c r="V174" i="4"/>
  <c r="V173" i="4"/>
  <c r="V172" i="4"/>
  <c r="V171" i="4"/>
  <c r="V170" i="4"/>
  <c r="V169" i="4"/>
  <c r="V168" i="4"/>
  <c r="V167" i="4"/>
  <c r="V166" i="4"/>
  <c r="V165" i="4"/>
  <c r="V164" i="4"/>
  <c r="V163" i="4"/>
  <c r="V162" i="4"/>
  <c r="V161" i="4"/>
  <c r="V160" i="4"/>
  <c r="V159" i="4"/>
  <c r="V158" i="4"/>
  <c r="V157" i="4"/>
  <c r="V156" i="4"/>
  <c r="V155" i="4"/>
  <c r="V154" i="4"/>
  <c r="V153" i="4"/>
  <c r="V152" i="4"/>
  <c r="V151" i="4"/>
  <c r="V150" i="4"/>
  <c r="V149" i="4"/>
  <c r="V148" i="4"/>
  <c r="V147" i="4"/>
  <c r="V146" i="4"/>
  <c r="V145" i="4"/>
  <c r="V144" i="4"/>
  <c r="V143" i="4"/>
  <c r="V142" i="4"/>
  <c r="V141" i="4"/>
  <c r="V140" i="4"/>
  <c r="V139" i="4"/>
  <c r="V138" i="4"/>
  <c r="V137" i="4"/>
  <c r="V136" i="4"/>
  <c r="V135" i="4"/>
  <c r="V134" i="4"/>
  <c r="V133" i="4"/>
  <c r="V132" i="4"/>
  <c r="V131" i="4"/>
  <c r="V130" i="4"/>
  <c r="V129" i="4"/>
  <c r="V128" i="4"/>
  <c r="V127" i="4"/>
  <c r="V126" i="4"/>
  <c r="V125" i="4"/>
  <c r="V124" i="4"/>
  <c r="V123" i="4"/>
  <c r="V122" i="4"/>
  <c r="V121" i="4"/>
  <c r="V120" i="4"/>
  <c r="V119" i="4"/>
  <c r="V118" i="4"/>
  <c r="V117" i="4"/>
  <c r="V116" i="4"/>
  <c r="V115" i="4"/>
  <c r="V114" i="4"/>
  <c r="V113" i="4"/>
  <c r="V112" i="4"/>
  <c r="V111" i="4"/>
  <c r="V110" i="4"/>
  <c r="V109" i="4"/>
  <c r="V108" i="4"/>
  <c r="V107" i="4"/>
  <c r="V106" i="4"/>
  <c r="V105" i="4"/>
  <c r="V104" i="4"/>
  <c r="V103" i="4"/>
  <c r="V102" i="4"/>
  <c r="V101" i="4"/>
  <c r="V100" i="4"/>
  <c r="V99" i="4"/>
  <c r="V98" i="4"/>
  <c r="V97" i="4"/>
  <c r="V96" i="4"/>
  <c r="V95" i="4"/>
  <c r="V94" i="4"/>
  <c r="V93" i="4"/>
  <c r="V92" i="4"/>
  <c r="V91" i="4"/>
  <c r="V90" i="4"/>
  <c r="V89" i="4"/>
  <c r="V88" i="4"/>
  <c r="V87" i="4"/>
  <c r="V86" i="4"/>
  <c r="V85" i="4"/>
  <c r="V84" i="4"/>
  <c r="V83" i="4"/>
  <c r="V82" i="4"/>
  <c r="V81" i="4"/>
  <c r="V80" i="4"/>
  <c r="V79" i="4"/>
  <c r="V78" i="4"/>
  <c r="V77" i="4"/>
  <c r="V76" i="4"/>
  <c r="V75" i="4"/>
  <c r="V74" i="4"/>
  <c r="V73" i="4"/>
  <c r="V72" i="4"/>
  <c r="V71" i="4"/>
  <c r="V70" i="4"/>
  <c r="V69" i="4"/>
  <c r="V68" i="4"/>
  <c r="V67" i="4"/>
  <c r="V66" i="4"/>
  <c r="V65" i="4"/>
  <c r="V64" i="4"/>
  <c r="V63" i="4"/>
  <c r="V62" i="4"/>
  <c r="V61" i="4"/>
  <c r="V60" i="4"/>
  <c r="V59" i="4"/>
  <c r="V58" i="4"/>
  <c r="V57" i="4"/>
  <c r="V56" i="4"/>
  <c r="V55" i="4"/>
  <c r="V54" i="4"/>
  <c r="V53" i="4"/>
  <c r="V52" i="4"/>
  <c r="V51" i="4"/>
  <c r="V50" i="4"/>
  <c r="V49" i="4"/>
  <c r="V48" i="4"/>
  <c r="V47" i="4"/>
  <c r="V46" i="4"/>
  <c r="V45" i="4"/>
  <c r="V44" i="4"/>
  <c r="V43" i="4"/>
  <c r="V42" i="4"/>
  <c r="V41" i="4"/>
  <c r="V40" i="4"/>
  <c r="V39" i="4"/>
  <c r="V38" i="4"/>
  <c r="V37" i="4"/>
  <c r="V36" i="4"/>
  <c r="V35" i="4"/>
  <c r="V34" i="4"/>
  <c r="V33" i="4"/>
  <c r="V32" i="4"/>
  <c r="V31" i="4"/>
  <c r="V30" i="4"/>
  <c r="V29" i="4"/>
  <c r="V28" i="4"/>
  <c r="V27" i="4"/>
  <c r="V26" i="4"/>
  <c r="V25" i="4"/>
  <c r="V24" i="4"/>
  <c r="V23" i="4"/>
  <c r="V22" i="4"/>
  <c r="V21" i="4"/>
  <c r="V20" i="4"/>
  <c r="V19" i="4"/>
  <c r="V18" i="4"/>
  <c r="V17" i="4"/>
  <c r="V16" i="4"/>
  <c r="V15" i="4"/>
  <c r="V14" i="4"/>
  <c r="V13" i="4"/>
  <c r="V12" i="4"/>
  <c r="V11" i="4"/>
  <c r="V10" i="4"/>
  <c r="V9" i="4"/>
  <c r="V8" i="4"/>
  <c r="V7" i="4"/>
  <c r="V6" i="4"/>
  <c r="V5" i="4"/>
  <c r="V4" i="4"/>
  <c r="V3" i="4"/>
  <c r="L3" i="4"/>
  <c r="L501" i="4"/>
  <c r="L500" i="4"/>
  <c r="L499" i="4"/>
  <c r="L498" i="4"/>
  <c r="L497" i="4"/>
  <c r="L496" i="4"/>
  <c r="L495" i="4"/>
  <c r="L494" i="4"/>
  <c r="L493" i="4"/>
  <c r="L492" i="4"/>
  <c r="L491" i="4"/>
  <c r="L490" i="4"/>
  <c r="L489" i="4"/>
  <c r="L488" i="4"/>
  <c r="L487" i="4"/>
  <c r="L486" i="4"/>
  <c r="L485" i="4"/>
  <c r="L484" i="4"/>
  <c r="L483" i="4"/>
  <c r="L482" i="4"/>
  <c r="L481" i="4"/>
  <c r="L480" i="4"/>
  <c r="L479" i="4"/>
  <c r="L478" i="4"/>
  <c r="L477" i="4"/>
  <c r="L476" i="4"/>
  <c r="L475" i="4"/>
  <c r="L474" i="4"/>
  <c r="L473" i="4"/>
  <c r="L472" i="4"/>
  <c r="L471" i="4"/>
  <c r="L470" i="4"/>
  <c r="L469" i="4"/>
  <c r="L468" i="4"/>
  <c r="L467" i="4"/>
  <c r="L466" i="4"/>
  <c r="L465" i="4"/>
  <c r="L464" i="4"/>
  <c r="L463" i="4"/>
  <c r="L462" i="4"/>
  <c r="L461" i="4"/>
  <c r="L460" i="4"/>
  <c r="L459" i="4"/>
  <c r="L458" i="4"/>
  <c r="L457" i="4"/>
  <c r="L456" i="4"/>
  <c r="L455" i="4"/>
  <c r="L454" i="4"/>
  <c r="L453" i="4"/>
  <c r="L452" i="4"/>
  <c r="L451" i="4"/>
  <c r="L450" i="4"/>
  <c r="L449" i="4"/>
  <c r="L448" i="4"/>
  <c r="L447" i="4"/>
  <c r="L446" i="4"/>
  <c r="L445" i="4"/>
  <c r="L444" i="4"/>
  <c r="L443" i="4"/>
  <c r="L442" i="4"/>
  <c r="L441" i="4"/>
  <c r="L440" i="4"/>
  <c r="L439" i="4"/>
  <c r="L438" i="4"/>
  <c r="L437" i="4"/>
  <c r="L436" i="4"/>
  <c r="L435" i="4"/>
  <c r="L434" i="4"/>
  <c r="L433" i="4"/>
  <c r="L432" i="4"/>
  <c r="L431" i="4"/>
  <c r="L430" i="4"/>
  <c r="L429" i="4"/>
  <c r="L428" i="4"/>
  <c r="L427" i="4"/>
  <c r="L426" i="4"/>
  <c r="L425" i="4"/>
  <c r="L424" i="4"/>
  <c r="L423" i="4"/>
  <c r="L422" i="4"/>
  <c r="L421" i="4"/>
  <c r="L420" i="4"/>
  <c r="L419" i="4"/>
  <c r="L418" i="4"/>
  <c r="L417" i="4"/>
  <c r="L416" i="4"/>
  <c r="L415" i="4"/>
  <c r="L414" i="4"/>
  <c r="L413" i="4"/>
  <c r="L412" i="4"/>
  <c r="L411" i="4"/>
  <c r="L410" i="4"/>
  <c r="L409" i="4"/>
  <c r="L408" i="4"/>
  <c r="L407" i="4"/>
  <c r="L406" i="4"/>
  <c r="L405" i="4"/>
  <c r="L404" i="4"/>
  <c r="L403" i="4"/>
  <c r="L402" i="4"/>
  <c r="L401" i="4"/>
  <c r="L400" i="4"/>
  <c r="L399" i="4"/>
  <c r="L398" i="4"/>
  <c r="L397" i="4"/>
  <c r="L396" i="4"/>
  <c r="L395" i="4"/>
  <c r="L394" i="4"/>
  <c r="L393" i="4"/>
  <c r="L392" i="4"/>
  <c r="L391" i="4"/>
  <c r="L390" i="4"/>
  <c r="L389" i="4"/>
  <c r="L388" i="4"/>
  <c r="L387" i="4"/>
  <c r="L386" i="4"/>
  <c r="L385" i="4"/>
  <c r="L384" i="4"/>
  <c r="L383" i="4"/>
  <c r="L382" i="4"/>
  <c r="L381" i="4"/>
  <c r="L380" i="4"/>
  <c r="L379" i="4"/>
  <c r="L378" i="4"/>
  <c r="L377" i="4"/>
  <c r="L376" i="4"/>
  <c r="L375" i="4"/>
  <c r="L374" i="4"/>
  <c r="L373" i="4"/>
  <c r="L372" i="4"/>
  <c r="L371" i="4"/>
  <c r="L370" i="4"/>
  <c r="L369" i="4"/>
  <c r="L368" i="4"/>
  <c r="L367" i="4"/>
  <c r="L366" i="4"/>
  <c r="L365" i="4"/>
  <c r="L364" i="4"/>
  <c r="L363" i="4"/>
  <c r="L362" i="4"/>
  <c r="L361" i="4"/>
  <c r="L360" i="4"/>
  <c r="L359" i="4"/>
  <c r="L358" i="4"/>
  <c r="L357" i="4"/>
  <c r="L356" i="4"/>
  <c r="L355" i="4"/>
  <c r="L354" i="4"/>
  <c r="L353" i="4"/>
  <c r="L352" i="4"/>
  <c r="L351" i="4"/>
  <c r="L350" i="4"/>
  <c r="L349" i="4"/>
  <c r="L348" i="4"/>
  <c r="L347" i="4"/>
  <c r="L346" i="4"/>
  <c r="L345" i="4"/>
  <c r="L344" i="4"/>
  <c r="L343" i="4"/>
  <c r="L342" i="4"/>
  <c r="L341" i="4"/>
  <c r="L340" i="4"/>
  <c r="L339" i="4"/>
  <c r="L338" i="4"/>
  <c r="L337" i="4"/>
  <c r="L336" i="4"/>
  <c r="L335" i="4"/>
  <c r="L334" i="4"/>
  <c r="L333" i="4"/>
  <c r="L332" i="4"/>
  <c r="L331" i="4"/>
  <c r="L330" i="4"/>
  <c r="L329" i="4"/>
  <c r="L328" i="4"/>
  <c r="L327" i="4"/>
  <c r="L326" i="4"/>
  <c r="L325" i="4"/>
  <c r="L324" i="4"/>
  <c r="L323" i="4"/>
  <c r="L322" i="4"/>
  <c r="L321" i="4"/>
  <c r="L320" i="4"/>
  <c r="L319" i="4"/>
  <c r="L318" i="4"/>
  <c r="L317" i="4"/>
  <c r="L316" i="4"/>
  <c r="L315" i="4"/>
  <c r="L314" i="4"/>
  <c r="L313" i="4"/>
  <c r="L312" i="4"/>
  <c r="L311" i="4"/>
  <c r="L310" i="4"/>
  <c r="L309" i="4"/>
  <c r="L308" i="4"/>
  <c r="L307" i="4"/>
  <c r="L306" i="4"/>
  <c r="L305" i="4"/>
  <c r="L304" i="4"/>
  <c r="L303" i="4"/>
  <c r="L302" i="4"/>
  <c r="L301" i="4"/>
  <c r="L300" i="4"/>
  <c r="L299" i="4"/>
  <c r="L298" i="4"/>
  <c r="L297" i="4"/>
  <c r="L296" i="4"/>
  <c r="L295" i="4"/>
  <c r="L294" i="4"/>
  <c r="L293" i="4"/>
  <c r="L292" i="4"/>
  <c r="L291" i="4"/>
  <c r="L290" i="4"/>
  <c r="L289" i="4"/>
  <c r="L288" i="4"/>
  <c r="L287" i="4"/>
  <c r="L286" i="4"/>
  <c r="L285" i="4"/>
  <c r="L284" i="4"/>
  <c r="L283" i="4"/>
  <c r="L282" i="4"/>
  <c r="L281" i="4"/>
  <c r="L280" i="4"/>
  <c r="L279" i="4"/>
  <c r="L278" i="4"/>
  <c r="L277" i="4"/>
  <c r="L276" i="4"/>
  <c r="L275" i="4"/>
  <c r="L274" i="4"/>
  <c r="L273" i="4"/>
  <c r="L272" i="4"/>
  <c r="L271" i="4"/>
  <c r="L270" i="4"/>
  <c r="L269" i="4"/>
  <c r="L268" i="4"/>
  <c r="L267" i="4"/>
  <c r="L266" i="4"/>
  <c r="L265" i="4"/>
  <c r="L264" i="4"/>
  <c r="L263" i="4"/>
  <c r="L262" i="4"/>
  <c r="L261" i="4"/>
  <c r="L260" i="4"/>
  <c r="L259" i="4"/>
  <c r="L258" i="4"/>
  <c r="L257" i="4"/>
  <c r="L256" i="4"/>
  <c r="L255" i="4"/>
  <c r="L254" i="4"/>
  <c r="L253" i="4"/>
  <c r="L252" i="4"/>
  <c r="L251" i="4"/>
  <c r="L250" i="4"/>
  <c r="L249" i="4"/>
  <c r="L248" i="4"/>
  <c r="L247" i="4"/>
  <c r="L246" i="4"/>
  <c r="L245" i="4"/>
  <c r="L244" i="4"/>
  <c r="L243" i="4"/>
  <c r="L242" i="4"/>
  <c r="L241" i="4"/>
  <c r="L240" i="4"/>
  <c r="L239" i="4"/>
  <c r="L238" i="4"/>
  <c r="L237" i="4"/>
  <c r="L236" i="4"/>
  <c r="L235" i="4"/>
  <c r="L234" i="4"/>
  <c r="L233" i="4"/>
  <c r="L232" i="4"/>
  <c r="L231" i="4"/>
  <c r="L230" i="4"/>
  <c r="L229" i="4"/>
  <c r="L228" i="4"/>
  <c r="L227" i="4"/>
  <c r="L226" i="4"/>
  <c r="L225" i="4"/>
  <c r="L224" i="4"/>
  <c r="L223" i="4"/>
  <c r="L222" i="4"/>
  <c r="L221" i="4"/>
  <c r="L220" i="4"/>
  <c r="L219" i="4"/>
  <c r="L218" i="4"/>
  <c r="L217" i="4"/>
  <c r="L216" i="4"/>
  <c r="L215" i="4"/>
  <c r="L214" i="4"/>
  <c r="L213" i="4"/>
  <c r="L212" i="4"/>
  <c r="L211" i="4"/>
  <c r="L210" i="4"/>
  <c r="L209" i="4"/>
  <c r="L208" i="4"/>
  <c r="L207" i="4"/>
  <c r="L206" i="4"/>
  <c r="L205" i="4"/>
  <c r="L204" i="4"/>
  <c r="L203" i="4"/>
  <c r="L202" i="4"/>
  <c r="L201" i="4"/>
  <c r="L200" i="4"/>
  <c r="L199" i="4"/>
  <c r="L198" i="4"/>
  <c r="L197" i="4"/>
  <c r="L196" i="4"/>
  <c r="L195" i="4"/>
  <c r="L194" i="4"/>
  <c r="L193" i="4"/>
  <c r="L192" i="4"/>
  <c r="L191" i="4"/>
  <c r="L190" i="4"/>
  <c r="L189" i="4"/>
  <c r="L188" i="4"/>
  <c r="L187" i="4"/>
  <c r="L186" i="4"/>
  <c r="L185" i="4"/>
  <c r="L184" i="4"/>
  <c r="L183" i="4"/>
  <c r="L182" i="4"/>
  <c r="L181" i="4"/>
  <c r="L180" i="4"/>
  <c r="L179" i="4"/>
  <c r="L178" i="4"/>
  <c r="L177" i="4"/>
  <c r="L176" i="4"/>
  <c r="L175" i="4"/>
  <c r="L174" i="4"/>
  <c r="L173" i="4"/>
  <c r="L172" i="4"/>
  <c r="L171" i="4"/>
  <c r="L170" i="4"/>
  <c r="L169" i="4"/>
  <c r="L168" i="4"/>
  <c r="L167" i="4"/>
  <c r="L166" i="4"/>
  <c r="L165" i="4"/>
  <c r="L164" i="4"/>
  <c r="L163" i="4"/>
  <c r="L162" i="4"/>
  <c r="L161" i="4"/>
  <c r="L160" i="4"/>
  <c r="L159" i="4"/>
  <c r="L158" i="4"/>
  <c r="L157" i="4"/>
  <c r="L156" i="4"/>
  <c r="L155" i="4"/>
  <c r="L154" i="4"/>
  <c r="L153" i="4"/>
  <c r="L152" i="4"/>
  <c r="L151" i="4"/>
  <c r="L150" i="4"/>
  <c r="L149" i="4"/>
  <c r="L148" i="4"/>
  <c r="L147" i="4"/>
  <c r="L146" i="4"/>
  <c r="L145" i="4"/>
  <c r="L144" i="4"/>
  <c r="L143" i="4"/>
  <c r="L142" i="4"/>
  <c r="L141" i="4"/>
  <c r="L140" i="4"/>
  <c r="L139" i="4"/>
  <c r="L138" i="4"/>
  <c r="L137" i="4"/>
  <c r="L136" i="4"/>
  <c r="L135" i="4"/>
  <c r="L134" i="4"/>
  <c r="L133" i="4"/>
  <c r="L132" i="4"/>
  <c r="L131" i="4"/>
  <c r="L130" i="4"/>
  <c r="L129" i="4"/>
  <c r="L128" i="4"/>
  <c r="L127" i="4"/>
  <c r="L126" i="4"/>
  <c r="L125" i="4"/>
  <c r="L124" i="4"/>
  <c r="L123" i="4"/>
  <c r="L122" i="4"/>
  <c r="L121" i="4"/>
  <c r="L120" i="4"/>
  <c r="L119" i="4"/>
  <c r="L118" i="4"/>
  <c r="L117" i="4"/>
  <c r="L116" i="4"/>
  <c r="L115" i="4"/>
  <c r="L114" i="4"/>
  <c r="L113" i="4"/>
  <c r="L112" i="4"/>
  <c r="L111" i="4"/>
  <c r="L110" i="4"/>
  <c r="L109" i="4"/>
  <c r="L108" i="4"/>
  <c r="L107" i="4"/>
  <c r="L106" i="4"/>
  <c r="L105" i="4"/>
  <c r="L104" i="4"/>
  <c r="L103" i="4"/>
  <c r="L102"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L7" i="4"/>
  <c r="L6" i="4"/>
  <c r="L5" i="4"/>
  <c r="L4" i="4"/>
  <c r="BG568" i="5"/>
  <c r="BG567" i="5"/>
  <c r="BG566" i="5"/>
  <c r="BG565" i="5"/>
  <c r="BG564" i="5"/>
  <c r="BG563" i="5"/>
  <c r="BG562" i="5"/>
  <c r="BG561" i="5"/>
  <c r="BG560" i="5"/>
  <c r="BG559" i="5"/>
  <c r="BG558" i="5"/>
  <c r="BG557" i="5"/>
  <c r="BG556" i="5"/>
  <c r="BG555" i="5"/>
  <c r="BG554" i="5"/>
  <c r="BG553" i="5"/>
  <c r="BG552" i="5"/>
  <c r="BG551" i="5"/>
  <c r="BG550" i="5"/>
  <c r="BG549" i="5"/>
  <c r="BG548" i="5"/>
  <c r="BG547" i="5"/>
  <c r="BG546" i="5"/>
  <c r="BG545" i="5"/>
  <c r="BG544" i="5"/>
  <c r="BG543" i="5"/>
  <c r="BG542" i="5"/>
  <c r="BG541" i="5"/>
  <c r="BG540" i="5"/>
  <c r="BG539" i="5"/>
  <c r="BG538" i="5"/>
  <c r="BG537" i="5"/>
  <c r="BG536" i="5"/>
  <c r="BG535" i="5"/>
  <c r="BG534" i="5"/>
  <c r="BG533" i="5"/>
  <c r="BG532" i="5"/>
  <c r="BG531" i="5"/>
  <c r="BG530" i="5"/>
  <c r="BG529" i="5"/>
  <c r="BG528" i="5"/>
  <c r="BG527" i="5"/>
  <c r="BG526" i="5"/>
  <c r="BG525" i="5"/>
  <c r="BG524" i="5"/>
  <c r="BG523" i="5"/>
  <c r="BG522" i="5"/>
  <c r="BG521" i="5"/>
  <c r="BG520" i="5"/>
  <c r="BG519" i="5"/>
  <c r="BG518" i="5"/>
  <c r="BG517" i="5"/>
  <c r="BG516" i="5"/>
  <c r="BG515" i="5"/>
  <c r="BG514" i="5"/>
  <c r="BG513" i="5"/>
  <c r="BG512" i="5"/>
  <c r="BG511" i="5"/>
  <c r="BG510" i="5"/>
  <c r="BG509" i="5"/>
  <c r="BG508" i="5"/>
  <c r="BG507" i="5"/>
  <c r="BG506" i="5"/>
  <c r="BG505" i="5"/>
  <c r="BG504" i="5"/>
  <c r="BG503" i="5"/>
  <c r="BG502" i="5"/>
  <c r="BG501" i="5"/>
  <c r="BG500" i="5"/>
  <c r="BG499" i="5"/>
  <c r="BG498" i="5"/>
  <c r="BG497" i="5"/>
  <c r="BG496" i="5"/>
  <c r="BG495" i="5"/>
  <c r="BG494" i="5"/>
  <c r="BG493" i="5"/>
  <c r="BG492" i="5"/>
  <c r="BG491" i="5"/>
  <c r="BG490" i="5"/>
  <c r="BG489" i="5"/>
  <c r="BG488" i="5"/>
  <c r="BG487" i="5"/>
  <c r="BG486" i="5"/>
  <c r="BG485" i="5"/>
  <c r="BG484" i="5"/>
  <c r="BG483" i="5"/>
  <c r="BG482" i="5"/>
  <c r="BG481" i="5"/>
  <c r="BG480" i="5"/>
  <c r="BG479" i="5"/>
  <c r="BG478" i="5"/>
  <c r="BG477" i="5"/>
  <c r="BG476" i="5"/>
  <c r="BG475" i="5"/>
  <c r="BG474" i="5"/>
  <c r="BG473" i="5"/>
  <c r="BG472" i="5"/>
  <c r="BG471" i="5"/>
  <c r="BG470" i="5"/>
  <c r="BG469" i="5"/>
  <c r="BG468" i="5"/>
  <c r="BG467" i="5"/>
  <c r="BG466" i="5"/>
  <c r="BG465" i="5"/>
  <c r="BG464" i="5"/>
  <c r="BG463" i="5"/>
  <c r="BG462" i="5"/>
  <c r="BG461" i="5"/>
  <c r="BG460" i="5"/>
  <c r="BG459" i="5"/>
  <c r="BG458" i="5"/>
  <c r="BG457" i="5"/>
  <c r="BG456" i="5"/>
  <c r="BG455" i="5"/>
  <c r="BG454" i="5"/>
  <c r="BG453" i="5"/>
  <c r="BG452" i="5"/>
  <c r="BG451" i="5"/>
  <c r="BG450" i="5"/>
  <c r="BG449" i="5"/>
  <c r="BG448" i="5"/>
  <c r="BG447" i="5"/>
  <c r="BG446" i="5"/>
  <c r="BG445" i="5"/>
  <c r="BG444" i="5"/>
  <c r="BG443" i="5"/>
  <c r="BG442" i="5"/>
  <c r="BG441" i="5"/>
  <c r="BG440" i="5"/>
  <c r="BG439" i="5"/>
  <c r="BG438" i="5"/>
  <c r="BG437" i="5"/>
  <c r="BG436" i="5"/>
  <c r="BG435" i="5"/>
  <c r="BG434" i="5"/>
  <c r="BG433" i="5"/>
  <c r="BG432" i="5"/>
  <c r="BG431" i="5"/>
  <c r="BG430" i="5"/>
  <c r="BG429" i="5"/>
  <c r="BG428" i="5"/>
  <c r="BG427" i="5"/>
  <c r="BG426" i="5"/>
  <c r="BG425" i="5"/>
  <c r="BG424" i="5"/>
  <c r="BG423" i="5"/>
  <c r="BG422" i="5"/>
  <c r="BG421" i="5"/>
  <c r="BG420" i="5"/>
  <c r="BG419" i="5"/>
  <c r="BG418" i="5"/>
  <c r="BG417" i="5"/>
  <c r="BG416" i="5"/>
  <c r="BG415" i="5"/>
  <c r="BG414" i="5"/>
  <c r="BG413" i="5"/>
  <c r="BG412" i="5"/>
  <c r="BG411" i="5"/>
  <c r="BG410" i="5"/>
  <c r="BG409" i="5"/>
  <c r="BG408" i="5"/>
  <c r="BG407" i="5"/>
  <c r="BG406" i="5"/>
  <c r="BG405" i="5"/>
  <c r="BG404" i="5"/>
  <c r="BG403" i="5"/>
  <c r="BG402" i="5"/>
  <c r="BG401" i="5"/>
  <c r="BG400" i="5"/>
  <c r="BG399" i="5"/>
  <c r="BG398" i="5"/>
  <c r="BG397" i="5"/>
  <c r="BG396" i="5"/>
  <c r="BG395" i="5"/>
  <c r="BG394" i="5"/>
  <c r="BG393" i="5"/>
  <c r="BG392" i="5"/>
  <c r="BG391" i="5"/>
  <c r="BG390" i="5"/>
  <c r="BG389" i="5"/>
  <c r="BG388" i="5"/>
  <c r="BG387" i="5"/>
  <c r="BG386" i="5"/>
  <c r="BG385" i="5"/>
  <c r="BG384" i="5"/>
  <c r="BG383" i="5"/>
  <c r="BG382" i="5"/>
  <c r="BG381" i="5"/>
  <c r="BG380" i="5"/>
  <c r="BG379" i="5"/>
  <c r="BG378" i="5"/>
  <c r="BG377" i="5"/>
  <c r="BG376" i="5"/>
  <c r="BG375" i="5"/>
  <c r="BG374" i="5"/>
  <c r="BG373" i="5"/>
  <c r="BG372" i="5"/>
  <c r="BG371" i="5"/>
  <c r="BG370" i="5"/>
  <c r="BG369" i="5"/>
  <c r="BG368" i="5"/>
  <c r="BG367" i="5"/>
  <c r="BG366" i="5"/>
  <c r="BG365" i="5"/>
  <c r="BG364" i="5"/>
  <c r="BG363" i="5"/>
  <c r="BG362" i="5"/>
  <c r="BG361" i="5"/>
  <c r="BG360" i="5"/>
  <c r="BG359" i="5"/>
  <c r="BG358" i="5"/>
  <c r="BG357" i="5"/>
  <c r="BG356" i="5"/>
  <c r="BG355" i="5"/>
  <c r="BG354" i="5"/>
  <c r="BG353" i="5"/>
  <c r="BG352" i="5"/>
  <c r="BG351" i="5"/>
  <c r="BG350" i="5"/>
  <c r="BG349" i="5"/>
  <c r="BG348" i="5"/>
  <c r="BG347" i="5"/>
  <c r="BG346" i="5"/>
  <c r="BG345" i="5"/>
  <c r="BG344" i="5"/>
  <c r="BG343" i="5"/>
  <c r="BG342" i="5"/>
  <c r="BG341" i="5"/>
  <c r="BG340" i="5"/>
  <c r="BG339" i="5"/>
  <c r="BG338" i="5"/>
  <c r="BG337" i="5"/>
  <c r="BG336" i="5"/>
  <c r="BG335" i="5"/>
  <c r="BG334" i="5"/>
  <c r="BG333" i="5"/>
  <c r="BG332" i="5"/>
  <c r="BG331" i="5"/>
  <c r="BG330" i="5"/>
  <c r="BG329" i="5"/>
  <c r="BG328" i="5"/>
  <c r="BG327" i="5"/>
  <c r="BG326" i="5"/>
  <c r="BG325" i="5"/>
  <c r="BG324" i="5"/>
  <c r="BG323" i="5"/>
  <c r="BG322" i="5"/>
  <c r="BG321" i="5"/>
  <c r="BG320" i="5"/>
  <c r="BG319" i="5"/>
  <c r="BG318" i="5"/>
  <c r="BG317" i="5"/>
  <c r="BG316" i="5"/>
  <c r="BG315" i="5"/>
  <c r="BG314" i="5"/>
  <c r="BG313" i="5"/>
  <c r="BG312" i="5"/>
  <c r="BG311" i="5"/>
  <c r="BG310" i="5"/>
  <c r="BG309" i="5"/>
  <c r="BG308" i="5"/>
  <c r="BG307" i="5"/>
  <c r="BG306" i="5"/>
  <c r="BG305" i="5"/>
  <c r="BG304" i="5"/>
  <c r="BG303" i="5"/>
  <c r="BG302" i="5"/>
  <c r="BG301" i="5"/>
  <c r="BG300" i="5"/>
  <c r="BG299" i="5"/>
  <c r="BG298" i="5"/>
  <c r="BG297" i="5"/>
  <c r="BG296" i="5"/>
  <c r="BG295" i="5"/>
  <c r="BG294" i="5"/>
  <c r="BG293" i="5"/>
  <c r="BG292" i="5"/>
  <c r="BG291" i="5"/>
  <c r="BG290" i="5"/>
  <c r="BG289" i="5"/>
  <c r="BG288" i="5"/>
  <c r="BG287" i="5"/>
  <c r="BG286" i="5"/>
  <c r="BG285" i="5"/>
  <c r="BG284" i="5"/>
  <c r="BG283" i="5"/>
  <c r="BG282" i="5"/>
  <c r="BG281" i="5"/>
  <c r="BG280" i="5"/>
  <c r="BG279" i="5"/>
  <c r="BG278" i="5"/>
  <c r="BG277" i="5"/>
  <c r="BG276" i="5"/>
  <c r="BG275" i="5"/>
  <c r="BG274" i="5"/>
  <c r="BG273" i="5"/>
  <c r="BG272" i="5"/>
  <c r="BG271" i="5"/>
  <c r="BG270" i="5"/>
  <c r="BG269" i="5"/>
  <c r="BG268" i="5"/>
  <c r="BG267" i="5"/>
  <c r="BG266" i="5"/>
  <c r="BG265" i="5"/>
  <c r="BG264" i="5"/>
  <c r="BG263" i="5"/>
  <c r="BG262" i="5"/>
  <c r="BG261" i="5"/>
  <c r="BG260" i="5"/>
  <c r="BG259" i="5"/>
  <c r="BG258" i="5"/>
  <c r="BG257" i="5"/>
  <c r="BG256" i="5"/>
  <c r="BG255" i="5"/>
  <c r="BG254" i="5"/>
  <c r="BG253" i="5"/>
  <c r="BG252" i="5"/>
  <c r="BG251" i="5"/>
  <c r="BG250" i="5"/>
  <c r="BG249" i="5"/>
  <c r="BG248" i="5"/>
  <c r="BG247" i="5"/>
  <c r="BG246" i="5"/>
  <c r="BG245" i="5"/>
  <c r="BG244" i="5"/>
  <c r="BG243" i="5"/>
  <c r="BG242" i="5"/>
  <c r="BG241" i="5"/>
  <c r="BG240" i="5"/>
  <c r="BG239" i="5"/>
  <c r="BG238" i="5"/>
  <c r="BG237" i="5"/>
  <c r="BG236" i="5"/>
  <c r="BG235" i="5"/>
  <c r="BG234" i="5"/>
  <c r="BG233" i="5"/>
  <c r="BG232" i="5"/>
  <c r="BG231" i="5"/>
  <c r="BG230" i="5"/>
  <c r="BG229" i="5"/>
  <c r="BG228" i="5"/>
  <c r="BG227" i="5"/>
  <c r="BG226" i="5"/>
  <c r="BG225" i="5"/>
  <c r="BG224" i="5"/>
  <c r="BG223" i="5"/>
  <c r="BG222" i="5"/>
  <c r="BG221" i="5"/>
  <c r="BG220" i="5"/>
  <c r="BG219" i="5"/>
  <c r="BG218" i="5"/>
  <c r="BG217" i="5"/>
  <c r="BG216" i="5"/>
  <c r="BG215" i="5"/>
  <c r="BG214" i="5"/>
  <c r="BG213" i="5"/>
  <c r="BG212" i="5"/>
  <c r="BG211" i="5"/>
  <c r="BG210" i="5"/>
  <c r="BG209" i="5"/>
  <c r="BG208" i="5"/>
  <c r="BG207" i="5"/>
  <c r="BG206" i="5"/>
  <c r="BG205" i="5"/>
  <c r="BG204" i="5"/>
  <c r="BG203" i="5"/>
  <c r="BG202" i="5"/>
  <c r="BG201" i="5"/>
  <c r="BG200" i="5"/>
  <c r="BG199" i="5"/>
  <c r="BG198" i="5"/>
  <c r="BG197" i="5"/>
  <c r="BG196" i="5"/>
  <c r="BG195" i="5"/>
  <c r="BG194" i="5"/>
  <c r="BG193" i="5"/>
  <c r="BG192" i="5"/>
  <c r="BG191" i="5"/>
  <c r="BG190" i="5"/>
  <c r="BG189" i="5"/>
  <c r="BG188" i="5"/>
  <c r="BG187" i="5"/>
  <c r="BG186" i="5"/>
  <c r="BG185" i="5"/>
  <c r="BG184" i="5"/>
  <c r="BG183" i="5"/>
  <c r="BG182" i="5"/>
  <c r="BG181" i="5"/>
  <c r="BG180" i="5"/>
  <c r="BG179" i="5"/>
  <c r="BG178" i="5"/>
  <c r="BG177" i="5"/>
  <c r="BG176" i="5"/>
  <c r="BG175" i="5"/>
  <c r="BG174" i="5"/>
  <c r="BG173" i="5"/>
  <c r="BG172" i="5"/>
  <c r="BG171" i="5"/>
  <c r="BG170" i="5"/>
  <c r="BG169" i="5"/>
  <c r="BG168" i="5"/>
  <c r="BG167" i="5"/>
  <c r="BG166" i="5"/>
  <c r="BG165" i="5"/>
  <c r="BG164" i="5"/>
  <c r="BG163" i="5"/>
  <c r="BG162" i="5"/>
  <c r="BG161" i="5"/>
  <c r="BG160" i="5"/>
  <c r="BG159" i="5"/>
  <c r="BG158" i="5"/>
  <c r="BG157" i="5"/>
  <c r="BG156" i="5"/>
  <c r="BG155" i="5"/>
  <c r="BG154" i="5"/>
  <c r="BG153" i="5"/>
  <c r="BG152" i="5"/>
  <c r="BG151" i="5"/>
  <c r="BG150" i="5"/>
  <c r="BG149" i="5"/>
  <c r="BG148" i="5"/>
  <c r="BG147" i="5"/>
  <c r="BG146" i="5"/>
  <c r="BG145" i="5"/>
  <c r="BG144" i="5"/>
  <c r="BG143" i="5"/>
  <c r="BG142" i="5"/>
  <c r="BG141" i="5"/>
  <c r="BG140" i="5"/>
  <c r="BG139" i="5"/>
  <c r="BG138" i="5"/>
  <c r="BG137" i="5"/>
  <c r="BG136" i="5"/>
  <c r="BG135" i="5"/>
  <c r="BG134" i="5"/>
  <c r="BG133" i="5"/>
  <c r="BG132" i="5"/>
  <c r="BG131" i="5"/>
  <c r="BG130" i="5"/>
  <c r="BG129" i="5"/>
  <c r="BG128" i="5"/>
  <c r="BG127" i="5"/>
  <c r="BG126" i="5"/>
  <c r="BG125" i="5"/>
  <c r="BG124" i="5"/>
  <c r="BG123" i="5"/>
  <c r="BG122" i="5"/>
  <c r="BG121" i="5"/>
  <c r="BG120" i="5"/>
  <c r="BG119" i="5"/>
  <c r="BG118" i="5"/>
  <c r="BG117" i="5"/>
  <c r="BG116" i="5"/>
  <c r="BG115" i="5"/>
  <c r="BG114" i="5"/>
  <c r="BG113" i="5"/>
  <c r="BG112" i="5"/>
  <c r="BG111" i="5"/>
  <c r="BG110" i="5"/>
  <c r="BG109" i="5"/>
  <c r="BG108" i="5"/>
  <c r="BG107" i="5"/>
  <c r="BG106" i="5"/>
  <c r="BG105" i="5"/>
  <c r="BG104" i="5"/>
  <c r="BG103" i="5"/>
  <c r="BG102" i="5"/>
  <c r="BG101" i="5"/>
  <c r="BG100" i="5"/>
  <c r="BG99" i="5"/>
  <c r="BG98" i="5"/>
  <c r="BG97" i="5"/>
  <c r="BG96" i="5"/>
  <c r="BG95" i="5"/>
  <c r="BG94" i="5"/>
  <c r="BG93" i="5"/>
  <c r="BG92" i="5"/>
  <c r="BG91" i="5"/>
  <c r="BG90" i="5"/>
  <c r="BG89" i="5"/>
  <c r="BG88" i="5"/>
  <c r="BG87" i="5"/>
  <c r="BG86" i="5"/>
  <c r="BG85" i="5"/>
  <c r="BG84" i="5"/>
  <c r="BG83" i="5"/>
  <c r="BG82" i="5"/>
  <c r="BG81" i="5"/>
  <c r="BG80" i="5"/>
  <c r="BG79" i="5"/>
  <c r="BG78" i="5"/>
  <c r="BG77" i="5"/>
  <c r="BG76" i="5"/>
  <c r="BG75" i="5"/>
  <c r="BG74" i="5"/>
  <c r="BG73" i="5"/>
  <c r="BG72" i="5"/>
  <c r="BG71" i="5"/>
  <c r="BG70" i="5"/>
  <c r="BG69" i="5"/>
  <c r="BG68" i="5"/>
  <c r="BG67" i="5"/>
  <c r="BG66" i="5"/>
  <c r="BG65" i="5"/>
  <c r="BG64" i="5"/>
  <c r="BG63" i="5"/>
  <c r="BG62" i="5"/>
  <c r="BG61" i="5"/>
  <c r="BG60" i="5"/>
  <c r="BG59" i="5"/>
  <c r="BG58" i="5"/>
  <c r="BG57" i="5"/>
  <c r="BG56" i="5"/>
  <c r="BG55" i="5"/>
  <c r="BG54" i="5"/>
  <c r="BG53" i="5"/>
  <c r="BG52" i="5"/>
  <c r="BG51" i="5"/>
  <c r="BG50" i="5"/>
  <c r="BG49" i="5"/>
  <c r="BG48" i="5"/>
  <c r="BG47" i="5"/>
  <c r="BG46" i="5"/>
  <c r="BG45" i="5"/>
  <c r="BG44" i="5"/>
  <c r="BG43" i="5"/>
  <c r="BG42" i="5"/>
  <c r="BG41" i="5"/>
  <c r="BG40" i="5"/>
  <c r="BG39" i="5"/>
  <c r="BG38" i="5"/>
  <c r="BG37" i="5"/>
  <c r="BG36" i="5"/>
  <c r="BG35" i="5"/>
  <c r="BG34" i="5"/>
  <c r="BG33" i="5"/>
  <c r="BG32" i="5"/>
  <c r="BG31" i="5"/>
  <c r="BG30" i="5"/>
  <c r="BG29" i="5"/>
  <c r="BG28" i="5"/>
  <c r="BG27" i="5"/>
  <c r="BG26" i="5"/>
  <c r="BG25" i="5"/>
  <c r="BG24" i="5"/>
  <c r="BG23" i="5"/>
  <c r="BG22" i="5"/>
  <c r="BG21" i="5"/>
  <c r="BG20" i="5"/>
  <c r="BG19" i="5"/>
  <c r="BG18" i="5"/>
  <c r="BG17" i="5"/>
  <c r="BG16" i="5"/>
  <c r="BG15" i="5"/>
  <c r="BG14" i="5"/>
  <c r="BG13" i="5"/>
  <c r="BG12" i="5"/>
  <c r="BG11" i="5"/>
  <c r="BG10" i="5"/>
  <c r="BG9" i="5"/>
  <c r="BG8" i="5"/>
  <c r="BG7" i="5"/>
  <c r="BG6" i="5"/>
  <c r="BG5" i="5"/>
  <c r="BG3" i="5"/>
  <c r="AY568" i="5"/>
  <c r="AY567" i="5"/>
  <c r="AY566" i="5"/>
  <c r="AY565" i="5"/>
  <c r="AY564" i="5"/>
  <c r="AY563" i="5"/>
  <c r="AY562" i="5"/>
  <c r="AY561" i="5"/>
  <c r="AY560" i="5"/>
  <c r="AY559" i="5"/>
  <c r="AY558" i="5"/>
  <c r="AY557" i="5"/>
  <c r="AY556" i="5"/>
  <c r="AY555" i="5"/>
  <c r="AY554" i="5"/>
  <c r="AY553" i="5"/>
  <c r="AY552" i="5"/>
  <c r="AY551" i="5"/>
  <c r="AY550" i="5"/>
  <c r="AY549" i="5"/>
  <c r="AY548" i="5"/>
  <c r="AY547" i="5"/>
  <c r="AY546" i="5"/>
  <c r="AY545" i="5"/>
  <c r="AY544" i="5"/>
  <c r="AY543" i="5"/>
  <c r="AY542" i="5"/>
  <c r="AY541" i="5"/>
  <c r="AY540" i="5"/>
  <c r="AY539" i="5"/>
  <c r="AY538" i="5"/>
  <c r="AY537" i="5"/>
  <c r="AY536" i="5"/>
  <c r="AY535" i="5"/>
  <c r="AY534" i="5"/>
  <c r="AY533" i="5"/>
  <c r="AY532" i="5"/>
  <c r="AY531" i="5"/>
  <c r="AY530" i="5"/>
  <c r="AY529" i="5"/>
  <c r="AY528" i="5"/>
  <c r="AY527" i="5"/>
  <c r="AY526" i="5"/>
  <c r="AY525" i="5"/>
  <c r="AY524" i="5"/>
  <c r="AY523" i="5"/>
  <c r="AY522" i="5"/>
  <c r="AY521" i="5"/>
  <c r="AY520" i="5"/>
  <c r="AY519" i="5"/>
  <c r="AY518" i="5"/>
  <c r="AY517" i="5"/>
  <c r="AY516" i="5"/>
  <c r="AY515" i="5"/>
  <c r="AY514" i="5"/>
  <c r="AY513" i="5"/>
  <c r="AY512" i="5"/>
  <c r="AY511" i="5"/>
  <c r="AY510" i="5"/>
  <c r="AY509" i="5"/>
  <c r="AY508" i="5"/>
  <c r="AY507" i="5"/>
  <c r="AY506" i="5"/>
  <c r="AY505" i="5"/>
  <c r="AY504" i="5"/>
  <c r="AY503" i="5"/>
  <c r="AY502" i="5"/>
  <c r="AY501" i="5"/>
  <c r="AY500" i="5"/>
  <c r="AY499" i="5"/>
  <c r="AY498" i="5"/>
  <c r="AY497" i="5"/>
  <c r="AY496" i="5"/>
  <c r="AY495" i="5"/>
  <c r="AY494" i="5"/>
  <c r="AY493" i="5"/>
  <c r="AY492" i="5"/>
  <c r="AY491" i="5"/>
  <c r="AY490" i="5"/>
  <c r="AY489" i="5"/>
  <c r="AY488" i="5"/>
  <c r="AY487" i="5"/>
  <c r="AY486" i="5"/>
  <c r="AY485" i="5"/>
  <c r="AY484" i="5"/>
  <c r="AY483" i="5"/>
  <c r="AY482" i="5"/>
  <c r="AY481" i="5"/>
  <c r="AY480" i="5"/>
  <c r="AY479" i="5"/>
  <c r="AY478" i="5"/>
  <c r="AY477" i="5"/>
  <c r="AY476" i="5"/>
  <c r="AY475" i="5"/>
  <c r="AY474" i="5"/>
  <c r="AY473" i="5"/>
  <c r="AY472" i="5"/>
  <c r="AY471" i="5"/>
  <c r="AY470" i="5"/>
  <c r="AY469" i="5"/>
  <c r="AY468" i="5"/>
  <c r="AY467" i="5"/>
  <c r="AY466" i="5"/>
  <c r="AY465" i="5"/>
  <c r="AY464" i="5"/>
  <c r="AY463" i="5"/>
  <c r="AY462" i="5"/>
  <c r="AY461" i="5"/>
  <c r="AY460" i="5"/>
  <c r="AY459" i="5"/>
  <c r="AY458" i="5"/>
  <c r="AY457" i="5"/>
  <c r="AY456" i="5"/>
  <c r="AY455" i="5"/>
  <c r="AY454" i="5"/>
  <c r="AY453" i="5"/>
  <c r="AY452" i="5"/>
  <c r="AY451" i="5"/>
  <c r="AY450" i="5"/>
  <c r="AY449" i="5"/>
  <c r="AY448" i="5"/>
  <c r="AY447" i="5"/>
  <c r="AY446" i="5"/>
  <c r="AY445" i="5"/>
  <c r="AY444" i="5"/>
  <c r="AY443" i="5"/>
  <c r="AY442" i="5"/>
  <c r="AY441" i="5"/>
  <c r="AY440" i="5"/>
  <c r="AY439" i="5"/>
  <c r="AY438" i="5"/>
  <c r="AY437" i="5"/>
  <c r="AY436" i="5"/>
  <c r="AY435" i="5"/>
  <c r="AY434" i="5"/>
  <c r="AY433" i="5"/>
  <c r="AY432" i="5"/>
  <c r="AY431" i="5"/>
  <c r="AY430" i="5"/>
  <c r="AY429" i="5"/>
  <c r="AY428" i="5"/>
  <c r="AY427" i="5"/>
  <c r="AY426" i="5"/>
  <c r="AY425" i="5"/>
  <c r="AY424" i="5"/>
  <c r="AY423" i="5"/>
  <c r="AY422" i="5"/>
  <c r="AY421" i="5"/>
  <c r="AY420" i="5"/>
  <c r="AY419" i="5"/>
  <c r="AY418" i="5"/>
  <c r="AY417" i="5"/>
  <c r="AY416" i="5"/>
  <c r="AY415" i="5"/>
  <c r="AY414" i="5"/>
  <c r="AY413" i="5"/>
  <c r="AY412" i="5"/>
  <c r="AY411" i="5"/>
  <c r="AY410" i="5"/>
  <c r="AY409" i="5"/>
  <c r="AY408" i="5"/>
  <c r="AY407" i="5"/>
  <c r="AY406" i="5"/>
  <c r="AY405" i="5"/>
  <c r="AY404" i="5"/>
  <c r="AY403" i="5"/>
  <c r="AY402" i="5"/>
  <c r="AY401" i="5"/>
  <c r="AY400" i="5"/>
  <c r="AY399" i="5"/>
  <c r="AY398" i="5"/>
  <c r="AY397" i="5"/>
  <c r="AY396" i="5"/>
  <c r="AY395" i="5"/>
  <c r="AY394" i="5"/>
  <c r="AY393" i="5"/>
  <c r="AY392" i="5"/>
  <c r="AY391" i="5"/>
  <c r="AY390" i="5"/>
  <c r="AY389" i="5"/>
  <c r="AY388" i="5"/>
  <c r="AY387" i="5"/>
  <c r="AY386" i="5"/>
  <c r="AY385" i="5"/>
  <c r="AY384" i="5"/>
  <c r="AY383" i="5"/>
  <c r="AY382" i="5"/>
  <c r="AY381" i="5"/>
  <c r="AY380" i="5"/>
  <c r="AY379" i="5"/>
  <c r="AY378" i="5"/>
  <c r="AY377" i="5"/>
  <c r="AY376" i="5"/>
  <c r="AY375" i="5"/>
  <c r="AY374" i="5"/>
  <c r="AY373" i="5"/>
  <c r="AY372" i="5"/>
  <c r="AY371" i="5"/>
  <c r="AY370" i="5"/>
  <c r="AY369" i="5"/>
  <c r="AY368" i="5"/>
  <c r="AY367" i="5"/>
  <c r="AY366" i="5"/>
  <c r="AY365" i="5"/>
  <c r="AY364" i="5"/>
  <c r="AY363" i="5"/>
  <c r="AY362" i="5"/>
  <c r="AY361" i="5"/>
  <c r="AY360" i="5"/>
  <c r="AY359" i="5"/>
  <c r="AY358" i="5"/>
  <c r="AY357" i="5"/>
  <c r="AY356" i="5"/>
  <c r="AY355" i="5"/>
  <c r="AY354" i="5"/>
  <c r="AY353" i="5"/>
  <c r="AY352" i="5"/>
  <c r="AY351" i="5"/>
  <c r="AY350" i="5"/>
  <c r="AY349" i="5"/>
  <c r="AY348" i="5"/>
  <c r="AY347" i="5"/>
  <c r="AY346" i="5"/>
  <c r="AY345" i="5"/>
  <c r="AY344" i="5"/>
  <c r="AY343" i="5"/>
  <c r="AY342" i="5"/>
  <c r="AY341" i="5"/>
  <c r="AY340" i="5"/>
  <c r="AY339" i="5"/>
  <c r="AY338" i="5"/>
  <c r="AY337" i="5"/>
  <c r="AY336" i="5"/>
  <c r="AY335" i="5"/>
  <c r="AY334" i="5"/>
  <c r="AY333" i="5"/>
  <c r="AY332" i="5"/>
  <c r="AY331" i="5"/>
  <c r="AY330" i="5"/>
  <c r="AY329" i="5"/>
  <c r="AY328" i="5"/>
  <c r="AY327" i="5"/>
  <c r="AY326" i="5"/>
  <c r="AY325" i="5"/>
  <c r="AY324" i="5"/>
  <c r="AY323" i="5"/>
  <c r="AY322" i="5"/>
  <c r="AY321" i="5"/>
  <c r="AY320" i="5"/>
  <c r="AY319" i="5"/>
  <c r="AY318" i="5"/>
  <c r="AY317" i="5"/>
  <c r="AY316" i="5"/>
  <c r="AY315" i="5"/>
  <c r="AY314" i="5"/>
  <c r="AY313" i="5"/>
  <c r="AY312" i="5"/>
  <c r="AY311" i="5"/>
  <c r="AY310" i="5"/>
  <c r="AY309" i="5"/>
  <c r="AY308" i="5"/>
  <c r="AY307" i="5"/>
  <c r="AY306" i="5"/>
  <c r="AY305" i="5"/>
  <c r="AY304" i="5"/>
  <c r="AY303" i="5"/>
  <c r="AY302" i="5"/>
  <c r="AY301" i="5"/>
  <c r="AY300" i="5"/>
  <c r="AY299" i="5"/>
  <c r="AY298" i="5"/>
  <c r="AY297" i="5"/>
  <c r="AY296" i="5"/>
  <c r="AY295" i="5"/>
  <c r="AY294" i="5"/>
  <c r="AY293" i="5"/>
  <c r="AY292" i="5"/>
  <c r="AY291" i="5"/>
  <c r="AY290" i="5"/>
  <c r="AY289" i="5"/>
  <c r="AY288" i="5"/>
  <c r="AY287" i="5"/>
  <c r="AY286" i="5"/>
  <c r="AY285" i="5"/>
  <c r="AY284" i="5"/>
  <c r="AY283" i="5"/>
  <c r="AY282" i="5"/>
  <c r="AY281" i="5"/>
  <c r="AY280" i="5"/>
  <c r="AY279" i="5"/>
  <c r="AY278" i="5"/>
  <c r="AY277" i="5"/>
  <c r="AY276" i="5"/>
  <c r="AY275" i="5"/>
  <c r="AY274" i="5"/>
  <c r="AY273" i="5"/>
  <c r="AY272" i="5"/>
  <c r="AY271" i="5"/>
  <c r="AY270" i="5"/>
  <c r="AY269" i="5"/>
  <c r="AY268" i="5"/>
  <c r="AY267" i="5"/>
  <c r="AY266" i="5"/>
  <c r="AY265" i="5"/>
  <c r="AY264" i="5"/>
  <c r="AY263" i="5"/>
  <c r="AY262" i="5"/>
  <c r="AY261" i="5"/>
  <c r="AY260" i="5"/>
  <c r="AY259" i="5"/>
  <c r="AY258" i="5"/>
  <c r="AY257" i="5"/>
  <c r="AY256" i="5"/>
  <c r="AY255" i="5"/>
  <c r="AY254" i="5"/>
  <c r="AY253" i="5"/>
  <c r="AY252" i="5"/>
  <c r="AY251" i="5"/>
  <c r="AY250" i="5"/>
  <c r="AY249" i="5"/>
  <c r="AY248" i="5"/>
  <c r="AY247" i="5"/>
  <c r="AY246" i="5"/>
  <c r="AY245" i="5"/>
  <c r="AY244" i="5"/>
  <c r="AY243" i="5"/>
  <c r="AY242" i="5"/>
  <c r="AY241" i="5"/>
  <c r="AY240" i="5"/>
  <c r="AY239" i="5"/>
  <c r="AY238" i="5"/>
  <c r="AY237" i="5"/>
  <c r="AY236" i="5"/>
  <c r="AY235" i="5"/>
  <c r="AY234" i="5"/>
  <c r="AY233" i="5"/>
  <c r="AY232" i="5"/>
  <c r="AY231" i="5"/>
  <c r="AY230" i="5"/>
  <c r="AY229" i="5"/>
  <c r="AY228" i="5"/>
  <c r="AY227" i="5"/>
  <c r="AY226" i="5"/>
  <c r="AY225" i="5"/>
  <c r="AY224" i="5"/>
  <c r="AY223" i="5"/>
  <c r="AY222" i="5"/>
  <c r="AY221" i="5"/>
  <c r="AY220" i="5"/>
  <c r="AY219" i="5"/>
  <c r="AY218" i="5"/>
  <c r="AY217" i="5"/>
  <c r="AY216" i="5"/>
  <c r="AY215" i="5"/>
  <c r="AY214" i="5"/>
  <c r="AY213" i="5"/>
  <c r="AY212" i="5"/>
  <c r="AY211" i="5"/>
  <c r="AY210" i="5"/>
  <c r="AY209" i="5"/>
  <c r="AY208" i="5"/>
  <c r="AY207" i="5"/>
  <c r="AY206" i="5"/>
  <c r="AY205" i="5"/>
  <c r="AY204" i="5"/>
  <c r="AY203" i="5"/>
  <c r="AY202" i="5"/>
  <c r="AY201" i="5"/>
  <c r="AY200" i="5"/>
  <c r="AY199" i="5"/>
  <c r="AY198" i="5"/>
  <c r="AY197" i="5"/>
  <c r="AY196" i="5"/>
  <c r="AY195" i="5"/>
  <c r="AY194" i="5"/>
  <c r="AY193" i="5"/>
  <c r="AY192" i="5"/>
  <c r="AY191" i="5"/>
  <c r="AY190" i="5"/>
  <c r="AY189" i="5"/>
  <c r="AY188" i="5"/>
  <c r="AY187" i="5"/>
  <c r="AY186" i="5"/>
  <c r="AY185" i="5"/>
  <c r="AY184" i="5"/>
  <c r="AY183" i="5"/>
  <c r="AY182" i="5"/>
  <c r="AY181" i="5"/>
  <c r="AY180" i="5"/>
  <c r="AY179" i="5"/>
  <c r="AY178" i="5"/>
  <c r="AY177" i="5"/>
  <c r="AY176" i="5"/>
  <c r="AY175" i="5"/>
  <c r="AY174" i="5"/>
  <c r="AY173" i="5"/>
  <c r="AY172" i="5"/>
  <c r="AY171" i="5"/>
  <c r="AY170" i="5"/>
  <c r="AY169" i="5"/>
  <c r="AY168" i="5"/>
  <c r="AY167" i="5"/>
  <c r="AY166" i="5"/>
  <c r="AY165" i="5"/>
  <c r="AY164" i="5"/>
  <c r="AY163" i="5"/>
  <c r="AY162" i="5"/>
  <c r="AY161" i="5"/>
  <c r="AY160" i="5"/>
  <c r="AY159" i="5"/>
  <c r="AY158" i="5"/>
  <c r="AY157" i="5"/>
  <c r="AY156" i="5"/>
  <c r="AY155" i="5"/>
  <c r="AY154" i="5"/>
  <c r="AY153" i="5"/>
  <c r="AY152" i="5"/>
  <c r="AY151" i="5"/>
  <c r="AY150" i="5"/>
  <c r="AY149" i="5"/>
  <c r="AY148" i="5"/>
  <c r="AY147" i="5"/>
  <c r="AY146" i="5"/>
  <c r="AY145" i="5"/>
  <c r="AY144" i="5"/>
  <c r="AY143" i="5"/>
  <c r="AY142" i="5"/>
  <c r="AY141" i="5"/>
  <c r="AY140" i="5"/>
  <c r="AY139" i="5"/>
  <c r="AY138" i="5"/>
  <c r="AY137" i="5"/>
  <c r="AY136" i="5"/>
  <c r="AY135" i="5"/>
  <c r="AY134" i="5"/>
  <c r="AY133" i="5"/>
  <c r="AY132" i="5"/>
  <c r="AY131" i="5"/>
  <c r="AY130" i="5"/>
  <c r="AY129" i="5"/>
  <c r="AY128" i="5"/>
  <c r="AY127" i="5"/>
  <c r="AY126" i="5"/>
  <c r="AY125" i="5"/>
  <c r="AY124" i="5"/>
  <c r="AY123" i="5"/>
  <c r="AY122" i="5"/>
  <c r="AY121" i="5"/>
  <c r="AY120" i="5"/>
  <c r="AY119" i="5"/>
  <c r="AY118" i="5"/>
  <c r="AY117" i="5"/>
  <c r="AY116" i="5"/>
  <c r="AY115" i="5"/>
  <c r="AY114" i="5"/>
  <c r="AY113" i="5"/>
  <c r="AY112" i="5"/>
  <c r="AY111" i="5"/>
  <c r="AY110" i="5"/>
  <c r="AY109" i="5"/>
  <c r="AY108" i="5"/>
  <c r="AY107" i="5"/>
  <c r="AY106" i="5"/>
  <c r="AY105" i="5"/>
  <c r="AY104" i="5"/>
  <c r="AY103" i="5"/>
  <c r="AY102" i="5"/>
  <c r="AY101" i="5"/>
  <c r="AY100" i="5"/>
  <c r="AY99" i="5"/>
  <c r="AY98" i="5"/>
  <c r="AY97" i="5"/>
  <c r="AY96" i="5"/>
  <c r="AY95" i="5"/>
  <c r="AY94" i="5"/>
  <c r="AY93" i="5"/>
  <c r="AY92" i="5"/>
  <c r="AY91" i="5"/>
  <c r="AY90" i="5"/>
  <c r="AY89" i="5"/>
  <c r="AY88" i="5"/>
  <c r="AY87" i="5"/>
  <c r="AY86" i="5"/>
  <c r="AY85" i="5"/>
  <c r="AY84" i="5"/>
  <c r="AY83" i="5"/>
  <c r="AY82" i="5"/>
  <c r="AY81" i="5"/>
  <c r="AY80" i="5"/>
  <c r="AY79" i="5"/>
  <c r="AY78" i="5"/>
  <c r="AY77" i="5"/>
  <c r="AY76" i="5"/>
  <c r="AY75" i="5"/>
  <c r="AY74" i="5"/>
  <c r="AY73" i="5"/>
  <c r="AY72" i="5"/>
  <c r="AY71" i="5"/>
  <c r="AY70" i="5"/>
  <c r="AY69" i="5"/>
  <c r="AY68" i="5"/>
  <c r="AY67" i="5"/>
  <c r="AY66" i="5"/>
  <c r="AY65" i="5"/>
  <c r="AY64" i="5"/>
  <c r="AY63" i="5"/>
  <c r="AY62" i="5"/>
  <c r="AY61" i="5"/>
  <c r="AY60" i="5"/>
  <c r="AY59" i="5"/>
  <c r="AY58" i="5"/>
  <c r="AY57" i="5"/>
  <c r="AY56" i="5"/>
  <c r="AY55" i="5"/>
  <c r="AY54" i="5"/>
  <c r="AY53" i="5"/>
  <c r="AY52" i="5"/>
  <c r="AY51" i="5"/>
  <c r="AY50" i="5"/>
  <c r="AY49" i="5"/>
  <c r="AY48" i="5"/>
  <c r="AY47" i="5"/>
  <c r="AY46" i="5"/>
  <c r="AY45" i="5"/>
  <c r="AY44" i="5"/>
  <c r="AY43" i="5"/>
  <c r="AY42" i="5"/>
  <c r="AY41" i="5"/>
  <c r="AY40" i="5"/>
  <c r="AY39" i="5"/>
  <c r="AY38" i="5"/>
  <c r="AY37" i="5"/>
  <c r="AY36" i="5"/>
  <c r="AY35" i="5"/>
  <c r="AY34" i="5"/>
  <c r="AY33" i="5"/>
  <c r="AY32" i="5"/>
  <c r="AY31" i="5"/>
  <c r="AY30" i="5"/>
  <c r="AY29" i="5"/>
  <c r="AY28" i="5"/>
  <c r="AY27" i="5"/>
  <c r="AY26" i="5"/>
  <c r="AY25" i="5"/>
  <c r="AY24" i="5"/>
  <c r="AY23" i="5"/>
  <c r="AY22" i="5"/>
  <c r="AY21" i="5"/>
  <c r="AY20" i="5"/>
  <c r="AY19" i="5"/>
  <c r="AY18" i="5"/>
  <c r="AY17" i="5"/>
  <c r="AY16" i="5"/>
  <c r="AY15" i="5"/>
  <c r="AY14" i="5"/>
  <c r="AY13" i="5"/>
  <c r="AY12" i="5"/>
  <c r="AY11" i="5"/>
  <c r="AY10" i="5"/>
  <c r="AY9" i="5"/>
  <c r="AY8" i="5"/>
  <c r="AY7" i="5"/>
  <c r="AY6" i="5"/>
  <c r="AY5" i="5"/>
  <c r="AY4" i="5"/>
  <c r="AY3" i="5"/>
  <c r="AQ568" i="5"/>
  <c r="AQ567" i="5"/>
  <c r="AQ566" i="5"/>
  <c r="AQ565" i="5"/>
  <c r="AQ564" i="5"/>
  <c r="AQ563" i="5"/>
  <c r="AQ562" i="5"/>
  <c r="AQ561" i="5"/>
  <c r="AQ560" i="5"/>
  <c r="AQ559" i="5"/>
  <c r="AQ558" i="5"/>
  <c r="AQ557" i="5"/>
  <c r="AQ556" i="5"/>
  <c r="AQ555" i="5"/>
  <c r="AQ554" i="5"/>
  <c r="AQ553" i="5"/>
  <c r="AQ552" i="5"/>
  <c r="AQ551" i="5"/>
  <c r="AQ550" i="5"/>
  <c r="AQ549" i="5"/>
  <c r="AQ548" i="5"/>
  <c r="AQ547" i="5"/>
  <c r="AQ546" i="5"/>
  <c r="AQ545" i="5"/>
  <c r="AQ544" i="5"/>
  <c r="AQ543" i="5"/>
  <c r="AQ542" i="5"/>
  <c r="AQ541" i="5"/>
  <c r="AQ540" i="5"/>
  <c r="AQ539" i="5"/>
  <c r="AQ538" i="5"/>
  <c r="AQ537" i="5"/>
  <c r="AQ536" i="5"/>
  <c r="AQ535" i="5"/>
  <c r="AQ534" i="5"/>
  <c r="AQ533" i="5"/>
  <c r="AQ532" i="5"/>
  <c r="AQ531" i="5"/>
  <c r="AQ530" i="5"/>
  <c r="AQ529" i="5"/>
  <c r="AQ528" i="5"/>
  <c r="AQ527" i="5"/>
  <c r="AQ526" i="5"/>
  <c r="AQ525" i="5"/>
  <c r="AQ524" i="5"/>
  <c r="AQ523" i="5"/>
  <c r="AQ522" i="5"/>
  <c r="AQ521" i="5"/>
  <c r="AQ520" i="5"/>
  <c r="AQ519" i="5"/>
  <c r="AQ518" i="5"/>
  <c r="AQ517" i="5"/>
  <c r="AQ516" i="5"/>
  <c r="AQ515" i="5"/>
  <c r="AQ514" i="5"/>
  <c r="AQ513" i="5"/>
  <c r="AQ512" i="5"/>
  <c r="AQ511" i="5"/>
  <c r="AQ510" i="5"/>
  <c r="AQ509" i="5"/>
  <c r="AQ508" i="5"/>
  <c r="AQ507" i="5"/>
  <c r="AQ506" i="5"/>
  <c r="AQ505" i="5"/>
  <c r="AQ504" i="5"/>
  <c r="AQ503" i="5"/>
  <c r="AQ502" i="5"/>
  <c r="AQ501" i="5"/>
  <c r="AQ500" i="5"/>
  <c r="AQ499" i="5"/>
  <c r="AQ498" i="5"/>
  <c r="AQ497" i="5"/>
  <c r="AQ496" i="5"/>
  <c r="AQ495" i="5"/>
  <c r="AQ494" i="5"/>
  <c r="AQ493" i="5"/>
  <c r="AQ492" i="5"/>
  <c r="AQ491" i="5"/>
  <c r="AQ490" i="5"/>
  <c r="AQ489" i="5"/>
  <c r="AQ488" i="5"/>
  <c r="AQ487" i="5"/>
  <c r="AQ486" i="5"/>
  <c r="AQ485" i="5"/>
  <c r="AQ484" i="5"/>
  <c r="AQ483" i="5"/>
  <c r="AQ482" i="5"/>
  <c r="AQ481" i="5"/>
  <c r="AQ480" i="5"/>
  <c r="AQ479" i="5"/>
  <c r="AQ478" i="5"/>
  <c r="AQ477" i="5"/>
  <c r="AQ476" i="5"/>
  <c r="AQ475" i="5"/>
  <c r="AQ474" i="5"/>
  <c r="AQ473" i="5"/>
  <c r="AQ472" i="5"/>
  <c r="AQ471" i="5"/>
  <c r="AQ470" i="5"/>
  <c r="AQ469" i="5"/>
  <c r="AQ468" i="5"/>
  <c r="AQ467" i="5"/>
  <c r="AQ466" i="5"/>
  <c r="AQ465" i="5"/>
  <c r="AQ464" i="5"/>
  <c r="AQ463" i="5"/>
  <c r="AQ462" i="5"/>
  <c r="AQ461" i="5"/>
  <c r="AQ460" i="5"/>
  <c r="AQ459" i="5"/>
  <c r="AQ458" i="5"/>
  <c r="AQ457" i="5"/>
  <c r="AQ456" i="5"/>
  <c r="AQ455" i="5"/>
  <c r="AQ454" i="5"/>
  <c r="AQ453" i="5"/>
  <c r="AQ452" i="5"/>
  <c r="AQ451" i="5"/>
  <c r="AQ450" i="5"/>
  <c r="AQ449" i="5"/>
  <c r="AQ448" i="5"/>
  <c r="AQ447" i="5"/>
  <c r="AQ446" i="5"/>
  <c r="AQ445" i="5"/>
  <c r="AQ444" i="5"/>
  <c r="AQ443" i="5"/>
  <c r="AQ442" i="5"/>
  <c r="AQ441" i="5"/>
  <c r="AQ440" i="5"/>
  <c r="AQ439" i="5"/>
  <c r="AQ438" i="5"/>
  <c r="AQ437" i="5"/>
  <c r="AQ436" i="5"/>
  <c r="AQ435" i="5"/>
  <c r="AQ434" i="5"/>
  <c r="AQ433" i="5"/>
  <c r="AQ432" i="5"/>
  <c r="AQ431" i="5"/>
  <c r="AQ430" i="5"/>
  <c r="AQ429" i="5"/>
  <c r="AQ428" i="5"/>
  <c r="AQ427" i="5"/>
  <c r="AQ426" i="5"/>
  <c r="AQ425" i="5"/>
  <c r="AQ424" i="5"/>
  <c r="AQ423" i="5"/>
  <c r="AQ422" i="5"/>
  <c r="AQ421" i="5"/>
  <c r="AQ420" i="5"/>
  <c r="AQ419" i="5"/>
  <c r="AQ418" i="5"/>
  <c r="AQ417" i="5"/>
  <c r="AQ416" i="5"/>
  <c r="AQ415" i="5"/>
  <c r="AQ414" i="5"/>
  <c r="AQ413" i="5"/>
  <c r="AQ412" i="5"/>
  <c r="AQ411" i="5"/>
  <c r="AQ410" i="5"/>
  <c r="AQ409" i="5"/>
  <c r="AQ408" i="5"/>
  <c r="AQ407" i="5"/>
  <c r="AQ406" i="5"/>
  <c r="AQ405" i="5"/>
  <c r="AQ404" i="5"/>
  <c r="AQ403" i="5"/>
  <c r="AQ402" i="5"/>
  <c r="AQ401" i="5"/>
  <c r="AQ400" i="5"/>
  <c r="AQ399" i="5"/>
  <c r="AQ398" i="5"/>
  <c r="AQ397" i="5"/>
  <c r="AQ396" i="5"/>
  <c r="AQ395" i="5"/>
  <c r="AQ394" i="5"/>
  <c r="AQ393" i="5"/>
  <c r="AQ392" i="5"/>
  <c r="AQ391" i="5"/>
  <c r="AQ390" i="5"/>
  <c r="AQ389" i="5"/>
  <c r="AQ388" i="5"/>
  <c r="AQ387" i="5"/>
  <c r="AQ386" i="5"/>
  <c r="AQ385" i="5"/>
  <c r="AQ384" i="5"/>
  <c r="AQ383" i="5"/>
  <c r="AQ382" i="5"/>
  <c r="AQ381" i="5"/>
  <c r="AQ380" i="5"/>
  <c r="AQ379" i="5"/>
  <c r="AQ378" i="5"/>
  <c r="AQ377" i="5"/>
  <c r="AQ376" i="5"/>
  <c r="AQ375" i="5"/>
  <c r="AQ374" i="5"/>
  <c r="AQ373" i="5"/>
  <c r="AQ372" i="5"/>
  <c r="AQ371" i="5"/>
  <c r="AQ370" i="5"/>
  <c r="AQ369" i="5"/>
  <c r="AQ368" i="5"/>
  <c r="AQ367" i="5"/>
  <c r="AQ366" i="5"/>
  <c r="AQ365" i="5"/>
  <c r="AQ364" i="5"/>
  <c r="AQ363" i="5"/>
  <c r="AQ362" i="5"/>
  <c r="AQ361" i="5"/>
  <c r="AQ360" i="5"/>
  <c r="AQ359" i="5"/>
  <c r="AQ358" i="5"/>
  <c r="AQ357" i="5"/>
  <c r="AQ356" i="5"/>
  <c r="AQ355" i="5"/>
  <c r="AQ354" i="5"/>
  <c r="AQ353" i="5"/>
  <c r="AQ352" i="5"/>
  <c r="AQ351" i="5"/>
  <c r="AQ350" i="5"/>
  <c r="AQ349" i="5"/>
  <c r="AQ348" i="5"/>
  <c r="AQ347" i="5"/>
  <c r="AQ346" i="5"/>
  <c r="AQ345" i="5"/>
  <c r="AQ344" i="5"/>
  <c r="AQ343" i="5"/>
  <c r="AQ342" i="5"/>
  <c r="AQ341" i="5"/>
  <c r="AQ340" i="5"/>
  <c r="AQ339" i="5"/>
  <c r="AQ338" i="5"/>
  <c r="AQ337" i="5"/>
  <c r="AQ336" i="5"/>
  <c r="AQ335" i="5"/>
  <c r="AQ334" i="5"/>
  <c r="AQ333" i="5"/>
  <c r="AQ332" i="5"/>
  <c r="AQ331" i="5"/>
  <c r="AQ330" i="5"/>
  <c r="AQ329" i="5"/>
  <c r="AQ328" i="5"/>
  <c r="AQ327" i="5"/>
  <c r="AQ326" i="5"/>
  <c r="AQ325" i="5"/>
  <c r="AQ324" i="5"/>
  <c r="AQ323" i="5"/>
  <c r="AQ322" i="5"/>
  <c r="AQ321" i="5"/>
  <c r="AQ320" i="5"/>
  <c r="AQ319" i="5"/>
  <c r="AQ318" i="5"/>
  <c r="AQ317" i="5"/>
  <c r="AQ316" i="5"/>
  <c r="AQ315" i="5"/>
  <c r="AQ314" i="5"/>
  <c r="AQ313" i="5"/>
  <c r="AQ312" i="5"/>
  <c r="AQ311" i="5"/>
  <c r="AQ310" i="5"/>
  <c r="AQ309" i="5"/>
  <c r="AQ308" i="5"/>
  <c r="AQ307" i="5"/>
  <c r="AQ306" i="5"/>
  <c r="AQ305" i="5"/>
  <c r="AQ304" i="5"/>
  <c r="AQ303" i="5"/>
  <c r="AQ302" i="5"/>
  <c r="AQ301" i="5"/>
  <c r="AQ300" i="5"/>
  <c r="AQ299" i="5"/>
  <c r="AQ298" i="5"/>
  <c r="AQ297" i="5"/>
  <c r="AQ296" i="5"/>
  <c r="AQ295" i="5"/>
  <c r="AQ294" i="5"/>
  <c r="AQ293" i="5"/>
  <c r="AQ292" i="5"/>
  <c r="AQ291" i="5"/>
  <c r="AQ290" i="5"/>
  <c r="AQ289" i="5"/>
  <c r="AQ288" i="5"/>
  <c r="AQ287" i="5"/>
  <c r="AQ286" i="5"/>
  <c r="AQ285" i="5"/>
  <c r="AQ284" i="5"/>
  <c r="AQ283" i="5"/>
  <c r="AQ282" i="5"/>
  <c r="AQ281" i="5"/>
  <c r="AQ280" i="5"/>
  <c r="AQ279" i="5"/>
  <c r="AQ278" i="5"/>
  <c r="AQ277" i="5"/>
  <c r="AQ276" i="5"/>
  <c r="AQ275" i="5"/>
  <c r="AQ274" i="5"/>
  <c r="AQ273" i="5"/>
  <c r="AQ272" i="5"/>
  <c r="AQ271" i="5"/>
  <c r="AQ270" i="5"/>
  <c r="AQ269" i="5"/>
  <c r="AQ268" i="5"/>
  <c r="AQ267" i="5"/>
  <c r="AQ266" i="5"/>
  <c r="AQ265" i="5"/>
  <c r="AQ264" i="5"/>
  <c r="AQ263" i="5"/>
  <c r="AQ262" i="5"/>
  <c r="AQ261" i="5"/>
  <c r="AQ260" i="5"/>
  <c r="AQ259" i="5"/>
  <c r="AQ258" i="5"/>
  <c r="AQ257" i="5"/>
  <c r="AQ256" i="5"/>
  <c r="AQ255" i="5"/>
  <c r="AQ254" i="5"/>
  <c r="AQ253" i="5"/>
  <c r="AQ252" i="5"/>
  <c r="AQ251" i="5"/>
  <c r="AQ250" i="5"/>
  <c r="AQ249" i="5"/>
  <c r="AQ248" i="5"/>
  <c r="AQ247" i="5"/>
  <c r="AQ246" i="5"/>
  <c r="AQ245" i="5"/>
  <c r="AQ244" i="5"/>
  <c r="AQ243" i="5"/>
  <c r="AQ242" i="5"/>
  <c r="AQ241" i="5"/>
  <c r="AQ240" i="5"/>
  <c r="AQ239" i="5"/>
  <c r="AQ238" i="5"/>
  <c r="AQ237" i="5"/>
  <c r="AQ236" i="5"/>
  <c r="AQ235" i="5"/>
  <c r="AQ234" i="5"/>
  <c r="AQ233" i="5"/>
  <c r="AQ232" i="5"/>
  <c r="AQ231" i="5"/>
  <c r="AQ230" i="5"/>
  <c r="AQ229" i="5"/>
  <c r="AQ228" i="5"/>
  <c r="AQ227" i="5"/>
  <c r="AQ226" i="5"/>
  <c r="AQ225" i="5"/>
  <c r="AQ224" i="5"/>
  <c r="AQ223" i="5"/>
  <c r="AQ222" i="5"/>
  <c r="AQ221" i="5"/>
  <c r="AQ220" i="5"/>
  <c r="AQ219" i="5"/>
  <c r="AQ218" i="5"/>
  <c r="AQ217" i="5"/>
  <c r="AQ216" i="5"/>
  <c r="AQ215" i="5"/>
  <c r="AQ214" i="5"/>
  <c r="AQ213" i="5"/>
  <c r="AQ212" i="5"/>
  <c r="AQ211" i="5"/>
  <c r="AQ210" i="5"/>
  <c r="AQ209" i="5"/>
  <c r="AQ208" i="5"/>
  <c r="AQ207" i="5"/>
  <c r="AQ206" i="5"/>
  <c r="AQ205" i="5"/>
  <c r="AQ204" i="5"/>
  <c r="AQ203" i="5"/>
  <c r="AQ202" i="5"/>
  <c r="AQ201" i="5"/>
  <c r="AQ200" i="5"/>
  <c r="AQ199" i="5"/>
  <c r="AQ198" i="5"/>
  <c r="AQ197" i="5"/>
  <c r="AQ196" i="5"/>
  <c r="AQ195" i="5"/>
  <c r="AQ194" i="5"/>
  <c r="AQ193" i="5"/>
  <c r="AQ192" i="5"/>
  <c r="AQ191" i="5"/>
  <c r="AQ190" i="5"/>
  <c r="AQ189" i="5"/>
  <c r="AQ188" i="5"/>
  <c r="AQ187" i="5"/>
  <c r="AQ186" i="5"/>
  <c r="AQ185" i="5"/>
  <c r="AQ184" i="5"/>
  <c r="AQ183" i="5"/>
  <c r="AQ182" i="5"/>
  <c r="AQ181" i="5"/>
  <c r="AQ180" i="5"/>
  <c r="AQ179" i="5"/>
  <c r="AQ178" i="5"/>
  <c r="AQ177" i="5"/>
  <c r="AQ176" i="5"/>
  <c r="AQ175" i="5"/>
  <c r="AQ174" i="5"/>
  <c r="AQ173" i="5"/>
  <c r="AQ172" i="5"/>
  <c r="AQ171" i="5"/>
  <c r="AQ170" i="5"/>
  <c r="AQ169" i="5"/>
  <c r="AQ168" i="5"/>
  <c r="AQ167" i="5"/>
  <c r="AQ166" i="5"/>
  <c r="AQ165" i="5"/>
  <c r="AQ164" i="5"/>
  <c r="AQ163" i="5"/>
  <c r="AQ162" i="5"/>
  <c r="AQ161" i="5"/>
  <c r="AQ160" i="5"/>
  <c r="AQ159" i="5"/>
  <c r="AQ158" i="5"/>
  <c r="AQ157" i="5"/>
  <c r="AQ156" i="5"/>
  <c r="AQ155" i="5"/>
  <c r="AQ154" i="5"/>
  <c r="AQ153" i="5"/>
  <c r="AQ152" i="5"/>
  <c r="AQ151" i="5"/>
  <c r="AQ150" i="5"/>
  <c r="AQ149" i="5"/>
  <c r="AQ148" i="5"/>
  <c r="AQ147" i="5"/>
  <c r="AQ146" i="5"/>
  <c r="AQ145" i="5"/>
  <c r="AQ144" i="5"/>
  <c r="AQ143" i="5"/>
  <c r="AQ142" i="5"/>
  <c r="AQ141" i="5"/>
  <c r="AQ140" i="5"/>
  <c r="AQ139" i="5"/>
  <c r="AQ138" i="5"/>
  <c r="AQ137" i="5"/>
  <c r="AQ136" i="5"/>
  <c r="AQ135" i="5"/>
  <c r="AQ134" i="5"/>
  <c r="AQ133" i="5"/>
  <c r="AQ132" i="5"/>
  <c r="AQ131" i="5"/>
  <c r="AQ130" i="5"/>
  <c r="AQ129" i="5"/>
  <c r="AQ128" i="5"/>
  <c r="AQ127" i="5"/>
  <c r="AQ126" i="5"/>
  <c r="AQ125" i="5"/>
  <c r="AQ124" i="5"/>
  <c r="AQ123" i="5"/>
  <c r="AQ122" i="5"/>
  <c r="AQ121" i="5"/>
  <c r="AQ120" i="5"/>
  <c r="AQ119" i="5"/>
  <c r="AQ118" i="5"/>
  <c r="AQ117" i="5"/>
  <c r="AQ116" i="5"/>
  <c r="AQ115" i="5"/>
  <c r="AQ114" i="5"/>
  <c r="AQ113" i="5"/>
  <c r="AQ112" i="5"/>
  <c r="AQ111" i="5"/>
  <c r="AQ110" i="5"/>
  <c r="AQ109" i="5"/>
  <c r="AQ108" i="5"/>
  <c r="AQ107" i="5"/>
  <c r="AQ106" i="5"/>
  <c r="AQ105" i="5"/>
  <c r="AQ104" i="5"/>
  <c r="AQ103" i="5"/>
  <c r="AQ102" i="5"/>
  <c r="AQ101" i="5"/>
  <c r="AQ100" i="5"/>
  <c r="AQ99" i="5"/>
  <c r="AQ98" i="5"/>
  <c r="AQ97" i="5"/>
  <c r="AQ96" i="5"/>
  <c r="AQ95" i="5"/>
  <c r="AQ94" i="5"/>
  <c r="AQ93" i="5"/>
  <c r="AQ92" i="5"/>
  <c r="AQ91" i="5"/>
  <c r="AQ90" i="5"/>
  <c r="AQ89" i="5"/>
  <c r="AQ88" i="5"/>
  <c r="AQ87" i="5"/>
  <c r="AQ86" i="5"/>
  <c r="AQ85" i="5"/>
  <c r="AQ84" i="5"/>
  <c r="AQ83" i="5"/>
  <c r="AQ82" i="5"/>
  <c r="AQ81" i="5"/>
  <c r="AQ80" i="5"/>
  <c r="AQ79" i="5"/>
  <c r="AQ78" i="5"/>
  <c r="AQ77" i="5"/>
  <c r="AQ76" i="5"/>
  <c r="AQ75" i="5"/>
  <c r="AQ74" i="5"/>
  <c r="AQ73" i="5"/>
  <c r="AQ72" i="5"/>
  <c r="AQ71" i="5"/>
  <c r="AQ70" i="5"/>
  <c r="AQ69" i="5"/>
  <c r="AQ68" i="5"/>
  <c r="AQ67" i="5"/>
  <c r="AQ66" i="5"/>
  <c r="AQ65" i="5"/>
  <c r="AQ64" i="5"/>
  <c r="AQ63" i="5"/>
  <c r="AQ62" i="5"/>
  <c r="AQ61" i="5"/>
  <c r="AQ60" i="5"/>
  <c r="AQ59" i="5"/>
  <c r="AQ58" i="5"/>
  <c r="AQ57" i="5"/>
  <c r="AQ56" i="5"/>
  <c r="AQ55" i="5"/>
  <c r="AQ54" i="5"/>
  <c r="AQ53" i="5"/>
  <c r="AQ52" i="5"/>
  <c r="AQ51" i="5"/>
  <c r="AQ50" i="5"/>
  <c r="AQ49" i="5"/>
  <c r="AQ48" i="5"/>
  <c r="AQ47" i="5"/>
  <c r="AQ46" i="5"/>
  <c r="AQ45" i="5"/>
  <c r="AQ44" i="5"/>
  <c r="AQ43" i="5"/>
  <c r="AQ42" i="5"/>
  <c r="AQ41" i="5"/>
  <c r="AQ40" i="5"/>
  <c r="AQ39" i="5"/>
  <c r="AQ38" i="5"/>
  <c r="AQ37" i="5"/>
  <c r="AQ36" i="5"/>
  <c r="AQ35" i="5"/>
  <c r="AQ34" i="5"/>
  <c r="AQ33" i="5"/>
  <c r="AQ32" i="5"/>
  <c r="AQ31" i="5"/>
  <c r="AQ30" i="5"/>
  <c r="AQ29" i="5"/>
  <c r="AQ28" i="5"/>
  <c r="AQ27" i="5"/>
  <c r="AQ26" i="5"/>
  <c r="AQ25" i="5"/>
  <c r="AQ24" i="5"/>
  <c r="AQ23" i="5"/>
  <c r="AQ22" i="5"/>
  <c r="AQ21" i="5"/>
  <c r="AQ20" i="5"/>
  <c r="AQ19" i="5"/>
  <c r="AQ18" i="5"/>
  <c r="AQ17" i="5"/>
  <c r="AQ16" i="5"/>
  <c r="AQ15" i="5"/>
  <c r="AQ14" i="5"/>
  <c r="AQ13" i="5"/>
  <c r="AQ12" i="5"/>
  <c r="AQ11" i="5"/>
  <c r="AQ10" i="5"/>
  <c r="AQ9" i="5"/>
  <c r="AQ8" i="5"/>
  <c r="AQ7" i="5"/>
  <c r="AQ6" i="5"/>
  <c r="AQ5" i="5"/>
  <c r="AQ4" i="5"/>
  <c r="AQ3" i="5"/>
  <c r="AI568" i="5"/>
  <c r="AI567" i="5"/>
  <c r="AI566" i="5"/>
  <c r="AI565" i="5"/>
  <c r="AI564" i="5"/>
  <c r="AI563" i="5"/>
  <c r="AI562" i="5"/>
  <c r="AI561" i="5"/>
  <c r="AI560" i="5"/>
  <c r="AI559" i="5"/>
  <c r="AI558" i="5"/>
  <c r="AI557" i="5"/>
  <c r="AI556" i="5"/>
  <c r="AI555" i="5"/>
  <c r="AI554" i="5"/>
  <c r="AI553" i="5"/>
  <c r="AI552" i="5"/>
  <c r="AI551" i="5"/>
  <c r="AI550" i="5"/>
  <c r="AI549" i="5"/>
  <c r="AI548" i="5"/>
  <c r="AI547" i="5"/>
  <c r="AI546" i="5"/>
  <c r="AI545" i="5"/>
  <c r="AI544" i="5"/>
  <c r="AI543" i="5"/>
  <c r="AI542" i="5"/>
  <c r="AI541" i="5"/>
  <c r="AI540" i="5"/>
  <c r="AI539" i="5"/>
  <c r="AI538" i="5"/>
  <c r="AI537" i="5"/>
  <c r="AI536" i="5"/>
  <c r="AI535" i="5"/>
  <c r="AI534" i="5"/>
  <c r="AI533" i="5"/>
  <c r="AI532" i="5"/>
  <c r="AI531" i="5"/>
  <c r="AI530" i="5"/>
  <c r="AI529" i="5"/>
  <c r="AI528" i="5"/>
  <c r="AI527" i="5"/>
  <c r="AI526" i="5"/>
  <c r="AI525" i="5"/>
  <c r="AI524" i="5"/>
  <c r="AI523" i="5"/>
  <c r="AI522" i="5"/>
  <c r="AI521" i="5"/>
  <c r="AI520" i="5"/>
  <c r="AI519" i="5"/>
  <c r="AI518" i="5"/>
  <c r="AI517" i="5"/>
  <c r="AI516" i="5"/>
  <c r="AI515" i="5"/>
  <c r="AI514" i="5"/>
  <c r="AI513" i="5"/>
  <c r="AI512" i="5"/>
  <c r="AI511" i="5"/>
  <c r="AI510" i="5"/>
  <c r="AI509" i="5"/>
  <c r="AI508" i="5"/>
  <c r="AI507" i="5"/>
  <c r="AI506" i="5"/>
  <c r="AI505" i="5"/>
  <c r="AI504" i="5"/>
  <c r="AI503" i="5"/>
  <c r="AI502" i="5"/>
  <c r="AI501" i="5"/>
  <c r="AI500" i="5"/>
  <c r="AI499" i="5"/>
  <c r="AI498" i="5"/>
  <c r="AI497" i="5"/>
  <c r="AI496" i="5"/>
  <c r="AI495" i="5"/>
  <c r="AI494" i="5"/>
  <c r="AI493" i="5"/>
  <c r="AI492" i="5"/>
  <c r="AI491" i="5"/>
  <c r="AI490" i="5"/>
  <c r="AI489" i="5"/>
  <c r="AI488" i="5"/>
  <c r="AI487" i="5"/>
  <c r="AI486" i="5"/>
  <c r="AI485" i="5"/>
  <c r="AI484" i="5"/>
  <c r="AI483" i="5"/>
  <c r="AI482" i="5"/>
  <c r="AI481" i="5"/>
  <c r="AI480" i="5"/>
  <c r="AI479" i="5"/>
  <c r="AI478" i="5"/>
  <c r="AI477" i="5"/>
  <c r="AI476" i="5"/>
  <c r="AI475" i="5"/>
  <c r="AI474" i="5"/>
  <c r="AI473" i="5"/>
  <c r="AI472" i="5"/>
  <c r="AI471" i="5"/>
  <c r="AI470" i="5"/>
  <c r="AI469" i="5"/>
  <c r="AI468" i="5"/>
  <c r="AI467" i="5"/>
  <c r="AI466" i="5"/>
  <c r="AI465" i="5"/>
  <c r="AI464" i="5"/>
  <c r="AI463" i="5"/>
  <c r="AI462" i="5"/>
  <c r="AI461" i="5"/>
  <c r="AI460" i="5"/>
  <c r="AI459" i="5"/>
  <c r="AI458" i="5"/>
  <c r="AI457" i="5"/>
  <c r="AI456" i="5"/>
  <c r="AI455" i="5"/>
  <c r="AI454" i="5"/>
  <c r="AI453" i="5"/>
  <c r="AI452" i="5"/>
  <c r="AI451" i="5"/>
  <c r="AI450" i="5"/>
  <c r="AI449" i="5"/>
  <c r="AI448" i="5"/>
  <c r="AI447" i="5"/>
  <c r="AI446" i="5"/>
  <c r="AI445" i="5"/>
  <c r="AI444" i="5"/>
  <c r="AI443" i="5"/>
  <c r="AI442" i="5"/>
  <c r="AI441" i="5"/>
  <c r="AI440" i="5"/>
  <c r="AI439" i="5"/>
  <c r="AI438" i="5"/>
  <c r="AI437" i="5"/>
  <c r="AI436" i="5"/>
  <c r="AI435" i="5"/>
  <c r="AI434" i="5"/>
  <c r="AI433" i="5"/>
  <c r="AI432" i="5"/>
  <c r="AI431" i="5"/>
  <c r="AI430" i="5"/>
  <c r="AI429" i="5"/>
  <c r="AI428" i="5"/>
  <c r="AI427" i="5"/>
  <c r="AI426" i="5"/>
  <c r="AI425" i="5"/>
  <c r="AI424" i="5"/>
  <c r="AI423" i="5"/>
  <c r="AI422" i="5"/>
  <c r="AI421" i="5"/>
  <c r="AI420" i="5"/>
  <c r="AI419" i="5"/>
  <c r="AI418" i="5"/>
  <c r="AI417" i="5"/>
  <c r="AI416" i="5"/>
  <c r="AI415" i="5"/>
  <c r="AI414" i="5"/>
  <c r="AI413" i="5"/>
  <c r="AI412" i="5"/>
  <c r="AI411" i="5"/>
  <c r="AI410" i="5"/>
  <c r="AI409" i="5"/>
  <c r="AI408" i="5"/>
  <c r="AI407" i="5"/>
  <c r="AI406" i="5"/>
  <c r="AI405" i="5"/>
  <c r="AI404" i="5"/>
  <c r="AI403" i="5"/>
  <c r="AI402" i="5"/>
  <c r="AI401" i="5"/>
  <c r="AI400" i="5"/>
  <c r="AI399" i="5"/>
  <c r="AI398" i="5"/>
  <c r="AI397" i="5"/>
  <c r="AI396" i="5"/>
  <c r="AI395" i="5"/>
  <c r="AI394" i="5"/>
  <c r="AI393" i="5"/>
  <c r="AI392" i="5"/>
  <c r="AI391" i="5"/>
  <c r="AI390" i="5"/>
  <c r="AI389" i="5"/>
  <c r="AI388" i="5"/>
  <c r="AI387" i="5"/>
  <c r="AI386" i="5"/>
  <c r="AI385" i="5"/>
  <c r="AI384" i="5"/>
  <c r="AI383" i="5"/>
  <c r="AI382" i="5"/>
  <c r="AI381" i="5"/>
  <c r="AI380" i="5"/>
  <c r="AI379" i="5"/>
  <c r="AI378" i="5"/>
  <c r="AI377" i="5"/>
  <c r="AI376" i="5"/>
  <c r="AI375" i="5"/>
  <c r="AI374" i="5"/>
  <c r="AI373" i="5"/>
  <c r="AI372" i="5"/>
  <c r="AI371" i="5"/>
  <c r="AI370" i="5"/>
  <c r="AI369" i="5"/>
  <c r="AI368" i="5"/>
  <c r="AI367" i="5"/>
  <c r="AI366" i="5"/>
  <c r="AI365" i="5"/>
  <c r="AI364" i="5"/>
  <c r="AI363" i="5"/>
  <c r="AI362" i="5"/>
  <c r="AI361" i="5"/>
  <c r="AI360" i="5"/>
  <c r="AI359" i="5"/>
  <c r="AI358" i="5"/>
  <c r="AI357" i="5"/>
  <c r="AI356" i="5"/>
  <c r="AI355" i="5"/>
  <c r="AI354" i="5"/>
  <c r="AI353" i="5"/>
  <c r="AI352" i="5"/>
  <c r="AI351" i="5"/>
  <c r="AI350" i="5"/>
  <c r="AI349" i="5"/>
  <c r="AI348" i="5"/>
  <c r="AI347" i="5"/>
  <c r="AI346" i="5"/>
  <c r="AI345" i="5"/>
  <c r="AI344" i="5"/>
  <c r="AI343" i="5"/>
  <c r="AI342" i="5"/>
  <c r="AI341" i="5"/>
  <c r="AI340" i="5"/>
  <c r="AI339" i="5"/>
  <c r="AI338" i="5"/>
  <c r="AI337" i="5"/>
  <c r="AI336" i="5"/>
  <c r="AI335" i="5"/>
  <c r="AI334" i="5"/>
  <c r="AI333" i="5"/>
  <c r="AI332" i="5"/>
  <c r="AI331" i="5"/>
  <c r="AI330" i="5"/>
  <c r="AI329" i="5"/>
  <c r="AI328" i="5"/>
  <c r="AI327" i="5"/>
  <c r="AI326" i="5"/>
  <c r="AI325" i="5"/>
  <c r="AI324" i="5"/>
  <c r="AI323" i="5"/>
  <c r="AI322" i="5"/>
  <c r="AI321" i="5"/>
  <c r="AI320" i="5"/>
  <c r="AI319" i="5"/>
  <c r="AI318" i="5"/>
  <c r="AI317" i="5"/>
  <c r="AI316" i="5"/>
  <c r="AI315" i="5"/>
  <c r="AI314" i="5"/>
  <c r="AI313" i="5"/>
  <c r="AI312" i="5"/>
  <c r="AI311" i="5"/>
  <c r="AI310" i="5"/>
  <c r="AI309" i="5"/>
  <c r="AI308" i="5"/>
  <c r="AI307" i="5"/>
  <c r="AI306" i="5"/>
  <c r="AI305" i="5"/>
  <c r="AI304" i="5"/>
  <c r="AI303" i="5"/>
  <c r="AI302" i="5"/>
  <c r="AI301" i="5"/>
  <c r="AI300" i="5"/>
  <c r="AI299" i="5"/>
  <c r="AI298" i="5"/>
  <c r="AI297" i="5"/>
  <c r="AI296" i="5"/>
  <c r="AI295" i="5"/>
  <c r="AI294" i="5"/>
  <c r="AI293" i="5"/>
  <c r="AI292" i="5"/>
  <c r="AI291" i="5"/>
  <c r="AI290" i="5"/>
  <c r="AI289" i="5"/>
  <c r="AI288" i="5"/>
  <c r="AI287" i="5"/>
  <c r="AI286" i="5"/>
  <c r="AI285" i="5"/>
  <c r="AI284" i="5"/>
  <c r="AI283" i="5"/>
  <c r="AI282" i="5"/>
  <c r="AI281" i="5"/>
  <c r="AI280" i="5"/>
  <c r="AI279" i="5"/>
  <c r="AI278" i="5"/>
  <c r="AI277" i="5"/>
  <c r="AI276" i="5"/>
  <c r="AI275" i="5"/>
  <c r="AI274" i="5"/>
  <c r="AI273" i="5"/>
  <c r="AI272" i="5"/>
  <c r="AI271" i="5"/>
  <c r="AI270" i="5"/>
  <c r="AI269" i="5"/>
  <c r="AI268" i="5"/>
  <c r="AI267" i="5"/>
  <c r="AI266" i="5"/>
  <c r="AI265" i="5"/>
  <c r="AI264" i="5"/>
  <c r="AI263" i="5"/>
  <c r="AI262" i="5"/>
  <c r="AI261" i="5"/>
  <c r="AI260" i="5"/>
  <c r="AI259" i="5"/>
  <c r="AI258" i="5"/>
  <c r="AI257" i="5"/>
  <c r="AI256" i="5"/>
  <c r="AI255" i="5"/>
  <c r="AI254" i="5"/>
  <c r="AI253" i="5"/>
  <c r="AI252" i="5"/>
  <c r="AI251" i="5"/>
  <c r="AI250" i="5"/>
  <c r="AI249" i="5"/>
  <c r="AI248" i="5"/>
  <c r="AI247" i="5"/>
  <c r="AI246" i="5"/>
  <c r="AI245" i="5"/>
  <c r="AI244" i="5"/>
  <c r="AI243" i="5"/>
  <c r="AI242" i="5"/>
  <c r="AI241" i="5"/>
  <c r="AI240" i="5"/>
  <c r="AI239" i="5"/>
  <c r="AI238" i="5"/>
  <c r="AI237" i="5"/>
  <c r="AI236" i="5"/>
  <c r="AI235" i="5"/>
  <c r="AI234" i="5"/>
  <c r="AI233" i="5"/>
  <c r="AI232" i="5"/>
  <c r="AI231" i="5"/>
  <c r="AI230" i="5"/>
  <c r="AI229" i="5"/>
  <c r="AI228" i="5"/>
  <c r="AI227" i="5"/>
  <c r="AI226" i="5"/>
  <c r="AI225" i="5"/>
  <c r="AI224" i="5"/>
  <c r="AI223" i="5"/>
  <c r="AI222" i="5"/>
  <c r="AI221" i="5"/>
  <c r="AI220" i="5"/>
  <c r="AI219" i="5"/>
  <c r="AI218" i="5"/>
  <c r="AI217" i="5"/>
  <c r="AI216" i="5"/>
  <c r="AI215" i="5"/>
  <c r="AI214" i="5"/>
  <c r="AI213" i="5"/>
  <c r="AI212" i="5"/>
  <c r="AI211" i="5"/>
  <c r="AI210" i="5"/>
  <c r="AI209" i="5"/>
  <c r="AI208" i="5"/>
  <c r="AI207" i="5"/>
  <c r="AI206" i="5"/>
  <c r="AI205" i="5"/>
  <c r="AI204" i="5"/>
  <c r="AI203" i="5"/>
  <c r="AI202" i="5"/>
  <c r="AI201" i="5"/>
  <c r="AI200" i="5"/>
  <c r="AI199" i="5"/>
  <c r="AI198" i="5"/>
  <c r="AI197" i="5"/>
  <c r="AI196" i="5"/>
  <c r="AI195" i="5"/>
  <c r="AI194" i="5"/>
  <c r="AI193" i="5"/>
  <c r="AI192" i="5"/>
  <c r="AI191" i="5"/>
  <c r="AI190" i="5"/>
  <c r="AI189" i="5"/>
  <c r="AI188" i="5"/>
  <c r="AI187" i="5"/>
  <c r="AI186" i="5"/>
  <c r="AI185" i="5"/>
  <c r="AI184" i="5"/>
  <c r="AI183" i="5"/>
  <c r="AI182" i="5"/>
  <c r="AI181" i="5"/>
  <c r="AI180" i="5"/>
  <c r="AI179" i="5"/>
  <c r="AI178" i="5"/>
  <c r="AI177" i="5"/>
  <c r="AI176" i="5"/>
  <c r="AI175" i="5"/>
  <c r="AI174" i="5"/>
  <c r="AI173" i="5"/>
  <c r="AI172" i="5"/>
  <c r="AI171" i="5"/>
  <c r="AI170" i="5"/>
  <c r="AI169" i="5"/>
  <c r="AI168" i="5"/>
  <c r="AI167" i="5"/>
  <c r="AI166" i="5"/>
  <c r="AI165" i="5"/>
  <c r="AI164" i="5"/>
  <c r="AI163" i="5"/>
  <c r="AI162" i="5"/>
  <c r="AI161" i="5"/>
  <c r="AI160" i="5"/>
  <c r="AI159" i="5"/>
  <c r="AI158" i="5"/>
  <c r="AI157" i="5"/>
  <c r="AI156" i="5"/>
  <c r="AI155" i="5"/>
  <c r="AI154" i="5"/>
  <c r="AI153" i="5"/>
  <c r="AI152" i="5"/>
  <c r="AI151" i="5"/>
  <c r="AI150" i="5"/>
  <c r="AI149" i="5"/>
  <c r="AI148" i="5"/>
  <c r="AI147" i="5"/>
  <c r="AI146" i="5"/>
  <c r="AI145" i="5"/>
  <c r="AI144" i="5"/>
  <c r="AI143" i="5"/>
  <c r="AI142" i="5"/>
  <c r="AI141" i="5"/>
  <c r="AI140" i="5"/>
  <c r="AI139" i="5"/>
  <c r="AI138" i="5"/>
  <c r="AI137" i="5"/>
  <c r="AI136" i="5"/>
  <c r="AI135" i="5"/>
  <c r="AI134" i="5"/>
  <c r="AI133" i="5"/>
  <c r="AI132" i="5"/>
  <c r="AI131" i="5"/>
  <c r="AI130" i="5"/>
  <c r="AI129" i="5"/>
  <c r="AI128" i="5"/>
  <c r="AI127" i="5"/>
  <c r="AI126" i="5"/>
  <c r="AI125" i="5"/>
  <c r="AI124" i="5"/>
  <c r="AI123" i="5"/>
  <c r="AI122" i="5"/>
  <c r="AI121" i="5"/>
  <c r="AI120" i="5"/>
  <c r="AI119" i="5"/>
  <c r="AI118" i="5"/>
  <c r="AI117" i="5"/>
  <c r="AI116" i="5"/>
  <c r="AI115" i="5"/>
  <c r="AI114" i="5"/>
  <c r="AI113" i="5"/>
  <c r="AI112" i="5"/>
  <c r="AI111" i="5"/>
  <c r="AI110" i="5"/>
  <c r="AI109" i="5"/>
  <c r="AI108" i="5"/>
  <c r="AI107" i="5"/>
  <c r="AI106" i="5"/>
  <c r="AI105" i="5"/>
  <c r="AI104" i="5"/>
  <c r="AI103" i="5"/>
  <c r="AI102" i="5"/>
  <c r="AI101" i="5"/>
  <c r="AI100" i="5"/>
  <c r="AI99" i="5"/>
  <c r="AI98" i="5"/>
  <c r="AI97" i="5"/>
  <c r="AI96" i="5"/>
  <c r="AI95" i="5"/>
  <c r="AI94" i="5"/>
  <c r="AI93" i="5"/>
  <c r="AI92" i="5"/>
  <c r="AI91" i="5"/>
  <c r="AI90" i="5"/>
  <c r="AI89" i="5"/>
  <c r="AI88" i="5"/>
  <c r="AI87" i="5"/>
  <c r="AI86" i="5"/>
  <c r="AI85" i="5"/>
  <c r="AI84" i="5"/>
  <c r="AI83" i="5"/>
  <c r="AI82" i="5"/>
  <c r="AI81" i="5"/>
  <c r="AI80" i="5"/>
  <c r="AI79" i="5"/>
  <c r="AI78" i="5"/>
  <c r="AI77" i="5"/>
  <c r="AI76" i="5"/>
  <c r="AI75" i="5"/>
  <c r="AI74" i="5"/>
  <c r="AI73" i="5"/>
  <c r="AI72" i="5"/>
  <c r="AI71" i="5"/>
  <c r="AI70" i="5"/>
  <c r="AI69" i="5"/>
  <c r="AI68" i="5"/>
  <c r="AI67" i="5"/>
  <c r="AI66" i="5"/>
  <c r="AI65" i="5"/>
  <c r="AI64" i="5"/>
  <c r="AI63" i="5"/>
  <c r="AI62" i="5"/>
  <c r="AI61" i="5"/>
  <c r="AI60" i="5"/>
  <c r="AI59" i="5"/>
  <c r="AI58" i="5"/>
  <c r="AI57" i="5"/>
  <c r="AI56" i="5"/>
  <c r="AI55" i="5"/>
  <c r="AI54" i="5"/>
  <c r="AI53" i="5"/>
  <c r="AI52" i="5"/>
  <c r="AI51" i="5"/>
  <c r="AI50" i="5"/>
  <c r="AI49" i="5"/>
  <c r="AI48" i="5"/>
  <c r="AI47" i="5"/>
  <c r="AI46" i="5"/>
  <c r="AI45" i="5"/>
  <c r="AI44" i="5"/>
  <c r="AI43" i="5"/>
  <c r="AI42" i="5"/>
  <c r="AI41" i="5"/>
  <c r="AI40" i="5"/>
  <c r="AI39" i="5"/>
  <c r="AI38" i="5"/>
  <c r="AI37" i="5"/>
  <c r="AI36" i="5"/>
  <c r="AI35" i="5"/>
  <c r="AI34" i="5"/>
  <c r="AI33" i="5"/>
  <c r="AI32" i="5"/>
  <c r="AI31" i="5"/>
  <c r="AI30" i="5"/>
  <c r="AI29" i="5"/>
  <c r="AI28" i="5"/>
  <c r="AI27" i="5"/>
  <c r="AI26" i="5"/>
  <c r="AI25" i="5"/>
  <c r="AI24" i="5"/>
  <c r="AI23" i="5"/>
  <c r="AI22" i="5"/>
  <c r="AI21" i="5"/>
  <c r="AI20" i="5"/>
  <c r="AI19" i="5"/>
  <c r="AI18" i="5"/>
  <c r="AI17" i="5"/>
  <c r="AI16" i="5"/>
  <c r="AI15" i="5"/>
  <c r="AI14" i="5"/>
  <c r="AI13" i="5"/>
  <c r="AI12" i="5"/>
  <c r="AI11" i="5"/>
  <c r="AI10" i="5"/>
  <c r="AI9" i="5"/>
  <c r="AI8" i="5"/>
  <c r="AI7" i="5"/>
  <c r="AI6" i="5"/>
  <c r="AI5" i="5"/>
  <c r="AI4" i="5"/>
  <c r="AI3" i="5"/>
  <c r="AA568" i="5"/>
  <c r="AA567" i="5"/>
  <c r="AA566" i="5"/>
  <c r="AA565" i="5"/>
  <c r="AA564" i="5"/>
  <c r="AA563" i="5"/>
  <c r="AA562" i="5"/>
  <c r="AA561" i="5"/>
  <c r="AA560" i="5"/>
  <c r="AA559" i="5"/>
  <c r="AA558" i="5"/>
  <c r="AA557" i="5"/>
  <c r="AA556" i="5"/>
  <c r="AA555" i="5"/>
  <c r="AA554" i="5"/>
  <c r="AA553" i="5"/>
  <c r="AA552" i="5"/>
  <c r="AA551" i="5"/>
  <c r="AA550" i="5"/>
  <c r="AA549" i="5"/>
  <c r="AA548" i="5"/>
  <c r="AA547" i="5"/>
  <c r="AA546" i="5"/>
  <c r="AA545" i="5"/>
  <c r="AA544" i="5"/>
  <c r="AA543" i="5"/>
  <c r="AA542" i="5"/>
  <c r="AA541" i="5"/>
  <c r="AA540" i="5"/>
  <c r="AA539" i="5"/>
  <c r="AA538" i="5"/>
  <c r="AA537" i="5"/>
  <c r="AA536" i="5"/>
  <c r="AA535" i="5"/>
  <c r="AA534" i="5"/>
  <c r="AA533" i="5"/>
  <c r="AA532" i="5"/>
  <c r="AA531" i="5"/>
  <c r="AA530" i="5"/>
  <c r="AA529" i="5"/>
  <c r="AA528" i="5"/>
  <c r="AA527" i="5"/>
  <c r="AA526" i="5"/>
  <c r="AA525" i="5"/>
  <c r="AA524" i="5"/>
  <c r="AA523" i="5"/>
  <c r="AA522" i="5"/>
  <c r="AA521" i="5"/>
  <c r="AA520" i="5"/>
  <c r="AA519" i="5"/>
  <c r="AA518" i="5"/>
  <c r="AA517" i="5"/>
  <c r="AA516" i="5"/>
  <c r="AA515" i="5"/>
  <c r="AA514" i="5"/>
  <c r="AA513" i="5"/>
  <c r="AA512" i="5"/>
  <c r="AA511" i="5"/>
  <c r="AA510" i="5"/>
  <c r="AA509" i="5"/>
  <c r="AA508" i="5"/>
  <c r="AA507" i="5"/>
  <c r="AA506" i="5"/>
  <c r="AA505" i="5"/>
  <c r="AA504" i="5"/>
  <c r="AA503" i="5"/>
  <c r="AA502" i="5"/>
  <c r="AA501" i="5"/>
  <c r="AA500" i="5"/>
  <c r="AA499" i="5"/>
  <c r="AA498" i="5"/>
  <c r="AA497" i="5"/>
  <c r="AA496" i="5"/>
  <c r="AA495" i="5"/>
  <c r="AA494" i="5"/>
  <c r="AA493" i="5"/>
  <c r="AA492" i="5"/>
  <c r="AA491" i="5"/>
  <c r="AA490" i="5"/>
  <c r="AA489" i="5"/>
  <c r="AA488" i="5"/>
  <c r="AA487" i="5"/>
  <c r="AA486" i="5"/>
  <c r="AA485" i="5"/>
  <c r="AA484" i="5"/>
  <c r="AA483" i="5"/>
  <c r="AA482" i="5"/>
  <c r="AA481" i="5"/>
  <c r="AA480" i="5"/>
  <c r="AA479" i="5"/>
  <c r="AA478" i="5"/>
  <c r="AA477" i="5"/>
  <c r="AA476" i="5"/>
  <c r="AA475" i="5"/>
  <c r="AA474" i="5"/>
  <c r="AA473" i="5"/>
  <c r="AA472" i="5"/>
  <c r="AA471" i="5"/>
  <c r="AA470" i="5"/>
  <c r="AA469" i="5"/>
  <c r="AA468" i="5"/>
  <c r="AA467" i="5"/>
  <c r="AA466" i="5"/>
  <c r="AA465" i="5"/>
  <c r="AA464" i="5"/>
  <c r="AA463" i="5"/>
  <c r="AA462" i="5"/>
  <c r="AA461" i="5"/>
  <c r="AA460" i="5"/>
  <c r="AA459" i="5"/>
  <c r="AA458" i="5"/>
  <c r="AA457" i="5"/>
  <c r="AA456" i="5"/>
  <c r="AA455" i="5"/>
  <c r="AA454" i="5"/>
  <c r="AA453" i="5"/>
  <c r="AA452" i="5"/>
  <c r="AA451" i="5"/>
  <c r="AA450" i="5"/>
  <c r="AA449" i="5"/>
  <c r="AA448" i="5"/>
  <c r="AA447" i="5"/>
  <c r="AA446" i="5"/>
  <c r="AA445" i="5"/>
  <c r="AA444" i="5"/>
  <c r="AA443" i="5"/>
  <c r="AA442" i="5"/>
  <c r="AA441" i="5"/>
  <c r="AA440" i="5"/>
  <c r="AA439" i="5"/>
  <c r="AA438" i="5"/>
  <c r="AA437" i="5"/>
  <c r="AA436" i="5"/>
  <c r="AA435" i="5"/>
  <c r="AA434" i="5"/>
  <c r="AA433" i="5"/>
  <c r="AA432" i="5"/>
  <c r="AA431" i="5"/>
  <c r="AA430" i="5"/>
  <c r="AA429" i="5"/>
  <c r="AA428" i="5"/>
  <c r="AA427" i="5"/>
  <c r="AA426" i="5"/>
  <c r="AA425" i="5"/>
  <c r="AA424" i="5"/>
  <c r="AA423" i="5"/>
  <c r="AA422" i="5"/>
  <c r="AA421" i="5"/>
  <c r="AA420" i="5"/>
  <c r="AA419" i="5"/>
  <c r="AA418" i="5"/>
  <c r="AA417" i="5"/>
  <c r="AA416" i="5"/>
  <c r="AA415" i="5"/>
  <c r="AA414" i="5"/>
  <c r="AA413" i="5"/>
  <c r="AA412" i="5"/>
  <c r="AA411" i="5"/>
  <c r="AA410" i="5"/>
  <c r="AA409" i="5"/>
  <c r="AA408" i="5"/>
  <c r="AA407" i="5"/>
  <c r="AA406" i="5"/>
  <c r="AA405" i="5"/>
  <c r="AA404" i="5"/>
  <c r="AA403" i="5"/>
  <c r="AA402" i="5"/>
  <c r="AA401" i="5"/>
  <c r="AA400" i="5"/>
  <c r="AA399" i="5"/>
  <c r="AA398" i="5"/>
  <c r="AA397" i="5"/>
  <c r="AA396" i="5"/>
  <c r="AA395" i="5"/>
  <c r="AA394" i="5"/>
  <c r="AA393" i="5"/>
  <c r="AA392" i="5"/>
  <c r="AA391" i="5"/>
  <c r="AA390" i="5"/>
  <c r="AA389" i="5"/>
  <c r="AA388" i="5"/>
  <c r="AA387" i="5"/>
  <c r="AA386" i="5"/>
  <c r="AA385" i="5"/>
  <c r="AA384" i="5"/>
  <c r="AA383" i="5"/>
  <c r="AA382" i="5"/>
  <c r="AA381" i="5"/>
  <c r="AA380" i="5"/>
  <c r="AA379" i="5"/>
  <c r="AA378" i="5"/>
  <c r="AA377" i="5"/>
  <c r="AA376" i="5"/>
  <c r="AA375" i="5"/>
  <c r="AA374" i="5"/>
  <c r="AA373" i="5"/>
  <c r="AA372" i="5"/>
  <c r="AA371" i="5"/>
  <c r="AA370" i="5"/>
  <c r="AA369" i="5"/>
  <c r="AA368" i="5"/>
  <c r="AA367" i="5"/>
  <c r="AA366" i="5"/>
  <c r="AA365" i="5"/>
  <c r="AA364" i="5"/>
  <c r="AA363" i="5"/>
  <c r="AA362" i="5"/>
  <c r="AA361" i="5"/>
  <c r="AA360" i="5"/>
  <c r="AA359" i="5"/>
  <c r="AA358" i="5"/>
  <c r="AA357" i="5"/>
  <c r="AA356" i="5"/>
  <c r="AA355" i="5"/>
  <c r="AA354" i="5"/>
  <c r="AA353" i="5"/>
  <c r="AA352" i="5"/>
  <c r="AA351" i="5"/>
  <c r="AA350" i="5"/>
  <c r="AA349" i="5"/>
  <c r="AA348" i="5"/>
  <c r="AA347" i="5"/>
  <c r="AA346" i="5"/>
  <c r="AA345" i="5"/>
  <c r="AA344" i="5"/>
  <c r="AA343" i="5"/>
  <c r="AA342" i="5"/>
  <c r="AA341" i="5"/>
  <c r="AA340" i="5"/>
  <c r="AA339" i="5"/>
  <c r="AA338" i="5"/>
  <c r="AA337" i="5"/>
  <c r="AA336" i="5"/>
  <c r="AA335" i="5"/>
  <c r="AA334" i="5"/>
  <c r="AA333" i="5"/>
  <c r="AA332" i="5"/>
  <c r="AA331" i="5"/>
  <c r="AA330" i="5"/>
  <c r="AA329" i="5"/>
  <c r="AA328" i="5"/>
  <c r="AA327" i="5"/>
  <c r="AA326" i="5"/>
  <c r="AA325" i="5"/>
  <c r="AA324" i="5"/>
  <c r="AA323" i="5"/>
  <c r="AA322" i="5"/>
  <c r="AA321" i="5"/>
  <c r="AA320" i="5"/>
  <c r="AA319" i="5"/>
  <c r="AA318" i="5"/>
  <c r="AA317" i="5"/>
  <c r="AA316" i="5"/>
  <c r="AA315" i="5"/>
  <c r="AA314" i="5"/>
  <c r="AA313" i="5"/>
  <c r="AA312" i="5"/>
  <c r="AA311" i="5"/>
  <c r="AA310" i="5"/>
  <c r="AA309" i="5"/>
  <c r="AA308" i="5"/>
  <c r="AA307" i="5"/>
  <c r="AA306" i="5"/>
  <c r="AA305" i="5"/>
  <c r="AA304" i="5"/>
  <c r="AA303" i="5"/>
  <c r="AA302" i="5"/>
  <c r="AA301" i="5"/>
  <c r="AA300" i="5"/>
  <c r="AA299" i="5"/>
  <c r="AA298" i="5"/>
  <c r="AA297" i="5"/>
  <c r="AA296" i="5"/>
  <c r="AA295" i="5"/>
  <c r="AA294" i="5"/>
  <c r="AA293" i="5"/>
  <c r="AA292" i="5"/>
  <c r="AA291" i="5"/>
  <c r="AA290" i="5"/>
  <c r="AA289" i="5"/>
  <c r="AA288" i="5"/>
  <c r="AA287" i="5"/>
  <c r="AA286" i="5"/>
  <c r="AA285" i="5"/>
  <c r="AA284" i="5"/>
  <c r="AA283" i="5"/>
  <c r="AA282" i="5"/>
  <c r="AA281" i="5"/>
  <c r="AA280" i="5"/>
  <c r="AA279" i="5"/>
  <c r="AA278" i="5"/>
  <c r="AA277" i="5"/>
  <c r="AA276" i="5"/>
  <c r="AA275" i="5"/>
  <c r="AA274" i="5"/>
  <c r="AA273" i="5"/>
  <c r="AA272" i="5"/>
  <c r="AA271" i="5"/>
  <c r="AA270" i="5"/>
  <c r="AA269" i="5"/>
  <c r="AA268" i="5"/>
  <c r="AA267" i="5"/>
  <c r="AA266" i="5"/>
  <c r="AA265" i="5"/>
  <c r="AA264" i="5"/>
  <c r="AA263" i="5"/>
  <c r="AA262" i="5"/>
  <c r="AA261" i="5"/>
  <c r="AA260" i="5"/>
  <c r="AA259" i="5"/>
  <c r="AA258" i="5"/>
  <c r="AA257" i="5"/>
  <c r="AA256" i="5"/>
  <c r="AA255" i="5"/>
  <c r="AA254" i="5"/>
  <c r="AA253" i="5"/>
  <c r="AA252" i="5"/>
  <c r="AA251" i="5"/>
  <c r="AA250" i="5"/>
  <c r="AA249" i="5"/>
  <c r="AA248" i="5"/>
  <c r="AA247" i="5"/>
  <c r="AA246" i="5"/>
  <c r="AA245" i="5"/>
  <c r="AA244" i="5"/>
  <c r="AA243" i="5"/>
  <c r="AA242" i="5"/>
  <c r="AA241" i="5"/>
  <c r="AA240" i="5"/>
  <c r="AA239" i="5"/>
  <c r="AA238" i="5"/>
  <c r="AA237" i="5"/>
  <c r="AA236" i="5"/>
  <c r="AA235" i="5"/>
  <c r="AA234" i="5"/>
  <c r="AA233" i="5"/>
  <c r="AA232" i="5"/>
  <c r="AA231" i="5"/>
  <c r="AA230" i="5"/>
  <c r="AA229" i="5"/>
  <c r="AA228" i="5"/>
  <c r="AA227" i="5"/>
  <c r="AA226" i="5"/>
  <c r="AA225" i="5"/>
  <c r="AA224" i="5"/>
  <c r="AA223" i="5"/>
  <c r="AA222" i="5"/>
  <c r="AA221" i="5"/>
  <c r="AA220" i="5"/>
  <c r="AA219" i="5"/>
  <c r="AA218" i="5"/>
  <c r="AA217" i="5"/>
  <c r="AA216" i="5"/>
  <c r="AA215" i="5"/>
  <c r="AA214" i="5"/>
  <c r="AA213" i="5"/>
  <c r="AA212" i="5"/>
  <c r="AA211" i="5"/>
  <c r="AA210" i="5"/>
  <c r="AA209" i="5"/>
  <c r="AA208" i="5"/>
  <c r="AA207" i="5"/>
  <c r="AA206" i="5"/>
  <c r="AA205" i="5"/>
  <c r="AA204" i="5"/>
  <c r="AA203" i="5"/>
  <c r="AA202" i="5"/>
  <c r="AA201" i="5"/>
  <c r="AA200" i="5"/>
  <c r="AA199" i="5"/>
  <c r="AA198" i="5"/>
  <c r="AA197" i="5"/>
  <c r="AA196" i="5"/>
  <c r="AA195" i="5"/>
  <c r="AA194" i="5"/>
  <c r="AA193" i="5"/>
  <c r="AA192" i="5"/>
  <c r="AA191" i="5"/>
  <c r="AA190" i="5"/>
  <c r="AA189" i="5"/>
  <c r="AA188" i="5"/>
  <c r="AA187" i="5"/>
  <c r="AA186" i="5"/>
  <c r="AA185" i="5"/>
  <c r="AA184" i="5"/>
  <c r="AA183" i="5"/>
  <c r="AA182" i="5"/>
  <c r="AA181" i="5"/>
  <c r="AA180" i="5"/>
  <c r="AA179" i="5"/>
  <c r="AA178" i="5"/>
  <c r="AA177" i="5"/>
  <c r="AA176" i="5"/>
  <c r="AA175" i="5"/>
  <c r="AA174" i="5"/>
  <c r="AA173" i="5"/>
  <c r="AA172" i="5"/>
  <c r="AA171" i="5"/>
  <c r="AA170" i="5"/>
  <c r="AA169" i="5"/>
  <c r="AA168" i="5"/>
  <c r="AA167" i="5"/>
  <c r="AA166" i="5"/>
  <c r="AA165" i="5"/>
  <c r="AA164" i="5"/>
  <c r="AA163" i="5"/>
  <c r="AA162" i="5"/>
  <c r="AA161" i="5"/>
  <c r="AA160" i="5"/>
  <c r="AA159" i="5"/>
  <c r="AA158" i="5"/>
  <c r="AA157" i="5"/>
  <c r="AA156" i="5"/>
  <c r="AA155" i="5"/>
  <c r="AA154" i="5"/>
  <c r="AA153" i="5"/>
  <c r="AA152" i="5"/>
  <c r="AA151" i="5"/>
  <c r="AA150" i="5"/>
  <c r="AA149" i="5"/>
  <c r="AA148" i="5"/>
  <c r="AA147" i="5"/>
  <c r="AA146" i="5"/>
  <c r="AA145" i="5"/>
  <c r="AA144" i="5"/>
  <c r="AA143" i="5"/>
  <c r="AA142" i="5"/>
  <c r="AA141" i="5"/>
  <c r="AA140" i="5"/>
  <c r="AA139" i="5"/>
  <c r="AA138" i="5"/>
  <c r="AA137" i="5"/>
  <c r="AA136" i="5"/>
  <c r="AA135" i="5"/>
  <c r="AA134" i="5"/>
  <c r="AA133" i="5"/>
  <c r="AA132" i="5"/>
  <c r="AA131" i="5"/>
  <c r="AA130" i="5"/>
  <c r="AA129" i="5"/>
  <c r="AA128" i="5"/>
  <c r="AA127" i="5"/>
  <c r="AA126" i="5"/>
  <c r="AA125" i="5"/>
  <c r="AA124" i="5"/>
  <c r="AA123" i="5"/>
  <c r="AA122" i="5"/>
  <c r="AA121" i="5"/>
  <c r="AA120" i="5"/>
  <c r="AA119" i="5"/>
  <c r="AA118" i="5"/>
  <c r="AA117" i="5"/>
  <c r="AA116" i="5"/>
  <c r="AA115" i="5"/>
  <c r="AA114" i="5"/>
  <c r="AA113" i="5"/>
  <c r="AA112" i="5"/>
  <c r="AA111" i="5"/>
  <c r="AA110" i="5"/>
  <c r="AA109" i="5"/>
  <c r="AA108" i="5"/>
  <c r="AA107" i="5"/>
  <c r="AA106" i="5"/>
  <c r="AA105" i="5"/>
  <c r="AA104" i="5"/>
  <c r="AA103" i="5"/>
  <c r="AA102" i="5"/>
  <c r="AA101" i="5"/>
  <c r="AA100" i="5"/>
  <c r="AA99" i="5"/>
  <c r="AA98" i="5"/>
  <c r="AA97" i="5"/>
  <c r="AA96" i="5"/>
  <c r="AA95" i="5"/>
  <c r="AA94" i="5"/>
  <c r="AA93" i="5"/>
  <c r="AA92" i="5"/>
  <c r="AA91" i="5"/>
  <c r="AA90" i="5"/>
  <c r="AA89" i="5"/>
  <c r="AA88" i="5"/>
  <c r="AA87" i="5"/>
  <c r="AA86" i="5"/>
  <c r="AA85" i="5"/>
  <c r="AA84" i="5"/>
  <c r="AA83" i="5"/>
  <c r="AA82" i="5"/>
  <c r="AA81" i="5"/>
  <c r="AA80" i="5"/>
  <c r="AA79" i="5"/>
  <c r="AA78" i="5"/>
  <c r="AA77" i="5"/>
  <c r="AA76" i="5"/>
  <c r="AA75" i="5"/>
  <c r="AA74" i="5"/>
  <c r="AA73" i="5"/>
  <c r="AA72" i="5"/>
  <c r="AA71" i="5"/>
  <c r="AA70" i="5"/>
  <c r="AA69" i="5"/>
  <c r="AA68" i="5"/>
  <c r="AA67" i="5"/>
  <c r="AA66" i="5"/>
  <c r="AA65" i="5"/>
  <c r="AA64" i="5"/>
  <c r="AA63" i="5"/>
  <c r="AA62" i="5"/>
  <c r="AA61" i="5"/>
  <c r="AA60" i="5"/>
  <c r="AA59" i="5"/>
  <c r="AA58" i="5"/>
  <c r="AA57" i="5"/>
  <c r="AA56" i="5"/>
  <c r="AA55" i="5"/>
  <c r="AA54" i="5"/>
  <c r="AA53" i="5"/>
  <c r="AA52" i="5"/>
  <c r="AA51" i="5"/>
  <c r="AA50" i="5"/>
  <c r="AA49" i="5"/>
  <c r="AA48" i="5"/>
  <c r="AA47" i="5"/>
  <c r="AA46" i="5"/>
  <c r="AA45" i="5"/>
  <c r="AA44" i="5"/>
  <c r="AA43" i="5"/>
  <c r="AA42" i="5"/>
  <c r="AA41" i="5"/>
  <c r="AA40" i="5"/>
  <c r="AA39" i="5"/>
  <c r="AA38" i="5"/>
  <c r="AA37" i="5"/>
  <c r="AA36" i="5"/>
  <c r="AA35" i="5"/>
  <c r="AA34" i="5"/>
  <c r="AA33" i="5"/>
  <c r="AA32" i="5"/>
  <c r="AA31" i="5"/>
  <c r="AA30" i="5"/>
  <c r="AA29" i="5"/>
  <c r="AA28" i="5"/>
  <c r="AA27" i="5"/>
  <c r="AA26" i="5"/>
  <c r="AA25" i="5"/>
  <c r="AA24" i="5"/>
  <c r="AA23" i="5"/>
  <c r="AA22" i="5"/>
  <c r="AA21" i="5"/>
  <c r="AA20" i="5"/>
  <c r="AA19" i="5"/>
  <c r="AA18" i="5"/>
  <c r="AA17" i="5"/>
  <c r="AA16" i="5"/>
  <c r="AA15" i="5"/>
  <c r="AA14" i="5"/>
  <c r="AA13" i="5"/>
  <c r="AA12" i="5"/>
  <c r="AA11" i="5"/>
  <c r="AA10" i="5"/>
  <c r="AA9" i="5"/>
  <c r="AA8" i="5"/>
  <c r="AA7" i="5"/>
  <c r="AA6" i="5"/>
  <c r="AA5" i="5"/>
  <c r="AA4" i="5"/>
  <c r="AA3" i="5"/>
  <c r="S276" i="5"/>
  <c r="K568" i="5"/>
  <c r="K567" i="5"/>
  <c r="K566" i="5"/>
  <c r="K565" i="5"/>
  <c r="K564" i="5"/>
  <c r="K563" i="5"/>
  <c r="K562" i="5"/>
  <c r="K561" i="5"/>
  <c r="K560" i="5"/>
  <c r="K559" i="5"/>
  <c r="K558" i="5"/>
  <c r="K557" i="5"/>
  <c r="K556" i="5"/>
  <c r="K555" i="5"/>
  <c r="K554" i="5"/>
  <c r="K553" i="5"/>
  <c r="K552" i="5"/>
  <c r="K551" i="5"/>
  <c r="K550" i="5"/>
  <c r="K549" i="5"/>
  <c r="K548" i="5"/>
  <c r="K547" i="5"/>
  <c r="K546" i="5"/>
  <c r="K545" i="5"/>
  <c r="K544" i="5"/>
  <c r="K543" i="5"/>
  <c r="K542" i="5"/>
  <c r="K541" i="5"/>
  <c r="K540" i="5"/>
  <c r="K539" i="5"/>
  <c r="K538" i="5"/>
  <c r="K537" i="5"/>
  <c r="K536" i="5"/>
  <c r="K535" i="5"/>
  <c r="K534" i="5"/>
  <c r="K533" i="5"/>
  <c r="K532" i="5"/>
  <c r="K531" i="5"/>
  <c r="K530" i="5"/>
  <c r="K529" i="5"/>
  <c r="K528" i="5"/>
  <c r="K527" i="5"/>
  <c r="K526" i="5"/>
  <c r="K525" i="5"/>
  <c r="K524" i="5"/>
  <c r="K523" i="5"/>
  <c r="K522" i="5"/>
  <c r="K521" i="5"/>
  <c r="K520" i="5"/>
  <c r="K519" i="5"/>
  <c r="K518" i="5"/>
  <c r="K517" i="5"/>
  <c r="K516" i="5"/>
  <c r="K515" i="5"/>
  <c r="K514" i="5"/>
  <c r="K513" i="5"/>
  <c r="K512" i="5"/>
  <c r="K511" i="5"/>
  <c r="K510" i="5"/>
  <c r="K509" i="5"/>
  <c r="K508" i="5"/>
  <c r="K507" i="5"/>
  <c r="K506" i="5"/>
  <c r="K505" i="5"/>
  <c r="K504" i="5"/>
  <c r="K503" i="5"/>
  <c r="K502" i="5"/>
  <c r="K501" i="5"/>
  <c r="K500" i="5"/>
  <c r="K499" i="5"/>
  <c r="K498" i="5"/>
  <c r="K497" i="5"/>
  <c r="K496" i="5"/>
  <c r="K495" i="5"/>
  <c r="K494" i="5"/>
  <c r="K493" i="5"/>
  <c r="K492" i="5"/>
  <c r="K491" i="5"/>
  <c r="K490" i="5"/>
  <c r="K489" i="5"/>
  <c r="K488" i="5"/>
  <c r="K487" i="5"/>
  <c r="K486" i="5"/>
  <c r="K485" i="5"/>
  <c r="K484" i="5"/>
  <c r="K483" i="5"/>
  <c r="K482" i="5"/>
  <c r="K481" i="5"/>
  <c r="K480" i="5"/>
  <c r="K479" i="5"/>
  <c r="K478" i="5"/>
  <c r="K477" i="5"/>
  <c r="K476" i="5"/>
  <c r="K475" i="5"/>
  <c r="K474" i="5"/>
  <c r="K473" i="5"/>
  <c r="K472" i="5"/>
  <c r="K471" i="5"/>
  <c r="K470" i="5"/>
  <c r="K469" i="5"/>
  <c r="K468" i="5"/>
  <c r="K467" i="5"/>
  <c r="K466" i="5"/>
  <c r="K465" i="5"/>
  <c r="K464" i="5"/>
  <c r="K463" i="5"/>
  <c r="K462" i="5"/>
  <c r="K461" i="5"/>
  <c r="K460" i="5"/>
  <c r="K459" i="5"/>
  <c r="K458" i="5"/>
  <c r="K457" i="5"/>
  <c r="K456" i="5"/>
  <c r="K455" i="5"/>
  <c r="K454" i="5"/>
  <c r="K453" i="5"/>
  <c r="K452" i="5"/>
  <c r="K451" i="5"/>
  <c r="K450" i="5"/>
  <c r="K449" i="5"/>
  <c r="K448" i="5"/>
  <c r="K447" i="5"/>
  <c r="K446" i="5"/>
  <c r="K445" i="5"/>
  <c r="K444" i="5"/>
  <c r="K443" i="5"/>
  <c r="K442" i="5"/>
  <c r="K441" i="5"/>
  <c r="K440" i="5"/>
  <c r="K439" i="5"/>
  <c r="K438" i="5"/>
  <c r="K437" i="5"/>
  <c r="K436" i="5"/>
  <c r="K435" i="5"/>
  <c r="K434" i="5"/>
  <c r="K433" i="5"/>
  <c r="K432" i="5"/>
  <c r="K431" i="5"/>
  <c r="K430" i="5"/>
  <c r="K429" i="5"/>
  <c r="K428" i="5"/>
  <c r="K427" i="5"/>
  <c r="K426" i="5"/>
  <c r="K425" i="5"/>
  <c r="K424" i="5"/>
  <c r="K423" i="5"/>
  <c r="K422" i="5"/>
  <c r="K421" i="5"/>
  <c r="K420" i="5"/>
  <c r="K419" i="5"/>
  <c r="K418" i="5"/>
  <c r="K417" i="5"/>
  <c r="K416" i="5"/>
  <c r="K415" i="5"/>
  <c r="K414" i="5"/>
  <c r="K413" i="5"/>
  <c r="K412" i="5"/>
  <c r="K411" i="5"/>
  <c r="K410" i="5"/>
  <c r="K409" i="5"/>
  <c r="K408" i="5"/>
  <c r="K407" i="5"/>
  <c r="K406" i="5"/>
  <c r="K405" i="5"/>
  <c r="K404" i="5"/>
  <c r="K403" i="5"/>
  <c r="K402" i="5"/>
  <c r="K401" i="5"/>
  <c r="K400" i="5"/>
  <c r="K399" i="5"/>
  <c r="K398" i="5"/>
  <c r="K397" i="5"/>
  <c r="K396" i="5"/>
  <c r="K395" i="5"/>
  <c r="K394" i="5"/>
  <c r="K393" i="5"/>
  <c r="K392" i="5"/>
  <c r="K391" i="5"/>
  <c r="K390" i="5"/>
  <c r="K389" i="5"/>
  <c r="K388" i="5"/>
  <c r="K387" i="5"/>
  <c r="K386" i="5"/>
  <c r="K385" i="5"/>
  <c r="K384" i="5"/>
  <c r="K383" i="5"/>
  <c r="K382" i="5"/>
  <c r="K381" i="5"/>
  <c r="K380" i="5"/>
  <c r="K379" i="5"/>
  <c r="K378" i="5"/>
  <c r="K377" i="5"/>
  <c r="K376" i="5"/>
  <c r="K375" i="5"/>
  <c r="K374" i="5"/>
  <c r="K373" i="5"/>
  <c r="K372" i="5"/>
  <c r="K371" i="5"/>
  <c r="K370" i="5"/>
  <c r="K369" i="5"/>
  <c r="K368" i="5"/>
  <c r="K367" i="5"/>
  <c r="K366" i="5"/>
  <c r="K365" i="5"/>
  <c r="K364" i="5"/>
  <c r="K363" i="5"/>
  <c r="K362" i="5"/>
  <c r="K361" i="5"/>
  <c r="K360" i="5"/>
  <c r="K359" i="5"/>
  <c r="K358" i="5"/>
  <c r="K357" i="5"/>
  <c r="K356" i="5"/>
  <c r="K355" i="5"/>
  <c r="K354" i="5"/>
  <c r="K353" i="5"/>
  <c r="K352" i="5"/>
  <c r="K351" i="5"/>
  <c r="K350" i="5"/>
  <c r="K349" i="5"/>
  <c r="K348" i="5"/>
  <c r="K347" i="5"/>
  <c r="K346" i="5"/>
  <c r="K345" i="5"/>
  <c r="K344" i="5"/>
  <c r="K343" i="5"/>
  <c r="K342" i="5"/>
  <c r="K341" i="5"/>
  <c r="K340" i="5"/>
  <c r="K339" i="5"/>
  <c r="K338" i="5"/>
  <c r="K337" i="5"/>
  <c r="K336" i="5"/>
  <c r="K335" i="5"/>
  <c r="K334" i="5"/>
  <c r="K333" i="5"/>
  <c r="K332" i="5"/>
  <c r="K331" i="5"/>
  <c r="K330" i="5"/>
  <c r="K329" i="5"/>
  <c r="K328" i="5"/>
  <c r="K327" i="5"/>
  <c r="K326" i="5"/>
  <c r="K325" i="5"/>
  <c r="K324" i="5"/>
  <c r="K323" i="5"/>
  <c r="K322" i="5"/>
  <c r="K321" i="5"/>
  <c r="K320" i="5"/>
  <c r="K319" i="5"/>
  <c r="K318" i="5"/>
  <c r="K317" i="5"/>
  <c r="K316" i="5"/>
  <c r="K315" i="5"/>
  <c r="K314" i="5"/>
  <c r="K313" i="5"/>
  <c r="K312" i="5"/>
  <c r="K311" i="5"/>
  <c r="K310" i="5"/>
  <c r="K309" i="5"/>
  <c r="K308" i="5"/>
  <c r="K307" i="5"/>
  <c r="K306" i="5"/>
  <c r="K305" i="5"/>
  <c r="K304" i="5"/>
  <c r="K303" i="5"/>
  <c r="K302" i="5"/>
  <c r="K301" i="5"/>
  <c r="K300" i="5"/>
  <c r="K299" i="5"/>
  <c r="K298" i="5"/>
  <c r="K297" i="5"/>
  <c r="K296" i="5"/>
  <c r="K295" i="5"/>
  <c r="K294" i="5"/>
  <c r="K293" i="5"/>
  <c r="K292" i="5"/>
  <c r="K291" i="5"/>
  <c r="K290" i="5"/>
  <c r="K289" i="5"/>
  <c r="K288" i="5"/>
  <c r="K287" i="5"/>
  <c r="K286" i="5"/>
  <c r="K285" i="5"/>
  <c r="K284" i="5"/>
  <c r="K283" i="5"/>
  <c r="K282" i="5"/>
  <c r="K281" i="5"/>
  <c r="K280" i="5"/>
  <c r="K279" i="5"/>
  <c r="K278" i="5"/>
  <c r="K277" i="5"/>
  <c r="K276" i="5"/>
  <c r="K275" i="5"/>
  <c r="K274" i="5"/>
  <c r="K273" i="5"/>
  <c r="K272" i="5"/>
  <c r="K271" i="5"/>
  <c r="K270" i="5"/>
  <c r="K269" i="5"/>
  <c r="K268" i="5"/>
  <c r="K267" i="5"/>
  <c r="K266" i="5"/>
  <c r="K265" i="5"/>
  <c r="K264" i="5"/>
  <c r="K263" i="5"/>
  <c r="K262" i="5"/>
  <c r="K261" i="5"/>
  <c r="K260" i="5"/>
  <c r="K259" i="5"/>
  <c r="K258" i="5"/>
  <c r="K257" i="5"/>
  <c r="K256" i="5"/>
  <c r="K255" i="5"/>
  <c r="K254" i="5"/>
  <c r="K253" i="5"/>
  <c r="K252" i="5"/>
  <c r="K251" i="5"/>
  <c r="K250" i="5"/>
  <c r="K249" i="5"/>
  <c r="K248" i="5"/>
  <c r="K247" i="5"/>
  <c r="K246" i="5"/>
  <c r="K245" i="5"/>
  <c r="K244" i="5"/>
  <c r="K243" i="5"/>
  <c r="K242" i="5"/>
  <c r="K241" i="5"/>
  <c r="K240" i="5"/>
  <c r="K239" i="5"/>
  <c r="K238" i="5"/>
  <c r="K237" i="5"/>
  <c r="K236" i="5"/>
  <c r="K235" i="5"/>
  <c r="K234" i="5"/>
  <c r="K233" i="5"/>
  <c r="K232" i="5"/>
  <c r="K231" i="5"/>
  <c r="K230" i="5"/>
  <c r="K229" i="5"/>
  <c r="K228" i="5"/>
  <c r="K227" i="5"/>
  <c r="K226" i="5"/>
  <c r="K225" i="5"/>
  <c r="K224" i="5"/>
  <c r="K223" i="5"/>
  <c r="K222" i="5"/>
  <c r="K221" i="5"/>
  <c r="K220" i="5"/>
  <c r="K219" i="5"/>
  <c r="K218" i="5"/>
  <c r="K217" i="5"/>
  <c r="K216" i="5"/>
  <c r="K215" i="5"/>
  <c r="K214" i="5"/>
  <c r="K213" i="5"/>
  <c r="K212" i="5"/>
  <c r="K211" i="5"/>
  <c r="K210" i="5"/>
  <c r="K209" i="5"/>
  <c r="K208" i="5"/>
  <c r="K207" i="5"/>
  <c r="K206" i="5"/>
  <c r="K205" i="5"/>
  <c r="K204" i="5"/>
  <c r="K203" i="5"/>
  <c r="K202" i="5"/>
  <c r="K201" i="5"/>
  <c r="K200" i="5"/>
  <c r="K199" i="5"/>
  <c r="K198" i="5"/>
  <c r="K197" i="5"/>
  <c r="K196" i="5"/>
  <c r="K195" i="5"/>
  <c r="K194" i="5"/>
  <c r="K193" i="5"/>
  <c r="K192" i="5"/>
  <c r="K191" i="5"/>
  <c r="K190" i="5"/>
  <c r="K189" i="5"/>
  <c r="K188" i="5"/>
  <c r="K187" i="5"/>
  <c r="K186" i="5"/>
  <c r="K185" i="5"/>
  <c r="K184" i="5"/>
  <c r="K183" i="5"/>
  <c r="K182" i="5"/>
  <c r="K181" i="5"/>
  <c r="K180" i="5"/>
  <c r="K179" i="5"/>
  <c r="K178" i="5"/>
  <c r="K177" i="5"/>
  <c r="K176" i="5"/>
  <c r="K175" i="5"/>
  <c r="K174" i="5"/>
  <c r="K173" i="5"/>
  <c r="K172" i="5"/>
  <c r="K171" i="5"/>
  <c r="K170" i="5"/>
  <c r="K169" i="5"/>
  <c r="K168" i="5"/>
  <c r="K167" i="5"/>
  <c r="K166" i="5"/>
  <c r="K165" i="5"/>
  <c r="K164" i="5"/>
  <c r="K163" i="5"/>
  <c r="K162" i="5"/>
  <c r="K161" i="5"/>
  <c r="K160" i="5"/>
  <c r="K159" i="5"/>
  <c r="K158" i="5"/>
  <c r="K157" i="5"/>
  <c r="K156" i="5"/>
  <c r="K155" i="5"/>
  <c r="K154" i="5"/>
  <c r="K153" i="5"/>
  <c r="K152" i="5"/>
  <c r="K151" i="5"/>
  <c r="K150" i="5"/>
  <c r="K149" i="5"/>
  <c r="K148" i="5"/>
  <c r="K147" i="5"/>
  <c r="K146" i="5"/>
  <c r="K145" i="5"/>
  <c r="K144" i="5"/>
  <c r="K143" i="5"/>
  <c r="K142" i="5"/>
  <c r="K141" i="5"/>
  <c r="K140" i="5"/>
  <c r="K139" i="5"/>
  <c r="K138" i="5"/>
  <c r="K137" i="5"/>
  <c r="K136" i="5"/>
  <c r="K135" i="5"/>
  <c r="K134" i="5"/>
  <c r="K133" i="5"/>
  <c r="K132" i="5"/>
  <c r="K131" i="5"/>
  <c r="K130" i="5"/>
  <c r="K129" i="5"/>
  <c r="K128" i="5"/>
  <c r="K127" i="5"/>
  <c r="K126" i="5"/>
  <c r="K125" i="5"/>
  <c r="K124" i="5"/>
  <c r="K123" i="5"/>
  <c r="K122" i="5"/>
  <c r="K121" i="5"/>
  <c r="K120" i="5"/>
  <c r="K119" i="5"/>
  <c r="K118" i="5"/>
  <c r="K117" i="5"/>
  <c r="K116" i="5"/>
  <c r="K115" i="5"/>
  <c r="K114" i="5"/>
  <c r="K113" i="5"/>
  <c r="K112" i="5"/>
  <c r="K111" i="5"/>
  <c r="K110" i="5"/>
  <c r="K109" i="5"/>
  <c r="K108" i="5"/>
  <c r="K107" i="5"/>
  <c r="K106" i="5"/>
  <c r="K105" i="5"/>
  <c r="K104" i="5"/>
  <c r="K103" i="5"/>
  <c r="K102" i="5"/>
  <c r="K101" i="5"/>
  <c r="K100" i="5"/>
  <c r="K99" i="5"/>
  <c r="K98" i="5"/>
  <c r="K97" i="5"/>
  <c r="K96" i="5"/>
  <c r="K95" i="5"/>
  <c r="K94" i="5"/>
  <c r="K93" i="5"/>
  <c r="K92" i="5"/>
  <c r="K91" i="5"/>
  <c r="K90" i="5"/>
  <c r="K89" i="5"/>
  <c r="K88" i="5"/>
  <c r="K87" i="5"/>
  <c r="K86" i="5"/>
  <c r="K85" i="5"/>
  <c r="K84" i="5"/>
  <c r="K83" i="5"/>
  <c r="K82" i="5"/>
  <c r="K81" i="5"/>
  <c r="K80" i="5"/>
  <c r="K79" i="5"/>
  <c r="K78" i="5"/>
  <c r="K77" i="5"/>
  <c r="K76" i="5"/>
  <c r="K75" i="5"/>
  <c r="K74" i="5"/>
  <c r="K73" i="5"/>
  <c r="K72" i="5"/>
  <c r="K71" i="5"/>
  <c r="K70" i="5"/>
  <c r="K69" i="5"/>
  <c r="K68" i="5"/>
  <c r="K67" i="5"/>
  <c r="K66" i="5"/>
  <c r="K65" i="5"/>
  <c r="K64" i="5"/>
  <c r="K63" i="5"/>
  <c r="K62" i="5"/>
  <c r="K61" i="5"/>
  <c r="K60" i="5"/>
  <c r="K59" i="5"/>
  <c r="K58" i="5"/>
  <c r="K57" i="5"/>
  <c r="K56" i="5"/>
  <c r="K55" i="5"/>
  <c r="K54" i="5"/>
  <c r="K53" i="5"/>
  <c r="K52" i="5"/>
  <c r="K51" i="5"/>
  <c r="K50" i="5"/>
  <c r="K49" i="5"/>
  <c r="K48" i="5"/>
  <c r="K47" i="5"/>
  <c r="K46" i="5"/>
  <c r="K45" i="5"/>
  <c r="K44" i="5"/>
  <c r="K43" i="5"/>
  <c r="K42" i="5"/>
  <c r="K41" i="5"/>
  <c r="K40" i="5"/>
  <c r="K39" i="5"/>
  <c r="K38" i="5"/>
  <c r="K37" i="5"/>
  <c r="K36" i="5"/>
  <c r="K35" i="5"/>
  <c r="K34" i="5"/>
  <c r="K33" i="5"/>
  <c r="K32" i="5"/>
  <c r="K31" i="5"/>
  <c r="K30" i="5"/>
  <c r="K29" i="5"/>
  <c r="K28" i="5"/>
  <c r="K27" i="5"/>
  <c r="K26" i="5"/>
  <c r="K25" i="5"/>
  <c r="K24" i="5"/>
  <c r="K23" i="5"/>
  <c r="K22" i="5"/>
  <c r="K21" i="5"/>
  <c r="K20" i="5"/>
  <c r="K19" i="5"/>
  <c r="K18" i="5"/>
  <c r="K17" i="5"/>
  <c r="K16" i="5"/>
  <c r="K15" i="5"/>
  <c r="K14" i="5"/>
  <c r="K13" i="5"/>
  <c r="K12" i="5"/>
  <c r="K11" i="5"/>
  <c r="K10" i="5"/>
  <c r="K9" i="5"/>
  <c r="K8" i="5"/>
  <c r="K7" i="5"/>
  <c r="K6" i="5"/>
  <c r="K5" i="5"/>
  <c r="K4" i="5"/>
  <c r="K3" i="5"/>
  <c r="BJ568" i="5" l="1"/>
  <c r="BK568" i="5" s="1"/>
  <c r="BJ567" i="5"/>
  <c r="BK567" i="5" s="1"/>
  <c r="BJ566" i="5"/>
  <c r="BK566" i="5" s="1"/>
  <c r="BJ565" i="5"/>
  <c r="BK565" i="5" s="1"/>
  <c r="BJ564" i="5"/>
  <c r="BK564" i="5" s="1"/>
  <c r="BJ563" i="5"/>
  <c r="BK563" i="5" s="1"/>
  <c r="BJ562" i="5"/>
  <c r="BK562" i="5" s="1"/>
  <c r="BJ561" i="5"/>
  <c r="BK561" i="5" s="1"/>
  <c r="BJ560" i="5"/>
  <c r="BK560" i="5" s="1"/>
  <c r="BJ559" i="5"/>
  <c r="BK559" i="5" s="1"/>
  <c r="BJ558" i="5"/>
  <c r="BK558" i="5" s="1"/>
  <c r="BJ557" i="5"/>
  <c r="BK557" i="5" s="1"/>
  <c r="BJ556" i="5"/>
  <c r="BK556" i="5" s="1"/>
  <c r="BJ555" i="5"/>
  <c r="BK555" i="5" s="1"/>
  <c r="BJ554" i="5"/>
  <c r="BK554" i="5" s="1"/>
  <c r="BJ553" i="5"/>
  <c r="BK553" i="5" s="1"/>
  <c r="BJ552" i="5"/>
  <c r="BK552" i="5" s="1"/>
  <c r="BJ551" i="5"/>
  <c r="BK551" i="5" s="1"/>
  <c r="BJ550" i="5"/>
  <c r="BK550" i="5" s="1"/>
  <c r="BJ549" i="5"/>
  <c r="BK549" i="5" s="1"/>
  <c r="BJ548" i="5"/>
  <c r="BK548" i="5" s="1"/>
  <c r="BJ547" i="5"/>
  <c r="BK547" i="5" s="1"/>
  <c r="BJ546" i="5"/>
  <c r="BK546" i="5" s="1"/>
  <c r="BJ545" i="5"/>
  <c r="BK545" i="5" s="1"/>
  <c r="BJ544" i="5"/>
  <c r="BK544" i="5" s="1"/>
  <c r="BJ543" i="5"/>
  <c r="BK543" i="5" s="1"/>
  <c r="BJ542" i="5"/>
  <c r="BK542" i="5" s="1"/>
  <c r="BJ541" i="5"/>
  <c r="BK541" i="5" s="1"/>
  <c r="BJ540" i="5"/>
  <c r="BK540" i="5" s="1"/>
  <c r="BJ539" i="5"/>
  <c r="BK539" i="5" s="1"/>
  <c r="BJ538" i="5"/>
  <c r="BK538" i="5" s="1"/>
  <c r="BJ537" i="5"/>
  <c r="BK537" i="5" s="1"/>
  <c r="BJ536" i="5"/>
  <c r="BK536" i="5" s="1"/>
  <c r="BJ535" i="5"/>
  <c r="BK535" i="5" s="1"/>
  <c r="BJ534" i="5"/>
  <c r="BK534" i="5" s="1"/>
  <c r="BJ533" i="5"/>
  <c r="BK533" i="5" s="1"/>
  <c r="BJ532" i="5"/>
  <c r="BK532" i="5" s="1"/>
  <c r="BJ531" i="5"/>
  <c r="BK531" i="5" s="1"/>
  <c r="BJ530" i="5"/>
  <c r="BK530" i="5" s="1"/>
  <c r="BJ529" i="5"/>
  <c r="BK529" i="5" s="1"/>
  <c r="BJ528" i="5"/>
  <c r="BK528" i="5" s="1"/>
  <c r="BJ527" i="5"/>
  <c r="BK527" i="5" s="1"/>
  <c r="BJ526" i="5"/>
  <c r="BK526" i="5" s="1"/>
  <c r="BJ525" i="5"/>
  <c r="BK525" i="5" s="1"/>
  <c r="BJ524" i="5"/>
  <c r="BK524" i="5" s="1"/>
  <c r="BJ523" i="5"/>
  <c r="BK523" i="5" s="1"/>
  <c r="BJ522" i="5"/>
  <c r="BK522" i="5" s="1"/>
  <c r="BJ521" i="5"/>
  <c r="BK521" i="5" s="1"/>
  <c r="BJ520" i="5"/>
  <c r="BK520" i="5" s="1"/>
  <c r="BJ519" i="5"/>
  <c r="BK519" i="5" s="1"/>
  <c r="BJ518" i="5"/>
  <c r="BK518" i="5" s="1"/>
  <c r="BJ517" i="5"/>
  <c r="BK517" i="5" s="1"/>
  <c r="BJ516" i="5"/>
  <c r="BK516" i="5" s="1"/>
  <c r="BJ515" i="5"/>
  <c r="BK515" i="5" s="1"/>
  <c r="BJ514" i="5"/>
  <c r="BK514" i="5" s="1"/>
  <c r="BJ513" i="5"/>
  <c r="BK513" i="5" s="1"/>
  <c r="BJ512" i="5"/>
  <c r="BK512" i="5" s="1"/>
  <c r="BJ511" i="5"/>
  <c r="BK511" i="5" s="1"/>
  <c r="BJ510" i="5"/>
  <c r="BK510" i="5" s="1"/>
  <c r="BJ509" i="5"/>
  <c r="BK509" i="5" s="1"/>
  <c r="BJ508" i="5"/>
  <c r="BK508" i="5" s="1"/>
  <c r="BJ507" i="5"/>
  <c r="BK507" i="5" s="1"/>
  <c r="BJ506" i="5"/>
  <c r="BK506" i="5" s="1"/>
  <c r="BJ505" i="5"/>
  <c r="BK505" i="5" s="1"/>
  <c r="BJ504" i="5"/>
  <c r="BK504" i="5" s="1"/>
  <c r="BJ503" i="5"/>
  <c r="BK503" i="5" s="1"/>
  <c r="BJ502" i="5"/>
  <c r="BK502" i="5" s="1"/>
  <c r="BJ501" i="5"/>
  <c r="BK501" i="5" s="1"/>
  <c r="BJ500" i="5"/>
  <c r="BK500" i="5" s="1"/>
  <c r="BJ499" i="5"/>
  <c r="BK499" i="5" s="1"/>
  <c r="BJ498" i="5"/>
  <c r="BK498" i="5" s="1"/>
  <c r="BJ497" i="5"/>
  <c r="BK497" i="5" s="1"/>
  <c r="BJ496" i="5"/>
  <c r="BK496" i="5" s="1"/>
  <c r="BJ495" i="5"/>
  <c r="BK495" i="5" s="1"/>
  <c r="BJ494" i="5"/>
  <c r="BK494" i="5" s="1"/>
  <c r="BJ493" i="5"/>
  <c r="BK493" i="5" s="1"/>
  <c r="BJ492" i="5"/>
  <c r="BK492" i="5" s="1"/>
  <c r="BJ491" i="5"/>
  <c r="BK491" i="5" s="1"/>
  <c r="BJ490" i="5"/>
  <c r="BK490" i="5" s="1"/>
  <c r="BJ489" i="5"/>
  <c r="BK489" i="5" s="1"/>
  <c r="BJ488" i="5"/>
  <c r="BK488" i="5" s="1"/>
  <c r="BJ487" i="5"/>
  <c r="BK487" i="5" s="1"/>
  <c r="BJ486" i="5"/>
  <c r="BK486" i="5" s="1"/>
  <c r="BJ485" i="5"/>
  <c r="BK485" i="5" s="1"/>
  <c r="BJ484" i="5"/>
  <c r="BK484" i="5" s="1"/>
  <c r="BJ483" i="5"/>
  <c r="BK483" i="5" s="1"/>
  <c r="BJ482" i="5"/>
  <c r="BK482" i="5" s="1"/>
  <c r="BJ481" i="5"/>
  <c r="BK481" i="5" s="1"/>
  <c r="BJ480" i="5"/>
  <c r="BK480" i="5" s="1"/>
  <c r="BJ479" i="5"/>
  <c r="BK479" i="5" s="1"/>
  <c r="BJ478" i="5"/>
  <c r="BK478" i="5" s="1"/>
  <c r="BJ477" i="5"/>
  <c r="BK477" i="5" s="1"/>
  <c r="BJ476" i="5"/>
  <c r="BK476" i="5" s="1"/>
  <c r="BJ475" i="5"/>
  <c r="BK475" i="5" s="1"/>
  <c r="BJ474" i="5"/>
  <c r="BK474" i="5" s="1"/>
  <c r="BJ473" i="5"/>
  <c r="BK473" i="5" s="1"/>
  <c r="BJ472" i="5"/>
  <c r="BK472" i="5" s="1"/>
  <c r="BJ471" i="5"/>
  <c r="BK471" i="5" s="1"/>
  <c r="BJ470" i="5"/>
  <c r="BK470" i="5" s="1"/>
  <c r="BJ469" i="5"/>
  <c r="BK469" i="5" s="1"/>
  <c r="BJ468" i="5"/>
  <c r="BK468" i="5" s="1"/>
  <c r="BJ467" i="5"/>
  <c r="BK467" i="5" s="1"/>
  <c r="BJ466" i="5"/>
  <c r="BK466" i="5" s="1"/>
  <c r="BJ465" i="5"/>
  <c r="BK465" i="5" s="1"/>
  <c r="BJ464" i="5"/>
  <c r="BK464" i="5" s="1"/>
  <c r="BJ463" i="5"/>
  <c r="BK463" i="5" s="1"/>
  <c r="BJ462" i="5"/>
  <c r="BK462" i="5" s="1"/>
  <c r="BJ461" i="5"/>
  <c r="BK461" i="5" s="1"/>
  <c r="BJ460" i="5"/>
  <c r="BK460" i="5" s="1"/>
  <c r="BJ459" i="5"/>
  <c r="BK459" i="5" s="1"/>
  <c r="BJ458" i="5"/>
  <c r="BK458" i="5" s="1"/>
  <c r="BJ457" i="5"/>
  <c r="BK457" i="5" s="1"/>
  <c r="BJ456" i="5"/>
  <c r="BK456" i="5" s="1"/>
  <c r="BJ455" i="5"/>
  <c r="BK455" i="5" s="1"/>
  <c r="BJ454" i="5"/>
  <c r="BK454" i="5" s="1"/>
  <c r="BJ453" i="5"/>
  <c r="BK453" i="5" s="1"/>
  <c r="BJ452" i="5"/>
  <c r="BK452" i="5" s="1"/>
  <c r="BJ451" i="5"/>
  <c r="BK451" i="5" s="1"/>
  <c r="BJ450" i="5"/>
  <c r="BK450" i="5" s="1"/>
  <c r="BJ449" i="5"/>
  <c r="BK449" i="5" s="1"/>
  <c r="BJ448" i="5"/>
  <c r="BK448" i="5" s="1"/>
  <c r="BJ447" i="5"/>
  <c r="BK447" i="5" s="1"/>
  <c r="BJ446" i="5"/>
  <c r="BK446" i="5" s="1"/>
  <c r="BJ445" i="5"/>
  <c r="BK445" i="5" s="1"/>
  <c r="BJ444" i="5"/>
  <c r="BK444" i="5" s="1"/>
  <c r="BJ443" i="5"/>
  <c r="BK443" i="5" s="1"/>
  <c r="BJ442" i="5"/>
  <c r="BK442" i="5" s="1"/>
  <c r="BJ441" i="5"/>
  <c r="BK441" i="5" s="1"/>
  <c r="BJ440" i="5"/>
  <c r="BK440" i="5" s="1"/>
  <c r="BJ439" i="5"/>
  <c r="BK439" i="5" s="1"/>
  <c r="BJ438" i="5"/>
  <c r="BK438" i="5" s="1"/>
  <c r="BJ437" i="5"/>
  <c r="BK437" i="5" s="1"/>
  <c r="BJ436" i="5"/>
  <c r="BK436" i="5" s="1"/>
  <c r="BJ435" i="5"/>
  <c r="BK435" i="5" s="1"/>
  <c r="BJ434" i="5"/>
  <c r="BK434" i="5" s="1"/>
  <c r="BJ433" i="5"/>
  <c r="BK433" i="5" s="1"/>
  <c r="BJ432" i="5"/>
  <c r="BK432" i="5" s="1"/>
  <c r="BJ431" i="5"/>
  <c r="BK431" i="5" s="1"/>
  <c r="BJ430" i="5"/>
  <c r="BK430" i="5" s="1"/>
  <c r="BJ429" i="5"/>
  <c r="BK429" i="5" s="1"/>
  <c r="BJ428" i="5"/>
  <c r="BK428" i="5" s="1"/>
  <c r="BJ427" i="5"/>
  <c r="BK427" i="5" s="1"/>
  <c r="BJ426" i="5"/>
  <c r="BK426" i="5" s="1"/>
  <c r="BJ425" i="5"/>
  <c r="BK425" i="5" s="1"/>
  <c r="BJ424" i="5"/>
  <c r="BK424" i="5" s="1"/>
  <c r="BJ423" i="5"/>
  <c r="BK423" i="5" s="1"/>
  <c r="BJ422" i="5"/>
  <c r="BK422" i="5" s="1"/>
  <c r="BJ421" i="5"/>
  <c r="BK421" i="5" s="1"/>
  <c r="BJ420" i="5"/>
  <c r="BK420" i="5" s="1"/>
  <c r="BJ419" i="5"/>
  <c r="BK419" i="5" s="1"/>
  <c r="BJ418" i="5"/>
  <c r="BK418" i="5" s="1"/>
  <c r="BJ417" i="5"/>
  <c r="BK417" i="5" s="1"/>
  <c r="BJ416" i="5"/>
  <c r="BK416" i="5" s="1"/>
  <c r="BJ415" i="5"/>
  <c r="BK415" i="5" s="1"/>
  <c r="BJ414" i="5"/>
  <c r="BK414" i="5" s="1"/>
  <c r="BJ413" i="5"/>
  <c r="BK413" i="5" s="1"/>
  <c r="BJ412" i="5"/>
  <c r="BK412" i="5" s="1"/>
  <c r="BJ411" i="5"/>
  <c r="BK411" i="5" s="1"/>
  <c r="BJ410" i="5"/>
  <c r="BK410" i="5" s="1"/>
  <c r="BJ409" i="5"/>
  <c r="BK409" i="5" s="1"/>
  <c r="BJ408" i="5"/>
  <c r="BK408" i="5" s="1"/>
  <c r="BJ407" i="5"/>
  <c r="BK407" i="5" s="1"/>
  <c r="BJ406" i="5"/>
  <c r="BK406" i="5" s="1"/>
  <c r="BJ405" i="5"/>
  <c r="BK405" i="5" s="1"/>
  <c r="BJ404" i="5"/>
  <c r="BK404" i="5" s="1"/>
  <c r="BJ403" i="5"/>
  <c r="BK403" i="5" s="1"/>
  <c r="BJ402" i="5"/>
  <c r="BK402" i="5" s="1"/>
  <c r="BJ401" i="5"/>
  <c r="BK401" i="5" s="1"/>
  <c r="BJ400" i="5"/>
  <c r="BK400" i="5" s="1"/>
  <c r="BJ399" i="5"/>
  <c r="BK399" i="5" s="1"/>
  <c r="BJ398" i="5"/>
  <c r="BK398" i="5" s="1"/>
  <c r="BJ397" i="5"/>
  <c r="BK397" i="5" s="1"/>
  <c r="BJ396" i="5"/>
  <c r="BK396" i="5" s="1"/>
  <c r="BJ395" i="5"/>
  <c r="BK395" i="5" s="1"/>
  <c r="BJ394" i="5"/>
  <c r="BK394" i="5" s="1"/>
  <c r="BJ393" i="5"/>
  <c r="BK393" i="5" s="1"/>
  <c r="BJ392" i="5"/>
  <c r="BK392" i="5" s="1"/>
  <c r="BJ391" i="5"/>
  <c r="BK391" i="5" s="1"/>
  <c r="BJ390" i="5"/>
  <c r="BK390" i="5" s="1"/>
  <c r="BJ389" i="5"/>
  <c r="BK389" i="5" s="1"/>
  <c r="BJ388" i="5"/>
  <c r="BK388" i="5" s="1"/>
  <c r="BJ387" i="5"/>
  <c r="BK387" i="5" s="1"/>
  <c r="BJ386" i="5"/>
  <c r="BK386" i="5" s="1"/>
  <c r="BJ385" i="5"/>
  <c r="BK385" i="5" s="1"/>
  <c r="BJ384" i="5"/>
  <c r="BK384" i="5" s="1"/>
  <c r="BJ383" i="5"/>
  <c r="BK383" i="5" s="1"/>
  <c r="BJ382" i="5"/>
  <c r="BK382" i="5" s="1"/>
  <c r="BJ381" i="5"/>
  <c r="BK381" i="5" s="1"/>
  <c r="BJ380" i="5"/>
  <c r="BK380" i="5" s="1"/>
  <c r="BJ379" i="5"/>
  <c r="BK379" i="5" s="1"/>
  <c r="BJ378" i="5"/>
  <c r="BK378" i="5" s="1"/>
  <c r="BJ377" i="5"/>
  <c r="BK377" i="5" s="1"/>
  <c r="BJ376" i="5"/>
  <c r="BK376" i="5" s="1"/>
  <c r="BJ375" i="5"/>
  <c r="BK375" i="5" s="1"/>
  <c r="BJ374" i="5"/>
  <c r="BK374" i="5" s="1"/>
  <c r="BJ373" i="5"/>
  <c r="BK373" i="5" s="1"/>
  <c r="BJ372" i="5"/>
  <c r="BK372" i="5" s="1"/>
  <c r="BJ371" i="5"/>
  <c r="BK371" i="5" s="1"/>
  <c r="BJ370" i="5"/>
  <c r="BK370" i="5" s="1"/>
  <c r="BJ369" i="5"/>
  <c r="BK369" i="5" s="1"/>
  <c r="BJ368" i="5"/>
  <c r="BK368" i="5" s="1"/>
  <c r="BJ367" i="5"/>
  <c r="BK367" i="5" s="1"/>
  <c r="BJ366" i="5"/>
  <c r="BK366" i="5" s="1"/>
  <c r="BJ365" i="5"/>
  <c r="BK365" i="5" s="1"/>
  <c r="BJ364" i="5"/>
  <c r="BK364" i="5" s="1"/>
  <c r="BJ363" i="5"/>
  <c r="BK363" i="5" s="1"/>
  <c r="BJ362" i="5"/>
  <c r="BK362" i="5" s="1"/>
  <c r="BJ361" i="5"/>
  <c r="BK361" i="5" s="1"/>
  <c r="BJ360" i="5"/>
  <c r="BK360" i="5" s="1"/>
  <c r="BJ359" i="5"/>
  <c r="BK359" i="5" s="1"/>
  <c r="BJ358" i="5"/>
  <c r="BK358" i="5" s="1"/>
  <c r="BJ357" i="5"/>
  <c r="BK357" i="5" s="1"/>
  <c r="BJ356" i="5"/>
  <c r="BK356" i="5" s="1"/>
  <c r="BJ355" i="5"/>
  <c r="BK355" i="5" s="1"/>
  <c r="BJ354" i="5"/>
  <c r="BK354" i="5" s="1"/>
  <c r="BJ353" i="5"/>
  <c r="BK353" i="5" s="1"/>
  <c r="BJ352" i="5"/>
  <c r="BK352" i="5" s="1"/>
  <c r="BJ351" i="5"/>
  <c r="BK351" i="5" s="1"/>
  <c r="BJ350" i="5"/>
  <c r="BK350" i="5" s="1"/>
  <c r="BJ349" i="5"/>
  <c r="BK349" i="5" s="1"/>
  <c r="BJ348" i="5"/>
  <c r="BK348" i="5" s="1"/>
  <c r="BJ347" i="5"/>
  <c r="BK347" i="5" s="1"/>
  <c r="BJ346" i="5"/>
  <c r="BK346" i="5" s="1"/>
  <c r="BJ345" i="5"/>
  <c r="BK345" i="5" s="1"/>
  <c r="BJ344" i="5"/>
  <c r="BK344" i="5" s="1"/>
  <c r="BJ343" i="5"/>
  <c r="BK343" i="5" s="1"/>
  <c r="BJ342" i="5"/>
  <c r="BK342" i="5" s="1"/>
  <c r="BJ341" i="5"/>
  <c r="BK341" i="5" s="1"/>
  <c r="BJ340" i="5"/>
  <c r="BK340" i="5" s="1"/>
  <c r="BJ339" i="5"/>
  <c r="BK339" i="5" s="1"/>
  <c r="BJ338" i="5"/>
  <c r="BK338" i="5" s="1"/>
  <c r="BJ337" i="5"/>
  <c r="BK337" i="5" s="1"/>
  <c r="BJ336" i="5"/>
  <c r="BK336" i="5" s="1"/>
  <c r="BJ335" i="5"/>
  <c r="BK335" i="5" s="1"/>
  <c r="BJ334" i="5"/>
  <c r="BK334" i="5" s="1"/>
  <c r="BJ333" i="5"/>
  <c r="BK333" i="5" s="1"/>
  <c r="BJ332" i="5"/>
  <c r="BK332" i="5" s="1"/>
  <c r="BJ331" i="5"/>
  <c r="BK331" i="5" s="1"/>
  <c r="BJ330" i="5"/>
  <c r="BK330" i="5" s="1"/>
  <c r="BJ329" i="5"/>
  <c r="BK329" i="5" s="1"/>
  <c r="BJ328" i="5"/>
  <c r="BK328" i="5" s="1"/>
  <c r="BJ327" i="5"/>
  <c r="BK327" i="5" s="1"/>
  <c r="BJ326" i="5"/>
  <c r="BK326" i="5" s="1"/>
  <c r="BJ325" i="5"/>
  <c r="BK325" i="5" s="1"/>
  <c r="BJ324" i="5"/>
  <c r="BK324" i="5" s="1"/>
  <c r="BJ323" i="5"/>
  <c r="BK323" i="5" s="1"/>
  <c r="BJ322" i="5"/>
  <c r="BK322" i="5" s="1"/>
  <c r="BJ321" i="5"/>
  <c r="BK321" i="5" s="1"/>
  <c r="BJ320" i="5"/>
  <c r="BK320" i="5" s="1"/>
  <c r="BJ319" i="5"/>
  <c r="BK319" i="5" s="1"/>
  <c r="BJ318" i="5"/>
  <c r="BK318" i="5" s="1"/>
  <c r="BJ317" i="5"/>
  <c r="BK317" i="5" s="1"/>
  <c r="BJ316" i="5"/>
  <c r="BK316" i="5" s="1"/>
  <c r="BJ315" i="5"/>
  <c r="BK315" i="5" s="1"/>
  <c r="BJ314" i="5"/>
  <c r="BK314" i="5" s="1"/>
  <c r="BJ313" i="5"/>
  <c r="BK313" i="5" s="1"/>
  <c r="BJ312" i="5"/>
  <c r="BK312" i="5" s="1"/>
  <c r="BJ311" i="5"/>
  <c r="BK311" i="5" s="1"/>
  <c r="BJ310" i="5"/>
  <c r="BK310" i="5" s="1"/>
  <c r="BJ309" i="5"/>
  <c r="BK309" i="5" s="1"/>
  <c r="BJ308" i="5"/>
  <c r="BK308" i="5" s="1"/>
  <c r="BJ307" i="5"/>
  <c r="BK307" i="5" s="1"/>
  <c r="BJ306" i="5"/>
  <c r="BK306" i="5" s="1"/>
  <c r="BJ305" i="5"/>
  <c r="BK305" i="5" s="1"/>
  <c r="BJ304" i="5"/>
  <c r="BK304" i="5" s="1"/>
  <c r="BJ303" i="5"/>
  <c r="BK303" i="5" s="1"/>
  <c r="BJ302" i="5"/>
  <c r="BK302" i="5" s="1"/>
  <c r="BJ301" i="5"/>
  <c r="BK301" i="5" s="1"/>
  <c r="BJ300" i="5"/>
  <c r="BK300" i="5" s="1"/>
  <c r="BJ299" i="5"/>
  <c r="BK299" i="5" s="1"/>
  <c r="BJ298" i="5"/>
  <c r="BK298" i="5" s="1"/>
  <c r="BJ297" i="5"/>
  <c r="BK297" i="5" s="1"/>
  <c r="BJ296" i="5"/>
  <c r="BK296" i="5" s="1"/>
  <c r="BJ295" i="5"/>
  <c r="BK295" i="5" s="1"/>
  <c r="BJ294" i="5"/>
  <c r="BK294" i="5" s="1"/>
  <c r="BJ293" i="5"/>
  <c r="BK293" i="5" s="1"/>
  <c r="BJ292" i="5"/>
  <c r="BK292" i="5" s="1"/>
  <c r="BJ291" i="5"/>
  <c r="BK291" i="5" s="1"/>
  <c r="BJ290" i="5"/>
  <c r="BK290" i="5" s="1"/>
  <c r="BJ289" i="5"/>
  <c r="BK289" i="5" s="1"/>
  <c r="BJ288" i="5"/>
  <c r="BK288" i="5" s="1"/>
  <c r="BJ287" i="5"/>
  <c r="BK287" i="5" s="1"/>
  <c r="BJ286" i="5"/>
  <c r="BK286" i="5" s="1"/>
  <c r="BJ285" i="5"/>
  <c r="BK285" i="5" s="1"/>
  <c r="BJ284" i="5"/>
  <c r="BK284" i="5" s="1"/>
  <c r="BJ283" i="5"/>
  <c r="BK283" i="5" s="1"/>
  <c r="BJ282" i="5"/>
  <c r="BK282" i="5" s="1"/>
  <c r="BJ281" i="5"/>
  <c r="BK281" i="5" s="1"/>
  <c r="BJ280" i="5"/>
  <c r="BK280" i="5" s="1"/>
  <c r="BJ279" i="5"/>
  <c r="BK279" i="5" s="1"/>
  <c r="BJ278" i="5"/>
  <c r="BK278" i="5" s="1"/>
  <c r="BJ277" i="5"/>
  <c r="BK277" i="5" s="1"/>
  <c r="BJ276" i="5"/>
  <c r="BK276" i="5" s="1"/>
  <c r="BJ275" i="5"/>
  <c r="BK275" i="5" s="1"/>
  <c r="BJ274" i="5"/>
  <c r="BK274" i="5" s="1"/>
  <c r="BJ273" i="5"/>
  <c r="BK273" i="5" s="1"/>
  <c r="BJ272" i="5"/>
  <c r="BK272" i="5" s="1"/>
  <c r="BJ271" i="5"/>
  <c r="BK271" i="5" s="1"/>
  <c r="BJ270" i="5"/>
  <c r="BK270" i="5" s="1"/>
  <c r="BJ269" i="5"/>
  <c r="BK269" i="5" s="1"/>
  <c r="BJ268" i="5"/>
  <c r="BK268" i="5" s="1"/>
  <c r="BJ267" i="5"/>
  <c r="BK267" i="5" s="1"/>
  <c r="BJ266" i="5"/>
  <c r="BK266" i="5" s="1"/>
  <c r="BJ265" i="5"/>
  <c r="BK265" i="5" s="1"/>
  <c r="BJ264" i="5"/>
  <c r="BK264" i="5" s="1"/>
  <c r="BJ263" i="5"/>
  <c r="BK263" i="5" s="1"/>
  <c r="BJ262" i="5"/>
  <c r="BK262" i="5" s="1"/>
  <c r="BJ261" i="5"/>
  <c r="BK261" i="5" s="1"/>
  <c r="BJ260" i="5"/>
  <c r="BK260" i="5" s="1"/>
  <c r="BJ259" i="5"/>
  <c r="BK259" i="5" s="1"/>
  <c r="BJ258" i="5"/>
  <c r="BK258" i="5" s="1"/>
  <c r="BJ257" i="5"/>
  <c r="BK257" i="5" s="1"/>
  <c r="BJ256" i="5"/>
  <c r="BK256" i="5" s="1"/>
  <c r="BJ255" i="5"/>
  <c r="BK255" i="5" s="1"/>
  <c r="BJ254" i="5"/>
  <c r="BK254" i="5" s="1"/>
  <c r="BJ253" i="5"/>
  <c r="BK253" i="5" s="1"/>
  <c r="BJ252" i="5"/>
  <c r="BK252" i="5" s="1"/>
  <c r="BJ251" i="5"/>
  <c r="BK251" i="5" s="1"/>
  <c r="BJ250" i="5"/>
  <c r="BK250" i="5" s="1"/>
  <c r="BJ249" i="5"/>
  <c r="BK249" i="5" s="1"/>
  <c r="BJ248" i="5"/>
  <c r="BK248" i="5" s="1"/>
  <c r="BJ247" i="5"/>
  <c r="BK247" i="5" s="1"/>
  <c r="BJ246" i="5"/>
  <c r="BK246" i="5" s="1"/>
  <c r="BJ245" i="5"/>
  <c r="BK245" i="5" s="1"/>
  <c r="BJ244" i="5"/>
  <c r="BK244" i="5" s="1"/>
  <c r="BJ243" i="5"/>
  <c r="BK243" i="5" s="1"/>
  <c r="BJ242" i="5"/>
  <c r="BK242" i="5" s="1"/>
  <c r="BJ241" i="5"/>
  <c r="BK241" i="5" s="1"/>
  <c r="BJ240" i="5"/>
  <c r="BK240" i="5" s="1"/>
  <c r="BJ239" i="5"/>
  <c r="BK239" i="5" s="1"/>
  <c r="BJ238" i="5"/>
  <c r="BK238" i="5" s="1"/>
  <c r="BJ237" i="5"/>
  <c r="BK237" i="5" s="1"/>
  <c r="BJ236" i="5"/>
  <c r="BK236" i="5" s="1"/>
  <c r="BJ235" i="5"/>
  <c r="BK235" i="5" s="1"/>
  <c r="BJ234" i="5"/>
  <c r="BK234" i="5" s="1"/>
  <c r="BJ233" i="5"/>
  <c r="BK233" i="5" s="1"/>
  <c r="BJ232" i="5"/>
  <c r="BK232" i="5" s="1"/>
  <c r="BJ231" i="5"/>
  <c r="BK231" i="5" s="1"/>
  <c r="BJ230" i="5"/>
  <c r="BK230" i="5" s="1"/>
  <c r="BJ229" i="5"/>
  <c r="BK229" i="5" s="1"/>
  <c r="BJ228" i="5"/>
  <c r="BK228" i="5" s="1"/>
  <c r="BJ227" i="5"/>
  <c r="BK227" i="5" s="1"/>
  <c r="BJ226" i="5"/>
  <c r="BK226" i="5" s="1"/>
  <c r="BJ225" i="5"/>
  <c r="BK225" i="5" s="1"/>
  <c r="BJ224" i="5"/>
  <c r="BK224" i="5" s="1"/>
  <c r="BJ223" i="5"/>
  <c r="BK223" i="5" s="1"/>
  <c r="BJ222" i="5"/>
  <c r="BK222" i="5" s="1"/>
  <c r="BJ221" i="5"/>
  <c r="BK221" i="5" s="1"/>
  <c r="BJ220" i="5"/>
  <c r="BK220" i="5" s="1"/>
  <c r="BJ219" i="5"/>
  <c r="BK219" i="5" s="1"/>
  <c r="BJ218" i="5"/>
  <c r="BK218" i="5" s="1"/>
  <c r="BJ217" i="5"/>
  <c r="BK217" i="5" s="1"/>
  <c r="BJ216" i="5"/>
  <c r="BK216" i="5" s="1"/>
  <c r="BJ215" i="5"/>
  <c r="BK215" i="5" s="1"/>
  <c r="BJ214" i="5"/>
  <c r="BK214" i="5" s="1"/>
  <c r="BJ213" i="5"/>
  <c r="BK213" i="5" s="1"/>
  <c r="BJ212" i="5"/>
  <c r="BK212" i="5" s="1"/>
  <c r="BJ211" i="5"/>
  <c r="BK211" i="5" s="1"/>
  <c r="BJ210" i="5"/>
  <c r="BK210" i="5" s="1"/>
  <c r="BJ209" i="5"/>
  <c r="BK209" i="5" s="1"/>
  <c r="BJ208" i="5"/>
  <c r="BK208" i="5" s="1"/>
  <c r="BJ207" i="5"/>
  <c r="BK207" i="5" s="1"/>
  <c r="BJ206" i="5"/>
  <c r="BK206" i="5" s="1"/>
  <c r="BJ205" i="5"/>
  <c r="BK205" i="5" s="1"/>
  <c r="BJ204" i="5"/>
  <c r="BK204" i="5" s="1"/>
  <c r="BJ203" i="5"/>
  <c r="BK203" i="5" s="1"/>
  <c r="BJ202" i="5"/>
  <c r="BK202" i="5" s="1"/>
  <c r="BJ201" i="5"/>
  <c r="BK201" i="5" s="1"/>
  <c r="BJ200" i="5"/>
  <c r="BK200" i="5" s="1"/>
  <c r="BJ199" i="5"/>
  <c r="BK199" i="5" s="1"/>
  <c r="BJ198" i="5"/>
  <c r="BK198" i="5" s="1"/>
  <c r="BJ197" i="5"/>
  <c r="BK197" i="5" s="1"/>
  <c r="BJ196" i="5"/>
  <c r="BK196" i="5" s="1"/>
  <c r="BJ195" i="5"/>
  <c r="BK195" i="5" s="1"/>
  <c r="BJ194" i="5"/>
  <c r="BK194" i="5" s="1"/>
  <c r="BJ193" i="5"/>
  <c r="BK193" i="5" s="1"/>
  <c r="BJ192" i="5"/>
  <c r="BK192" i="5" s="1"/>
  <c r="BJ191" i="5"/>
  <c r="BK191" i="5" s="1"/>
  <c r="BJ190" i="5"/>
  <c r="BK190" i="5" s="1"/>
  <c r="BJ189" i="5"/>
  <c r="BK189" i="5" s="1"/>
  <c r="BJ188" i="5"/>
  <c r="BK188" i="5" s="1"/>
  <c r="BJ187" i="5"/>
  <c r="BK187" i="5" s="1"/>
  <c r="BJ186" i="5"/>
  <c r="BK186" i="5" s="1"/>
  <c r="BJ185" i="5"/>
  <c r="BK185" i="5" s="1"/>
  <c r="BJ184" i="5"/>
  <c r="BK184" i="5" s="1"/>
  <c r="BJ183" i="5"/>
  <c r="BK183" i="5" s="1"/>
  <c r="BJ182" i="5"/>
  <c r="BK182" i="5" s="1"/>
  <c r="BJ181" i="5"/>
  <c r="BK181" i="5" s="1"/>
  <c r="BJ180" i="5"/>
  <c r="BK180" i="5" s="1"/>
  <c r="BJ179" i="5"/>
  <c r="BK179" i="5" s="1"/>
  <c r="BJ178" i="5"/>
  <c r="BK178" i="5" s="1"/>
  <c r="BJ177" i="5"/>
  <c r="BK177" i="5" s="1"/>
  <c r="BJ176" i="5"/>
  <c r="BK176" i="5" s="1"/>
  <c r="BJ175" i="5"/>
  <c r="BK175" i="5" s="1"/>
  <c r="BJ174" i="5"/>
  <c r="BK174" i="5" s="1"/>
  <c r="BJ173" i="5"/>
  <c r="BK173" i="5" s="1"/>
  <c r="BJ172" i="5"/>
  <c r="BK172" i="5" s="1"/>
  <c r="BJ171" i="5"/>
  <c r="BK171" i="5" s="1"/>
  <c r="BJ170" i="5"/>
  <c r="BK170" i="5" s="1"/>
  <c r="BJ169" i="5"/>
  <c r="BK169" i="5" s="1"/>
  <c r="BJ168" i="5"/>
  <c r="BK168" i="5" s="1"/>
  <c r="BJ167" i="5"/>
  <c r="BK167" i="5" s="1"/>
  <c r="BJ166" i="5"/>
  <c r="BK166" i="5" s="1"/>
  <c r="BJ165" i="5"/>
  <c r="BK165" i="5" s="1"/>
  <c r="BJ164" i="5"/>
  <c r="BK164" i="5" s="1"/>
  <c r="BJ163" i="5"/>
  <c r="BK163" i="5" s="1"/>
  <c r="BJ162" i="5"/>
  <c r="BK162" i="5" s="1"/>
  <c r="BJ161" i="5"/>
  <c r="BK161" i="5" s="1"/>
  <c r="BJ160" i="5"/>
  <c r="BK160" i="5" s="1"/>
  <c r="BJ159" i="5"/>
  <c r="BK159" i="5" s="1"/>
  <c r="BJ158" i="5"/>
  <c r="BK158" i="5" s="1"/>
  <c r="BJ157" i="5"/>
  <c r="BK157" i="5" s="1"/>
  <c r="BJ156" i="5"/>
  <c r="BK156" i="5" s="1"/>
  <c r="BJ155" i="5"/>
  <c r="BK155" i="5" s="1"/>
  <c r="BJ154" i="5"/>
  <c r="BK154" i="5" s="1"/>
  <c r="BJ153" i="5"/>
  <c r="BK153" i="5" s="1"/>
  <c r="BJ152" i="5"/>
  <c r="BK152" i="5" s="1"/>
  <c r="BJ151" i="5"/>
  <c r="BK151" i="5" s="1"/>
  <c r="BJ150" i="5"/>
  <c r="BK150" i="5" s="1"/>
  <c r="BJ149" i="5"/>
  <c r="BK149" i="5" s="1"/>
  <c r="BJ148" i="5"/>
  <c r="BK148" i="5" s="1"/>
  <c r="BJ147" i="5"/>
  <c r="BK147" i="5" s="1"/>
  <c r="BJ146" i="5"/>
  <c r="BK146" i="5" s="1"/>
  <c r="BJ145" i="5"/>
  <c r="BK145" i="5" s="1"/>
  <c r="BJ144" i="5"/>
  <c r="BK144" i="5" s="1"/>
  <c r="BJ143" i="5"/>
  <c r="BK143" i="5" s="1"/>
  <c r="BJ142" i="5"/>
  <c r="BK142" i="5" s="1"/>
  <c r="BJ141" i="5"/>
  <c r="BK141" i="5" s="1"/>
  <c r="BJ140" i="5"/>
  <c r="BK140" i="5" s="1"/>
  <c r="BJ139" i="5"/>
  <c r="BK139" i="5" s="1"/>
  <c r="BJ138" i="5"/>
  <c r="BK138" i="5" s="1"/>
  <c r="BJ137" i="5"/>
  <c r="BK137" i="5" s="1"/>
  <c r="BJ136" i="5"/>
  <c r="BK136" i="5" s="1"/>
  <c r="BJ135" i="5"/>
  <c r="BK135" i="5" s="1"/>
  <c r="BJ134" i="5"/>
  <c r="BK134" i="5" s="1"/>
  <c r="BJ133" i="5"/>
  <c r="BK133" i="5" s="1"/>
  <c r="BJ132" i="5"/>
  <c r="BK132" i="5" s="1"/>
  <c r="BJ131" i="5"/>
  <c r="BK131" i="5" s="1"/>
  <c r="BJ130" i="5"/>
  <c r="BK130" i="5" s="1"/>
  <c r="BJ129" i="5"/>
  <c r="BK129" i="5" s="1"/>
  <c r="BJ128" i="5"/>
  <c r="BK128" i="5" s="1"/>
  <c r="BJ127" i="5"/>
  <c r="BK127" i="5" s="1"/>
  <c r="BJ126" i="5"/>
  <c r="BK126" i="5" s="1"/>
  <c r="BJ125" i="5"/>
  <c r="BK125" i="5" s="1"/>
  <c r="BJ124" i="5"/>
  <c r="BK124" i="5" s="1"/>
  <c r="BJ123" i="5"/>
  <c r="BK123" i="5" s="1"/>
  <c r="BJ122" i="5"/>
  <c r="BK122" i="5" s="1"/>
  <c r="BJ121" i="5"/>
  <c r="BK121" i="5" s="1"/>
  <c r="BJ120" i="5"/>
  <c r="BK120" i="5" s="1"/>
  <c r="BJ119" i="5"/>
  <c r="BK119" i="5" s="1"/>
  <c r="BJ118" i="5"/>
  <c r="BK118" i="5" s="1"/>
  <c r="BJ117" i="5"/>
  <c r="BK117" i="5" s="1"/>
  <c r="BJ116" i="5"/>
  <c r="BK116" i="5" s="1"/>
  <c r="BJ115" i="5"/>
  <c r="BK115" i="5" s="1"/>
  <c r="BJ114" i="5"/>
  <c r="BK114" i="5" s="1"/>
  <c r="BJ113" i="5"/>
  <c r="BK113" i="5" s="1"/>
  <c r="BJ112" i="5"/>
  <c r="BK112" i="5" s="1"/>
  <c r="BJ111" i="5"/>
  <c r="BK111" i="5" s="1"/>
  <c r="BJ110" i="5"/>
  <c r="BK110" i="5" s="1"/>
  <c r="BJ109" i="5"/>
  <c r="BK109" i="5" s="1"/>
  <c r="BJ108" i="5"/>
  <c r="BK108" i="5" s="1"/>
  <c r="BJ107" i="5"/>
  <c r="BK107" i="5" s="1"/>
  <c r="BJ106" i="5"/>
  <c r="BK106" i="5" s="1"/>
  <c r="BJ105" i="5"/>
  <c r="BK105" i="5" s="1"/>
  <c r="BJ104" i="5"/>
  <c r="BK104" i="5" s="1"/>
  <c r="BJ103" i="5"/>
  <c r="BK103" i="5" s="1"/>
  <c r="BJ102" i="5"/>
  <c r="BK102" i="5" s="1"/>
  <c r="BJ101" i="5"/>
  <c r="BK101" i="5" s="1"/>
  <c r="BJ100" i="5"/>
  <c r="BK100" i="5" s="1"/>
  <c r="BJ99" i="5"/>
  <c r="BK99" i="5" s="1"/>
  <c r="BJ98" i="5"/>
  <c r="BK98" i="5" s="1"/>
  <c r="BJ97" i="5"/>
  <c r="BK97" i="5" s="1"/>
  <c r="BJ96" i="5"/>
  <c r="BK96" i="5" s="1"/>
  <c r="BJ95" i="5"/>
  <c r="BK95" i="5" s="1"/>
  <c r="BJ94" i="5"/>
  <c r="BK94" i="5" s="1"/>
  <c r="BJ93" i="5"/>
  <c r="BK93" i="5" s="1"/>
  <c r="BJ92" i="5"/>
  <c r="BK92" i="5" s="1"/>
  <c r="BJ91" i="5"/>
  <c r="BK91" i="5" s="1"/>
  <c r="BJ90" i="5"/>
  <c r="BK90" i="5" s="1"/>
  <c r="BJ89" i="5"/>
  <c r="BK89" i="5" s="1"/>
  <c r="BJ88" i="5"/>
  <c r="BK88" i="5" s="1"/>
  <c r="BJ87" i="5"/>
  <c r="BK87" i="5" s="1"/>
  <c r="BJ86" i="5"/>
  <c r="BK86" i="5" s="1"/>
  <c r="BJ85" i="5"/>
  <c r="BK85" i="5" s="1"/>
  <c r="BJ84" i="5"/>
  <c r="BK84" i="5" s="1"/>
  <c r="BJ83" i="5"/>
  <c r="BK83" i="5" s="1"/>
  <c r="BJ82" i="5"/>
  <c r="BK82" i="5" s="1"/>
  <c r="BJ81" i="5"/>
  <c r="BK81" i="5" s="1"/>
  <c r="BJ80" i="5"/>
  <c r="BK80" i="5" s="1"/>
  <c r="BJ79" i="5"/>
  <c r="BK79" i="5" s="1"/>
  <c r="BJ78" i="5"/>
  <c r="BK78" i="5" s="1"/>
  <c r="BJ77" i="5"/>
  <c r="BK77" i="5" s="1"/>
  <c r="BJ76" i="5"/>
  <c r="BK76" i="5" s="1"/>
  <c r="BJ75" i="5"/>
  <c r="BK75" i="5" s="1"/>
  <c r="BJ74" i="5"/>
  <c r="BK74" i="5" s="1"/>
  <c r="BJ73" i="5"/>
  <c r="BK73" i="5" s="1"/>
  <c r="BJ72" i="5"/>
  <c r="BK72" i="5" s="1"/>
  <c r="BJ71" i="5"/>
  <c r="BK71" i="5" s="1"/>
  <c r="BJ70" i="5"/>
  <c r="BK70" i="5" s="1"/>
  <c r="BJ69" i="5"/>
  <c r="BK69" i="5" s="1"/>
  <c r="BJ68" i="5"/>
  <c r="BK68" i="5" s="1"/>
  <c r="BJ67" i="5"/>
  <c r="BK67" i="5" s="1"/>
  <c r="BJ66" i="5"/>
  <c r="BK66" i="5" s="1"/>
  <c r="BJ65" i="5"/>
  <c r="BK65" i="5" s="1"/>
  <c r="BJ64" i="5"/>
  <c r="BK64" i="5" s="1"/>
  <c r="BJ63" i="5"/>
  <c r="BK63" i="5" s="1"/>
  <c r="BJ62" i="5"/>
  <c r="BK62" i="5" s="1"/>
  <c r="BJ61" i="5"/>
  <c r="BK61" i="5" s="1"/>
  <c r="BJ60" i="5"/>
  <c r="BK60" i="5" s="1"/>
  <c r="BJ59" i="5"/>
  <c r="BK59" i="5" s="1"/>
  <c r="BJ58" i="5"/>
  <c r="BK58" i="5" s="1"/>
  <c r="BJ57" i="5"/>
  <c r="BK57" i="5" s="1"/>
  <c r="BJ56" i="5"/>
  <c r="BK56" i="5" s="1"/>
  <c r="BJ55" i="5"/>
  <c r="BK55" i="5" s="1"/>
  <c r="BJ54" i="5"/>
  <c r="BK54" i="5" s="1"/>
  <c r="BJ53" i="5"/>
  <c r="BK53" i="5" s="1"/>
  <c r="BJ52" i="5"/>
  <c r="BK52" i="5" s="1"/>
  <c r="BJ51" i="5"/>
  <c r="BK51" i="5" s="1"/>
  <c r="BJ50" i="5"/>
  <c r="BK50" i="5" s="1"/>
  <c r="BJ49" i="5"/>
  <c r="BK49" i="5" s="1"/>
  <c r="BJ48" i="5"/>
  <c r="BK48" i="5" s="1"/>
  <c r="BJ47" i="5"/>
  <c r="BK47" i="5" s="1"/>
  <c r="BJ46" i="5"/>
  <c r="BK46" i="5" s="1"/>
  <c r="BJ45" i="5"/>
  <c r="BK45" i="5" s="1"/>
  <c r="BJ44" i="5"/>
  <c r="BK44" i="5" s="1"/>
  <c r="BJ43" i="5"/>
  <c r="BK43" i="5" s="1"/>
  <c r="BJ42" i="5"/>
  <c r="BK42" i="5" s="1"/>
  <c r="BJ41" i="5"/>
  <c r="BK41" i="5" s="1"/>
  <c r="BJ40" i="5"/>
  <c r="BK40" i="5" s="1"/>
  <c r="BJ39" i="5"/>
  <c r="BK39" i="5" s="1"/>
  <c r="BJ38" i="5"/>
  <c r="BK38" i="5" s="1"/>
  <c r="BJ37" i="5"/>
  <c r="BK37" i="5" s="1"/>
  <c r="BJ36" i="5"/>
  <c r="BK36" i="5" s="1"/>
  <c r="BJ35" i="5"/>
  <c r="BK35" i="5" s="1"/>
  <c r="BJ34" i="5"/>
  <c r="BK34" i="5" s="1"/>
  <c r="BJ33" i="5"/>
  <c r="BK33" i="5" s="1"/>
  <c r="BJ32" i="5"/>
  <c r="BK32" i="5" s="1"/>
  <c r="BJ31" i="5"/>
  <c r="BK31" i="5" s="1"/>
  <c r="BJ30" i="5"/>
  <c r="BK30" i="5" s="1"/>
  <c r="BJ29" i="5"/>
  <c r="BK29" i="5" s="1"/>
  <c r="BJ28" i="5"/>
  <c r="BK28" i="5" s="1"/>
  <c r="BJ27" i="5"/>
  <c r="BK27" i="5" s="1"/>
  <c r="BJ26" i="5"/>
  <c r="BK26" i="5" s="1"/>
  <c r="BJ25" i="5"/>
  <c r="BK25" i="5" s="1"/>
  <c r="BJ24" i="5"/>
  <c r="BK24" i="5" s="1"/>
  <c r="BJ23" i="5"/>
  <c r="BK23" i="5" s="1"/>
  <c r="BJ22" i="5"/>
  <c r="BK22" i="5" s="1"/>
  <c r="BJ21" i="5"/>
  <c r="BK21" i="5" s="1"/>
  <c r="BJ20" i="5"/>
  <c r="BK20" i="5" s="1"/>
  <c r="BJ19" i="5"/>
  <c r="BK19" i="5" s="1"/>
  <c r="BJ18" i="5"/>
  <c r="BK18" i="5" s="1"/>
  <c r="BJ17" i="5"/>
  <c r="BK17" i="5" s="1"/>
  <c r="BJ16" i="5"/>
  <c r="BK16" i="5" s="1"/>
  <c r="BJ15" i="5"/>
  <c r="BK15" i="5" s="1"/>
  <c r="BJ14" i="5"/>
  <c r="BK14" i="5" s="1"/>
  <c r="BJ13" i="5"/>
  <c r="BK13" i="5" s="1"/>
  <c r="BJ12" i="5"/>
  <c r="BK12" i="5" s="1"/>
  <c r="BJ11" i="5"/>
  <c r="BK11" i="5" s="1"/>
  <c r="BJ10" i="5"/>
  <c r="BK10" i="5" s="1"/>
  <c r="BJ9" i="5"/>
  <c r="BK9" i="5" s="1"/>
  <c r="BJ8" i="5"/>
  <c r="BK8" i="5" s="1"/>
  <c r="BJ7" i="5"/>
  <c r="BK7" i="5" s="1"/>
  <c r="BJ6" i="5"/>
  <c r="BK6" i="5" s="1"/>
  <c r="BJ5" i="5"/>
  <c r="BK5" i="5" s="1"/>
  <c r="BJ4" i="5"/>
  <c r="BK4" i="5" s="1"/>
  <c r="BJ3" i="5"/>
  <c r="BK3" i="5" s="1"/>
  <c r="EE568" i="2"/>
  <c r="CC568" i="2"/>
  <c r="CD568" i="2" s="1"/>
  <c r="BW568" i="2"/>
  <c r="BX568" i="2" s="1"/>
  <c r="BQ568" i="2"/>
  <c r="BR568" i="2" s="1"/>
  <c r="BK568" i="2"/>
  <c r="BL568" i="2" s="1"/>
  <c r="U568" i="2"/>
  <c r="V568" i="2" s="1"/>
  <c r="O568" i="2"/>
  <c r="P568" i="2" s="1"/>
  <c r="ED568" i="2" s="1"/>
  <c r="EF568" i="2" s="1"/>
  <c r="D568" i="2"/>
  <c r="C568" i="2"/>
  <c r="B568" i="2"/>
  <c r="A568" i="2"/>
  <c r="C6" i="7" s="1"/>
  <c r="BW567" i="2"/>
  <c r="BX567" i="2" s="1"/>
  <c r="BP567" i="2"/>
  <c r="BK567" i="2"/>
  <c r="BL567" i="2" s="1"/>
  <c r="O567" i="2"/>
  <c r="P567" i="2" s="1"/>
  <c r="D567" i="2"/>
  <c r="C567" i="2"/>
  <c r="B567" i="2"/>
  <c r="A567" i="2"/>
  <c r="EE566" i="2"/>
  <c r="BW566" i="2"/>
  <c r="BX566" i="2" s="1"/>
  <c r="BQ566" i="2"/>
  <c r="BR566" i="2" s="1"/>
  <c r="BK566" i="2"/>
  <c r="BL566" i="2" s="1"/>
  <c r="ED566" i="2" s="1"/>
  <c r="EF566" i="2" s="1"/>
  <c r="D566" i="2"/>
  <c r="C566" i="2"/>
  <c r="B566" i="2"/>
  <c r="A566" i="2"/>
  <c r="EE565" i="2"/>
  <c r="BW565" i="2"/>
  <c r="BX565" i="2" s="1"/>
  <c r="BQ565" i="2"/>
  <c r="BR565" i="2" s="1"/>
  <c r="BK565" i="2"/>
  <c r="BL565" i="2" s="1"/>
  <c r="O565" i="2"/>
  <c r="P565" i="2" s="1"/>
  <c r="D565" i="2"/>
  <c r="C565" i="2"/>
  <c r="B565" i="2"/>
  <c r="A565" i="2"/>
  <c r="BV564" i="2"/>
  <c r="BQ564" i="2"/>
  <c r="BR564" i="2" s="1"/>
  <c r="BJ564" i="2"/>
  <c r="O564" i="2"/>
  <c r="P564" i="2" s="1"/>
  <c r="D564" i="2"/>
  <c r="C564" i="2"/>
  <c r="B564" i="2"/>
  <c r="A564" i="2"/>
  <c r="EE563" i="2"/>
  <c r="BW563" i="2"/>
  <c r="BX563" i="2" s="1"/>
  <c r="BQ563" i="2"/>
  <c r="BR563" i="2" s="1"/>
  <c r="BK563" i="2"/>
  <c r="BL563" i="2" s="1"/>
  <c r="O563" i="2"/>
  <c r="P563" i="2" s="1"/>
  <c r="D563" i="2"/>
  <c r="C563" i="2"/>
  <c r="B563" i="2"/>
  <c r="A563" i="2"/>
  <c r="EE562" i="2"/>
  <c r="BW562" i="2"/>
  <c r="BX562" i="2" s="1"/>
  <c r="BQ562" i="2"/>
  <c r="BR562" i="2" s="1"/>
  <c r="BK562" i="2"/>
  <c r="BL562" i="2" s="1"/>
  <c r="U562" i="2"/>
  <c r="V562" i="2" s="1"/>
  <c r="O562" i="2"/>
  <c r="P562" i="2" s="1"/>
  <c r="ED562" i="2" s="1"/>
  <c r="EF562" i="2" s="1"/>
  <c r="D562" i="2"/>
  <c r="C562" i="2"/>
  <c r="B562" i="2"/>
  <c r="A562" i="2"/>
  <c r="EE561" i="2"/>
  <c r="BW561" i="2"/>
  <c r="BX561" i="2" s="1"/>
  <c r="BQ561" i="2"/>
  <c r="BR561" i="2" s="1"/>
  <c r="BK561" i="2"/>
  <c r="BL561" i="2" s="1"/>
  <c r="U561" i="2"/>
  <c r="V561" i="2" s="1"/>
  <c r="O561" i="2"/>
  <c r="P561" i="2" s="1"/>
  <c r="D561" i="2"/>
  <c r="C561" i="2"/>
  <c r="B561" i="2"/>
  <c r="A561" i="2"/>
  <c r="EE560" i="2"/>
  <c r="BW560" i="2"/>
  <c r="BX560" i="2" s="1"/>
  <c r="BK560" i="2"/>
  <c r="BL560" i="2" s="1"/>
  <c r="U560" i="2"/>
  <c r="V560" i="2" s="1"/>
  <c r="D560" i="2"/>
  <c r="C560" i="2"/>
  <c r="B560" i="2"/>
  <c r="A560" i="2"/>
  <c r="EE559" i="2"/>
  <c r="BW559" i="2"/>
  <c r="BX559" i="2" s="1"/>
  <c r="BQ559" i="2"/>
  <c r="BR559" i="2" s="1"/>
  <c r="BK559" i="2"/>
  <c r="BL559" i="2" s="1"/>
  <c r="D559" i="2"/>
  <c r="C559" i="2"/>
  <c r="B559" i="2"/>
  <c r="A559" i="2"/>
  <c r="EE558" i="2"/>
  <c r="BW558" i="2"/>
  <c r="BX558" i="2" s="1"/>
  <c r="BK558" i="2"/>
  <c r="BL558" i="2" s="1"/>
  <c r="U558" i="2"/>
  <c r="V558" i="2" s="1"/>
  <c r="D558" i="2"/>
  <c r="C558" i="2"/>
  <c r="B558" i="2"/>
  <c r="A558" i="2"/>
  <c r="EE557" i="2"/>
  <c r="BQ557" i="2"/>
  <c r="BR557" i="2" s="1"/>
  <c r="BK557" i="2"/>
  <c r="BL557" i="2" s="1"/>
  <c r="O557" i="2"/>
  <c r="P557" i="2" s="1"/>
  <c r="D557" i="2"/>
  <c r="C557" i="2"/>
  <c r="B557" i="2"/>
  <c r="A557" i="2"/>
  <c r="EE556" i="2"/>
  <c r="O556" i="2"/>
  <c r="P556" i="2" s="1"/>
  <c r="ED556" i="2" s="1"/>
  <c r="EF556" i="2" s="1"/>
  <c r="D556" i="2"/>
  <c r="C556" i="2"/>
  <c r="B556" i="2"/>
  <c r="A556" i="2"/>
  <c r="EE555" i="2"/>
  <c r="BW555" i="2"/>
  <c r="BX555" i="2" s="1"/>
  <c r="BQ555" i="2"/>
  <c r="BR555" i="2" s="1"/>
  <c r="BK555" i="2"/>
  <c r="BL555" i="2" s="1"/>
  <c r="ED555" i="2" s="1"/>
  <c r="EF555" i="2" s="1"/>
  <c r="D555" i="2"/>
  <c r="C555" i="2"/>
  <c r="B555" i="2"/>
  <c r="A555" i="2"/>
  <c r="EE554" i="2"/>
  <c r="BW554" i="2"/>
  <c r="BX554" i="2" s="1"/>
  <c r="BQ554" i="2"/>
  <c r="BR554" i="2" s="1"/>
  <c r="BK554" i="2"/>
  <c r="BL554" i="2" s="1"/>
  <c r="O554" i="2"/>
  <c r="P554" i="2" s="1"/>
  <c r="D554" i="2"/>
  <c r="C554" i="2"/>
  <c r="B554" i="2"/>
  <c r="A554" i="2"/>
  <c r="EE553" i="2"/>
  <c r="BQ553" i="2"/>
  <c r="BR553" i="2" s="1"/>
  <c r="BK553" i="2"/>
  <c r="BL553" i="2" s="1"/>
  <c r="ED553" i="2" s="1"/>
  <c r="EF553" i="2" s="1"/>
  <c r="D553" i="2"/>
  <c r="C553" i="2"/>
  <c r="B553" i="2"/>
  <c r="A553" i="2"/>
  <c r="EE552" i="2"/>
  <c r="BQ552" i="2"/>
  <c r="BR552" i="2" s="1"/>
  <c r="O552" i="2"/>
  <c r="P552" i="2" s="1"/>
  <c r="D552" i="2"/>
  <c r="C552" i="2"/>
  <c r="B552" i="2"/>
  <c r="A552" i="2"/>
  <c r="BV551" i="2"/>
  <c r="BQ551" i="2"/>
  <c r="BR551" i="2" s="1"/>
  <c r="BJ551" i="2"/>
  <c r="O551" i="2"/>
  <c r="P551" i="2" s="1"/>
  <c r="D551" i="2"/>
  <c r="C551" i="2"/>
  <c r="B551" i="2"/>
  <c r="A551" i="2"/>
  <c r="BV550" i="2"/>
  <c r="BQ550" i="2"/>
  <c r="BR550" i="2" s="1"/>
  <c r="BJ550" i="2"/>
  <c r="O550" i="2"/>
  <c r="P550" i="2" s="1"/>
  <c r="D550" i="2"/>
  <c r="C550" i="2"/>
  <c r="B550" i="2"/>
  <c r="A550" i="2"/>
  <c r="BV549" i="2"/>
  <c r="BQ549" i="2"/>
  <c r="BR549" i="2" s="1"/>
  <c r="BJ549" i="2"/>
  <c r="O549" i="2"/>
  <c r="P549" i="2" s="1"/>
  <c r="D549" i="2"/>
  <c r="C549" i="2"/>
  <c r="B549" i="2"/>
  <c r="A549" i="2"/>
  <c r="BW548" i="2"/>
  <c r="BX548" i="2" s="1"/>
  <c r="BQ548" i="2"/>
  <c r="BR548" i="2" s="1"/>
  <c r="BK548" i="2"/>
  <c r="BL548" i="2" s="1"/>
  <c r="O548" i="2"/>
  <c r="P548" i="2" s="1"/>
  <c r="M548" i="2"/>
  <c r="L548" i="2"/>
  <c r="D548" i="2"/>
  <c r="C548" i="2"/>
  <c r="B548" i="2"/>
  <c r="A548" i="2"/>
  <c r="BW547" i="2"/>
  <c r="BX547" i="2" s="1"/>
  <c r="BQ547" i="2"/>
  <c r="BR547" i="2" s="1"/>
  <c r="BK547" i="2"/>
  <c r="BL547" i="2" s="1"/>
  <c r="U547" i="2"/>
  <c r="V547" i="2" s="1"/>
  <c r="O547" i="2"/>
  <c r="P547" i="2" s="1"/>
  <c r="M547" i="2"/>
  <c r="L547" i="2"/>
  <c r="D547" i="2"/>
  <c r="C547" i="2"/>
  <c r="B547" i="2"/>
  <c r="A547" i="2"/>
  <c r="EE546" i="2"/>
  <c r="CC546" i="2"/>
  <c r="CD546" i="2" s="1"/>
  <c r="BK546" i="2"/>
  <c r="BL546" i="2" s="1"/>
  <c r="O546" i="2"/>
  <c r="P546" i="2" s="1"/>
  <c r="ED546" i="2" s="1"/>
  <c r="EF546" i="2" s="1"/>
  <c r="L546" i="2"/>
  <c r="D546" i="2"/>
  <c r="C546" i="2"/>
  <c r="B546" i="2"/>
  <c r="A546" i="2"/>
  <c r="CC545" i="2"/>
  <c r="CD545" i="2" s="1"/>
  <c r="BQ545" i="2"/>
  <c r="BR545" i="2" s="1"/>
  <c r="BJ545" i="2"/>
  <c r="O545" i="2"/>
  <c r="P545" i="2" s="1"/>
  <c r="L545" i="2"/>
  <c r="D545" i="2"/>
  <c r="C545" i="2"/>
  <c r="B545" i="2"/>
  <c r="A545" i="2"/>
  <c r="CC544" i="2"/>
  <c r="CD544" i="2" s="1"/>
  <c r="BW544" i="2"/>
  <c r="BX544" i="2" s="1"/>
  <c r="BQ544" i="2"/>
  <c r="BR544" i="2" s="1"/>
  <c r="BK544" i="2"/>
  <c r="BL544" i="2" s="1"/>
  <c r="Z544" i="2"/>
  <c r="O544" i="2"/>
  <c r="P544" i="2" s="1"/>
  <c r="M544" i="2"/>
  <c r="L544" i="2"/>
  <c r="D544" i="2"/>
  <c r="C544" i="2"/>
  <c r="B544" i="2"/>
  <c r="A544" i="2"/>
  <c r="EE543" i="2"/>
  <c r="BW543" i="2"/>
  <c r="BX543" i="2" s="1"/>
  <c r="BK543" i="2"/>
  <c r="BL543" i="2" s="1"/>
  <c r="L543" i="2"/>
  <c r="D543" i="2"/>
  <c r="C543" i="2"/>
  <c r="B543" i="2"/>
  <c r="A543" i="2"/>
  <c r="BW542" i="2"/>
  <c r="BX542" i="2" s="1"/>
  <c r="BK542" i="2"/>
  <c r="BL542" i="2" s="1"/>
  <c r="U542" i="2"/>
  <c r="V542" i="2" s="1"/>
  <c r="O542" i="2"/>
  <c r="P542" i="2" s="1"/>
  <c r="M542" i="2"/>
  <c r="L542" i="2"/>
  <c r="D542" i="2"/>
  <c r="C542" i="2"/>
  <c r="B542" i="2"/>
  <c r="A542" i="2"/>
  <c r="BW541" i="2"/>
  <c r="BX541" i="2" s="1"/>
  <c r="BK541" i="2"/>
  <c r="BL541" i="2" s="1"/>
  <c r="O541" i="2"/>
  <c r="P541" i="2" s="1"/>
  <c r="M541" i="2"/>
  <c r="L541" i="2"/>
  <c r="D541" i="2"/>
  <c r="C541" i="2"/>
  <c r="B541" i="2"/>
  <c r="A541" i="2"/>
  <c r="BW540" i="2"/>
  <c r="BX540" i="2" s="1"/>
  <c r="BK540" i="2"/>
  <c r="BL540" i="2" s="1"/>
  <c r="U540" i="2"/>
  <c r="V540" i="2" s="1"/>
  <c r="O540" i="2"/>
  <c r="P540" i="2" s="1"/>
  <c r="M540" i="2"/>
  <c r="L540" i="2"/>
  <c r="D540" i="2"/>
  <c r="C540" i="2"/>
  <c r="B540" i="2"/>
  <c r="A540" i="2"/>
  <c r="BW539" i="2"/>
  <c r="BX539" i="2" s="1"/>
  <c r="BK539" i="2"/>
  <c r="BL539" i="2" s="1"/>
  <c r="U539" i="2"/>
  <c r="V539" i="2" s="1"/>
  <c r="O539" i="2"/>
  <c r="P539" i="2" s="1"/>
  <c r="M539" i="2"/>
  <c r="L539" i="2"/>
  <c r="D539" i="2"/>
  <c r="C539" i="2"/>
  <c r="B539" i="2"/>
  <c r="A539" i="2"/>
  <c r="BW538" i="2"/>
  <c r="BX538" i="2" s="1"/>
  <c r="BK538" i="2"/>
  <c r="BL538" i="2" s="1"/>
  <c r="U538" i="2"/>
  <c r="V538" i="2" s="1"/>
  <c r="O538" i="2"/>
  <c r="P538" i="2" s="1"/>
  <c r="M538" i="2"/>
  <c r="L538" i="2"/>
  <c r="D538" i="2"/>
  <c r="C538" i="2"/>
  <c r="B538" i="2"/>
  <c r="A538" i="2"/>
  <c r="BW537" i="2"/>
  <c r="BX537" i="2" s="1"/>
  <c r="BK537" i="2"/>
  <c r="BL537" i="2" s="1"/>
  <c r="U537" i="2"/>
  <c r="V537" i="2" s="1"/>
  <c r="O537" i="2"/>
  <c r="P537" i="2" s="1"/>
  <c r="M537" i="2"/>
  <c r="L537" i="2"/>
  <c r="D537" i="2"/>
  <c r="C537" i="2"/>
  <c r="B537" i="2"/>
  <c r="A537" i="2"/>
  <c r="BW536" i="2"/>
  <c r="BX536" i="2" s="1"/>
  <c r="BK536" i="2"/>
  <c r="BL536" i="2" s="1"/>
  <c r="O536" i="2"/>
  <c r="P536" i="2" s="1"/>
  <c r="M536" i="2"/>
  <c r="L536" i="2"/>
  <c r="D536" i="2"/>
  <c r="C536" i="2"/>
  <c r="B536" i="2"/>
  <c r="A536" i="2"/>
  <c r="BW535" i="2"/>
  <c r="BX535" i="2" s="1"/>
  <c r="BK535" i="2"/>
  <c r="BL535" i="2" s="1"/>
  <c r="U535" i="2"/>
  <c r="V535" i="2" s="1"/>
  <c r="O535" i="2"/>
  <c r="P535" i="2" s="1"/>
  <c r="M535" i="2"/>
  <c r="L535" i="2"/>
  <c r="D535" i="2"/>
  <c r="C535" i="2"/>
  <c r="B535" i="2"/>
  <c r="A535" i="2"/>
  <c r="EE534" i="2"/>
  <c r="BW534" i="2"/>
  <c r="BX534" i="2" s="1"/>
  <c r="BK534" i="2"/>
  <c r="BL534" i="2" s="1"/>
  <c r="U534" i="2"/>
  <c r="V534" i="2" s="1"/>
  <c r="O534" i="2"/>
  <c r="P534" i="2" s="1"/>
  <c r="L534" i="2"/>
  <c r="D534" i="2"/>
  <c r="C534" i="2"/>
  <c r="B534" i="2"/>
  <c r="A534" i="2"/>
  <c r="BW533" i="2"/>
  <c r="BX533" i="2" s="1"/>
  <c r="BQ533" i="2"/>
  <c r="BR533" i="2" s="1"/>
  <c r="BK533" i="2"/>
  <c r="BL533" i="2" s="1"/>
  <c r="O533" i="2"/>
  <c r="P533" i="2" s="1"/>
  <c r="M533" i="2"/>
  <c r="L533" i="2"/>
  <c r="D533" i="2"/>
  <c r="C533" i="2"/>
  <c r="B533" i="2"/>
  <c r="A533" i="2"/>
  <c r="BW532" i="2"/>
  <c r="BX532" i="2" s="1"/>
  <c r="BP532" i="2"/>
  <c r="BQ532" i="2" s="1"/>
  <c r="BR532" i="2" s="1"/>
  <c r="BK532" i="2"/>
  <c r="BL532" i="2" s="1"/>
  <c r="T532" i="2"/>
  <c r="O532" i="2"/>
  <c r="P532" i="2" s="1"/>
  <c r="M532" i="2"/>
  <c r="L532" i="2"/>
  <c r="D532" i="2"/>
  <c r="C532" i="2"/>
  <c r="B532" i="2"/>
  <c r="A532" i="2"/>
  <c r="BW531" i="2"/>
  <c r="BX531" i="2" s="1"/>
  <c r="BQ531" i="2"/>
  <c r="BR531" i="2" s="1"/>
  <c r="BK531" i="2"/>
  <c r="BL531" i="2" s="1"/>
  <c r="O531" i="2"/>
  <c r="P531" i="2" s="1"/>
  <c r="M531" i="2"/>
  <c r="L531" i="2"/>
  <c r="D531" i="2"/>
  <c r="C531" i="2"/>
  <c r="B531" i="2"/>
  <c r="A531" i="2"/>
  <c r="EE530" i="2"/>
  <c r="BW530" i="2"/>
  <c r="BX530" i="2" s="1"/>
  <c r="BQ530" i="2"/>
  <c r="BR530" i="2" s="1"/>
  <c r="BK530" i="2"/>
  <c r="BL530" i="2" s="1"/>
  <c r="O530" i="2"/>
  <c r="P530" i="2" s="1"/>
  <c r="L530" i="2"/>
  <c r="D530" i="2"/>
  <c r="C530" i="2"/>
  <c r="B530" i="2"/>
  <c r="A530" i="2"/>
  <c r="BW529" i="2"/>
  <c r="BX529" i="2" s="1"/>
  <c r="BQ529" i="2"/>
  <c r="BR529" i="2" s="1"/>
  <c r="BK529" i="2"/>
  <c r="BL529" i="2" s="1"/>
  <c r="O529" i="2"/>
  <c r="P529" i="2" s="1"/>
  <c r="M529" i="2"/>
  <c r="L529" i="2"/>
  <c r="D529" i="2"/>
  <c r="C529" i="2"/>
  <c r="B529" i="2"/>
  <c r="A529" i="2"/>
  <c r="BQ528" i="2"/>
  <c r="BR528" i="2" s="1"/>
  <c r="BD528" i="2"/>
  <c r="Z528" i="2"/>
  <c r="L528" i="2"/>
  <c r="D528" i="2"/>
  <c r="C528" i="2"/>
  <c r="B528" i="2"/>
  <c r="A528" i="2"/>
  <c r="EE527" i="2"/>
  <c r="BW527" i="2"/>
  <c r="BX527" i="2" s="1"/>
  <c r="BQ527" i="2"/>
  <c r="BR527" i="2" s="1"/>
  <c r="BK527" i="2"/>
  <c r="BL527" i="2" s="1"/>
  <c r="O527" i="2"/>
  <c r="P527" i="2" s="1"/>
  <c r="D527" i="2"/>
  <c r="C527" i="2"/>
  <c r="B527" i="2"/>
  <c r="A527" i="2"/>
  <c r="EE526" i="2"/>
  <c r="BW526" i="2"/>
  <c r="BX526" i="2" s="1"/>
  <c r="BQ526" i="2"/>
  <c r="BR526" i="2" s="1"/>
  <c r="BK526" i="2"/>
  <c r="BL526" i="2" s="1"/>
  <c r="D526" i="2"/>
  <c r="C526" i="2"/>
  <c r="B526" i="2"/>
  <c r="A526" i="2"/>
  <c r="BQ525" i="2"/>
  <c r="BR525" i="2" s="1"/>
  <c r="BK525" i="2"/>
  <c r="BL525" i="2" s="1"/>
  <c r="BE525" i="2"/>
  <c r="BF525" i="2" s="1"/>
  <c r="M525" i="2"/>
  <c r="L525" i="2"/>
  <c r="D525" i="2"/>
  <c r="C525" i="2"/>
  <c r="B525" i="2"/>
  <c r="A525" i="2"/>
  <c r="BQ524" i="2"/>
  <c r="BR524" i="2" s="1"/>
  <c r="BK524" i="2"/>
  <c r="BL524" i="2" s="1"/>
  <c r="BD524" i="2"/>
  <c r="Z524" i="2"/>
  <c r="L524" i="2"/>
  <c r="D524" i="2"/>
  <c r="C524" i="2"/>
  <c r="B524" i="2"/>
  <c r="A524" i="2"/>
  <c r="BW523" i="2"/>
  <c r="BX523" i="2" s="1"/>
  <c r="BQ523" i="2"/>
  <c r="BR523" i="2" s="1"/>
  <c r="BK523" i="2"/>
  <c r="BL523" i="2" s="1"/>
  <c r="BE523" i="2"/>
  <c r="BF523" i="2" s="1"/>
  <c r="Z523" i="2"/>
  <c r="O523" i="2"/>
  <c r="P523" i="2" s="1"/>
  <c r="L523" i="2"/>
  <c r="D523" i="2"/>
  <c r="C523" i="2"/>
  <c r="B523" i="2"/>
  <c r="A523" i="2"/>
  <c r="EE522" i="2"/>
  <c r="BW522" i="2"/>
  <c r="BX522" i="2" s="1"/>
  <c r="BQ522" i="2"/>
  <c r="BR522" i="2" s="1"/>
  <c r="BK522" i="2"/>
  <c r="BL522" i="2" s="1"/>
  <c r="O522" i="2"/>
  <c r="P522" i="2" s="1"/>
  <c r="ED522" i="2" s="1"/>
  <c r="EF522" i="2" s="1"/>
  <c r="D522" i="2"/>
  <c r="C522" i="2"/>
  <c r="B522" i="2"/>
  <c r="A522" i="2"/>
  <c r="EE521" i="2"/>
  <c r="BW521" i="2"/>
  <c r="BX521" i="2" s="1"/>
  <c r="BQ521" i="2"/>
  <c r="BR521" i="2" s="1"/>
  <c r="BK521" i="2"/>
  <c r="BL521" i="2" s="1"/>
  <c r="O521" i="2"/>
  <c r="P521" i="2" s="1"/>
  <c r="D521" i="2"/>
  <c r="C521" i="2"/>
  <c r="B521" i="2"/>
  <c r="A521" i="2"/>
  <c r="BW520" i="2"/>
  <c r="BX520" i="2" s="1"/>
  <c r="BQ520" i="2"/>
  <c r="BR520" i="2" s="1"/>
  <c r="BK520" i="2"/>
  <c r="BL520" i="2" s="1"/>
  <c r="BD520" i="2"/>
  <c r="AA520" i="2"/>
  <c r="AB520" i="2" s="1"/>
  <c r="O520" i="2"/>
  <c r="P520" i="2" s="1"/>
  <c r="M520" i="2"/>
  <c r="L520" i="2"/>
  <c r="D520" i="2"/>
  <c r="C520" i="2"/>
  <c r="B520" i="2"/>
  <c r="A520" i="2"/>
  <c r="BK519" i="2"/>
  <c r="BL519" i="2" s="1"/>
  <c r="BE519" i="2"/>
  <c r="BF519" i="2" s="1"/>
  <c r="AA519" i="2"/>
  <c r="AB519" i="2" s="1"/>
  <c r="M519" i="2"/>
  <c r="L519" i="2"/>
  <c r="D519" i="2"/>
  <c r="C519" i="2"/>
  <c r="B519" i="2"/>
  <c r="A519" i="2"/>
  <c r="EE518" i="2"/>
  <c r="BW518" i="2"/>
  <c r="BX518" i="2" s="1"/>
  <c r="BQ518" i="2"/>
  <c r="BR518" i="2" s="1"/>
  <c r="BK518" i="2"/>
  <c r="BL518" i="2" s="1"/>
  <c r="L518" i="2"/>
  <c r="D518" i="2"/>
  <c r="C518" i="2"/>
  <c r="B518" i="2"/>
  <c r="A518" i="2"/>
  <c r="BW517" i="2"/>
  <c r="BX517" i="2" s="1"/>
  <c r="BQ517" i="2"/>
  <c r="BR517" i="2" s="1"/>
  <c r="BK517" i="2"/>
  <c r="BL517" i="2" s="1"/>
  <c r="O517" i="2"/>
  <c r="P517" i="2" s="1"/>
  <c r="M517" i="2"/>
  <c r="L517" i="2"/>
  <c r="D517" i="2"/>
  <c r="C517" i="2"/>
  <c r="B517" i="2"/>
  <c r="A517" i="2"/>
  <c r="BW516" i="2"/>
  <c r="BX516" i="2" s="1"/>
  <c r="BQ516" i="2"/>
  <c r="BR516" i="2" s="1"/>
  <c r="BK516" i="2"/>
  <c r="BL516" i="2" s="1"/>
  <c r="BE516" i="2"/>
  <c r="BF516" i="2" s="1"/>
  <c r="M516" i="2"/>
  <c r="L516" i="2"/>
  <c r="D516" i="2"/>
  <c r="C516" i="2"/>
  <c r="B516" i="2"/>
  <c r="A516" i="2"/>
  <c r="BQ515" i="2"/>
  <c r="BR515" i="2" s="1"/>
  <c r="BK515" i="2"/>
  <c r="BL515" i="2" s="1"/>
  <c r="M515" i="2"/>
  <c r="L515" i="2"/>
  <c r="D515" i="2"/>
  <c r="C515" i="2"/>
  <c r="B515" i="2"/>
  <c r="A515" i="2"/>
  <c r="BW514" i="2"/>
  <c r="BX514" i="2" s="1"/>
  <c r="BQ514" i="2"/>
  <c r="BR514" i="2" s="1"/>
  <c r="BK514" i="2"/>
  <c r="BL514" i="2" s="1"/>
  <c r="O514" i="2"/>
  <c r="P514" i="2" s="1"/>
  <c r="M514" i="2"/>
  <c r="L514" i="2"/>
  <c r="D514" i="2"/>
  <c r="C514" i="2"/>
  <c r="B514" i="2"/>
  <c r="A514" i="2"/>
  <c r="BW513" i="2"/>
  <c r="BX513" i="2" s="1"/>
  <c r="BQ513" i="2"/>
  <c r="BR513" i="2" s="1"/>
  <c r="BK513" i="2"/>
  <c r="BL513" i="2" s="1"/>
  <c r="T513" i="2"/>
  <c r="M513" i="2"/>
  <c r="L513" i="2"/>
  <c r="D513" i="2"/>
  <c r="C513" i="2"/>
  <c r="B513" i="2"/>
  <c r="A513" i="2"/>
  <c r="EE512" i="2"/>
  <c r="O512" i="2"/>
  <c r="P512" i="2" s="1"/>
  <c r="ED512" i="2" s="1"/>
  <c r="L512" i="2"/>
  <c r="D512" i="2"/>
  <c r="C512" i="2"/>
  <c r="B512" i="2"/>
  <c r="A512" i="2"/>
  <c r="BW511" i="2"/>
  <c r="BX511" i="2" s="1"/>
  <c r="BQ511" i="2"/>
  <c r="BR511" i="2" s="1"/>
  <c r="BK511" i="2"/>
  <c r="BL511" i="2" s="1"/>
  <c r="O511" i="2"/>
  <c r="P511" i="2" s="1"/>
  <c r="M511" i="2"/>
  <c r="L511" i="2"/>
  <c r="D511" i="2"/>
  <c r="C511" i="2"/>
  <c r="B511" i="2"/>
  <c r="A511" i="2"/>
  <c r="BW510" i="2"/>
  <c r="BX510" i="2" s="1"/>
  <c r="BQ510" i="2"/>
  <c r="BR510" i="2" s="1"/>
  <c r="BK510" i="2"/>
  <c r="BL510" i="2" s="1"/>
  <c r="U510" i="2"/>
  <c r="V510" i="2" s="1"/>
  <c r="O510" i="2"/>
  <c r="P510" i="2" s="1"/>
  <c r="M510" i="2"/>
  <c r="L510" i="2"/>
  <c r="D510" i="2"/>
  <c r="C510" i="2"/>
  <c r="B510" i="2"/>
  <c r="A510" i="2"/>
  <c r="BV509" i="2"/>
  <c r="BQ509" i="2"/>
  <c r="BR509" i="2" s="1"/>
  <c r="BJ509" i="2"/>
  <c r="O509" i="2"/>
  <c r="P509" i="2" s="1"/>
  <c r="M509" i="2"/>
  <c r="L509" i="2"/>
  <c r="D509" i="2"/>
  <c r="C509" i="2"/>
  <c r="B509" i="2"/>
  <c r="A509" i="2"/>
  <c r="BW508" i="2"/>
  <c r="BX508" i="2" s="1"/>
  <c r="BQ508" i="2"/>
  <c r="BR508" i="2" s="1"/>
  <c r="BK508" i="2"/>
  <c r="BL508" i="2" s="1"/>
  <c r="M508" i="2"/>
  <c r="L508" i="2"/>
  <c r="D508" i="2"/>
  <c r="C508" i="2"/>
  <c r="B508" i="2"/>
  <c r="A508" i="2"/>
  <c r="BV507" i="2"/>
  <c r="BQ507" i="2"/>
  <c r="BR507" i="2" s="1"/>
  <c r="BJ507" i="2"/>
  <c r="M507" i="2"/>
  <c r="L507" i="2"/>
  <c r="D507" i="2"/>
  <c r="C507" i="2"/>
  <c r="B507" i="2"/>
  <c r="A507" i="2"/>
  <c r="BV506" i="2"/>
  <c r="BQ506" i="2"/>
  <c r="BR506" i="2" s="1"/>
  <c r="BJ506" i="2"/>
  <c r="M506" i="2"/>
  <c r="L506" i="2"/>
  <c r="D506" i="2"/>
  <c r="C506" i="2"/>
  <c r="B506" i="2"/>
  <c r="A506" i="2"/>
  <c r="EE505" i="2"/>
  <c r="BW505" i="2"/>
  <c r="BX505" i="2" s="1"/>
  <c r="BQ505" i="2"/>
  <c r="BR505" i="2" s="1"/>
  <c r="BK505" i="2"/>
  <c r="BL505" i="2" s="1"/>
  <c r="ED505" i="2" s="1"/>
  <c r="EF505" i="2" s="1"/>
  <c r="D505" i="2"/>
  <c r="C505" i="2"/>
  <c r="B505" i="2"/>
  <c r="A505" i="2"/>
  <c r="BQ504" i="2"/>
  <c r="BR504" i="2" s="1"/>
  <c r="BE504" i="2"/>
  <c r="BF504" i="2" s="1"/>
  <c r="Z504" i="2"/>
  <c r="O504" i="2"/>
  <c r="P504" i="2" s="1"/>
  <c r="M504" i="2"/>
  <c r="L504" i="2"/>
  <c r="D504" i="2"/>
  <c r="C504" i="2"/>
  <c r="B504" i="2"/>
  <c r="A504" i="2"/>
  <c r="BQ503" i="2"/>
  <c r="BR503" i="2" s="1"/>
  <c r="BE503" i="2"/>
  <c r="BF503" i="2" s="1"/>
  <c r="T503" i="2"/>
  <c r="O503" i="2"/>
  <c r="P503" i="2" s="1"/>
  <c r="M503" i="2"/>
  <c r="L503" i="2"/>
  <c r="D503" i="2"/>
  <c r="C503" i="2"/>
  <c r="B503" i="2"/>
  <c r="A503" i="2"/>
  <c r="BQ502" i="2"/>
  <c r="BR502" i="2" s="1"/>
  <c r="BE502" i="2"/>
  <c r="BF502" i="2" s="1"/>
  <c r="Z502" i="2"/>
  <c r="O502" i="2"/>
  <c r="P502" i="2" s="1"/>
  <c r="M502" i="2"/>
  <c r="L502" i="2"/>
  <c r="D502" i="2"/>
  <c r="C502" i="2"/>
  <c r="B502" i="2"/>
  <c r="A502" i="2"/>
  <c r="BW501" i="2"/>
  <c r="BX501" i="2" s="1"/>
  <c r="BQ501" i="2"/>
  <c r="BR501" i="2" s="1"/>
  <c r="BK501" i="2"/>
  <c r="BL501" i="2" s="1"/>
  <c r="BE501" i="2"/>
  <c r="BF501" i="2" s="1"/>
  <c r="T501" i="2"/>
  <c r="M501" i="2"/>
  <c r="L501" i="2"/>
  <c r="D501" i="2"/>
  <c r="C501" i="2"/>
  <c r="B501" i="2"/>
  <c r="A501" i="2"/>
  <c r="BW500" i="2"/>
  <c r="BX500" i="2" s="1"/>
  <c r="BQ500" i="2"/>
  <c r="BR500" i="2" s="1"/>
  <c r="BK500" i="2"/>
  <c r="BL500" i="2" s="1"/>
  <c r="O500" i="2"/>
  <c r="P500" i="2" s="1"/>
  <c r="M500" i="2"/>
  <c r="L500" i="2"/>
  <c r="D500" i="2"/>
  <c r="C500" i="2"/>
  <c r="B500" i="2"/>
  <c r="A500" i="2"/>
  <c r="BW499" i="2"/>
  <c r="BX499" i="2" s="1"/>
  <c r="BQ499" i="2"/>
  <c r="BR499" i="2" s="1"/>
  <c r="BK499" i="2"/>
  <c r="BL499" i="2" s="1"/>
  <c r="O499" i="2"/>
  <c r="P499" i="2" s="1"/>
  <c r="M499" i="2"/>
  <c r="L499" i="2"/>
  <c r="D499" i="2"/>
  <c r="C499" i="2"/>
  <c r="B499" i="2"/>
  <c r="A499" i="2"/>
  <c r="BW498" i="2"/>
  <c r="BX498" i="2" s="1"/>
  <c r="BK498" i="2"/>
  <c r="BL498" i="2" s="1"/>
  <c r="M498" i="2"/>
  <c r="L498" i="2"/>
  <c r="D498" i="2"/>
  <c r="C498" i="2"/>
  <c r="B498" i="2"/>
  <c r="A498" i="2"/>
  <c r="BW497" i="2"/>
  <c r="BX497" i="2" s="1"/>
  <c r="BQ497" i="2"/>
  <c r="BR497" i="2" s="1"/>
  <c r="BK497" i="2"/>
  <c r="BL497" i="2" s="1"/>
  <c r="O497" i="2"/>
  <c r="P497" i="2" s="1"/>
  <c r="M497" i="2"/>
  <c r="L497" i="2"/>
  <c r="D497" i="2"/>
  <c r="C497" i="2"/>
  <c r="B497" i="2"/>
  <c r="A497" i="2"/>
  <c r="O496" i="2"/>
  <c r="P496" i="2" s="1"/>
  <c r="M496" i="2"/>
  <c r="L496" i="2"/>
  <c r="D496" i="2"/>
  <c r="C496" i="2"/>
  <c r="B496" i="2"/>
  <c r="A496" i="2"/>
  <c r="BW495" i="2"/>
  <c r="BX495" i="2" s="1"/>
  <c r="BQ495" i="2"/>
  <c r="BR495" i="2" s="1"/>
  <c r="BK495" i="2"/>
  <c r="BL495" i="2" s="1"/>
  <c r="AS495" i="2"/>
  <c r="AT495" i="2" s="1"/>
  <c r="O495" i="2"/>
  <c r="P495" i="2" s="1"/>
  <c r="M495" i="2"/>
  <c r="L495" i="2"/>
  <c r="D495" i="2"/>
  <c r="C495" i="2"/>
  <c r="B495" i="2"/>
  <c r="A495" i="2"/>
  <c r="BW494" i="2"/>
  <c r="BX494" i="2" s="1"/>
  <c r="BQ494" i="2"/>
  <c r="BR494" i="2" s="1"/>
  <c r="BK494" i="2"/>
  <c r="BL494" i="2" s="1"/>
  <c r="AS494" i="2"/>
  <c r="AT494" i="2" s="1"/>
  <c r="O494" i="2"/>
  <c r="P494" i="2" s="1"/>
  <c r="M494" i="2"/>
  <c r="L494" i="2"/>
  <c r="D494" i="2"/>
  <c r="C494" i="2"/>
  <c r="B494" i="2"/>
  <c r="A494" i="2"/>
  <c r="BW493" i="2"/>
  <c r="BX493" i="2" s="1"/>
  <c r="BK493" i="2"/>
  <c r="BL493" i="2" s="1"/>
  <c r="AS493" i="2"/>
  <c r="AT493" i="2" s="1"/>
  <c r="O493" i="2"/>
  <c r="P493" i="2" s="1"/>
  <c r="M493" i="2"/>
  <c r="L493" i="2"/>
  <c r="D493" i="2"/>
  <c r="C493" i="2"/>
  <c r="B493" i="2"/>
  <c r="A493" i="2"/>
  <c r="EE492" i="2"/>
  <c r="BW492" i="2"/>
  <c r="BX492" i="2" s="1"/>
  <c r="BQ492" i="2"/>
  <c r="BR492" i="2" s="1"/>
  <c r="BK492" i="2"/>
  <c r="BL492" i="2" s="1"/>
  <c r="AS492" i="2"/>
  <c r="AT492" i="2" s="1"/>
  <c r="O492" i="2"/>
  <c r="P492" i="2" s="1"/>
  <c r="ED492" i="2" s="1"/>
  <c r="EF492" i="2" s="1"/>
  <c r="D492" i="2"/>
  <c r="C492" i="2"/>
  <c r="B492" i="2"/>
  <c r="A492" i="2"/>
  <c r="O491" i="2"/>
  <c r="P491" i="2" s="1"/>
  <c r="M491" i="2"/>
  <c r="L491" i="2"/>
  <c r="D491" i="2"/>
  <c r="C491" i="2"/>
  <c r="B491" i="2"/>
  <c r="A491" i="2"/>
  <c r="EE490" i="2"/>
  <c r="BQ490" i="2"/>
  <c r="BR490" i="2" s="1"/>
  <c r="AS490" i="2"/>
  <c r="AT490" i="2" s="1"/>
  <c r="O490" i="2"/>
  <c r="P490" i="2" s="1"/>
  <c r="L490" i="2"/>
  <c r="D490" i="2"/>
  <c r="C490" i="2"/>
  <c r="B490" i="2"/>
  <c r="A490" i="2"/>
  <c r="BQ489" i="2"/>
  <c r="BR489" i="2" s="1"/>
  <c r="AS489" i="2"/>
  <c r="AT489" i="2" s="1"/>
  <c r="O489" i="2"/>
  <c r="P489" i="2" s="1"/>
  <c r="M489" i="2"/>
  <c r="L489" i="2"/>
  <c r="D489" i="2"/>
  <c r="C489" i="2"/>
  <c r="B489" i="2"/>
  <c r="A489" i="2"/>
  <c r="BQ488" i="2"/>
  <c r="BR488" i="2" s="1"/>
  <c r="AS488" i="2"/>
  <c r="AT488" i="2" s="1"/>
  <c r="O488" i="2"/>
  <c r="P488" i="2" s="1"/>
  <c r="M488" i="2"/>
  <c r="L488" i="2"/>
  <c r="D488" i="2"/>
  <c r="C488" i="2"/>
  <c r="B488" i="2"/>
  <c r="A488" i="2"/>
  <c r="BW487" i="2"/>
  <c r="BX487" i="2" s="1"/>
  <c r="BK487" i="2"/>
  <c r="BL487" i="2" s="1"/>
  <c r="M487" i="2"/>
  <c r="L487" i="2"/>
  <c r="D487" i="2"/>
  <c r="C487" i="2"/>
  <c r="B487" i="2"/>
  <c r="A487" i="2"/>
  <c r="EE486" i="2"/>
  <c r="BW486" i="2"/>
  <c r="BX486" i="2" s="1"/>
  <c r="BK486" i="2"/>
  <c r="BL486" i="2" s="1"/>
  <c r="D486" i="2"/>
  <c r="C486" i="2"/>
  <c r="B486" i="2"/>
  <c r="A486" i="2"/>
  <c r="BW485" i="2"/>
  <c r="BX485" i="2" s="1"/>
  <c r="BQ485" i="2"/>
  <c r="BR485" i="2" s="1"/>
  <c r="BK485" i="2"/>
  <c r="BL485" i="2" s="1"/>
  <c r="M485" i="2"/>
  <c r="L485" i="2"/>
  <c r="D485" i="2"/>
  <c r="C485" i="2"/>
  <c r="B485" i="2"/>
  <c r="A485" i="2"/>
  <c r="EE484" i="2"/>
  <c r="BW484" i="2"/>
  <c r="BX484" i="2" s="1"/>
  <c r="BK484" i="2"/>
  <c r="BL484" i="2" s="1"/>
  <c r="D484" i="2"/>
  <c r="C484" i="2"/>
  <c r="B484" i="2"/>
  <c r="A484" i="2"/>
  <c r="EE483" i="2"/>
  <c r="BW483" i="2"/>
  <c r="BX483" i="2" s="1"/>
  <c r="BQ483" i="2"/>
  <c r="BR483" i="2" s="1"/>
  <c r="BK483" i="2"/>
  <c r="BL483" i="2" s="1"/>
  <c r="D483" i="2"/>
  <c r="C483" i="2"/>
  <c r="B483" i="2"/>
  <c r="A483" i="2"/>
  <c r="BW482" i="2"/>
  <c r="BX482" i="2" s="1"/>
  <c r="BQ482" i="2"/>
  <c r="BR482" i="2" s="1"/>
  <c r="BK482" i="2"/>
  <c r="BL482" i="2" s="1"/>
  <c r="M482" i="2"/>
  <c r="L482" i="2"/>
  <c r="D482" i="2"/>
  <c r="C482" i="2"/>
  <c r="B482" i="2"/>
  <c r="A482" i="2"/>
  <c r="EE481" i="2"/>
  <c r="BW481" i="2"/>
  <c r="BX481" i="2" s="1"/>
  <c r="BQ481" i="2"/>
  <c r="BR481" i="2" s="1"/>
  <c r="BK481" i="2"/>
  <c r="BL481" i="2" s="1"/>
  <c r="D481" i="2"/>
  <c r="C481" i="2"/>
  <c r="B481" i="2"/>
  <c r="A481" i="2"/>
  <c r="BW480" i="2"/>
  <c r="BX480" i="2" s="1"/>
  <c r="BQ480" i="2"/>
  <c r="BR480" i="2" s="1"/>
  <c r="BK480" i="2"/>
  <c r="BL480" i="2" s="1"/>
  <c r="O480" i="2"/>
  <c r="P480" i="2" s="1"/>
  <c r="M480" i="2"/>
  <c r="L480" i="2"/>
  <c r="D480" i="2"/>
  <c r="C480" i="2"/>
  <c r="B480" i="2"/>
  <c r="A480" i="2"/>
  <c r="BW479" i="2"/>
  <c r="BX479" i="2" s="1"/>
  <c r="BQ479" i="2"/>
  <c r="BR479" i="2" s="1"/>
  <c r="BK479" i="2"/>
  <c r="BL479" i="2" s="1"/>
  <c r="M479" i="2"/>
  <c r="L479" i="2"/>
  <c r="D479" i="2"/>
  <c r="C479" i="2"/>
  <c r="B479" i="2"/>
  <c r="A479" i="2"/>
  <c r="BP478" i="2"/>
  <c r="AS478" i="2"/>
  <c r="AT478" i="2" s="1"/>
  <c r="L478" i="2"/>
  <c r="D478" i="2"/>
  <c r="C478" i="2"/>
  <c r="B478" i="2"/>
  <c r="A478" i="2"/>
  <c r="BW477" i="2"/>
  <c r="BX477" i="2" s="1"/>
  <c r="BQ477" i="2"/>
  <c r="BR477" i="2" s="1"/>
  <c r="BK477" i="2"/>
  <c r="BL477" i="2" s="1"/>
  <c r="AA477" i="2"/>
  <c r="AB477" i="2" s="1"/>
  <c r="U477" i="2"/>
  <c r="V477" i="2" s="1"/>
  <c r="O477" i="2"/>
  <c r="P477" i="2" s="1"/>
  <c r="M477" i="2"/>
  <c r="L477" i="2"/>
  <c r="D477" i="2"/>
  <c r="C477" i="2"/>
  <c r="B477" i="2"/>
  <c r="A477" i="2"/>
  <c r="BW476" i="2"/>
  <c r="BX476" i="2" s="1"/>
  <c r="BQ476" i="2"/>
  <c r="BR476" i="2" s="1"/>
  <c r="BK476" i="2"/>
  <c r="BL476" i="2" s="1"/>
  <c r="AA476" i="2"/>
  <c r="AB476" i="2" s="1"/>
  <c r="O476" i="2"/>
  <c r="P476" i="2" s="1"/>
  <c r="M476" i="2"/>
  <c r="L476" i="2"/>
  <c r="D476" i="2"/>
  <c r="C476" i="2"/>
  <c r="B476" i="2"/>
  <c r="A476" i="2"/>
  <c r="EE475" i="2"/>
  <c r="BQ475" i="2"/>
  <c r="BR475" i="2" s="1"/>
  <c r="ED475" i="2" s="1"/>
  <c r="D475" i="2"/>
  <c r="C475" i="2"/>
  <c r="B475" i="2"/>
  <c r="A475" i="2"/>
  <c r="EE474" i="2"/>
  <c r="BQ474" i="2"/>
  <c r="BR474" i="2" s="1"/>
  <c r="ED474" i="2" s="1"/>
  <c r="D474" i="2"/>
  <c r="C474" i="2"/>
  <c r="B474" i="2"/>
  <c r="A474" i="2"/>
  <c r="EE473" i="2"/>
  <c r="BQ473" i="2"/>
  <c r="BR473" i="2" s="1"/>
  <c r="ED473" i="2" s="1"/>
  <c r="D473" i="2"/>
  <c r="C473" i="2"/>
  <c r="B473" i="2"/>
  <c r="A473" i="2"/>
  <c r="BW472" i="2"/>
  <c r="BX472" i="2" s="1"/>
  <c r="BK472" i="2"/>
  <c r="BL472" i="2" s="1"/>
  <c r="U472" i="2"/>
  <c r="V472" i="2" s="1"/>
  <c r="O472" i="2"/>
  <c r="P472" i="2" s="1"/>
  <c r="M472" i="2"/>
  <c r="L472" i="2"/>
  <c r="D472" i="2"/>
  <c r="C472" i="2"/>
  <c r="B472" i="2"/>
  <c r="A472" i="2"/>
  <c r="EE471" i="2"/>
  <c r="O471" i="2"/>
  <c r="P471" i="2" s="1"/>
  <c r="ED471" i="2" s="1"/>
  <c r="L471" i="2"/>
  <c r="D471" i="2"/>
  <c r="C471" i="2"/>
  <c r="B471" i="2"/>
  <c r="A471" i="2"/>
  <c r="BV470" i="2"/>
  <c r="BJ470" i="2"/>
  <c r="D470" i="2"/>
  <c r="C470" i="2"/>
  <c r="B470" i="2"/>
  <c r="A470" i="2"/>
  <c r="EE469" i="2"/>
  <c r="BW469" i="2"/>
  <c r="BX469" i="2" s="1"/>
  <c r="BK469" i="2"/>
  <c r="BL469" i="2" s="1"/>
  <c r="O469" i="2"/>
  <c r="P469" i="2" s="1"/>
  <c r="ED469" i="2" s="1"/>
  <c r="EF469" i="2" s="1"/>
  <c r="D469" i="2"/>
  <c r="C469" i="2"/>
  <c r="B469" i="2"/>
  <c r="A469" i="2"/>
  <c r="EE468" i="2"/>
  <c r="BW468" i="2"/>
  <c r="BX468" i="2" s="1"/>
  <c r="BK468" i="2"/>
  <c r="BL468" i="2" s="1"/>
  <c r="D468" i="2"/>
  <c r="C468" i="2"/>
  <c r="B468" i="2"/>
  <c r="A468" i="2"/>
  <c r="BJ467" i="2"/>
  <c r="AA467" i="2"/>
  <c r="AB467" i="2" s="1"/>
  <c r="M467" i="2"/>
  <c r="L467" i="2"/>
  <c r="D467" i="2"/>
  <c r="C467" i="2"/>
  <c r="B467" i="2"/>
  <c r="A467" i="2"/>
  <c r="BV466" i="2"/>
  <c r="BJ466" i="2"/>
  <c r="L466" i="2"/>
  <c r="D466" i="2"/>
  <c r="C466" i="2"/>
  <c r="B466" i="2"/>
  <c r="A466" i="2"/>
  <c r="EE465" i="2"/>
  <c r="BW465" i="2"/>
  <c r="BX465" i="2" s="1"/>
  <c r="BQ465" i="2"/>
  <c r="BR465" i="2" s="1"/>
  <c r="BK465" i="2"/>
  <c r="BL465" i="2" s="1"/>
  <c r="L465" i="2"/>
  <c r="D465" i="2"/>
  <c r="C465" i="2"/>
  <c r="B465" i="2"/>
  <c r="A465" i="2"/>
  <c r="BW464" i="2"/>
  <c r="BX464" i="2" s="1"/>
  <c r="BQ464" i="2"/>
  <c r="BR464" i="2" s="1"/>
  <c r="BK464" i="2"/>
  <c r="BL464" i="2" s="1"/>
  <c r="O464" i="2"/>
  <c r="P464" i="2" s="1"/>
  <c r="M464" i="2"/>
  <c r="L464" i="2"/>
  <c r="D464" i="2"/>
  <c r="C464" i="2"/>
  <c r="B464" i="2"/>
  <c r="A464" i="2"/>
  <c r="BW463" i="2"/>
  <c r="BX463" i="2" s="1"/>
  <c r="BQ463" i="2"/>
  <c r="BR463" i="2" s="1"/>
  <c r="BK463" i="2"/>
  <c r="BL463" i="2" s="1"/>
  <c r="O463" i="2"/>
  <c r="P463" i="2" s="1"/>
  <c r="M463" i="2"/>
  <c r="L463" i="2"/>
  <c r="D463" i="2"/>
  <c r="C463" i="2"/>
  <c r="B463" i="2"/>
  <c r="A463" i="2"/>
  <c r="BW462" i="2"/>
  <c r="BX462" i="2" s="1"/>
  <c r="BQ462" i="2"/>
  <c r="BR462" i="2" s="1"/>
  <c r="BK462" i="2"/>
  <c r="BL462" i="2" s="1"/>
  <c r="O462" i="2"/>
  <c r="P462" i="2" s="1"/>
  <c r="M462" i="2"/>
  <c r="L462" i="2"/>
  <c r="D462" i="2"/>
  <c r="C462" i="2"/>
  <c r="B462" i="2"/>
  <c r="A462" i="2"/>
  <c r="BW461" i="2"/>
  <c r="BX461" i="2" s="1"/>
  <c r="BQ461" i="2"/>
  <c r="BR461" i="2" s="1"/>
  <c r="BK461" i="2"/>
  <c r="BL461" i="2" s="1"/>
  <c r="O461" i="2"/>
  <c r="P461" i="2" s="1"/>
  <c r="M461" i="2"/>
  <c r="L461" i="2"/>
  <c r="D461" i="2"/>
  <c r="C461" i="2"/>
  <c r="B461" i="2"/>
  <c r="A461" i="2"/>
  <c r="BW460" i="2"/>
  <c r="BX460" i="2" s="1"/>
  <c r="BK460" i="2"/>
  <c r="BL460" i="2" s="1"/>
  <c r="O460" i="2"/>
  <c r="P460" i="2" s="1"/>
  <c r="M460" i="2"/>
  <c r="L460" i="2"/>
  <c r="D460" i="2"/>
  <c r="C460" i="2"/>
  <c r="B460" i="2"/>
  <c r="A460" i="2"/>
  <c r="BW459" i="2"/>
  <c r="BX459" i="2" s="1"/>
  <c r="BK459" i="2"/>
  <c r="BL459" i="2" s="1"/>
  <c r="O459" i="2"/>
  <c r="P459" i="2" s="1"/>
  <c r="M459" i="2"/>
  <c r="L459" i="2"/>
  <c r="D459" i="2"/>
  <c r="C459" i="2"/>
  <c r="B459" i="2"/>
  <c r="A459" i="2"/>
  <c r="EE458" i="2"/>
  <c r="BW458" i="2"/>
  <c r="BX458" i="2" s="1"/>
  <c r="BK458" i="2"/>
  <c r="BL458" i="2" s="1"/>
  <c r="O458" i="2"/>
  <c r="P458" i="2" s="1"/>
  <c r="L458" i="2"/>
  <c r="D458" i="2"/>
  <c r="C458" i="2"/>
  <c r="B458" i="2"/>
  <c r="A458" i="2"/>
  <c r="BJ457" i="2"/>
  <c r="O457" i="2"/>
  <c r="P457" i="2" s="1"/>
  <c r="M457" i="2"/>
  <c r="L457" i="2"/>
  <c r="D457" i="2"/>
  <c r="C457" i="2"/>
  <c r="B457" i="2"/>
  <c r="A457" i="2"/>
  <c r="BJ456" i="2"/>
  <c r="AA456" i="2"/>
  <c r="AB456" i="2" s="1"/>
  <c r="L456" i="2"/>
  <c r="D456" i="2"/>
  <c r="C456" i="2"/>
  <c r="B456" i="2"/>
  <c r="A456" i="2"/>
  <c r="BW455" i="2"/>
  <c r="BX455" i="2" s="1"/>
  <c r="BK455" i="2"/>
  <c r="BL455" i="2" s="1"/>
  <c r="BE455" i="2"/>
  <c r="BF455" i="2" s="1"/>
  <c r="AA455" i="2"/>
  <c r="AB455" i="2" s="1"/>
  <c r="U455" i="2"/>
  <c r="V455" i="2" s="1"/>
  <c r="O455" i="2"/>
  <c r="P455" i="2" s="1"/>
  <c r="M455" i="2"/>
  <c r="L455" i="2"/>
  <c r="D455" i="2"/>
  <c r="C455" i="2"/>
  <c r="B455" i="2"/>
  <c r="A455" i="2"/>
  <c r="EE454" i="2"/>
  <c r="BW454" i="2"/>
  <c r="BX454" i="2" s="1"/>
  <c r="BK454" i="2"/>
  <c r="BL454" i="2" s="1"/>
  <c r="AA454" i="2"/>
  <c r="AB454" i="2" s="1"/>
  <c r="L454" i="2"/>
  <c r="D454" i="2"/>
  <c r="C454" i="2"/>
  <c r="B454" i="2"/>
  <c r="A454" i="2"/>
  <c r="BW453" i="2"/>
  <c r="BX453" i="2" s="1"/>
  <c r="BK453" i="2"/>
  <c r="BL453" i="2" s="1"/>
  <c r="BE453" i="2"/>
  <c r="BF453" i="2" s="1"/>
  <c r="AA453" i="2"/>
  <c r="AB453" i="2" s="1"/>
  <c r="O453" i="2"/>
  <c r="P453" i="2" s="1"/>
  <c r="M453" i="2"/>
  <c r="L453" i="2"/>
  <c r="D453" i="2"/>
  <c r="C453" i="2"/>
  <c r="B453" i="2"/>
  <c r="A453" i="2"/>
  <c r="BV452" i="2"/>
  <c r="BJ452" i="2"/>
  <c r="BE452" i="2"/>
  <c r="BF452" i="2" s="1"/>
  <c r="AA452" i="2"/>
  <c r="AB452" i="2" s="1"/>
  <c r="O452" i="2"/>
  <c r="P452" i="2" s="1"/>
  <c r="L452" i="2"/>
  <c r="D452" i="2"/>
  <c r="C452" i="2"/>
  <c r="B452" i="2"/>
  <c r="A452" i="2"/>
  <c r="EE451" i="2"/>
  <c r="BW451" i="2"/>
  <c r="BX451" i="2" s="1"/>
  <c r="BK451" i="2"/>
  <c r="BL451" i="2" s="1"/>
  <c r="BE451" i="2"/>
  <c r="BF451" i="2" s="1"/>
  <c r="AA451" i="2"/>
  <c r="AB451" i="2" s="1"/>
  <c r="O451" i="2"/>
  <c r="P451" i="2" s="1"/>
  <c r="L451" i="2"/>
  <c r="D451" i="2"/>
  <c r="C451" i="2"/>
  <c r="B451" i="2"/>
  <c r="A451" i="2"/>
  <c r="BW450" i="2"/>
  <c r="BX450" i="2" s="1"/>
  <c r="BK450" i="2"/>
  <c r="BL450" i="2" s="1"/>
  <c r="BE450" i="2"/>
  <c r="BF450" i="2" s="1"/>
  <c r="AA450" i="2"/>
  <c r="AB450" i="2" s="1"/>
  <c r="U450" i="2"/>
  <c r="V450" i="2" s="1"/>
  <c r="O450" i="2"/>
  <c r="P450" i="2" s="1"/>
  <c r="M450" i="2"/>
  <c r="L450" i="2"/>
  <c r="D450" i="2"/>
  <c r="C450" i="2"/>
  <c r="B450" i="2"/>
  <c r="A450" i="2"/>
  <c r="BW449" i="2"/>
  <c r="BX449" i="2" s="1"/>
  <c r="BK449" i="2"/>
  <c r="BL449" i="2" s="1"/>
  <c r="O449" i="2"/>
  <c r="P449" i="2" s="1"/>
  <c r="M449" i="2"/>
  <c r="L449" i="2"/>
  <c r="D449" i="2"/>
  <c r="C449" i="2"/>
  <c r="B449" i="2"/>
  <c r="A449" i="2"/>
  <c r="BW448" i="2"/>
  <c r="BX448" i="2" s="1"/>
  <c r="BK448" i="2"/>
  <c r="O448" i="2"/>
  <c r="P448" i="2" s="1"/>
  <c r="M448" i="2"/>
  <c r="L448" i="2"/>
  <c r="D448" i="2"/>
  <c r="C448" i="2"/>
  <c r="B448" i="2"/>
  <c r="A448" i="2"/>
  <c r="BW447" i="2"/>
  <c r="BX447" i="2" s="1"/>
  <c r="BK447" i="2"/>
  <c r="BL447" i="2" s="1"/>
  <c r="O447" i="2"/>
  <c r="P447" i="2" s="1"/>
  <c r="M447" i="2"/>
  <c r="L447" i="2"/>
  <c r="D447" i="2"/>
  <c r="C447" i="2"/>
  <c r="B447" i="2"/>
  <c r="A447" i="2"/>
  <c r="BW446" i="2"/>
  <c r="BX446" i="2" s="1"/>
  <c r="BK446" i="2"/>
  <c r="BL446" i="2" s="1"/>
  <c r="BE446" i="2"/>
  <c r="BF446" i="2" s="1"/>
  <c r="AA446" i="2"/>
  <c r="AB446" i="2" s="1"/>
  <c r="O446" i="2"/>
  <c r="P446" i="2" s="1"/>
  <c r="M446" i="2"/>
  <c r="L446" i="2"/>
  <c r="D446" i="2"/>
  <c r="C446" i="2"/>
  <c r="B446" i="2"/>
  <c r="A446" i="2"/>
  <c r="BW445" i="2"/>
  <c r="BX445" i="2" s="1"/>
  <c r="BK445" i="2"/>
  <c r="BL445" i="2" s="1"/>
  <c r="M445" i="2"/>
  <c r="L445" i="2"/>
  <c r="D445" i="2"/>
  <c r="C445" i="2"/>
  <c r="B445" i="2"/>
  <c r="A445" i="2"/>
  <c r="BW444" i="2"/>
  <c r="BX444" i="2" s="1"/>
  <c r="BK444" i="2"/>
  <c r="BL444" i="2" s="1"/>
  <c r="M444" i="2"/>
  <c r="L444" i="2"/>
  <c r="D444" i="2"/>
  <c r="C444" i="2"/>
  <c r="B444" i="2"/>
  <c r="A444" i="2"/>
  <c r="BW443" i="2"/>
  <c r="BX443" i="2" s="1"/>
  <c r="BK443" i="2"/>
  <c r="BL443" i="2" s="1"/>
  <c r="M443" i="2"/>
  <c r="L443" i="2"/>
  <c r="D443" i="2"/>
  <c r="C443" i="2"/>
  <c r="B443" i="2"/>
  <c r="A443" i="2"/>
  <c r="BW442" i="2"/>
  <c r="BX442" i="2" s="1"/>
  <c r="BK442" i="2"/>
  <c r="BL442" i="2" s="1"/>
  <c r="M442" i="2"/>
  <c r="L442" i="2"/>
  <c r="D442" i="2"/>
  <c r="C442" i="2"/>
  <c r="B442" i="2"/>
  <c r="A442" i="2"/>
  <c r="BW441" i="2"/>
  <c r="BX441" i="2" s="1"/>
  <c r="BK441" i="2"/>
  <c r="BL441" i="2" s="1"/>
  <c r="BE441" i="2"/>
  <c r="BF441" i="2" s="1"/>
  <c r="AA441" i="2"/>
  <c r="AB441" i="2" s="1"/>
  <c r="M441" i="2"/>
  <c r="L441" i="2"/>
  <c r="D441" i="2"/>
  <c r="C441" i="2"/>
  <c r="B441" i="2"/>
  <c r="A441" i="2"/>
  <c r="EE440" i="2"/>
  <c r="BW440" i="2"/>
  <c r="BX440" i="2" s="1"/>
  <c r="BK440" i="2"/>
  <c r="BL440" i="2" s="1"/>
  <c r="BE440" i="2"/>
  <c r="BF440" i="2" s="1"/>
  <c r="AA440" i="2"/>
  <c r="AB440" i="2" s="1"/>
  <c r="L440" i="2"/>
  <c r="D440" i="2"/>
  <c r="C440" i="2"/>
  <c r="B440" i="2"/>
  <c r="A440" i="2"/>
  <c r="BW439" i="2"/>
  <c r="BX439" i="2" s="1"/>
  <c r="BK439" i="2"/>
  <c r="BL439" i="2" s="1"/>
  <c r="BE439" i="2"/>
  <c r="BF439" i="2" s="1"/>
  <c r="AA439" i="2"/>
  <c r="AB439" i="2" s="1"/>
  <c r="M439" i="2"/>
  <c r="L439" i="2"/>
  <c r="D439" i="2"/>
  <c r="C439" i="2"/>
  <c r="B439" i="2"/>
  <c r="A439" i="2"/>
  <c r="EE438" i="2"/>
  <c r="BW438" i="2"/>
  <c r="BX438" i="2" s="1"/>
  <c r="BK438" i="2"/>
  <c r="BL438" i="2" s="1"/>
  <c r="BE438" i="2"/>
  <c r="BF438" i="2" s="1"/>
  <c r="U438" i="2"/>
  <c r="V438" i="2" s="1"/>
  <c r="O438" i="2"/>
  <c r="P438" i="2" s="1"/>
  <c r="ED438" i="2" s="1"/>
  <c r="EF438" i="2" s="1"/>
  <c r="D438" i="2"/>
  <c r="C438" i="2"/>
  <c r="B438" i="2"/>
  <c r="A438" i="2"/>
  <c r="BK437" i="2"/>
  <c r="BL437" i="2" s="1"/>
  <c r="M437" i="2"/>
  <c r="L437" i="2"/>
  <c r="D437" i="2"/>
  <c r="C437" i="2"/>
  <c r="B437" i="2"/>
  <c r="A437" i="2"/>
  <c r="BW436" i="2"/>
  <c r="BX436" i="2" s="1"/>
  <c r="BK436" i="2"/>
  <c r="BL436" i="2" s="1"/>
  <c r="BE436" i="2"/>
  <c r="BF436" i="2" s="1"/>
  <c r="AA436" i="2"/>
  <c r="AB436" i="2" s="1"/>
  <c r="M436" i="2"/>
  <c r="L436" i="2"/>
  <c r="D436" i="2"/>
  <c r="C436" i="2"/>
  <c r="B436" i="2"/>
  <c r="A436" i="2"/>
  <c r="BW435" i="2"/>
  <c r="BX435" i="2" s="1"/>
  <c r="BK435" i="2"/>
  <c r="BL435" i="2" s="1"/>
  <c r="BE435" i="2"/>
  <c r="BF435" i="2" s="1"/>
  <c r="AA435" i="2"/>
  <c r="AB435" i="2" s="1"/>
  <c r="M435" i="2"/>
  <c r="L435" i="2"/>
  <c r="D435" i="2"/>
  <c r="C435" i="2"/>
  <c r="B435" i="2"/>
  <c r="A435" i="2"/>
  <c r="BW434" i="2"/>
  <c r="BX434" i="2" s="1"/>
  <c r="BK434" i="2"/>
  <c r="BL434" i="2" s="1"/>
  <c r="BE434" i="2"/>
  <c r="BF434" i="2" s="1"/>
  <c r="AA434" i="2"/>
  <c r="AB434" i="2" s="1"/>
  <c r="M434" i="2"/>
  <c r="L434" i="2"/>
  <c r="D434" i="2"/>
  <c r="C434" i="2"/>
  <c r="B434" i="2"/>
  <c r="A434" i="2"/>
  <c r="BW433" i="2"/>
  <c r="BX433" i="2" s="1"/>
  <c r="BK433" i="2"/>
  <c r="BL433" i="2" s="1"/>
  <c r="M433" i="2"/>
  <c r="L433" i="2"/>
  <c r="D433" i="2"/>
  <c r="C433" i="2"/>
  <c r="B433" i="2"/>
  <c r="A433" i="2"/>
  <c r="BW432" i="2"/>
  <c r="BX432" i="2" s="1"/>
  <c r="BK432" i="2"/>
  <c r="BL432" i="2" s="1"/>
  <c r="M432" i="2"/>
  <c r="L432" i="2"/>
  <c r="D432" i="2"/>
  <c r="C432" i="2"/>
  <c r="B432" i="2"/>
  <c r="A432" i="2"/>
  <c r="BW431" i="2"/>
  <c r="BX431" i="2" s="1"/>
  <c r="BK431" i="2"/>
  <c r="BL431" i="2" s="1"/>
  <c r="BE431" i="2"/>
  <c r="BF431" i="2" s="1"/>
  <c r="AA431" i="2"/>
  <c r="AB431" i="2" s="1"/>
  <c r="T431" i="2"/>
  <c r="M431" i="2"/>
  <c r="L431" i="2"/>
  <c r="D431" i="2"/>
  <c r="C431" i="2"/>
  <c r="B431" i="2"/>
  <c r="A431" i="2"/>
  <c r="BW430" i="2"/>
  <c r="BX430" i="2" s="1"/>
  <c r="BK430" i="2"/>
  <c r="BL430" i="2" s="1"/>
  <c r="M430" i="2"/>
  <c r="L430" i="2"/>
  <c r="D430" i="2"/>
  <c r="C430" i="2"/>
  <c r="B430" i="2"/>
  <c r="A430" i="2"/>
  <c r="BW429" i="2"/>
  <c r="BX429" i="2" s="1"/>
  <c r="BK429" i="2"/>
  <c r="BL429" i="2" s="1"/>
  <c r="M429" i="2"/>
  <c r="L429" i="2"/>
  <c r="D429" i="2"/>
  <c r="C429" i="2"/>
  <c r="B429" i="2"/>
  <c r="A429" i="2"/>
  <c r="BW428" i="2"/>
  <c r="BX428" i="2" s="1"/>
  <c r="BK428" i="2"/>
  <c r="BL428" i="2" s="1"/>
  <c r="BE428" i="2"/>
  <c r="BF428" i="2" s="1"/>
  <c r="AA428" i="2"/>
  <c r="AB428" i="2" s="1"/>
  <c r="M428" i="2"/>
  <c r="L428" i="2"/>
  <c r="D428" i="2"/>
  <c r="C428" i="2"/>
  <c r="B428" i="2"/>
  <c r="A428" i="2"/>
  <c r="BW427" i="2"/>
  <c r="BX427" i="2" s="1"/>
  <c r="BK427" i="2"/>
  <c r="BL427" i="2" s="1"/>
  <c r="M427" i="2"/>
  <c r="L427" i="2"/>
  <c r="D427" i="2"/>
  <c r="C427" i="2"/>
  <c r="B427" i="2"/>
  <c r="A427" i="2"/>
  <c r="BW426" i="2"/>
  <c r="BX426" i="2" s="1"/>
  <c r="BK426" i="2"/>
  <c r="BL426" i="2" s="1"/>
  <c r="T426" i="2"/>
  <c r="O426" i="2"/>
  <c r="P426" i="2" s="1"/>
  <c r="M426" i="2"/>
  <c r="L426" i="2"/>
  <c r="D426" i="2"/>
  <c r="C426" i="2"/>
  <c r="B426" i="2"/>
  <c r="A426" i="2"/>
  <c r="BW425" i="2"/>
  <c r="BX425" i="2" s="1"/>
  <c r="BK425" i="2"/>
  <c r="BL425" i="2" s="1"/>
  <c r="BE425" i="2"/>
  <c r="BF425" i="2" s="1"/>
  <c r="M425" i="2"/>
  <c r="L425" i="2"/>
  <c r="D425" i="2"/>
  <c r="C425" i="2"/>
  <c r="B425" i="2"/>
  <c r="A425" i="2"/>
  <c r="BW424" i="2"/>
  <c r="BX424" i="2" s="1"/>
  <c r="BK424" i="2"/>
  <c r="BL424" i="2" s="1"/>
  <c r="AA424" i="2"/>
  <c r="AB424" i="2" s="1"/>
  <c r="M424" i="2"/>
  <c r="L424" i="2"/>
  <c r="D424" i="2"/>
  <c r="C424" i="2"/>
  <c r="B424" i="2"/>
  <c r="A424" i="2"/>
  <c r="BW423" i="2"/>
  <c r="BX423" i="2" s="1"/>
  <c r="BK423" i="2"/>
  <c r="BL423" i="2" s="1"/>
  <c r="BE423" i="2"/>
  <c r="BF423" i="2" s="1"/>
  <c r="AA423" i="2"/>
  <c r="AB423" i="2" s="1"/>
  <c r="O423" i="2"/>
  <c r="P423" i="2" s="1"/>
  <c r="M423" i="2"/>
  <c r="L423" i="2"/>
  <c r="D423" i="2"/>
  <c r="C423" i="2"/>
  <c r="B423" i="2"/>
  <c r="A423" i="2"/>
  <c r="BK422" i="2"/>
  <c r="BL422" i="2" s="1"/>
  <c r="M422" i="2"/>
  <c r="L422" i="2"/>
  <c r="D422" i="2"/>
  <c r="C422" i="2"/>
  <c r="B422" i="2"/>
  <c r="A422" i="2"/>
  <c r="BW421" i="2"/>
  <c r="BX421" i="2" s="1"/>
  <c r="BK421" i="2"/>
  <c r="BL421" i="2" s="1"/>
  <c r="U421" i="2"/>
  <c r="V421" i="2" s="1"/>
  <c r="M421" i="2"/>
  <c r="L421" i="2"/>
  <c r="D421" i="2"/>
  <c r="C421" i="2"/>
  <c r="B421" i="2"/>
  <c r="A421" i="2"/>
  <c r="BW420" i="2"/>
  <c r="BX420" i="2" s="1"/>
  <c r="BK420" i="2"/>
  <c r="BL420" i="2" s="1"/>
  <c r="U420" i="2"/>
  <c r="V420" i="2" s="1"/>
  <c r="O420" i="2"/>
  <c r="P420" i="2" s="1"/>
  <c r="M420" i="2"/>
  <c r="L420" i="2"/>
  <c r="D420" i="2"/>
  <c r="C420" i="2"/>
  <c r="B420" i="2"/>
  <c r="A420" i="2"/>
  <c r="BW419" i="2"/>
  <c r="BX419" i="2" s="1"/>
  <c r="BK419" i="2"/>
  <c r="BL419" i="2" s="1"/>
  <c r="U419" i="2"/>
  <c r="V419" i="2" s="1"/>
  <c r="O419" i="2"/>
  <c r="P419" i="2" s="1"/>
  <c r="M419" i="2"/>
  <c r="L419" i="2"/>
  <c r="D419" i="2"/>
  <c r="C419" i="2"/>
  <c r="B419" i="2"/>
  <c r="A419" i="2"/>
  <c r="EE418" i="2"/>
  <c r="BW418" i="2"/>
  <c r="BX418" i="2" s="1"/>
  <c r="BK418" i="2"/>
  <c r="BL418" i="2" s="1"/>
  <c r="U418" i="2"/>
  <c r="V418" i="2" s="1"/>
  <c r="O418" i="2"/>
  <c r="P418" i="2" s="1"/>
  <c r="D418" i="2"/>
  <c r="C418" i="2"/>
  <c r="B418" i="2"/>
  <c r="A418" i="2"/>
  <c r="EE417" i="2"/>
  <c r="BW417" i="2"/>
  <c r="BX417" i="2" s="1"/>
  <c r="BK417" i="2"/>
  <c r="BL417" i="2" s="1"/>
  <c r="U417" i="2"/>
  <c r="V417" i="2" s="1"/>
  <c r="O417" i="2"/>
  <c r="P417" i="2" s="1"/>
  <c r="D417" i="2"/>
  <c r="C417" i="2"/>
  <c r="B417" i="2"/>
  <c r="A417" i="2"/>
  <c r="EE416" i="2"/>
  <c r="BW416" i="2"/>
  <c r="BX416" i="2" s="1"/>
  <c r="BK416" i="2"/>
  <c r="BL416" i="2" s="1"/>
  <c r="U416" i="2"/>
  <c r="V416" i="2" s="1"/>
  <c r="O416" i="2"/>
  <c r="P416" i="2" s="1"/>
  <c r="ED416" i="2" s="1"/>
  <c r="EF416" i="2" s="1"/>
  <c r="D416" i="2"/>
  <c r="C416" i="2"/>
  <c r="B416" i="2"/>
  <c r="A416" i="2"/>
  <c r="BW415" i="2"/>
  <c r="BX415" i="2" s="1"/>
  <c r="BK415" i="2"/>
  <c r="BL415" i="2" s="1"/>
  <c r="O415" i="2"/>
  <c r="P415" i="2" s="1"/>
  <c r="M415" i="2"/>
  <c r="L415" i="2"/>
  <c r="D415" i="2"/>
  <c r="C415" i="2"/>
  <c r="B415" i="2"/>
  <c r="A415" i="2"/>
  <c r="EE414" i="2"/>
  <c r="BW414" i="2"/>
  <c r="BX414" i="2" s="1"/>
  <c r="BK414" i="2"/>
  <c r="BL414" i="2" s="1"/>
  <c r="U414" i="2"/>
  <c r="V414" i="2" s="1"/>
  <c r="O414" i="2"/>
  <c r="P414" i="2" s="1"/>
  <c r="D414" i="2"/>
  <c r="C414" i="2"/>
  <c r="B414" i="2"/>
  <c r="A414" i="2"/>
  <c r="EE413" i="2"/>
  <c r="BW413" i="2"/>
  <c r="BX413" i="2" s="1"/>
  <c r="BK413" i="2"/>
  <c r="BL413" i="2" s="1"/>
  <c r="U413" i="2"/>
  <c r="V413" i="2" s="1"/>
  <c r="O413" i="2"/>
  <c r="P413" i="2" s="1"/>
  <c r="D413" i="2"/>
  <c r="C413" i="2"/>
  <c r="B413" i="2"/>
  <c r="A413" i="2"/>
  <c r="EE412" i="2"/>
  <c r="BW412" i="2"/>
  <c r="BX412" i="2" s="1"/>
  <c r="BK412" i="2"/>
  <c r="BL412" i="2" s="1"/>
  <c r="U412" i="2"/>
  <c r="V412" i="2" s="1"/>
  <c r="O412" i="2"/>
  <c r="P412" i="2" s="1"/>
  <c r="ED412" i="2" s="1"/>
  <c r="EF412" i="2" s="1"/>
  <c r="D412" i="2"/>
  <c r="C412" i="2"/>
  <c r="B412" i="2"/>
  <c r="A412" i="2"/>
  <c r="BW411" i="2"/>
  <c r="BX411" i="2" s="1"/>
  <c r="BK411" i="2"/>
  <c r="BL411" i="2" s="1"/>
  <c r="U411" i="2"/>
  <c r="V411" i="2" s="1"/>
  <c r="O411" i="2"/>
  <c r="P411" i="2" s="1"/>
  <c r="M411" i="2"/>
  <c r="L411" i="2"/>
  <c r="D411" i="2"/>
  <c r="C411" i="2"/>
  <c r="B411" i="2"/>
  <c r="A411" i="2"/>
  <c r="BW410" i="2"/>
  <c r="BX410" i="2" s="1"/>
  <c r="BK410" i="2"/>
  <c r="BL410" i="2" s="1"/>
  <c r="U410" i="2"/>
  <c r="V410" i="2" s="1"/>
  <c r="O410" i="2"/>
  <c r="P410" i="2" s="1"/>
  <c r="M410" i="2"/>
  <c r="L410" i="2"/>
  <c r="D410" i="2"/>
  <c r="C410" i="2"/>
  <c r="B410" i="2"/>
  <c r="A410" i="2"/>
  <c r="BW409" i="2"/>
  <c r="BX409" i="2" s="1"/>
  <c r="BK409" i="2"/>
  <c r="BL409" i="2" s="1"/>
  <c r="U409" i="2"/>
  <c r="V409" i="2" s="1"/>
  <c r="O409" i="2"/>
  <c r="P409" i="2" s="1"/>
  <c r="M409" i="2"/>
  <c r="L409" i="2"/>
  <c r="D409" i="2"/>
  <c r="C409" i="2"/>
  <c r="B409" i="2"/>
  <c r="A409" i="2"/>
  <c r="BW408" i="2"/>
  <c r="BX408" i="2" s="1"/>
  <c r="BK408" i="2"/>
  <c r="BL408" i="2" s="1"/>
  <c r="U408" i="2"/>
  <c r="V408" i="2" s="1"/>
  <c r="O408" i="2"/>
  <c r="P408" i="2" s="1"/>
  <c r="M408" i="2"/>
  <c r="L408" i="2"/>
  <c r="D408" i="2"/>
  <c r="C408" i="2"/>
  <c r="B408" i="2"/>
  <c r="A408" i="2"/>
  <c r="EE407" i="2"/>
  <c r="BW407" i="2"/>
  <c r="BX407" i="2" s="1"/>
  <c r="BK407" i="2"/>
  <c r="BL407" i="2" s="1"/>
  <c r="U407" i="2"/>
  <c r="V407" i="2" s="1"/>
  <c r="O407" i="2"/>
  <c r="P407" i="2" s="1"/>
  <c r="D407" i="2"/>
  <c r="C407" i="2"/>
  <c r="B407" i="2"/>
  <c r="A407" i="2"/>
  <c r="EE406" i="2"/>
  <c r="BW406" i="2"/>
  <c r="BX406" i="2" s="1"/>
  <c r="BK406" i="2"/>
  <c r="BL406" i="2" s="1"/>
  <c r="U406" i="2"/>
  <c r="V406" i="2" s="1"/>
  <c r="O406" i="2"/>
  <c r="P406" i="2" s="1"/>
  <c r="D406" i="2"/>
  <c r="C406" i="2"/>
  <c r="B406" i="2"/>
  <c r="A406" i="2"/>
  <c r="EE405" i="2"/>
  <c r="BW405" i="2"/>
  <c r="BX405" i="2" s="1"/>
  <c r="BK405" i="2"/>
  <c r="BL405" i="2" s="1"/>
  <c r="O405" i="2"/>
  <c r="P405" i="2" s="1"/>
  <c r="L405" i="2"/>
  <c r="D405" i="2"/>
  <c r="C405" i="2"/>
  <c r="B405" i="2"/>
  <c r="A405" i="2"/>
  <c r="BW404" i="2"/>
  <c r="BX404" i="2" s="1"/>
  <c r="BK404" i="2"/>
  <c r="BL404" i="2" s="1"/>
  <c r="M404" i="2"/>
  <c r="L404" i="2"/>
  <c r="D404" i="2"/>
  <c r="C404" i="2"/>
  <c r="B404" i="2"/>
  <c r="A404" i="2"/>
  <c r="BW403" i="2"/>
  <c r="BX403" i="2" s="1"/>
  <c r="BK403" i="2"/>
  <c r="BL403" i="2" s="1"/>
  <c r="O403" i="2"/>
  <c r="P403" i="2" s="1"/>
  <c r="M403" i="2"/>
  <c r="L403" i="2"/>
  <c r="D403" i="2"/>
  <c r="C403" i="2"/>
  <c r="B403" i="2"/>
  <c r="A403" i="2"/>
  <c r="EE402" i="2"/>
  <c r="BQ402" i="2"/>
  <c r="BR402" i="2" s="1"/>
  <c r="BK402" i="2"/>
  <c r="BL402" i="2" s="1"/>
  <c r="O402" i="2"/>
  <c r="P402" i="2" s="1"/>
  <c r="ED402" i="2" s="1"/>
  <c r="EF402" i="2" s="1"/>
  <c r="L402" i="2"/>
  <c r="D402" i="2"/>
  <c r="C402" i="2"/>
  <c r="B402" i="2"/>
  <c r="A402" i="2"/>
  <c r="BW401" i="2"/>
  <c r="BX401" i="2" s="1"/>
  <c r="BQ401" i="2"/>
  <c r="BR401" i="2" s="1"/>
  <c r="BK401" i="2"/>
  <c r="BL401" i="2" s="1"/>
  <c r="U401" i="2"/>
  <c r="V401" i="2" s="1"/>
  <c r="O401" i="2"/>
  <c r="P401" i="2" s="1"/>
  <c r="M401" i="2"/>
  <c r="L401" i="2"/>
  <c r="D401" i="2"/>
  <c r="C401" i="2"/>
  <c r="B401" i="2"/>
  <c r="A401" i="2"/>
  <c r="BW400" i="2"/>
  <c r="BX400" i="2" s="1"/>
  <c r="BQ400" i="2"/>
  <c r="BR400" i="2" s="1"/>
  <c r="BK400" i="2"/>
  <c r="BL400" i="2" s="1"/>
  <c r="O400" i="2"/>
  <c r="P400" i="2" s="1"/>
  <c r="M400" i="2"/>
  <c r="L400" i="2"/>
  <c r="D400" i="2"/>
  <c r="C400" i="2"/>
  <c r="B400" i="2"/>
  <c r="A400" i="2"/>
  <c r="BW399" i="2"/>
  <c r="BX399" i="2" s="1"/>
  <c r="BQ399" i="2"/>
  <c r="BR399" i="2" s="1"/>
  <c r="BK399" i="2"/>
  <c r="BL399" i="2" s="1"/>
  <c r="BE399" i="2"/>
  <c r="BF399" i="2" s="1"/>
  <c r="O399" i="2"/>
  <c r="P399" i="2" s="1"/>
  <c r="M399" i="2"/>
  <c r="L399" i="2"/>
  <c r="D399" i="2"/>
  <c r="C399" i="2"/>
  <c r="B399" i="2"/>
  <c r="A399" i="2"/>
  <c r="BW398" i="2"/>
  <c r="BX398" i="2" s="1"/>
  <c r="BQ398" i="2"/>
  <c r="BR398" i="2" s="1"/>
  <c r="BK398" i="2"/>
  <c r="BL398" i="2" s="1"/>
  <c r="BD398" i="2"/>
  <c r="O398" i="2"/>
  <c r="P398" i="2" s="1"/>
  <c r="M398" i="2"/>
  <c r="L398" i="2"/>
  <c r="D398" i="2"/>
  <c r="C398" i="2"/>
  <c r="B398" i="2"/>
  <c r="A398" i="2"/>
  <c r="BW397" i="2"/>
  <c r="BX397" i="2" s="1"/>
  <c r="BQ397" i="2"/>
  <c r="BR397" i="2" s="1"/>
  <c r="BK397" i="2"/>
  <c r="BL397" i="2" s="1"/>
  <c r="BE397" i="2"/>
  <c r="BF397" i="2" s="1"/>
  <c r="O397" i="2"/>
  <c r="P397" i="2" s="1"/>
  <c r="M397" i="2"/>
  <c r="L397" i="2"/>
  <c r="D397" i="2"/>
  <c r="C397" i="2"/>
  <c r="B397" i="2"/>
  <c r="A397" i="2"/>
  <c r="BW396" i="2"/>
  <c r="BX396" i="2" s="1"/>
  <c r="BK396" i="2"/>
  <c r="BL396" i="2" s="1"/>
  <c r="U396" i="2"/>
  <c r="V396" i="2" s="1"/>
  <c r="O396" i="2"/>
  <c r="P396" i="2" s="1"/>
  <c r="M396" i="2"/>
  <c r="L396" i="2"/>
  <c r="D396" i="2"/>
  <c r="C396" i="2"/>
  <c r="B396" i="2"/>
  <c r="A396" i="2"/>
  <c r="BW395" i="2"/>
  <c r="BX395" i="2" s="1"/>
  <c r="BK395" i="2"/>
  <c r="BL395" i="2" s="1"/>
  <c r="U395" i="2"/>
  <c r="V395" i="2" s="1"/>
  <c r="M395" i="2"/>
  <c r="L395" i="2"/>
  <c r="D395" i="2"/>
  <c r="C395" i="2"/>
  <c r="B395" i="2"/>
  <c r="A395" i="2"/>
  <c r="BW394" i="2"/>
  <c r="BX394" i="2" s="1"/>
  <c r="BK394" i="2"/>
  <c r="BL394" i="2" s="1"/>
  <c r="O394" i="2"/>
  <c r="P394" i="2" s="1"/>
  <c r="M394" i="2"/>
  <c r="L394" i="2"/>
  <c r="D394" i="2"/>
  <c r="C394" i="2"/>
  <c r="B394" i="2"/>
  <c r="A394" i="2"/>
  <c r="EE393" i="2"/>
  <c r="BW393" i="2"/>
  <c r="BX393" i="2" s="1"/>
  <c r="BK393" i="2"/>
  <c r="BL393" i="2" s="1"/>
  <c r="U393" i="2"/>
  <c r="V393" i="2" s="1"/>
  <c r="O393" i="2"/>
  <c r="P393" i="2" s="1"/>
  <c r="ED393" i="2" s="1"/>
  <c r="EF393" i="2" s="1"/>
  <c r="D393" i="2"/>
  <c r="C393" i="2"/>
  <c r="B393" i="2"/>
  <c r="A393" i="2"/>
  <c r="BW392" i="2"/>
  <c r="BX392" i="2" s="1"/>
  <c r="BK392" i="2"/>
  <c r="BL392" i="2" s="1"/>
  <c r="U392" i="2"/>
  <c r="V392" i="2" s="1"/>
  <c r="O392" i="2"/>
  <c r="P392" i="2" s="1"/>
  <c r="M392" i="2"/>
  <c r="L392" i="2"/>
  <c r="D392" i="2"/>
  <c r="C392" i="2"/>
  <c r="B392" i="2"/>
  <c r="A392" i="2"/>
  <c r="BW391" i="2"/>
  <c r="BX391" i="2" s="1"/>
  <c r="BK391" i="2"/>
  <c r="BL391" i="2" s="1"/>
  <c r="U391" i="2"/>
  <c r="V391" i="2" s="1"/>
  <c r="O391" i="2"/>
  <c r="P391" i="2" s="1"/>
  <c r="M391" i="2"/>
  <c r="L391" i="2"/>
  <c r="D391" i="2"/>
  <c r="C391" i="2"/>
  <c r="B391" i="2"/>
  <c r="A391" i="2"/>
  <c r="BW390" i="2"/>
  <c r="BX390" i="2" s="1"/>
  <c r="BK390" i="2"/>
  <c r="BL390" i="2" s="1"/>
  <c r="U390" i="2"/>
  <c r="V390" i="2" s="1"/>
  <c r="O390" i="2"/>
  <c r="P390" i="2" s="1"/>
  <c r="M390" i="2"/>
  <c r="L390" i="2"/>
  <c r="D390" i="2"/>
  <c r="C390" i="2"/>
  <c r="B390" i="2"/>
  <c r="A390" i="2"/>
  <c r="BW389" i="2"/>
  <c r="BX389" i="2" s="1"/>
  <c r="BK389" i="2"/>
  <c r="BL389" i="2" s="1"/>
  <c r="O389" i="2"/>
  <c r="P389" i="2" s="1"/>
  <c r="M389" i="2"/>
  <c r="L389" i="2"/>
  <c r="D389" i="2"/>
  <c r="C389" i="2"/>
  <c r="B389" i="2"/>
  <c r="A389" i="2"/>
  <c r="EE388" i="2"/>
  <c r="BW388" i="2"/>
  <c r="BX388" i="2" s="1"/>
  <c r="BQ388" i="2"/>
  <c r="BR388" i="2" s="1"/>
  <c r="BK388" i="2"/>
  <c r="BL388" i="2" s="1"/>
  <c r="AS388" i="2"/>
  <c r="AT388" i="2" s="1"/>
  <c r="ED388" i="2" s="1"/>
  <c r="EF388" i="2" s="1"/>
  <c r="D388" i="2"/>
  <c r="C388" i="2"/>
  <c r="B388" i="2"/>
  <c r="A388" i="2"/>
  <c r="EE387" i="2"/>
  <c r="BW387" i="2"/>
  <c r="BX387" i="2" s="1"/>
  <c r="BQ387" i="2"/>
  <c r="BR387" i="2" s="1"/>
  <c r="BK387" i="2"/>
  <c r="BL387" i="2" s="1"/>
  <c r="AS387" i="2"/>
  <c r="AT387" i="2" s="1"/>
  <c r="O387" i="2"/>
  <c r="P387" i="2" s="1"/>
  <c r="D387" i="2"/>
  <c r="C387" i="2"/>
  <c r="B387" i="2"/>
  <c r="A387" i="2"/>
  <c r="BW386" i="2"/>
  <c r="BX386" i="2" s="1"/>
  <c r="BQ386" i="2"/>
  <c r="BR386" i="2" s="1"/>
  <c r="BK386" i="2"/>
  <c r="BL386" i="2" s="1"/>
  <c r="AS386" i="2"/>
  <c r="AT386" i="2" s="1"/>
  <c r="O386" i="2"/>
  <c r="P386" i="2" s="1"/>
  <c r="M386" i="2"/>
  <c r="L386" i="2"/>
  <c r="D386" i="2"/>
  <c r="C386" i="2"/>
  <c r="B386" i="2"/>
  <c r="A386" i="2"/>
  <c r="BW385" i="2"/>
  <c r="BX385" i="2" s="1"/>
  <c r="BQ385" i="2"/>
  <c r="BR385" i="2" s="1"/>
  <c r="BK385" i="2"/>
  <c r="BL385" i="2" s="1"/>
  <c r="AS385" i="2"/>
  <c r="AT385" i="2" s="1"/>
  <c r="O385" i="2"/>
  <c r="P385" i="2" s="1"/>
  <c r="M385" i="2"/>
  <c r="L385" i="2"/>
  <c r="D385" i="2"/>
  <c r="C385" i="2"/>
  <c r="B385" i="2"/>
  <c r="A385" i="2"/>
  <c r="EE384" i="2"/>
  <c r="BW384" i="2"/>
  <c r="BX384" i="2" s="1"/>
  <c r="BQ384" i="2"/>
  <c r="BR384" i="2" s="1"/>
  <c r="BK384" i="2"/>
  <c r="BL384" i="2" s="1"/>
  <c r="AS384" i="2"/>
  <c r="AT384" i="2" s="1"/>
  <c r="O384" i="2"/>
  <c r="P384" i="2" s="1"/>
  <c r="D384" i="2"/>
  <c r="C384" i="2"/>
  <c r="B384" i="2"/>
  <c r="A384" i="2"/>
  <c r="BW383" i="2"/>
  <c r="BX383" i="2" s="1"/>
  <c r="BQ383" i="2"/>
  <c r="BR383" i="2" s="1"/>
  <c r="BK383" i="2"/>
  <c r="BL383" i="2" s="1"/>
  <c r="AS383" i="2"/>
  <c r="AT383" i="2" s="1"/>
  <c r="O383" i="2"/>
  <c r="P383" i="2" s="1"/>
  <c r="M383" i="2"/>
  <c r="L383" i="2"/>
  <c r="D383" i="2"/>
  <c r="C383" i="2"/>
  <c r="B383" i="2"/>
  <c r="A383" i="2"/>
  <c r="BW382" i="2"/>
  <c r="BX382" i="2" s="1"/>
  <c r="BQ382" i="2"/>
  <c r="BR382" i="2" s="1"/>
  <c r="BK382" i="2"/>
  <c r="BL382" i="2" s="1"/>
  <c r="AS382" i="2"/>
  <c r="AT382" i="2" s="1"/>
  <c r="O382" i="2"/>
  <c r="P382" i="2" s="1"/>
  <c r="M382" i="2"/>
  <c r="L382" i="2"/>
  <c r="D382" i="2"/>
  <c r="C382" i="2"/>
  <c r="B382" i="2"/>
  <c r="A382" i="2"/>
  <c r="BW381" i="2"/>
  <c r="BX381" i="2" s="1"/>
  <c r="BQ381" i="2"/>
  <c r="BR381" i="2" s="1"/>
  <c r="BK381" i="2"/>
  <c r="BL381" i="2" s="1"/>
  <c r="AS381" i="2"/>
  <c r="AT381" i="2" s="1"/>
  <c r="O381" i="2"/>
  <c r="P381" i="2" s="1"/>
  <c r="M381" i="2"/>
  <c r="L381" i="2"/>
  <c r="D381" i="2"/>
  <c r="C381" i="2"/>
  <c r="B381" i="2"/>
  <c r="A381" i="2"/>
  <c r="BW380" i="2"/>
  <c r="BX380" i="2" s="1"/>
  <c r="BQ380" i="2"/>
  <c r="BR380" i="2" s="1"/>
  <c r="BK380" i="2"/>
  <c r="BL380" i="2" s="1"/>
  <c r="AS380" i="2"/>
  <c r="AT380" i="2" s="1"/>
  <c r="O380" i="2"/>
  <c r="P380" i="2" s="1"/>
  <c r="M380" i="2"/>
  <c r="L380" i="2"/>
  <c r="D380" i="2"/>
  <c r="C380" i="2"/>
  <c r="B380" i="2"/>
  <c r="A380" i="2"/>
  <c r="BW379" i="2"/>
  <c r="BX379" i="2" s="1"/>
  <c r="BQ379" i="2"/>
  <c r="BR379" i="2" s="1"/>
  <c r="BK379" i="2"/>
  <c r="BL379" i="2" s="1"/>
  <c r="AS379" i="2"/>
  <c r="AT379" i="2" s="1"/>
  <c r="O379" i="2"/>
  <c r="P379" i="2" s="1"/>
  <c r="M379" i="2"/>
  <c r="L379" i="2"/>
  <c r="D379" i="2"/>
  <c r="C379" i="2"/>
  <c r="B379" i="2"/>
  <c r="A379" i="2"/>
  <c r="BW378" i="2"/>
  <c r="BX378" i="2" s="1"/>
  <c r="BQ378" i="2"/>
  <c r="BR378" i="2" s="1"/>
  <c r="BK378" i="2"/>
  <c r="BL378" i="2" s="1"/>
  <c r="AS378" i="2"/>
  <c r="AT378" i="2" s="1"/>
  <c r="O378" i="2"/>
  <c r="P378" i="2" s="1"/>
  <c r="M378" i="2"/>
  <c r="L378" i="2"/>
  <c r="D378" i="2"/>
  <c r="C378" i="2"/>
  <c r="B378" i="2"/>
  <c r="A378" i="2"/>
  <c r="EE377" i="2"/>
  <c r="BQ377" i="2"/>
  <c r="BR377" i="2" s="1"/>
  <c r="O377" i="2"/>
  <c r="P377" i="2" s="1"/>
  <c r="D377" i="2"/>
  <c r="C377" i="2"/>
  <c r="B377" i="2"/>
  <c r="A377" i="2"/>
  <c r="EE376" i="2"/>
  <c r="BQ376" i="2"/>
  <c r="BR376" i="2" s="1"/>
  <c r="O376" i="2"/>
  <c r="P376" i="2" s="1"/>
  <c r="ED376" i="2" s="1"/>
  <c r="L376" i="2"/>
  <c r="D376" i="2"/>
  <c r="C376" i="2"/>
  <c r="B376" i="2"/>
  <c r="A376" i="2"/>
  <c r="EE375" i="2"/>
  <c r="BQ375" i="2"/>
  <c r="BR375" i="2" s="1"/>
  <c r="O375" i="2"/>
  <c r="P375" i="2" s="1"/>
  <c r="ED375" i="2" s="1"/>
  <c r="L375" i="2"/>
  <c r="D375" i="2"/>
  <c r="C375" i="2"/>
  <c r="B375" i="2"/>
  <c r="A375" i="2"/>
  <c r="BW374" i="2"/>
  <c r="BX374" i="2" s="1"/>
  <c r="BQ374" i="2"/>
  <c r="BR374" i="2" s="1"/>
  <c r="BK374" i="2"/>
  <c r="BL374" i="2" s="1"/>
  <c r="O374" i="2"/>
  <c r="P374" i="2" s="1"/>
  <c r="M374" i="2"/>
  <c r="L374" i="2"/>
  <c r="D374" i="2"/>
  <c r="C374" i="2"/>
  <c r="B374" i="2"/>
  <c r="A374" i="2"/>
  <c r="BW373" i="2"/>
  <c r="BX373" i="2" s="1"/>
  <c r="BQ373" i="2"/>
  <c r="BR373" i="2" s="1"/>
  <c r="BK373" i="2"/>
  <c r="BL373" i="2" s="1"/>
  <c r="O373" i="2"/>
  <c r="P373" i="2" s="1"/>
  <c r="M373" i="2"/>
  <c r="L373" i="2"/>
  <c r="D373" i="2"/>
  <c r="C373" i="2"/>
  <c r="B373" i="2"/>
  <c r="A373" i="2"/>
  <c r="BW372" i="2"/>
  <c r="BX372" i="2" s="1"/>
  <c r="BQ372" i="2"/>
  <c r="BR372" i="2" s="1"/>
  <c r="BK372" i="2"/>
  <c r="BL372" i="2" s="1"/>
  <c r="O372" i="2"/>
  <c r="P372" i="2" s="1"/>
  <c r="M372" i="2"/>
  <c r="L372" i="2"/>
  <c r="D372" i="2"/>
  <c r="C372" i="2"/>
  <c r="B372" i="2"/>
  <c r="A372" i="2"/>
  <c r="BW371" i="2"/>
  <c r="BX371" i="2" s="1"/>
  <c r="BQ371" i="2"/>
  <c r="BR371" i="2" s="1"/>
  <c r="BK371" i="2"/>
  <c r="BL371" i="2" s="1"/>
  <c r="O371" i="2"/>
  <c r="P371" i="2" s="1"/>
  <c r="M371" i="2"/>
  <c r="L371" i="2"/>
  <c r="D371" i="2"/>
  <c r="C371" i="2"/>
  <c r="B371" i="2"/>
  <c r="A371" i="2"/>
  <c r="BW370" i="2"/>
  <c r="BX370" i="2" s="1"/>
  <c r="BQ370" i="2"/>
  <c r="BR370" i="2" s="1"/>
  <c r="BK370" i="2"/>
  <c r="BL370" i="2" s="1"/>
  <c r="O370" i="2"/>
  <c r="P370" i="2" s="1"/>
  <c r="M370" i="2"/>
  <c r="L370" i="2"/>
  <c r="D370" i="2"/>
  <c r="C370" i="2"/>
  <c r="B370" i="2"/>
  <c r="A370" i="2"/>
  <c r="EE369" i="2"/>
  <c r="BW369" i="2"/>
  <c r="BX369" i="2" s="1"/>
  <c r="BQ369" i="2"/>
  <c r="BR369" i="2" s="1"/>
  <c r="BK369" i="2"/>
  <c r="BL369" i="2" s="1"/>
  <c r="O369" i="2"/>
  <c r="P369" i="2" s="1"/>
  <c r="L369" i="2"/>
  <c r="D369" i="2"/>
  <c r="C369" i="2"/>
  <c r="B369" i="2"/>
  <c r="A369" i="2"/>
  <c r="EE368" i="2"/>
  <c r="BW368" i="2"/>
  <c r="BX368" i="2" s="1"/>
  <c r="BQ368" i="2"/>
  <c r="BR368" i="2" s="1"/>
  <c r="BK368" i="2"/>
  <c r="BL368" i="2" s="1"/>
  <c r="L368" i="2"/>
  <c r="D368" i="2"/>
  <c r="C368" i="2"/>
  <c r="B368" i="2"/>
  <c r="A368" i="2"/>
  <c r="BW367" i="2"/>
  <c r="BX367" i="2" s="1"/>
  <c r="BQ367" i="2"/>
  <c r="BR367" i="2" s="1"/>
  <c r="BK367" i="2"/>
  <c r="BL367" i="2" s="1"/>
  <c r="U367" i="2"/>
  <c r="V367" i="2" s="1"/>
  <c r="O367" i="2"/>
  <c r="P367" i="2" s="1"/>
  <c r="M367" i="2"/>
  <c r="L367" i="2"/>
  <c r="D367" i="2"/>
  <c r="C367" i="2"/>
  <c r="B367" i="2"/>
  <c r="A367" i="2"/>
  <c r="EE366" i="2"/>
  <c r="BW366" i="2"/>
  <c r="BX366" i="2" s="1"/>
  <c r="BQ366" i="2"/>
  <c r="BR366" i="2" s="1"/>
  <c r="BK366" i="2"/>
  <c r="BL366" i="2" s="1"/>
  <c r="D366" i="2"/>
  <c r="C366" i="2"/>
  <c r="B366" i="2"/>
  <c r="A366" i="2"/>
  <c r="BW365" i="2"/>
  <c r="BX365" i="2" s="1"/>
  <c r="BQ365" i="2"/>
  <c r="BR365" i="2" s="1"/>
  <c r="BK365" i="2"/>
  <c r="BL365" i="2" s="1"/>
  <c r="O365" i="2"/>
  <c r="P365" i="2" s="1"/>
  <c r="M365" i="2"/>
  <c r="L365" i="2"/>
  <c r="D365" i="2"/>
  <c r="C365" i="2"/>
  <c r="B365" i="2"/>
  <c r="A365" i="2"/>
  <c r="EE364" i="2"/>
  <c r="CI364" i="2"/>
  <c r="CJ364" i="2" s="1"/>
  <c r="BE364" i="2"/>
  <c r="BF364" i="2" s="1"/>
  <c r="O364" i="2"/>
  <c r="P364" i="2" s="1"/>
  <c r="L364" i="2"/>
  <c r="D364" i="2"/>
  <c r="C364" i="2"/>
  <c r="B364" i="2"/>
  <c r="A364" i="2"/>
  <c r="CO363" i="2"/>
  <c r="CP363" i="2" s="1"/>
  <c r="CI363" i="2"/>
  <c r="CJ363" i="2" s="1"/>
  <c r="BK363" i="2"/>
  <c r="BL363" i="2" s="1"/>
  <c r="BD363" i="2"/>
  <c r="M363" i="2"/>
  <c r="L363" i="2"/>
  <c r="D363" i="2"/>
  <c r="C363" i="2"/>
  <c r="B363" i="2"/>
  <c r="A363" i="2"/>
  <c r="CI362" i="2"/>
  <c r="CJ362" i="2" s="1"/>
  <c r="BW362" i="2"/>
  <c r="BX362" i="2" s="1"/>
  <c r="BQ362" i="2"/>
  <c r="BR362" i="2" s="1"/>
  <c r="BK362" i="2"/>
  <c r="BL362" i="2" s="1"/>
  <c r="BE362" i="2"/>
  <c r="BF362" i="2" s="1"/>
  <c r="O362" i="2"/>
  <c r="P362" i="2" s="1"/>
  <c r="M362" i="2"/>
  <c r="L362" i="2"/>
  <c r="D362" i="2"/>
  <c r="C362" i="2"/>
  <c r="B362" i="2"/>
  <c r="A362" i="2"/>
  <c r="CI361" i="2"/>
  <c r="CJ361" i="2" s="1"/>
  <c r="BW361" i="2"/>
  <c r="BX361" i="2" s="1"/>
  <c r="BQ361" i="2"/>
  <c r="BR361" i="2" s="1"/>
  <c r="BK361" i="2"/>
  <c r="BL361" i="2" s="1"/>
  <c r="BE361" i="2"/>
  <c r="BF361" i="2" s="1"/>
  <c r="AM361" i="2"/>
  <c r="AN361" i="2" s="1"/>
  <c r="O361" i="2"/>
  <c r="P361" i="2" s="1"/>
  <c r="M361" i="2"/>
  <c r="L361" i="2"/>
  <c r="D361" i="2"/>
  <c r="C361" i="2"/>
  <c r="B361" i="2"/>
  <c r="A361" i="2"/>
  <c r="CI360" i="2"/>
  <c r="CJ360" i="2" s="1"/>
  <c r="BW360" i="2"/>
  <c r="BX360" i="2" s="1"/>
  <c r="BQ360" i="2"/>
  <c r="BR360" i="2" s="1"/>
  <c r="BK360" i="2"/>
  <c r="BL360" i="2" s="1"/>
  <c r="BE360" i="2"/>
  <c r="BF360" i="2" s="1"/>
  <c r="AM360" i="2"/>
  <c r="AN360" i="2" s="1"/>
  <c r="O360" i="2"/>
  <c r="P360" i="2" s="1"/>
  <c r="M360" i="2"/>
  <c r="L360" i="2"/>
  <c r="D360" i="2"/>
  <c r="C360" i="2"/>
  <c r="B360" i="2"/>
  <c r="A360" i="2"/>
  <c r="CI359" i="2"/>
  <c r="CJ359" i="2" s="1"/>
  <c r="BW359" i="2"/>
  <c r="BX359" i="2" s="1"/>
  <c r="BQ359" i="2"/>
  <c r="BR359" i="2" s="1"/>
  <c r="BK359" i="2"/>
  <c r="BL359" i="2" s="1"/>
  <c r="BE359" i="2"/>
  <c r="BF359" i="2" s="1"/>
  <c r="AM359" i="2"/>
  <c r="AN359" i="2" s="1"/>
  <c r="U359" i="2"/>
  <c r="V359" i="2" s="1"/>
  <c r="O359" i="2"/>
  <c r="P359" i="2" s="1"/>
  <c r="M359" i="2"/>
  <c r="L359" i="2"/>
  <c r="D359" i="2"/>
  <c r="C359" i="2"/>
  <c r="B359" i="2"/>
  <c r="A359" i="2"/>
  <c r="CI358" i="2"/>
  <c r="CJ358" i="2" s="1"/>
  <c r="BW358" i="2"/>
  <c r="BX358" i="2" s="1"/>
  <c r="BQ358" i="2"/>
  <c r="BR358" i="2" s="1"/>
  <c r="BK358" i="2"/>
  <c r="BL358" i="2" s="1"/>
  <c r="BE358" i="2"/>
  <c r="BF358" i="2" s="1"/>
  <c r="AM358" i="2"/>
  <c r="AN358" i="2" s="1"/>
  <c r="U358" i="2"/>
  <c r="V358" i="2" s="1"/>
  <c r="O358" i="2"/>
  <c r="P358" i="2" s="1"/>
  <c r="M358" i="2"/>
  <c r="L358" i="2"/>
  <c r="D358" i="2"/>
  <c r="C358" i="2"/>
  <c r="B358" i="2"/>
  <c r="A358" i="2"/>
  <c r="BW357" i="2"/>
  <c r="BX357" i="2" s="1"/>
  <c r="BP357" i="2"/>
  <c r="BQ357" i="2" s="1"/>
  <c r="BR357" i="2" s="1"/>
  <c r="BK357" i="2"/>
  <c r="BL357" i="2" s="1"/>
  <c r="AM357" i="2"/>
  <c r="AN357" i="2" s="1"/>
  <c r="O357" i="2"/>
  <c r="P357" i="2" s="1"/>
  <c r="M357" i="2"/>
  <c r="L357" i="2"/>
  <c r="D357" i="2"/>
  <c r="C357" i="2"/>
  <c r="B357" i="2"/>
  <c r="A357" i="2"/>
  <c r="BW356" i="2"/>
  <c r="BX356" i="2" s="1"/>
  <c r="BQ356" i="2"/>
  <c r="BR356" i="2" s="1"/>
  <c r="BK356" i="2"/>
  <c r="BL356" i="2" s="1"/>
  <c r="O356" i="2"/>
  <c r="P356" i="2" s="1"/>
  <c r="M356" i="2"/>
  <c r="L356" i="2"/>
  <c r="D356" i="2"/>
  <c r="C356" i="2"/>
  <c r="B356" i="2"/>
  <c r="A356" i="2"/>
  <c r="BW355" i="2"/>
  <c r="BX355" i="2" s="1"/>
  <c r="BQ355" i="2"/>
  <c r="BR355" i="2" s="1"/>
  <c r="BK355" i="2"/>
  <c r="BL355" i="2" s="1"/>
  <c r="AL355" i="2"/>
  <c r="O355" i="2"/>
  <c r="P355" i="2" s="1"/>
  <c r="M355" i="2"/>
  <c r="L355" i="2"/>
  <c r="D355" i="2"/>
  <c r="C355" i="2"/>
  <c r="B355" i="2"/>
  <c r="A355" i="2"/>
  <c r="EE354" i="2"/>
  <c r="AM354" i="2"/>
  <c r="AN354" i="2" s="1"/>
  <c r="ED354" i="2" s="1"/>
  <c r="EF354" i="2" s="1"/>
  <c r="D354" i="2"/>
  <c r="C354" i="2"/>
  <c r="B354" i="2"/>
  <c r="A354" i="2"/>
  <c r="BW353" i="2"/>
  <c r="BX353" i="2" s="1"/>
  <c r="BQ353" i="2"/>
  <c r="BR353" i="2" s="1"/>
  <c r="BK353" i="2"/>
  <c r="BL353" i="2" s="1"/>
  <c r="AM353" i="2"/>
  <c r="AN353" i="2" s="1"/>
  <c r="O353" i="2"/>
  <c r="P353" i="2" s="1"/>
  <c r="M353" i="2"/>
  <c r="L353" i="2"/>
  <c r="D353" i="2"/>
  <c r="C353" i="2"/>
  <c r="B353" i="2"/>
  <c r="A353" i="2"/>
  <c r="BK352" i="2"/>
  <c r="BL352" i="2" s="1"/>
  <c r="O352" i="2"/>
  <c r="P352" i="2" s="1"/>
  <c r="M352" i="2"/>
  <c r="L352" i="2"/>
  <c r="D352" i="2"/>
  <c r="C352" i="2"/>
  <c r="B352" i="2"/>
  <c r="A352" i="2"/>
  <c r="EE351" i="2"/>
  <c r="BW351" i="2"/>
  <c r="BX351" i="2" s="1"/>
  <c r="BQ351" i="2"/>
  <c r="BR351" i="2" s="1"/>
  <c r="BK351" i="2"/>
  <c r="BL351" i="2" s="1"/>
  <c r="D351" i="2"/>
  <c r="C351" i="2"/>
  <c r="B351" i="2"/>
  <c r="A351" i="2"/>
  <c r="EE350" i="2"/>
  <c r="BQ350" i="2"/>
  <c r="BR350" i="2" s="1"/>
  <c r="O350" i="2"/>
  <c r="P350" i="2" s="1"/>
  <c r="ED350" i="2" s="1"/>
  <c r="L350" i="2"/>
  <c r="D350" i="2"/>
  <c r="C350" i="2"/>
  <c r="B350" i="2"/>
  <c r="A350" i="2"/>
  <c r="EE349" i="2"/>
  <c r="BW349" i="2"/>
  <c r="BX349" i="2" s="1"/>
  <c r="BK349" i="2"/>
  <c r="BL349" i="2" s="1"/>
  <c r="ED349" i="2" s="1"/>
  <c r="L349" i="2"/>
  <c r="D349" i="2"/>
  <c r="C349" i="2"/>
  <c r="B349" i="2"/>
  <c r="A349" i="2"/>
  <c r="BW348" i="2"/>
  <c r="BX348" i="2" s="1"/>
  <c r="BK348" i="2"/>
  <c r="BL348" i="2" s="1"/>
  <c r="O348" i="2"/>
  <c r="P348" i="2" s="1"/>
  <c r="M348" i="2"/>
  <c r="L348" i="2"/>
  <c r="D348" i="2"/>
  <c r="C348" i="2"/>
  <c r="B348" i="2"/>
  <c r="A348" i="2"/>
  <c r="EE347" i="2"/>
  <c r="BW347" i="2"/>
  <c r="BX347" i="2" s="1"/>
  <c r="BK347" i="2"/>
  <c r="BL347" i="2" s="1"/>
  <c r="O347" i="2"/>
  <c r="P347" i="2" s="1"/>
  <c r="ED347" i="2" s="1"/>
  <c r="EF347" i="2" s="1"/>
  <c r="D347" i="2"/>
  <c r="C347" i="2"/>
  <c r="B347" i="2"/>
  <c r="A347" i="2"/>
  <c r="BW346" i="2"/>
  <c r="BX346" i="2" s="1"/>
  <c r="BQ346" i="2"/>
  <c r="BR346" i="2" s="1"/>
  <c r="BK346" i="2"/>
  <c r="BL346" i="2" s="1"/>
  <c r="U346" i="2"/>
  <c r="V346" i="2" s="1"/>
  <c r="M346" i="2"/>
  <c r="L346" i="2"/>
  <c r="D346" i="2"/>
  <c r="C346" i="2"/>
  <c r="B346" i="2"/>
  <c r="A346" i="2"/>
  <c r="EE345" i="2"/>
  <c r="BW345" i="2"/>
  <c r="BX345" i="2" s="1"/>
  <c r="BQ345" i="2"/>
  <c r="BR345" i="2" s="1"/>
  <c r="BK345" i="2"/>
  <c r="BL345" i="2" s="1"/>
  <c r="O345" i="2"/>
  <c r="P345" i="2" s="1"/>
  <c r="D345" i="2"/>
  <c r="C345" i="2"/>
  <c r="B345" i="2"/>
  <c r="A345" i="2"/>
  <c r="BW344" i="2"/>
  <c r="BX344" i="2" s="1"/>
  <c r="BK344" i="2"/>
  <c r="BL344" i="2" s="1"/>
  <c r="O344" i="2"/>
  <c r="P344" i="2" s="1"/>
  <c r="M344" i="2"/>
  <c r="L344" i="2"/>
  <c r="D344" i="2"/>
  <c r="C344" i="2"/>
  <c r="B344" i="2"/>
  <c r="A344" i="2"/>
  <c r="EE343" i="2"/>
  <c r="BW343" i="2"/>
  <c r="BX343" i="2" s="1"/>
  <c r="BK343" i="2"/>
  <c r="BL343" i="2" s="1"/>
  <c r="D343" i="2"/>
  <c r="C343" i="2"/>
  <c r="B343" i="2"/>
  <c r="A343" i="2"/>
  <c r="BW342" i="2"/>
  <c r="BX342" i="2" s="1"/>
  <c r="BQ342" i="2"/>
  <c r="BR342" i="2" s="1"/>
  <c r="BK342" i="2"/>
  <c r="BL342" i="2" s="1"/>
  <c r="AA342" i="2"/>
  <c r="AB342" i="2" s="1"/>
  <c r="O342" i="2"/>
  <c r="P342" i="2" s="1"/>
  <c r="M342" i="2"/>
  <c r="L342" i="2"/>
  <c r="D342" i="2"/>
  <c r="C342" i="2"/>
  <c r="B342" i="2"/>
  <c r="A342" i="2"/>
  <c r="BQ341" i="2"/>
  <c r="BR341" i="2" s="1"/>
  <c r="BK341" i="2"/>
  <c r="BL341" i="2" s="1"/>
  <c r="M341" i="2"/>
  <c r="L341" i="2"/>
  <c r="D341" i="2"/>
  <c r="C341" i="2"/>
  <c r="B341" i="2"/>
  <c r="A341" i="2"/>
  <c r="BW340" i="2"/>
  <c r="BX340" i="2" s="1"/>
  <c r="BQ340" i="2"/>
  <c r="BR340" i="2" s="1"/>
  <c r="BJ340" i="2"/>
  <c r="M340" i="2"/>
  <c r="L340" i="2"/>
  <c r="D340" i="2"/>
  <c r="C340" i="2"/>
  <c r="B340" i="2"/>
  <c r="A340" i="2"/>
  <c r="BW339" i="2"/>
  <c r="BX339" i="2" s="1"/>
  <c r="BQ339" i="2"/>
  <c r="BR339" i="2" s="1"/>
  <c r="BK339" i="2"/>
  <c r="BL339" i="2" s="1"/>
  <c r="T339" i="2"/>
  <c r="O339" i="2"/>
  <c r="P339" i="2" s="1"/>
  <c r="M339" i="2"/>
  <c r="L339" i="2"/>
  <c r="D339" i="2"/>
  <c r="C339" i="2"/>
  <c r="B339" i="2"/>
  <c r="A339" i="2"/>
  <c r="BW338" i="2"/>
  <c r="BX338" i="2" s="1"/>
  <c r="BQ338" i="2"/>
  <c r="BR338" i="2" s="1"/>
  <c r="BJ338" i="2"/>
  <c r="O338" i="2"/>
  <c r="P338" i="2" s="1"/>
  <c r="M338" i="2"/>
  <c r="L338" i="2"/>
  <c r="D338" i="2"/>
  <c r="C338" i="2"/>
  <c r="B338" i="2"/>
  <c r="A338" i="2"/>
  <c r="BW337" i="2"/>
  <c r="BX337" i="2" s="1"/>
  <c r="BQ337" i="2"/>
  <c r="BR337" i="2" s="1"/>
  <c r="BK337" i="2"/>
  <c r="BL337" i="2" s="1"/>
  <c r="M337" i="2"/>
  <c r="L337" i="2"/>
  <c r="D337" i="2"/>
  <c r="C337" i="2"/>
  <c r="B337" i="2"/>
  <c r="A337" i="2"/>
  <c r="BV336" i="2"/>
  <c r="BJ336" i="2"/>
  <c r="M336" i="2"/>
  <c r="L336" i="2"/>
  <c r="D336" i="2"/>
  <c r="C336" i="2"/>
  <c r="B336" i="2"/>
  <c r="A336" i="2"/>
  <c r="BW335" i="2"/>
  <c r="BX335" i="2" s="1"/>
  <c r="BK335" i="2"/>
  <c r="BL335" i="2" s="1"/>
  <c r="BE335" i="2"/>
  <c r="BF335" i="2" s="1"/>
  <c r="M335" i="2"/>
  <c r="L335" i="2"/>
  <c r="D335" i="2"/>
  <c r="C335" i="2"/>
  <c r="B335" i="2"/>
  <c r="A335" i="2"/>
  <c r="EE334" i="2"/>
  <c r="CI334" i="2"/>
  <c r="CJ334" i="2" s="1"/>
  <c r="BW334" i="2"/>
  <c r="BX334" i="2" s="1"/>
  <c r="BK334" i="2"/>
  <c r="BL334" i="2" s="1"/>
  <c r="BE334" i="2"/>
  <c r="BF334" i="2" s="1"/>
  <c r="AA334" i="2"/>
  <c r="AB334" i="2" s="1"/>
  <c r="ED334" i="2" s="1"/>
  <c r="EF334" i="2" s="1"/>
  <c r="D334" i="2"/>
  <c r="C334" i="2"/>
  <c r="B334" i="2"/>
  <c r="A334" i="2"/>
  <c r="CI333" i="2"/>
  <c r="CJ333" i="2" s="1"/>
  <c r="BW333" i="2"/>
  <c r="BX333" i="2" s="1"/>
  <c r="BK333" i="2"/>
  <c r="BL333" i="2" s="1"/>
  <c r="BE333" i="2"/>
  <c r="BF333" i="2" s="1"/>
  <c r="AA333" i="2"/>
  <c r="AB333" i="2" s="1"/>
  <c r="M333" i="2"/>
  <c r="L333" i="2"/>
  <c r="D333" i="2"/>
  <c r="C333" i="2"/>
  <c r="B333" i="2"/>
  <c r="A333" i="2"/>
  <c r="CI332" i="2"/>
  <c r="CJ332" i="2" s="1"/>
  <c r="BW332" i="2"/>
  <c r="BX332" i="2" s="1"/>
  <c r="BK332" i="2"/>
  <c r="BL332" i="2" s="1"/>
  <c r="BE332" i="2"/>
  <c r="BF332" i="2" s="1"/>
  <c r="AA332" i="2"/>
  <c r="AB332" i="2" s="1"/>
  <c r="M332" i="2"/>
  <c r="L332" i="2"/>
  <c r="D332" i="2"/>
  <c r="C332" i="2"/>
  <c r="B332" i="2"/>
  <c r="A332" i="2"/>
  <c r="CI331" i="2"/>
  <c r="CJ331" i="2" s="1"/>
  <c r="BW331" i="2"/>
  <c r="BX331" i="2" s="1"/>
  <c r="BK331" i="2"/>
  <c r="BL331" i="2" s="1"/>
  <c r="BE331" i="2"/>
  <c r="BF331" i="2" s="1"/>
  <c r="AA331" i="2"/>
  <c r="AB331" i="2" s="1"/>
  <c r="M331" i="2"/>
  <c r="L331" i="2"/>
  <c r="D331" i="2"/>
  <c r="C331" i="2"/>
  <c r="B331" i="2"/>
  <c r="A331" i="2"/>
  <c r="CI330" i="2"/>
  <c r="CJ330" i="2" s="1"/>
  <c r="BW330" i="2"/>
  <c r="BX330" i="2" s="1"/>
  <c r="BK330" i="2"/>
  <c r="BL330" i="2" s="1"/>
  <c r="BE330" i="2"/>
  <c r="BF330" i="2" s="1"/>
  <c r="AA330" i="2"/>
  <c r="AB330" i="2" s="1"/>
  <c r="M330" i="2"/>
  <c r="L330" i="2"/>
  <c r="D330" i="2"/>
  <c r="C330" i="2"/>
  <c r="B330" i="2"/>
  <c r="A330" i="2"/>
  <c r="CI329" i="2"/>
  <c r="CJ329" i="2" s="1"/>
  <c r="BW329" i="2"/>
  <c r="BX329" i="2" s="1"/>
  <c r="BK329" i="2"/>
  <c r="BL329" i="2" s="1"/>
  <c r="BE329" i="2"/>
  <c r="BF329" i="2" s="1"/>
  <c r="AA329" i="2"/>
  <c r="AB329" i="2" s="1"/>
  <c r="M329" i="2"/>
  <c r="L329" i="2"/>
  <c r="D329" i="2"/>
  <c r="C329" i="2"/>
  <c r="B329" i="2"/>
  <c r="A329" i="2"/>
  <c r="CI328" i="2"/>
  <c r="CJ328" i="2" s="1"/>
  <c r="BW328" i="2"/>
  <c r="BX328" i="2" s="1"/>
  <c r="BK328" i="2"/>
  <c r="BL328" i="2" s="1"/>
  <c r="BE328" i="2"/>
  <c r="BF328" i="2" s="1"/>
  <c r="AA328" i="2"/>
  <c r="AB328" i="2" s="1"/>
  <c r="M328" i="2"/>
  <c r="L328" i="2"/>
  <c r="D328" i="2"/>
  <c r="C328" i="2"/>
  <c r="B328" i="2"/>
  <c r="A328" i="2"/>
  <c r="CI327" i="2"/>
  <c r="CJ327" i="2" s="1"/>
  <c r="BW327" i="2"/>
  <c r="BX327" i="2" s="1"/>
  <c r="BK327" i="2"/>
  <c r="BL327" i="2" s="1"/>
  <c r="BE327" i="2"/>
  <c r="BF327" i="2" s="1"/>
  <c r="AA327" i="2"/>
  <c r="AB327" i="2" s="1"/>
  <c r="O327" i="2"/>
  <c r="P327" i="2" s="1"/>
  <c r="M327" i="2"/>
  <c r="L327" i="2"/>
  <c r="D327" i="2"/>
  <c r="C327" i="2"/>
  <c r="B327" i="2"/>
  <c r="A327" i="2"/>
  <c r="BW326" i="2"/>
  <c r="BX326" i="2" s="1"/>
  <c r="BQ326" i="2"/>
  <c r="BR326" i="2" s="1"/>
  <c r="BK326" i="2"/>
  <c r="BL326" i="2" s="1"/>
  <c r="U326" i="2"/>
  <c r="V326" i="2" s="1"/>
  <c r="O326" i="2"/>
  <c r="P326" i="2" s="1"/>
  <c r="M326" i="2"/>
  <c r="L326" i="2"/>
  <c r="D326" i="2"/>
  <c r="C326" i="2"/>
  <c r="B326" i="2"/>
  <c r="A326" i="2"/>
  <c r="CI325" i="2"/>
  <c r="CJ325" i="2" s="1"/>
  <c r="BV325" i="2"/>
  <c r="BQ325" i="2"/>
  <c r="BR325" i="2" s="1"/>
  <c r="BJ325" i="2"/>
  <c r="U325" i="2"/>
  <c r="V325" i="2" s="1"/>
  <c r="O325" i="2"/>
  <c r="P325" i="2" s="1"/>
  <c r="L325" i="2"/>
  <c r="D325" i="2"/>
  <c r="C325" i="2"/>
  <c r="B325" i="2"/>
  <c r="A325" i="2"/>
  <c r="CI324" i="2"/>
  <c r="CJ324" i="2" s="1"/>
  <c r="CC324" i="2"/>
  <c r="CD324" i="2" s="1"/>
  <c r="BV324" i="2"/>
  <c r="BQ324" i="2"/>
  <c r="BR324" i="2" s="1"/>
  <c r="BJ324" i="2"/>
  <c r="O324" i="2"/>
  <c r="P324" i="2" s="1"/>
  <c r="D324" i="2"/>
  <c r="C324" i="2"/>
  <c r="B324" i="2"/>
  <c r="A324" i="2"/>
  <c r="BQ323" i="2"/>
  <c r="BR323" i="2" s="1"/>
  <c r="U323" i="2"/>
  <c r="V323" i="2" s="1"/>
  <c r="O323" i="2"/>
  <c r="P323" i="2" s="1"/>
  <c r="M323" i="2"/>
  <c r="L323" i="2"/>
  <c r="D323" i="2"/>
  <c r="C323" i="2"/>
  <c r="B323" i="2"/>
  <c r="A323" i="2"/>
  <c r="M322" i="2"/>
  <c r="L322" i="2"/>
  <c r="D322" i="2"/>
  <c r="C322" i="2"/>
  <c r="B322" i="2"/>
  <c r="A322" i="2"/>
  <c r="BQ321" i="2"/>
  <c r="BR321" i="2" s="1"/>
  <c r="M321" i="2"/>
  <c r="L321" i="2"/>
  <c r="D321" i="2"/>
  <c r="C321" i="2"/>
  <c r="B321" i="2"/>
  <c r="A321" i="2"/>
  <c r="M320" i="2"/>
  <c r="L320" i="2"/>
  <c r="D320" i="2"/>
  <c r="C320" i="2"/>
  <c r="B320" i="2"/>
  <c r="A320" i="2"/>
  <c r="EE319" i="2"/>
  <c r="BQ319" i="2"/>
  <c r="BR319" i="2" s="1"/>
  <c r="O319" i="2"/>
  <c r="P319" i="2" s="1"/>
  <c r="D319" i="2"/>
  <c r="C319" i="2"/>
  <c r="B319" i="2"/>
  <c r="A319" i="2"/>
  <c r="EE318" i="2"/>
  <c r="BQ318" i="2"/>
  <c r="BR318" i="2" s="1"/>
  <c r="O318" i="2"/>
  <c r="P318" i="2" s="1"/>
  <c r="ED318" i="2" s="1"/>
  <c r="EF318" i="2" s="1"/>
  <c r="L318" i="2"/>
  <c r="D318" i="2"/>
  <c r="C318" i="2"/>
  <c r="B318" i="2"/>
  <c r="A318" i="2"/>
  <c r="BQ317" i="2"/>
  <c r="BR317" i="2" s="1"/>
  <c r="O317" i="2"/>
  <c r="P317" i="2" s="1"/>
  <c r="M317" i="2"/>
  <c r="L317" i="2"/>
  <c r="D317" i="2"/>
  <c r="C317" i="2"/>
  <c r="B317" i="2"/>
  <c r="A317" i="2"/>
  <c r="EE316" i="2"/>
  <c r="AS316" i="2"/>
  <c r="AT316" i="2" s="1"/>
  <c r="O316" i="2"/>
  <c r="P316" i="2" s="1"/>
  <c r="ED316" i="2" s="1"/>
  <c r="EF316" i="2" s="1"/>
  <c r="D316" i="2"/>
  <c r="C316" i="2"/>
  <c r="B316" i="2"/>
  <c r="A316" i="2"/>
  <c r="AS315" i="2"/>
  <c r="AT315" i="2" s="1"/>
  <c r="O315" i="2"/>
  <c r="P315" i="2" s="1"/>
  <c r="M315" i="2"/>
  <c r="L315" i="2"/>
  <c r="D315" i="2"/>
  <c r="C315" i="2"/>
  <c r="B315" i="2"/>
  <c r="A315" i="2"/>
  <c r="BW314" i="2"/>
  <c r="BX314" i="2" s="1"/>
  <c r="BQ314" i="2"/>
  <c r="BR314" i="2" s="1"/>
  <c r="BK314" i="2"/>
  <c r="BL314" i="2" s="1"/>
  <c r="M314" i="2"/>
  <c r="L314" i="2"/>
  <c r="D314" i="2"/>
  <c r="C314" i="2"/>
  <c r="B314" i="2"/>
  <c r="A314" i="2"/>
  <c r="BW313" i="2"/>
  <c r="BX313" i="2" s="1"/>
  <c r="BQ313" i="2"/>
  <c r="BR313" i="2" s="1"/>
  <c r="BK313" i="2"/>
  <c r="BL313" i="2" s="1"/>
  <c r="AS313" i="2"/>
  <c r="AT313" i="2" s="1"/>
  <c r="O313" i="2"/>
  <c r="P313" i="2" s="1"/>
  <c r="M313" i="2"/>
  <c r="L313" i="2"/>
  <c r="D313" i="2"/>
  <c r="C313" i="2"/>
  <c r="B313" i="2"/>
  <c r="A313" i="2"/>
  <c r="BW312" i="2"/>
  <c r="BX312" i="2" s="1"/>
  <c r="BQ312" i="2"/>
  <c r="BR312" i="2" s="1"/>
  <c r="BK312" i="2"/>
  <c r="BL312" i="2" s="1"/>
  <c r="AS312" i="2"/>
  <c r="AT312" i="2" s="1"/>
  <c r="O312" i="2"/>
  <c r="P312" i="2" s="1"/>
  <c r="M312" i="2"/>
  <c r="L312" i="2"/>
  <c r="D312" i="2"/>
  <c r="C312" i="2"/>
  <c r="B312" i="2"/>
  <c r="A312" i="2"/>
  <c r="EE311" i="2"/>
  <c r="BQ311" i="2"/>
  <c r="BR311" i="2" s="1"/>
  <c r="ED311" i="2" s="1"/>
  <c r="L311" i="2"/>
  <c r="D311" i="2"/>
  <c r="C311" i="2"/>
  <c r="B311" i="2"/>
  <c r="A311" i="2"/>
  <c r="EE310" i="2"/>
  <c r="BK310" i="2"/>
  <c r="BL310" i="2" s="1"/>
  <c r="ED310" i="2" s="1"/>
  <c r="EF310" i="2" s="1"/>
  <c r="L310" i="2"/>
  <c r="D310" i="2"/>
  <c r="C310" i="2"/>
  <c r="B310" i="2"/>
  <c r="A310" i="2"/>
  <c r="EE309" i="2"/>
  <c r="BW309" i="2"/>
  <c r="BX309" i="2" s="1"/>
  <c r="BK309" i="2"/>
  <c r="BL309" i="2" s="1"/>
  <c r="AY309" i="2"/>
  <c r="AZ309" i="2" s="1"/>
  <c r="L309" i="2"/>
  <c r="D309" i="2"/>
  <c r="C309" i="2"/>
  <c r="B309" i="2"/>
  <c r="A309" i="2"/>
  <c r="BW308" i="2"/>
  <c r="BX308" i="2" s="1"/>
  <c r="BK308" i="2"/>
  <c r="BL308" i="2" s="1"/>
  <c r="AS308" i="2"/>
  <c r="AT308" i="2" s="1"/>
  <c r="O308" i="2"/>
  <c r="P308" i="2" s="1"/>
  <c r="M308" i="2"/>
  <c r="L308" i="2"/>
  <c r="D308" i="2"/>
  <c r="C308" i="2"/>
  <c r="B308" i="2"/>
  <c r="A308" i="2"/>
  <c r="M307" i="2"/>
  <c r="L307" i="2"/>
  <c r="D307" i="2"/>
  <c r="C307" i="2"/>
  <c r="B307" i="2"/>
  <c r="A307" i="2"/>
  <c r="BW306" i="2"/>
  <c r="BX306" i="2" s="1"/>
  <c r="BQ306" i="2"/>
  <c r="BR306" i="2" s="1"/>
  <c r="BK306" i="2"/>
  <c r="BL306" i="2" s="1"/>
  <c r="O306" i="2"/>
  <c r="P306" i="2" s="1"/>
  <c r="M306" i="2"/>
  <c r="L306" i="2"/>
  <c r="D306" i="2"/>
  <c r="C306" i="2"/>
  <c r="B306" i="2"/>
  <c r="A306" i="2"/>
  <c r="EE305" i="2"/>
  <c r="O305" i="2"/>
  <c r="P305" i="2" s="1"/>
  <c r="ED305" i="2" s="1"/>
  <c r="EF305" i="2" s="1"/>
  <c r="L305" i="2"/>
  <c r="D305" i="2"/>
  <c r="C305" i="2"/>
  <c r="B305" i="2"/>
  <c r="A305" i="2"/>
  <c r="BQ304" i="2"/>
  <c r="BR304" i="2" s="1"/>
  <c r="O304" i="2"/>
  <c r="P304" i="2" s="1"/>
  <c r="M304" i="2"/>
  <c r="L304" i="2"/>
  <c r="D304" i="2"/>
  <c r="C304" i="2"/>
  <c r="B304" i="2"/>
  <c r="A304" i="2"/>
  <c r="BQ303" i="2"/>
  <c r="BR303" i="2" s="1"/>
  <c r="U303" i="2"/>
  <c r="V303" i="2" s="1"/>
  <c r="O303" i="2"/>
  <c r="P303" i="2" s="1"/>
  <c r="M303" i="2"/>
  <c r="L303" i="2"/>
  <c r="D303" i="2"/>
  <c r="C303" i="2"/>
  <c r="B303" i="2"/>
  <c r="A303" i="2"/>
  <c r="EE302" i="2"/>
  <c r="BQ302" i="2"/>
  <c r="BR302" i="2" s="1"/>
  <c r="O302" i="2"/>
  <c r="P302" i="2" s="1"/>
  <c r="D302" i="2"/>
  <c r="C302" i="2"/>
  <c r="B302" i="2"/>
  <c r="A302" i="2"/>
  <c r="EE301" i="2"/>
  <c r="BQ301" i="2"/>
  <c r="BR301" i="2" s="1"/>
  <c r="O301" i="2"/>
  <c r="P301" i="2" s="1"/>
  <c r="ED301" i="2" s="1"/>
  <c r="L301" i="2"/>
  <c r="D301" i="2"/>
  <c r="C301" i="2"/>
  <c r="B301" i="2"/>
  <c r="A301" i="2"/>
  <c r="U300" i="2"/>
  <c r="V300" i="2" s="1"/>
  <c r="O300" i="2"/>
  <c r="P300" i="2" s="1"/>
  <c r="M300" i="2"/>
  <c r="L300" i="2"/>
  <c r="D300" i="2"/>
  <c r="C300" i="2"/>
  <c r="B300" i="2"/>
  <c r="A300" i="2"/>
  <c r="BQ299" i="2"/>
  <c r="BR299" i="2" s="1"/>
  <c r="M299" i="2"/>
  <c r="L299" i="2"/>
  <c r="D299" i="2"/>
  <c r="C299" i="2"/>
  <c r="B299" i="2"/>
  <c r="A299" i="2"/>
  <c r="EE298" i="2"/>
  <c r="AS298" i="2"/>
  <c r="AT298" i="2" s="1"/>
  <c r="O298" i="2"/>
  <c r="P298" i="2" s="1"/>
  <c r="D298" i="2"/>
  <c r="C298" i="2"/>
  <c r="B298" i="2"/>
  <c r="A298" i="2"/>
  <c r="EE297" i="2"/>
  <c r="AS297" i="2"/>
  <c r="AT297" i="2" s="1"/>
  <c r="O297" i="2"/>
  <c r="P297" i="2" s="1"/>
  <c r="ED297" i="2" s="1"/>
  <c r="EF297" i="2" s="1"/>
  <c r="D297" i="2"/>
  <c r="C297" i="2"/>
  <c r="B297" i="2"/>
  <c r="A297" i="2"/>
  <c r="EE296" i="2"/>
  <c r="AS296" i="2"/>
  <c r="AT296" i="2" s="1"/>
  <c r="O296" i="2"/>
  <c r="P296" i="2" s="1"/>
  <c r="D296" i="2"/>
  <c r="C296" i="2"/>
  <c r="B296" i="2"/>
  <c r="A296" i="2"/>
  <c r="EE295" i="2"/>
  <c r="AS295" i="2"/>
  <c r="AT295" i="2" s="1"/>
  <c r="O295" i="2"/>
  <c r="P295" i="2" s="1"/>
  <c r="ED295" i="2" s="1"/>
  <c r="D295" i="2"/>
  <c r="C295" i="2"/>
  <c r="B295" i="2"/>
  <c r="A295" i="2"/>
  <c r="EE294" i="2"/>
  <c r="AS294" i="2"/>
  <c r="AT294" i="2" s="1"/>
  <c r="O294" i="2"/>
  <c r="P294" i="2" s="1"/>
  <c r="D294" i="2"/>
  <c r="C294" i="2"/>
  <c r="B294" i="2"/>
  <c r="A294" i="2"/>
  <c r="EE293" i="2"/>
  <c r="BQ293" i="2"/>
  <c r="BR293" i="2" s="1"/>
  <c r="AS293" i="2"/>
  <c r="AT293" i="2" s="1"/>
  <c r="ED293" i="2" s="1"/>
  <c r="EF293" i="2" s="1"/>
  <c r="L293" i="2"/>
  <c r="D293" i="2"/>
  <c r="C293" i="2"/>
  <c r="B293" i="2"/>
  <c r="A293" i="2"/>
  <c r="BQ292" i="2"/>
  <c r="BR292" i="2" s="1"/>
  <c r="M292" i="2"/>
  <c r="L292" i="2"/>
  <c r="D292" i="2"/>
  <c r="C292" i="2"/>
  <c r="B292" i="2"/>
  <c r="A292" i="2"/>
  <c r="EE291" i="2"/>
  <c r="BQ291" i="2"/>
  <c r="BR291" i="2" s="1"/>
  <c r="ED291" i="2" s="1"/>
  <c r="EF291" i="2" s="1"/>
  <c r="D291" i="2"/>
  <c r="C291" i="2"/>
  <c r="B291" i="2"/>
  <c r="A291" i="2"/>
  <c r="BW290" i="2"/>
  <c r="BX290" i="2" s="1"/>
  <c r="BQ290" i="2"/>
  <c r="BR290" i="2" s="1"/>
  <c r="BK290" i="2"/>
  <c r="BL290" i="2" s="1"/>
  <c r="O290" i="2"/>
  <c r="P290" i="2" s="1"/>
  <c r="M290" i="2"/>
  <c r="L290" i="2"/>
  <c r="D290" i="2"/>
  <c r="C290" i="2"/>
  <c r="B290" i="2"/>
  <c r="A290" i="2"/>
  <c r="BW289" i="2"/>
  <c r="BX289" i="2" s="1"/>
  <c r="BQ289" i="2"/>
  <c r="BR289" i="2" s="1"/>
  <c r="BK289" i="2"/>
  <c r="BL289" i="2" s="1"/>
  <c r="O289" i="2"/>
  <c r="P289" i="2" s="1"/>
  <c r="M289" i="2"/>
  <c r="L289" i="2"/>
  <c r="D289" i="2"/>
  <c r="C289" i="2"/>
  <c r="B289" i="2"/>
  <c r="A289" i="2"/>
  <c r="BW288" i="2"/>
  <c r="BX288" i="2" s="1"/>
  <c r="BQ288" i="2"/>
  <c r="BR288" i="2" s="1"/>
  <c r="BK288" i="2"/>
  <c r="BL288" i="2" s="1"/>
  <c r="O288" i="2"/>
  <c r="P288" i="2" s="1"/>
  <c r="M288" i="2"/>
  <c r="L288" i="2"/>
  <c r="D288" i="2"/>
  <c r="C288" i="2"/>
  <c r="B288" i="2"/>
  <c r="A288" i="2"/>
  <c r="BQ287" i="2"/>
  <c r="BR287" i="2" s="1"/>
  <c r="O287" i="2"/>
  <c r="P287" i="2" s="1"/>
  <c r="M287" i="2"/>
  <c r="L287" i="2"/>
  <c r="D287" i="2"/>
  <c r="C287" i="2"/>
  <c r="B287" i="2"/>
  <c r="A287" i="2"/>
  <c r="BW286" i="2"/>
  <c r="BX286" i="2" s="1"/>
  <c r="BQ286" i="2"/>
  <c r="BR286" i="2" s="1"/>
  <c r="BK286" i="2"/>
  <c r="BL286" i="2" s="1"/>
  <c r="O286" i="2"/>
  <c r="P286" i="2" s="1"/>
  <c r="M286" i="2"/>
  <c r="L286" i="2"/>
  <c r="D286" i="2"/>
  <c r="C286" i="2"/>
  <c r="B286" i="2"/>
  <c r="A286" i="2"/>
  <c r="CC285" i="2"/>
  <c r="CD285" i="2" s="1"/>
  <c r="BW285" i="2"/>
  <c r="BX285" i="2" s="1"/>
  <c r="BQ285" i="2"/>
  <c r="BR285" i="2" s="1"/>
  <c r="BK285" i="2"/>
  <c r="BL285" i="2" s="1"/>
  <c r="O285" i="2"/>
  <c r="P285" i="2" s="1"/>
  <c r="M285" i="2"/>
  <c r="L285" i="2"/>
  <c r="D285" i="2"/>
  <c r="C285" i="2"/>
  <c r="B285" i="2"/>
  <c r="A285" i="2"/>
  <c r="BQ284" i="2"/>
  <c r="BR284" i="2" s="1"/>
  <c r="O284" i="2"/>
  <c r="P284" i="2" s="1"/>
  <c r="M284" i="2"/>
  <c r="L284" i="2"/>
  <c r="D284" i="2"/>
  <c r="C284" i="2"/>
  <c r="B284" i="2"/>
  <c r="A284" i="2"/>
  <c r="BQ283" i="2"/>
  <c r="BR283" i="2" s="1"/>
  <c r="O283" i="2"/>
  <c r="P283" i="2" s="1"/>
  <c r="M283" i="2"/>
  <c r="L283" i="2"/>
  <c r="D283" i="2"/>
  <c r="C283" i="2"/>
  <c r="B283" i="2"/>
  <c r="A283" i="2"/>
  <c r="BQ282" i="2"/>
  <c r="BR282" i="2" s="1"/>
  <c r="O282" i="2"/>
  <c r="P282" i="2" s="1"/>
  <c r="M282" i="2"/>
  <c r="L282" i="2"/>
  <c r="D282" i="2"/>
  <c r="C282" i="2"/>
  <c r="B282" i="2"/>
  <c r="A282" i="2"/>
  <c r="EE281" i="2"/>
  <c r="BQ281" i="2"/>
  <c r="BR281" i="2" s="1"/>
  <c r="O281" i="2"/>
  <c r="P281" i="2" s="1"/>
  <c r="ED281" i="2" s="1"/>
  <c r="EF281" i="2" s="1"/>
  <c r="D281" i="2"/>
  <c r="C281" i="2"/>
  <c r="B281" i="2"/>
  <c r="A281" i="2"/>
  <c r="EE280" i="2"/>
  <c r="BQ280" i="2"/>
  <c r="BR280" i="2" s="1"/>
  <c r="ED280" i="2" s="1"/>
  <c r="EF280" i="2" s="1"/>
  <c r="D280" i="2"/>
  <c r="C280" i="2"/>
  <c r="B280" i="2"/>
  <c r="A280" i="2"/>
  <c r="M279" i="2"/>
  <c r="L279" i="2"/>
  <c r="D279" i="2"/>
  <c r="C279" i="2"/>
  <c r="B279" i="2"/>
  <c r="A279" i="2"/>
  <c r="O278" i="2"/>
  <c r="P278" i="2" s="1"/>
  <c r="M278" i="2"/>
  <c r="L278" i="2"/>
  <c r="D278" i="2"/>
  <c r="C278" i="2"/>
  <c r="B278" i="2"/>
  <c r="A278" i="2"/>
  <c r="EE277" i="2"/>
  <c r="O277" i="2"/>
  <c r="P277" i="2" s="1"/>
  <c r="ED277" i="2" s="1"/>
  <c r="L277" i="2"/>
  <c r="D277" i="2"/>
  <c r="C277" i="2"/>
  <c r="B277" i="2"/>
  <c r="A277" i="2"/>
  <c r="M276" i="2"/>
  <c r="L276" i="2"/>
  <c r="D276" i="2"/>
  <c r="C276" i="2"/>
  <c r="B276" i="2"/>
  <c r="A276" i="2"/>
  <c r="BW275" i="2"/>
  <c r="BX275" i="2" s="1"/>
  <c r="BK275" i="2"/>
  <c r="BL275" i="2" s="1"/>
  <c r="O275" i="2"/>
  <c r="P275" i="2" s="1"/>
  <c r="M275" i="2"/>
  <c r="L275" i="2"/>
  <c r="D275" i="2"/>
  <c r="C275" i="2"/>
  <c r="B275" i="2"/>
  <c r="A275" i="2"/>
  <c r="BW274" i="2"/>
  <c r="BX274" i="2" s="1"/>
  <c r="BK274" i="2"/>
  <c r="BL274" i="2" s="1"/>
  <c r="O274" i="2"/>
  <c r="P274" i="2" s="1"/>
  <c r="M274" i="2"/>
  <c r="L274" i="2"/>
  <c r="D274" i="2"/>
  <c r="C274" i="2"/>
  <c r="B274" i="2"/>
  <c r="A274" i="2"/>
  <c r="M273" i="2"/>
  <c r="L273" i="2"/>
  <c r="D273" i="2"/>
  <c r="C273" i="2"/>
  <c r="B273" i="2"/>
  <c r="A273" i="2"/>
  <c r="BW272" i="2"/>
  <c r="BX272" i="2" s="1"/>
  <c r="BQ272" i="2"/>
  <c r="BR272" i="2" s="1"/>
  <c r="BK272" i="2"/>
  <c r="BL272" i="2" s="1"/>
  <c r="O272" i="2"/>
  <c r="P272" i="2" s="1"/>
  <c r="M272" i="2"/>
  <c r="L272" i="2"/>
  <c r="D272" i="2"/>
  <c r="C272" i="2"/>
  <c r="B272" i="2"/>
  <c r="A272" i="2"/>
  <c r="BW271" i="2"/>
  <c r="BX271" i="2" s="1"/>
  <c r="BQ271" i="2"/>
  <c r="BR271" i="2" s="1"/>
  <c r="BK271" i="2"/>
  <c r="BL271" i="2" s="1"/>
  <c r="O271" i="2"/>
  <c r="P271" i="2" s="1"/>
  <c r="M271" i="2"/>
  <c r="L271" i="2"/>
  <c r="D271" i="2"/>
  <c r="C271" i="2"/>
  <c r="B271" i="2"/>
  <c r="A271" i="2"/>
  <c r="EE270" i="2"/>
  <c r="O270" i="2"/>
  <c r="P270" i="2" s="1"/>
  <c r="ED270" i="2" s="1"/>
  <c r="EF270" i="2" s="1"/>
  <c r="D270" i="2"/>
  <c r="C270" i="2"/>
  <c r="B270" i="2"/>
  <c r="A270" i="2"/>
  <c r="EE269" i="2"/>
  <c r="O269" i="2"/>
  <c r="P269" i="2" s="1"/>
  <c r="ED269" i="2" s="1"/>
  <c r="EF269" i="2" s="1"/>
  <c r="D269" i="2"/>
  <c r="C269" i="2"/>
  <c r="B269" i="2"/>
  <c r="A269" i="2"/>
  <c r="EE268" i="2"/>
  <c r="O268" i="2"/>
  <c r="P268" i="2" s="1"/>
  <c r="ED268" i="2" s="1"/>
  <c r="EF268" i="2" s="1"/>
  <c r="L268" i="2"/>
  <c r="D268" i="2"/>
  <c r="C268" i="2"/>
  <c r="B268" i="2"/>
  <c r="A268" i="2"/>
  <c r="BK267" i="2"/>
  <c r="BL267" i="2" s="1"/>
  <c r="O267" i="2"/>
  <c r="P267" i="2" s="1"/>
  <c r="M267" i="2"/>
  <c r="L267" i="2"/>
  <c r="D267" i="2"/>
  <c r="C267" i="2"/>
  <c r="B267" i="2"/>
  <c r="A267" i="2"/>
  <c r="BK266" i="2"/>
  <c r="BL266" i="2" s="1"/>
  <c r="O266" i="2"/>
  <c r="P266" i="2" s="1"/>
  <c r="M266" i="2"/>
  <c r="L266" i="2"/>
  <c r="D266" i="2"/>
  <c r="C266" i="2"/>
  <c r="B266" i="2"/>
  <c r="A266" i="2"/>
  <c r="BK265" i="2"/>
  <c r="BL265" i="2" s="1"/>
  <c r="O265" i="2"/>
  <c r="P265" i="2" s="1"/>
  <c r="M265" i="2"/>
  <c r="L265" i="2"/>
  <c r="D265" i="2"/>
  <c r="C265" i="2"/>
  <c r="B265" i="2"/>
  <c r="A265" i="2"/>
  <c r="BW264" i="2"/>
  <c r="BX264" i="2" s="1"/>
  <c r="BK264" i="2"/>
  <c r="BL264" i="2" s="1"/>
  <c r="O264" i="2"/>
  <c r="P264" i="2" s="1"/>
  <c r="M264" i="2"/>
  <c r="L264" i="2"/>
  <c r="D264" i="2"/>
  <c r="C264" i="2"/>
  <c r="B264" i="2"/>
  <c r="A264" i="2"/>
  <c r="BW263" i="2"/>
  <c r="BX263" i="2" s="1"/>
  <c r="BK263" i="2"/>
  <c r="BL263" i="2" s="1"/>
  <c r="O263" i="2"/>
  <c r="P263" i="2" s="1"/>
  <c r="M263" i="2"/>
  <c r="L263" i="2"/>
  <c r="D263" i="2"/>
  <c r="C263" i="2"/>
  <c r="B263" i="2"/>
  <c r="A263" i="2"/>
  <c r="EE262" i="2"/>
  <c r="BW262" i="2"/>
  <c r="BX262" i="2" s="1"/>
  <c r="BQ262" i="2"/>
  <c r="BR262" i="2" s="1"/>
  <c r="BK262" i="2"/>
  <c r="BL262" i="2" s="1"/>
  <c r="L262" i="2"/>
  <c r="D262" i="2"/>
  <c r="C262" i="2"/>
  <c r="B262" i="2"/>
  <c r="A262" i="2"/>
  <c r="EE261" i="2"/>
  <c r="BW261" i="2"/>
  <c r="BX261" i="2" s="1"/>
  <c r="BK261" i="2"/>
  <c r="BL261" i="2" s="1"/>
  <c r="L261" i="2"/>
  <c r="D261" i="2"/>
  <c r="C261" i="2"/>
  <c r="B261" i="2"/>
  <c r="A261" i="2"/>
  <c r="EE260" i="2"/>
  <c r="BQ260" i="2"/>
  <c r="BR260" i="2" s="1"/>
  <c r="O260" i="2"/>
  <c r="P260" i="2" s="1"/>
  <c r="L260" i="2"/>
  <c r="D260" i="2"/>
  <c r="C260" i="2"/>
  <c r="B260" i="2"/>
  <c r="A260" i="2"/>
  <c r="BQ259" i="2"/>
  <c r="BR259" i="2" s="1"/>
  <c r="O259" i="2"/>
  <c r="P259" i="2" s="1"/>
  <c r="M259" i="2"/>
  <c r="L259" i="2"/>
  <c r="D259" i="2"/>
  <c r="C259" i="2"/>
  <c r="B259" i="2"/>
  <c r="A259" i="2"/>
  <c r="BW258" i="2"/>
  <c r="BX258" i="2" s="1"/>
  <c r="BQ258" i="2"/>
  <c r="BR258" i="2" s="1"/>
  <c r="BK258" i="2"/>
  <c r="BL258" i="2" s="1"/>
  <c r="AA258" i="2"/>
  <c r="AB258" i="2" s="1"/>
  <c r="O258" i="2"/>
  <c r="P258" i="2" s="1"/>
  <c r="M258" i="2"/>
  <c r="L258" i="2"/>
  <c r="D258" i="2"/>
  <c r="C258" i="2"/>
  <c r="B258" i="2"/>
  <c r="A258" i="2"/>
  <c r="EE257" i="2"/>
  <c r="BW257" i="2"/>
  <c r="BX257" i="2" s="1"/>
  <c r="BQ257" i="2"/>
  <c r="BR257" i="2" s="1"/>
  <c r="BK257" i="2"/>
  <c r="BL257" i="2" s="1"/>
  <c r="O257" i="2"/>
  <c r="P257" i="2" s="1"/>
  <c r="L257" i="2"/>
  <c r="D257" i="2"/>
  <c r="C257" i="2"/>
  <c r="B257" i="2"/>
  <c r="A257" i="2"/>
  <c r="BP256" i="2"/>
  <c r="BQ256" i="2" s="1"/>
  <c r="BR256" i="2" s="1"/>
  <c r="AA256" i="2"/>
  <c r="AB256" i="2" s="1"/>
  <c r="T256" i="2"/>
  <c r="O256" i="2"/>
  <c r="P256" i="2" s="1"/>
  <c r="M256" i="2"/>
  <c r="L256" i="2"/>
  <c r="D256" i="2"/>
  <c r="C256" i="2"/>
  <c r="B256" i="2"/>
  <c r="A256" i="2"/>
  <c r="BW255" i="2"/>
  <c r="BX255" i="2" s="1"/>
  <c r="BQ255" i="2"/>
  <c r="BR255" i="2" s="1"/>
  <c r="BK255" i="2"/>
  <c r="BL255" i="2" s="1"/>
  <c r="AA255" i="2"/>
  <c r="AB255" i="2" s="1"/>
  <c r="U255" i="2"/>
  <c r="V255" i="2" s="1"/>
  <c r="O255" i="2"/>
  <c r="P255" i="2" s="1"/>
  <c r="M255" i="2"/>
  <c r="L255" i="2"/>
  <c r="D255" i="2"/>
  <c r="C255" i="2"/>
  <c r="B255" i="2"/>
  <c r="A255" i="2"/>
  <c r="BW254" i="2"/>
  <c r="BX254" i="2" s="1"/>
  <c r="BQ254" i="2"/>
  <c r="BR254" i="2" s="1"/>
  <c r="BK254" i="2"/>
  <c r="BL254" i="2" s="1"/>
  <c r="AA254" i="2"/>
  <c r="AB254" i="2" s="1"/>
  <c r="U254" i="2"/>
  <c r="V254" i="2" s="1"/>
  <c r="O254" i="2"/>
  <c r="P254" i="2" s="1"/>
  <c r="M254" i="2"/>
  <c r="L254" i="2"/>
  <c r="D254" i="2"/>
  <c r="C254" i="2"/>
  <c r="B254" i="2"/>
  <c r="A254" i="2"/>
  <c r="BQ253" i="2"/>
  <c r="BR253" i="2" s="1"/>
  <c r="AA253" i="2"/>
  <c r="AB253" i="2" s="1"/>
  <c r="M253" i="2"/>
  <c r="L253" i="2"/>
  <c r="D253" i="2"/>
  <c r="C253" i="2"/>
  <c r="B253" i="2"/>
  <c r="A253" i="2"/>
  <c r="EE252" i="2"/>
  <c r="BW252" i="2"/>
  <c r="BX252" i="2" s="1"/>
  <c r="BK252" i="2"/>
  <c r="BL252" i="2" s="1"/>
  <c r="O252" i="2"/>
  <c r="P252" i="2" s="1"/>
  <c r="D252" i="2"/>
  <c r="C252" i="2"/>
  <c r="B252" i="2"/>
  <c r="A252" i="2"/>
  <c r="BW251" i="2"/>
  <c r="BX251" i="2" s="1"/>
  <c r="BQ251" i="2"/>
  <c r="BR251" i="2" s="1"/>
  <c r="BK251" i="2"/>
  <c r="BL251" i="2" s="1"/>
  <c r="O251" i="2"/>
  <c r="P251" i="2" s="1"/>
  <c r="M251" i="2"/>
  <c r="L251" i="2"/>
  <c r="D251" i="2"/>
  <c r="C251" i="2"/>
  <c r="B251" i="2"/>
  <c r="A251" i="2"/>
  <c r="EE250" i="2"/>
  <c r="BW250" i="2"/>
  <c r="BX250" i="2" s="1"/>
  <c r="BK250" i="2"/>
  <c r="BL250" i="2" s="1"/>
  <c r="ED250" i="2" s="1"/>
  <c r="D250" i="2"/>
  <c r="C250" i="2"/>
  <c r="B250" i="2"/>
  <c r="A250" i="2"/>
  <c r="EE249" i="2"/>
  <c r="BW249" i="2"/>
  <c r="BX249" i="2" s="1"/>
  <c r="BQ249" i="2"/>
  <c r="BR249" i="2" s="1"/>
  <c r="BK249" i="2"/>
  <c r="BL249" i="2" s="1"/>
  <c r="O249" i="2"/>
  <c r="P249" i="2" s="1"/>
  <c r="D249" i="2"/>
  <c r="C249" i="2"/>
  <c r="B249" i="2"/>
  <c r="A249" i="2"/>
  <c r="BV248" i="2"/>
  <c r="BQ248" i="2"/>
  <c r="BR248" i="2" s="1"/>
  <c r="BJ248" i="2"/>
  <c r="O248" i="2"/>
  <c r="P248" i="2" s="1"/>
  <c r="D248" i="2"/>
  <c r="C248" i="2"/>
  <c r="B248" i="2"/>
  <c r="A248" i="2"/>
  <c r="BW247" i="2"/>
  <c r="BX247" i="2" s="1"/>
  <c r="BQ247" i="2"/>
  <c r="BR247" i="2" s="1"/>
  <c r="BK247" i="2"/>
  <c r="BL247" i="2" s="1"/>
  <c r="P247" i="2"/>
  <c r="M247" i="2"/>
  <c r="L247" i="2"/>
  <c r="D247" i="2"/>
  <c r="C247" i="2"/>
  <c r="B247" i="2"/>
  <c r="A247" i="2"/>
  <c r="EE246" i="2"/>
  <c r="O246" i="2"/>
  <c r="P246" i="2" s="1"/>
  <c r="ED246" i="2" s="1"/>
  <c r="D246" i="2"/>
  <c r="C246" i="2"/>
  <c r="B246" i="2"/>
  <c r="A246" i="2"/>
  <c r="EE245" i="2"/>
  <c r="BW245" i="2"/>
  <c r="BX245" i="2" s="1"/>
  <c r="BK245" i="2"/>
  <c r="BL245" i="2" s="1"/>
  <c r="ED245" i="2" s="1"/>
  <c r="D245" i="2"/>
  <c r="C245" i="2"/>
  <c r="B245" i="2"/>
  <c r="A245" i="2"/>
  <c r="BW244" i="2"/>
  <c r="BX244" i="2" s="1"/>
  <c r="BQ244" i="2"/>
  <c r="BR244" i="2" s="1"/>
  <c r="BK244" i="2"/>
  <c r="BL244" i="2" s="1"/>
  <c r="O244" i="2"/>
  <c r="P244" i="2" s="1"/>
  <c r="M244" i="2"/>
  <c r="L244" i="2"/>
  <c r="D244" i="2"/>
  <c r="C244" i="2"/>
  <c r="B244" i="2"/>
  <c r="A244" i="2"/>
  <c r="BW243" i="2"/>
  <c r="BX243" i="2" s="1"/>
  <c r="BK243" i="2"/>
  <c r="BL243" i="2" s="1"/>
  <c r="AA243" i="2"/>
  <c r="AB243" i="2" s="1"/>
  <c r="O243" i="2"/>
  <c r="P243" i="2" s="1"/>
  <c r="M243" i="2"/>
  <c r="L243" i="2"/>
  <c r="D243" i="2"/>
  <c r="C243" i="2"/>
  <c r="B243" i="2"/>
  <c r="A243" i="2"/>
  <c r="BP242" i="2"/>
  <c r="O242" i="2"/>
  <c r="P242" i="2" s="1"/>
  <c r="L242" i="2"/>
  <c r="D242" i="2"/>
  <c r="C242" i="2"/>
  <c r="B242" i="2"/>
  <c r="A242" i="2"/>
  <c r="BW241" i="2"/>
  <c r="BX241" i="2" s="1"/>
  <c r="BK241" i="2"/>
  <c r="BL241" i="2" s="1"/>
  <c r="O241" i="2"/>
  <c r="P241" i="2" s="1"/>
  <c r="M241" i="2"/>
  <c r="L241" i="2"/>
  <c r="D241" i="2"/>
  <c r="C241" i="2"/>
  <c r="B241" i="2"/>
  <c r="A241" i="2"/>
  <c r="M240" i="2"/>
  <c r="L240" i="2"/>
  <c r="D240" i="2"/>
  <c r="C240" i="2"/>
  <c r="B240" i="2"/>
  <c r="A240" i="2"/>
  <c r="BW239" i="2"/>
  <c r="BX239" i="2" s="1"/>
  <c r="BQ239" i="2"/>
  <c r="BR239" i="2" s="1"/>
  <c r="BK239" i="2"/>
  <c r="BL239" i="2" s="1"/>
  <c r="O239" i="2"/>
  <c r="P239" i="2" s="1"/>
  <c r="M239" i="2"/>
  <c r="L239" i="2"/>
  <c r="D239" i="2"/>
  <c r="C239" i="2"/>
  <c r="B239" i="2"/>
  <c r="A239" i="2"/>
  <c r="EE238" i="2"/>
  <c r="BQ238" i="2"/>
  <c r="BR238" i="2" s="1"/>
  <c r="O238" i="2"/>
  <c r="P238" i="2" s="1"/>
  <c r="L238" i="2"/>
  <c r="D238" i="2"/>
  <c r="C238" i="2"/>
  <c r="B238" i="2"/>
  <c r="A238" i="2"/>
  <c r="BV237" i="2"/>
  <c r="BQ237" i="2"/>
  <c r="BR237" i="2" s="1"/>
  <c r="BJ237" i="2"/>
  <c r="O237" i="2"/>
  <c r="P237" i="2" s="1"/>
  <c r="L237" i="2"/>
  <c r="D237" i="2"/>
  <c r="C237" i="2"/>
  <c r="B237" i="2"/>
  <c r="A237" i="2"/>
  <c r="BP236" i="2"/>
  <c r="BQ236" i="2" s="1"/>
  <c r="BR236" i="2" s="1"/>
  <c r="BJ236" i="2"/>
  <c r="M236" i="2"/>
  <c r="L236" i="2"/>
  <c r="D236" i="2"/>
  <c r="C236" i="2"/>
  <c r="B236" i="2"/>
  <c r="A236" i="2"/>
  <c r="EE235" i="2"/>
  <c r="BW235" i="2"/>
  <c r="BX235" i="2" s="1"/>
  <c r="BK235" i="2"/>
  <c r="BL235" i="2" s="1"/>
  <c r="U235" i="2"/>
  <c r="V235" i="2" s="1"/>
  <c r="O235" i="2"/>
  <c r="P235" i="2" s="1"/>
  <c r="ED235" i="2" s="1"/>
  <c r="EF235" i="2" s="1"/>
  <c r="D235" i="2"/>
  <c r="C235" i="2"/>
  <c r="B235" i="2"/>
  <c r="A235" i="2"/>
  <c r="EE234" i="2"/>
  <c r="U234" i="2"/>
  <c r="V234" i="2" s="1"/>
  <c r="O234" i="2"/>
  <c r="P234" i="2" s="1"/>
  <c r="D234" i="2"/>
  <c r="C234" i="2"/>
  <c r="B234" i="2"/>
  <c r="A234" i="2"/>
  <c r="EE233" i="2"/>
  <c r="BW233" i="2"/>
  <c r="BX233" i="2" s="1"/>
  <c r="BK233" i="2"/>
  <c r="BL233" i="2" s="1"/>
  <c r="U233" i="2"/>
  <c r="V233" i="2" s="1"/>
  <c r="O233" i="2"/>
  <c r="P233" i="2" s="1"/>
  <c r="ED233" i="2" s="1"/>
  <c r="EF233" i="2" s="1"/>
  <c r="D233" i="2"/>
  <c r="C233" i="2"/>
  <c r="B233" i="2"/>
  <c r="A233" i="2"/>
  <c r="EE232" i="2"/>
  <c r="O232" i="2"/>
  <c r="P232" i="2" s="1"/>
  <c r="ED232" i="2" s="1"/>
  <c r="EF232" i="2" s="1"/>
  <c r="D232" i="2"/>
  <c r="C232" i="2"/>
  <c r="B232" i="2"/>
  <c r="A232" i="2"/>
  <c r="EE231" i="2"/>
  <c r="BW231" i="2"/>
  <c r="BX231" i="2" s="1"/>
  <c r="BK231" i="2"/>
  <c r="BL231" i="2" s="1"/>
  <c r="U231" i="2"/>
  <c r="V231" i="2" s="1"/>
  <c r="O231" i="2"/>
  <c r="P231" i="2" s="1"/>
  <c r="D231" i="2"/>
  <c r="C231" i="2"/>
  <c r="B231" i="2"/>
  <c r="A231" i="2"/>
  <c r="EE230" i="2"/>
  <c r="BW230" i="2"/>
  <c r="BX230" i="2" s="1"/>
  <c r="BK230" i="2"/>
  <c r="BL230" i="2" s="1"/>
  <c r="U230" i="2"/>
  <c r="V230" i="2" s="1"/>
  <c r="O230" i="2"/>
  <c r="P230" i="2" s="1"/>
  <c r="ED230" i="2" s="1"/>
  <c r="EF230" i="2" s="1"/>
  <c r="D230" i="2"/>
  <c r="C230" i="2"/>
  <c r="B230" i="2"/>
  <c r="A230" i="2"/>
  <c r="EE229" i="2"/>
  <c r="BW229" i="2"/>
  <c r="BX229" i="2" s="1"/>
  <c r="BK229" i="2"/>
  <c r="BL229" i="2" s="1"/>
  <c r="U229" i="2"/>
  <c r="V229" i="2" s="1"/>
  <c r="O229" i="2"/>
  <c r="P229" i="2" s="1"/>
  <c r="D229" i="2"/>
  <c r="C229" i="2"/>
  <c r="B229" i="2"/>
  <c r="A229" i="2"/>
  <c r="BW228" i="2"/>
  <c r="BX228" i="2" s="1"/>
  <c r="BK228" i="2"/>
  <c r="BL228" i="2" s="1"/>
  <c r="AG228" i="2"/>
  <c r="AH228" i="2" s="1"/>
  <c r="U228" i="2"/>
  <c r="V228" i="2" s="1"/>
  <c r="O228" i="2"/>
  <c r="P228" i="2" s="1"/>
  <c r="M228" i="2"/>
  <c r="L228" i="2"/>
  <c r="D228" i="2"/>
  <c r="C228" i="2"/>
  <c r="B228" i="2"/>
  <c r="A228" i="2"/>
  <c r="EE227" i="2"/>
  <c r="BW227" i="2"/>
  <c r="BX227" i="2" s="1"/>
  <c r="BK227" i="2"/>
  <c r="BL227" i="2" s="1"/>
  <c r="AG227" i="2"/>
  <c r="AH227" i="2" s="1"/>
  <c r="U227" i="2"/>
  <c r="V227" i="2" s="1"/>
  <c r="O227" i="2"/>
  <c r="P227" i="2" s="1"/>
  <c r="D227" i="2"/>
  <c r="C227" i="2"/>
  <c r="B227" i="2"/>
  <c r="A227" i="2"/>
  <c r="EE226" i="2"/>
  <c r="AG226" i="2"/>
  <c r="AH226" i="2" s="1"/>
  <c r="O226" i="2"/>
  <c r="P226" i="2" s="1"/>
  <c r="D226" i="2"/>
  <c r="C226" i="2"/>
  <c r="B226" i="2"/>
  <c r="A226" i="2"/>
  <c r="BW225" i="2"/>
  <c r="BX225" i="2" s="1"/>
  <c r="BK225" i="2"/>
  <c r="BL225" i="2" s="1"/>
  <c r="AG225" i="2"/>
  <c r="AH225" i="2" s="1"/>
  <c r="U225" i="2"/>
  <c r="V225" i="2" s="1"/>
  <c r="O225" i="2"/>
  <c r="P225" i="2" s="1"/>
  <c r="M225" i="2"/>
  <c r="L225" i="2"/>
  <c r="D225" i="2"/>
  <c r="C225" i="2"/>
  <c r="B225" i="2"/>
  <c r="A225" i="2"/>
  <c r="BW224" i="2"/>
  <c r="BX224" i="2" s="1"/>
  <c r="BK224" i="2"/>
  <c r="BL224" i="2" s="1"/>
  <c r="AG224" i="2"/>
  <c r="AH224" i="2" s="1"/>
  <c r="U224" i="2"/>
  <c r="V224" i="2" s="1"/>
  <c r="O224" i="2"/>
  <c r="P224" i="2" s="1"/>
  <c r="M224" i="2"/>
  <c r="L224" i="2"/>
  <c r="D224" i="2"/>
  <c r="C224" i="2"/>
  <c r="B224" i="2"/>
  <c r="A224" i="2"/>
  <c r="BQ223" i="2"/>
  <c r="BR223" i="2" s="1"/>
  <c r="BK223" i="2"/>
  <c r="BL223" i="2" s="1"/>
  <c r="AA223" i="2"/>
  <c r="AB223" i="2" s="1"/>
  <c r="O223" i="2"/>
  <c r="P223" i="2" s="1"/>
  <c r="M223" i="2"/>
  <c r="L223" i="2"/>
  <c r="D223" i="2"/>
  <c r="C223" i="2"/>
  <c r="B223" i="2"/>
  <c r="A223" i="2"/>
  <c r="BV222" i="2"/>
  <c r="BQ222" i="2"/>
  <c r="BR222" i="2" s="1"/>
  <c r="BJ222" i="2"/>
  <c r="O222" i="2"/>
  <c r="P222" i="2" s="1"/>
  <c r="M222" i="2"/>
  <c r="L222" i="2"/>
  <c r="D222" i="2"/>
  <c r="C222" i="2"/>
  <c r="B222" i="2"/>
  <c r="A222" i="2"/>
  <c r="EE221" i="2"/>
  <c r="O221" i="2"/>
  <c r="P221" i="2" s="1"/>
  <c r="ED221" i="2" s="1"/>
  <c r="L221" i="2"/>
  <c r="D221" i="2"/>
  <c r="C221" i="2"/>
  <c r="B221" i="2"/>
  <c r="A221" i="2"/>
  <c r="BQ220" i="2"/>
  <c r="BR220" i="2" s="1"/>
  <c r="O220" i="2"/>
  <c r="P220" i="2" s="1"/>
  <c r="M220" i="2"/>
  <c r="L220" i="2"/>
  <c r="D220" i="2"/>
  <c r="C220" i="2"/>
  <c r="B220" i="2"/>
  <c r="A220" i="2"/>
  <c r="CI219" i="2"/>
  <c r="CJ219" i="2" s="1"/>
  <c r="BQ219" i="2"/>
  <c r="BR219" i="2" s="1"/>
  <c r="BD219" i="2"/>
  <c r="Z219" i="2"/>
  <c r="L219" i="2"/>
  <c r="D219" i="2"/>
  <c r="C219" i="2"/>
  <c r="B219" i="2"/>
  <c r="A219" i="2"/>
  <c r="CI218" i="2"/>
  <c r="CJ218" i="2" s="1"/>
  <c r="BQ218" i="2"/>
  <c r="BR218" i="2" s="1"/>
  <c r="BD218" i="2"/>
  <c r="Z218" i="2"/>
  <c r="D218" i="2"/>
  <c r="C218" i="2"/>
  <c r="B218" i="2"/>
  <c r="A218" i="2"/>
  <c r="CI217" i="2"/>
  <c r="CJ217" i="2" s="1"/>
  <c r="CC217" i="2"/>
  <c r="CD217" i="2" s="1"/>
  <c r="BQ217" i="2"/>
  <c r="BR217" i="2" s="1"/>
  <c r="M217" i="2"/>
  <c r="L217" i="2"/>
  <c r="D217" i="2"/>
  <c r="C217" i="2"/>
  <c r="B217" i="2"/>
  <c r="A217" i="2"/>
  <c r="EE216" i="2"/>
  <c r="BQ216" i="2"/>
  <c r="BR216" i="2" s="1"/>
  <c r="ED216" i="2" s="1"/>
  <c r="EF216" i="2" s="1"/>
  <c r="L216" i="2"/>
  <c r="D216" i="2"/>
  <c r="C216" i="2"/>
  <c r="B216" i="2"/>
  <c r="A216" i="2"/>
  <c r="EE215" i="2"/>
  <c r="BQ215" i="2"/>
  <c r="BR215" i="2" s="1"/>
  <c r="AM215" i="2"/>
  <c r="AN215" i="2" s="1"/>
  <c r="ED215" i="2" s="1"/>
  <c r="L215" i="2"/>
  <c r="D215" i="2"/>
  <c r="C215" i="2"/>
  <c r="B215" i="2"/>
  <c r="A215" i="2"/>
  <c r="EE214" i="2"/>
  <c r="BQ214" i="2"/>
  <c r="BR214" i="2" s="1"/>
  <c r="AM214" i="2"/>
  <c r="AN214" i="2" s="1"/>
  <c r="ED214" i="2" s="1"/>
  <c r="L214" i="2"/>
  <c r="D214" i="2"/>
  <c r="C214" i="2"/>
  <c r="B214" i="2"/>
  <c r="A214" i="2"/>
  <c r="BQ213" i="2"/>
  <c r="BR213" i="2" s="1"/>
  <c r="AM213" i="2"/>
  <c r="AN213" i="2" s="1"/>
  <c r="M213" i="2"/>
  <c r="L213" i="2"/>
  <c r="D213" i="2"/>
  <c r="C213" i="2"/>
  <c r="B213" i="2"/>
  <c r="A213" i="2"/>
  <c r="BQ212" i="2"/>
  <c r="BR212" i="2" s="1"/>
  <c r="M212" i="2"/>
  <c r="L212" i="2"/>
  <c r="D212" i="2"/>
  <c r="C212" i="2"/>
  <c r="B212" i="2"/>
  <c r="A212" i="2"/>
  <c r="EE211" i="2"/>
  <c r="O211" i="2"/>
  <c r="P211" i="2" s="1"/>
  <c r="ED211" i="2" s="1"/>
  <c r="EF211" i="2" s="1"/>
  <c r="L211" i="2"/>
  <c r="D211" i="2"/>
  <c r="C211" i="2"/>
  <c r="B211" i="2"/>
  <c r="A211" i="2"/>
  <c r="EE210" i="2"/>
  <c r="BQ210" i="2"/>
  <c r="BR210" i="2" s="1"/>
  <c r="ED210" i="2" s="1"/>
  <c r="D210" i="2"/>
  <c r="C210" i="2"/>
  <c r="B210" i="2"/>
  <c r="A210" i="2"/>
  <c r="BQ209" i="2"/>
  <c r="BR209" i="2" s="1"/>
  <c r="M209" i="2"/>
  <c r="L209" i="2"/>
  <c r="D209" i="2"/>
  <c r="C209" i="2"/>
  <c r="B209" i="2"/>
  <c r="A209" i="2"/>
  <c r="BW208" i="2"/>
  <c r="BX208" i="2" s="1"/>
  <c r="BQ208" i="2"/>
  <c r="BR208" i="2" s="1"/>
  <c r="BK208" i="2"/>
  <c r="BL208" i="2" s="1"/>
  <c r="AS208" i="2"/>
  <c r="AT208" i="2" s="1"/>
  <c r="O208" i="2"/>
  <c r="P208" i="2" s="1"/>
  <c r="M208" i="2"/>
  <c r="L208" i="2"/>
  <c r="D208" i="2"/>
  <c r="C208" i="2"/>
  <c r="B208" i="2"/>
  <c r="A208" i="2"/>
  <c r="BW207" i="2"/>
  <c r="BX207" i="2" s="1"/>
  <c r="BQ207" i="2"/>
  <c r="BR207" i="2" s="1"/>
  <c r="BK207" i="2"/>
  <c r="BL207" i="2" s="1"/>
  <c r="AS207" i="2"/>
  <c r="AT207" i="2" s="1"/>
  <c r="U207" i="2"/>
  <c r="V207" i="2" s="1"/>
  <c r="O207" i="2"/>
  <c r="P207" i="2" s="1"/>
  <c r="M207" i="2"/>
  <c r="L207" i="2"/>
  <c r="D207" i="2"/>
  <c r="C207" i="2"/>
  <c r="B207" i="2"/>
  <c r="A207" i="2"/>
  <c r="BV206" i="2"/>
  <c r="BQ206" i="2"/>
  <c r="BR206" i="2" s="1"/>
  <c r="BJ206" i="2"/>
  <c r="U206" i="2"/>
  <c r="V206" i="2" s="1"/>
  <c r="O206" i="2"/>
  <c r="P206" i="2" s="1"/>
  <c r="D206" i="2"/>
  <c r="C206" i="2"/>
  <c r="B206" i="2"/>
  <c r="A206" i="2"/>
  <c r="BW205" i="2"/>
  <c r="BX205" i="2" s="1"/>
  <c r="BQ205" i="2"/>
  <c r="BR205" i="2" s="1"/>
  <c r="BK205" i="2"/>
  <c r="BL205" i="2" s="1"/>
  <c r="O205" i="2"/>
  <c r="P205" i="2" s="1"/>
  <c r="M205" i="2"/>
  <c r="L205" i="2"/>
  <c r="D205" i="2"/>
  <c r="C205" i="2"/>
  <c r="B205" i="2"/>
  <c r="A205" i="2"/>
  <c r="BQ204" i="2"/>
  <c r="BR204" i="2" s="1"/>
  <c r="U204" i="2"/>
  <c r="V204" i="2" s="1"/>
  <c r="O204" i="2"/>
  <c r="P204" i="2" s="1"/>
  <c r="M204" i="2"/>
  <c r="L204" i="2"/>
  <c r="D204" i="2"/>
  <c r="C204" i="2"/>
  <c r="B204" i="2"/>
  <c r="A204" i="2"/>
  <c r="O203" i="2"/>
  <c r="P203" i="2" s="1"/>
  <c r="M203" i="2"/>
  <c r="L203" i="2"/>
  <c r="D203" i="2"/>
  <c r="C203" i="2"/>
  <c r="B203" i="2"/>
  <c r="A203" i="2"/>
  <c r="BW202" i="2"/>
  <c r="BX202" i="2" s="1"/>
  <c r="BK202" i="2"/>
  <c r="BL202" i="2" s="1"/>
  <c r="O202" i="2"/>
  <c r="P202" i="2" s="1"/>
  <c r="M202" i="2"/>
  <c r="L202" i="2"/>
  <c r="D202" i="2"/>
  <c r="C202" i="2"/>
  <c r="B202" i="2"/>
  <c r="A202" i="2"/>
  <c r="EE201" i="2"/>
  <c r="BW201" i="2"/>
  <c r="BX201" i="2" s="1"/>
  <c r="BK201" i="2"/>
  <c r="BL201" i="2" s="1"/>
  <c r="AG201" i="2"/>
  <c r="AH201" i="2" s="1"/>
  <c r="O201" i="2"/>
  <c r="P201" i="2" s="1"/>
  <c r="D201" i="2"/>
  <c r="C201" i="2"/>
  <c r="B201" i="2"/>
  <c r="A201" i="2"/>
  <c r="EE200" i="2"/>
  <c r="BW200" i="2"/>
  <c r="BX200" i="2" s="1"/>
  <c r="BK200" i="2"/>
  <c r="BL200" i="2" s="1"/>
  <c r="AG200" i="2"/>
  <c r="AH200" i="2" s="1"/>
  <c r="O200" i="2"/>
  <c r="P200" i="2" s="1"/>
  <c r="D200" i="2"/>
  <c r="C200" i="2"/>
  <c r="B200" i="2"/>
  <c r="A200" i="2"/>
  <c r="EE199" i="2"/>
  <c r="BW199" i="2"/>
  <c r="BX199" i="2" s="1"/>
  <c r="BK199" i="2"/>
  <c r="BL199" i="2" s="1"/>
  <c r="AG199" i="2"/>
  <c r="AH199" i="2" s="1"/>
  <c r="O199" i="2"/>
  <c r="P199" i="2" s="1"/>
  <c r="ED199" i="2" s="1"/>
  <c r="EF199" i="2" s="1"/>
  <c r="D199" i="2"/>
  <c r="C199" i="2"/>
  <c r="B199" i="2"/>
  <c r="A199" i="2"/>
  <c r="EE198" i="2"/>
  <c r="BW198" i="2"/>
  <c r="BX198" i="2" s="1"/>
  <c r="BK198" i="2"/>
  <c r="BL198" i="2" s="1"/>
  <c r="AG198" i="2"/>
  <c r="AH198" i="2" s="1"/>
  <c r="O198" i="2"/>
  <c r="P198" i="2" s="1"/>
  <c r="D198" i="2"/>
  <c r="C198" i="2"/>
  <c r="B198" i="2"/>
  <c r="A198" i="2"/>
  <c r="EE197" i="2"/>
  <c r="BW197" i="2"/>
  <c r="BX197" i="2" s="1"/>
  <c r="BK197" i="2"/>
  <c r="BL197" i="2" s="1"/>
  <c r="AG197" i="2"/>
  <c r="AH197" i="2" s="1"/>
  <c r="O197" i="2"/>
  <c r="P197" i="2" s="1"/>
  <c r="D197" i="2"/>
  <c r="C197" i="2"/>
  <c r="B197" i="2"/>
  <c r="A197" i="2"/>
  <c r="BW196" i="2"/>
  <c r="BX196" i="2" s="1"/>
  <c r="BK196" i="2"/>
  <c r="BL196" i="2" s="1"/>
  <c r="AG196" i="2"/>
  <c r="AH196" i="2" s="1"/>
  <c r="O196" i="2"/>
  <c r="P196" i="2" s="1"/>
  <c r="M196" i="2"/>
  <c r="L196" i="2"/>
  <c r="D196" i="2"/>
  <c r="C196" i="2"/>
  <c r="B196" i="2"/>
  <c r="A196" i="2"/>
  <c r="BW195" i="2"/>
  <c r="BX195" i="2" s="1"/>
  <c r="BQ195" i="2"/>
  <c r="BR195" i="2" s="1"/>
  <c r="BK195" i="2"/>
  <c r="BL195" i="2" s="1"/>
  <c r="M195" i="2"/>
  <c r="L195" i="2"/>
  <c r="D195" i="2"/>
  <c r="C195" i="2"/>
  <c r="B195" i="2"/>
  <c r="A195" i="2"/>
  <c r="EE194" i="2"/>
  <c r="BW194" i="2"/>
  <c r="BX194" i="2" s="1"/>
  <c r="BQ194" i="2"/>
  <c r="BR194" i="2" s="1"/>
  <c r="BK194" i="2"/>
  <c r="BL194" i="2" s="1"/>
  <c r="O194" i="2"/>
  <c r="P194" i="2" s="1"/>
  <c r="L194" i="2"/>
  <c r="D194" i="2"/>
  <c r="C194" i="2"/>
  <c r="B194" i="2"/>
  <c r="A194" i="2"/>
  <c r="BW193" i="2"/>
  <c r="BX193" i="2" s="1"/>
  <c r="BQ193" i="2"/>
  <c r="BR193" i="2" s="1"/>
  <c r="BK193" i="2"/>
  <c r="BL193" i="2" s="1"/>
  <c r="U193" i="2"/>
  <c r="V193" i="2" s="1"/>
  <c r="O193" i="2"/>
  <c r="P193" i="2" s="1"/>
  <c r="M193" i="2"/>
  <c r="L193" i="2"/>
  <c r="D193" i="2"/>
  <c r="C193" i="2"/>
  <c r="B193" i="2"/>
  <c r="A193" i="2"/>
  <c r="BW192" i="2"/>
  <c r="BX192" i="2" s="1"/>
  <c r="BQ192" i="2"/>
  <c r="BR192" i="2" s="1"/>
  <c r="BK192" i="2"/>
  <c r="BL192" i="2" s="1"/>
  <c r="M192" i="2"/>
  <c r="L192" i="2"/>
  <c r="D192" i="2"/>
  <c r="C192" i="2"/>
  <c r="B192" i="2"/>
  <c r="A192" i="2"/>
  <c r="EE191" i="2"/>
  <c r="BW191" i="2"/>
  <c r="BX191" i="2" s="1"/>
  <c r="BQ191" i="2"/>
  <c r="BR191" i="2" s="1"/>
  <c r="BK191" i="2"/>
  <c r="BL191" i="2" s="1"/>
  <c r="U191" i="2"/>
  <c r="V191" i="2" s="1"/>
  <c r="O191" i="2"/>
  <c r="P191" i="2" s="1"/>
  <c r="L191" i="2"/>
  <c r="D191" i="2"/>
  <c r="C191" i="2"/>
  <c r="B191" i="2"/>
  <c r="A191" i="2"/>
  <c r="BW190" i="2"/>
  <c r="BX190" i="2" s="1"/>
  <c r="BQ190" i="2"/>
  <c r="BR190" i="2" s="1"/>
  <c r="BK190" i="2"/>
  <c r="BL190" i="2" s="1"/>
  <c r="U190" i="2"/>
  <c r="V190" i="2" s="1"/>
  <c r="O190" i="2"/>
  <c r="P190" i="2" s="1"/>
  <c r="M190" i="2"/>
  <c r="L190" i="2"/>
  <c r="D190" i="2"/>
  <c r="C190" i="2"/>
  <c r="B190" i="2"/>
  <c r="A190" i="2"/>
  <c r="BW189" i="2"/>
  <c r="BX189" i="2" s="1"/>
  <c r="BQ189" i="2"/>
  <c r="BR189" i="2" s="1"/>
  <c r="BK189" i="2"/>
  <c r="BL189" i="2" s="1"/>
  <c r="M189" i="2"/>
  <c r="L189" i="2"/>
  <c r="D189" i="2"/>
  <c r="C189" i="2"/>
  <c r="B189" i="2"/>
  <c r="A189" i="2"/>
  <c r="M188" i="2"/>
  <c r="L188" i="2"/>
  <c r="D188" i="2"/>
  <c r="C188" i="2"/>
  <c r="B188" i="2"/>
  <c r="A188" i="2"/>
  <c r="BW187" i="2"/>
  <c r="BX187" i="2" s="1"/>
  <c r="BQ187" i="2"/>
  <c r="BR187" i="2" s="1"/>
  <c r="BK187" i="2"/>
  <c r="BL187" i="2" s="1"/>
  <c r="O187" i="2"/>
  <c r="P187" i="2" s="1"/>
  <c r="M187" i="2"/>
  <c r="L187" i="2"/>
  <c r="D187" i="2"/>
  <c r="C187" i="2"/>
  <c r="B187" i="2"/>
  <c r="A187" i="2"/>
  <c r="EE186" i="2"/>
  <c r="BK186" i="2"/>
  <c r="BL186" i="2" s="1"/>
  <c r="BE186" i="2"/>
  <c r="BF186" i="2" s="1"/>
  <c r="U186" i="2"/>
  <c r="V186" i="2" s="1"/>
  <c r="O186" i="2"/>
  <c r="P186" i="2" s="1"/>
  <c r="D186" i="2"/>
  <c r="C186" i="2"/>
  <c r="B186" i="2"/>
  <c r="A186" i="2"/>
  <c r="EE185" i="2"/>
  <c r="BE185" i="2"/>
  <c r="BF185" i="2" s="1"/>
  <c r="U185" i="2"/>
  <c r="V185" i="2" s="1"/>
  <c r="O185" i="2"/>
  <c r="P185" i="2" s="1"/>
  <c r="D185" i="2"/>
  <c r="C185" i="2"/>
  <c r="B185" i="2"/>
  <c r="A185" i="2"/>
  <c r="EE184" i="2"/>
  <c r="BW184" i="2"/>
  <c r="BX184" i="2" s="1"/>
  <c r="BQ184" i="2"/>
  <c r="BR184" i="2" s="1"/>
  <c r="BK184" i="2"/>
  <c r="BL184" i="2" s="1"/>
  <c r="D184" i="2"/>
  <c r="C184" i="2"/>
  <c r="B184" i="2"/>
  <c r="A184" i="2"/>
  <c r="AS183" i="2"/>
  <c r="AT183" i="2" s="1"/>
  <c r="O183" i="2"/>
  <c r="P183" i="2" s="1"/>
  <c r="M183" i="2"/>
  <c r="L183" i="2"/>
  <c r="D183" i="2"/>
  <c r="C183" i="2"/>
  <c r="B183" i="2"/>
  <c r="A183" i="2"/>
  <c r="AS182" i="2"/>
  <c r="AT182" i="2" s="1"/>
  <c r="O182" i="2"/>
  <c r="P182" i="2" s="1"/>
  <c r="M182" i="2"/>
  <c r="L182" i="2"/>
  <c r="D182" i="2"/>
  <c r="C182" i="2"/>
  <c r="B182" i="2"/>
  <c r="A182" i="2"/>
  <c r="AS181" i="2"/>
  <c r="AT181" i="2" s="1"/>
  <c r="O181" i="2"/>
  <c r="P181" i="2" s="1"/>
  <c r="M181" i="2"/>
  <c r="L181" i="2"/>
  <c r="D181" i="2"/>
  <c r="C181" i="2"/>
  <c r="B181" i="2"/>
  <c r="A181" i="2"/>
  <c r="BQ180" i="2"/>
  <c r="BR180" i="2" s="1"/>
  <c r="AS180" i="2"/>
  <c r="AT180" i="2" s="1"/>
  <c r="M180" i="2"/>
  <c r="L180" i="2"/>
  <c r="D180" i="2"/>
  <c r="C180" i="2"/>
  <c r="B180" i="2"/>
  <c r="A180" i="2"/>
  <c r="BW179" i="2"/>
  <c r="BX179" i="2" s="1"/>
  <c r="BQ179" i="2"/>
  <c r="BR179" i="2" s="1"/>
  <c r="BK179" i="2"/>
  <c r="BL179" i="2" s="1"/>
  <c r="AS179" i="2"/>
  <c r="AT179" i="2" s="1"/>
  <c r="O179" i="2"/>
  <c r="P179" i="2" s="1"/>
  <c r="M179" i="2"/>
  <c r="L179" i="2"/>
  <c r="D179" i="2"/>
  <c r="C179" i="2"/>
  <c r="B179" i="2"/>
  <c r="A179" i="2"/>
  <c r="BW178" i="2"/>
  <c r="BX178" i="2" s="1"/>
  <c r="BQ178" i="2"/>
  <c r="BR178" i="2" s="1"/>
  <c r="BK178" i="2"/>
  <c r="BL178" i="2" s="1"/>
  <c r="AS178" i="2"/>
  <c r="AT178" i="2" s="1"/>
  <c r="O178" i="2"/>
  <c r="P178" i="2" s="1"/>
  <c r="M178" i="2"/>
  <c r="L178" i="2"/>
  <c r="D178" i="2"/>
  <c r="C178" i="2"/>
  <c r="B178" i="2"/>
  <c r="A178" i="2"/>
  <c r="BW177" i="2"/>
  <c r="BX177" i="2" s="1"/>
  <c r="BQ177" i="2"/>
  <c r="BR177" i="2" s="1"/>
  <c r="BK177" i="2"/>
  <c r="BL177" i="2" s="1"/>
  <c r="AS177" i="2"/>
  <c r="AT177" i="2" s="1"/>
  <c r="O177" i="2"/>
  <c r="P177" i="2" s="1"/>
  <c r="M177" i="2"/>
  <c r="L177" i="2"/>
  <c r="D177" i="2"/>
  <c r="C177" i="2"/>
  <c r="B177" i="2"/>
  <c r="A177" i="2"/>
  <c r="BW176" i="2"/>
  <c r="BX176" i="2" s="1"/>
  <c r="BQ176" i="2"/>
  <c r="BR176" i="2" s="1"/>
  <c r="BK176" i="2"/>
  <c r="BL176" i="2" s="1"/>
  <c r="AS176" i="2"/>
  <c r="AT176" i="2" s="1"/>
  <c r="O176" i="2"/>
  <c r="P176" i="2" s="1"/>
  <c r="M176" i="2"/>
  <c r="L176" i="2"/>
  <c r="D176" i="2"/>
  <c r="C176" i="2"/>
  <c r="B176" i="2"/>
  <c r="A176" i="2"/>
  <c r="BK175" i="2"/>
  <c r="BL175" i="2" s="1"/>
  <c r="O175" i="2"/>
  <c r="P175" i="2" s="1"/>
  <c r="M175" i="2"/>
  <c r="L175" i="2"/>
  <c r="D175" i="2"/>
  <c r="C175" i="2"/>
  <c r="B175" i="2"/>
  <c r="A175" i="2"/>
  <c r="AA174" i="2"/>
  <c r="AB174" i="2" s="1"/>
  <c r="M174" i="2"/>
  <c r="L174" i="2"/>
  <c r="D174" i="2"/>
  <c r="C174" i="2"/>
  <c r="B174" i="2"/>
  <c r="A174" i="2"/>
  <c r="BQ173" i="2"/>
  <c r="BR173" i="2" s="1"/>
  <c r="O173" i="2"/>
  <c r="P173" i="2" s="1"/>
  <c r="M173" i="2"/>
  <c r="L173" i="2"/>
  <c r="D173" i="2"/>
  <c r="C173" i="2"/>
  <c r="B173" i="2"/>
  <c r="A173" i="2"/>
  <c r="M172" i="2"/>
  <c r="L172" i="2"/>
  <c r="D172" i="2"/>
  <c r="C172" i="2"/>
  <c r="B172" i="2"/>
  <c r="A172" i="2"/>
  <c r="BW171" i="2"/>
  <c r="BX171" i="2" s="1"/>
  <c r="BQ171" i="2"/>
  <c r="BR171" i="2" s="1"/>
  <c r="BK171" i="2"/>
  <c r="BL171" i="2" s="1"/>
  <c r="U171" i="2"/>
  <c r="V171" i="2" s="1"/>
  <c r="O171" i="2"/>
  <c r="P171" i="2" s="1"/>
  <c r="M171" i="2"/>
  <c r="L171" i="2"/>
  <c r="D171" i="2"/>
  <c r="C171" i="2"/>
  <c r="B171" i="2"/>
  <c r="A171" i="2"/>
  <c r="BQ170" i="2"/>
  <c r="BR170" i="2" s="1"/>
  <c r="BJ170" i="2"/>
  <c r="BD170" i="2"/>
  <c r="Z170" i="2"/>
  <c r="L170" i="2"/>
  <c r="D170" i="2"/>
  <c r="C170" i="2"/>
  <c r="B170" i="2"/>
  <c r="A170" i="2"/>
  <c r="BP169" i="2"/>
  <c r="BQ169" i="2" s="1"/>
  <c r="BR169" i="2" s="1"/>
  <c r="BK169" i="2"/>
  <c r="BL169" i="2" s="1"/>
  <c r="BD169" i="2"/>
  <c r="AA169" i="2"/>
  <c r="AB169" i="2" s="1"/>
  <c r="O169" i="2"/>
  <c r="P169" i="2" s="1"/>
  <c r="M169" i="2"/>
  <c r="L169" i="2"/>
  <c r="D169" i="2"/>
  <c r="C169" i="2"/>
  <c r="B169" i="2"/>
  <c r="A169" i="2"/>
  <c r="BQ168" i="2"/>
  <c r="BR168" i="2" s="1"/>
  <c r="BK168" i="2"/>
  <c r="BL168" i="2" s="1"/>
  <c r="BD168" i="2"/>
  <c r="M168" i="2"/>
  <c r="L168" i="2"/>
  <c r="D168" i="2"/>
  <c r="C168" i="2"/>
  <c r="B168" i="2"/>
  <c r="A168" i="2"/>
  <c r="BV167" i="2"/>
  <c r="BQ167" i="2"/>
  <c r="BR167" i="2" s="1"/>
  <c r="BK167" i="2"/>
  <c r="BL167" i="2" s="1"/>
  <c r="M167" i="2"/>
  <c r="L167" i="2"/>
  <c r="D167" i="2"/>
  <c r="C167" i="2"/>
  <c r="B167" i="2"/>
  <c r="A167" i="2"/>
  <c r="BV166" i="2"/>
  <c r="BQ166" i="2"/>
  <c r="BR166" i="2" s="1"/>
  <c r="BJ166" i="2"/>
  <c r="O166" i="2"/>
  <c r="P166" i="2" s="1"/>
  <c r="M166" i="2"/>
  <c r="L166" i="2"/>
  <c r="D166" i="2"/>
  <c r="C166" i="2"/>
  <c r="B166" i="2"/>
  <c r="A166" i="2"/>
  <c r="BV165" i="2"/>
  <c r="BQ165" i="2"/>
  <c r="BR165" i="2" s="1"/>
  <c r="BJ165" i="2"/>
  <c r="O165" i="2"/>
  <c r="P165" i="2" s="1"/>
  <c r="M165" i="2"/>
  <c r="L165" i="2"/>
  <c r="D165" i="2"/>
  <c r="C165" i="2"/>
  <c r="B165" i="2"/>
  <c r="A165" i="2"/>
  <c r="BW164" i="2"/>
  <c r="BX164" i="2" s="1"/>
  <c r="BQ164" i="2"/>
  <c r="BR164" i="2" s="1"/>
  <c r="BK164" i="2"/>
  <c r="BL164" i="2" s="1"/>
  <c r="O164" i="2"/>
  <c r="P164" i="2" s="1"/>
  <c r="M164" i="2"/>
  <c r="L164" i="2"/>
  <c r="D164" i="2"/>
  <c r="C164" i="2"/>
  <c r="B164" i="2"/>
  <c r="A164" i="2"/>
  <c r="BW163" i="2"/>
  <c r="BX163" i="2" s="1"/>
  <c r="BQ163" i="2"/>
  <c r="BR163" i="2" s="1"/>
  <c r="BK163" i="2"/>
  <c r="BL163" i="2" s="1"/>
  <c r="O163" i="2"/>
  <c r="P163" i="2" s="1"/>
  <c r="M163" i="2"/>
  <c r="L163" i="2"/>
  <c r="D163" i="2"/>
  <c r="C163" i="2"/>
  <c r="B163" i="2"/>
  <c r="A163" i="2"/>
  <c r="BP162" i="2"/>
  <c r="BQ162" i="2" s="1"/>
  <c r="BR162" i="2" s="1"/>
  <c r="BJ162" i="2"/>
  <c r="BD162" i="2"/>
  <c r="Z162" i="2"/>
  <c r="O162" i="2"/>
  <c r="P162" i="2" s="1"/>
  <c r="D162" i="2"/>
  <c r="C162" i="2"/>
  <c r="B162" i="2"/>
  <c r="A162" i="2"/>
  <c r="EE161" i="2"/>
  <c r="BW161" i="2"/>
  <c r="BX161" i="2" s="1"/>
  <c r="BQ161" i="2"/>
  <c r="BR161" i="2" s="1"/>
  <c r="BK161" i="2"/>
  <c r="BL161" i="2" s="1"/>
  <c r="AA161" i="2"/>
  <c r="AB161" i="2" s="1"/>
  <c r="O161" i="2"/>
  <c r="P161" i="2" s="1"/>
  <c r="ED161" i="2" s="1"/>
  <c r="EF161" i="2" s="1"/>
  <c r="L161" i="2"/>
  <c r="D161" i="2"/>
  <c r="C161" i="2"/>
  <c r="B161" i="2"/>
  <c r="A161" i="2"/>
  <c r="BQ160" i="2"/>
  <c r="BR160" i="2" s="1"/>
  <c r="AX160" i="2"/>
  <c r="M160" i="2"/>
  <c r="L160" i="2"/>
  <c r="D160" i="2"/>
  <c r="C160" i="2"/>
  <c r="B160" i="2"/>
  <c r="A160" i="2"/>
  <c r="BQ159" i="2"/>
  <c r="BR159" i="2" s="1"/>
  <c r="M159" i="2"/>
  <c r="L159" i="2"/>
  <c r="D159" i="2"/>
  <c r="C159" i="2"/>
  <c r="B159" i="2"/>
  <c r="A159" i="2"/>
  <c r="BQ158" i="2"/>
  <c r="BR158" i="2" s="1"/>
  <c r="AY158" i="2"/>
  <c r="AZ158" i="2" s="1"/>
  <c r="M158" i="2"/>
  <c r="L158" i="2"/>
  <c r="D158" i="2"/>
  <c r="C158" i="2"/>
  <c r="B158" i="2"/>
  <c r="A158" i="2"/>
  <c r="EE157" i="2"/>
  <c r="CI157" i="2"/>
  <c r="CJ157" i="2" s="1"/>
  <c r="CC157" i="2"/>
  <c r="CD157" i="2" s="1"/>
  <c r="L157" i="2"/>
  <c r="D157" i="2"/>
  <c r="C157" i="2"/>
  <c r="B157" i="2"/>
  <c r="A157" i="2"/>
  <c r="EE156" i="2"/>
  <c r="CI156" i="2"/>
  <c r="CJ156" i="2" s="1"/>
  <c r="CC156" i="2"/>
  <c r="CD156" i="2" s="1"/>
  <c r="L156" i="2"/>
  <c r="D156" i="2"/>
  <c r="C156" i="2"/>
  <c r="B156" i="2"/>
  <c r="A156" i="2"/>
  <c r="CI155" i="2"/>
  <c r="CJ155" i="2" s="1"/>
  <c r="CC155" i="2"/>
  <c r="CD155" i="2" s="1"/>
  <c r="M155" i="2"/>
  <c r="L155" i="2"/>
  <c r="D155" i="2"/>
  <c r="C155" i="2"/>
  <c r="B155" i="2"/>
  <c r="A155" i="2"/>
  <c r="CI154" i="2"/>
  <c r="CJ154" i="2" s="1"/>
  <c r="CC154" i="2"/>
  <c r="CD154" i="2" s="1"/>
  <c r="M154" i="2"/>
  <c r="L154" i="2"/>
  <c r="D154" i="2"/>
  <c r="C154" i="2"/>
  <c r="B154" i="2"/>
  <c r="A154" i="2"/>
  <c r="EE153" i="2"/>
  <c r="CI153" i="2"/>
  <c r="CJ153" i="2" s="1"/>
  <c r="CC153" i="2"/>
  <c r="CD153" i="2" s="1"/>
  <c r="L153" i="2"/>
  <c r="D153" i="2"/>
  <c r="C153" i="2"/>
  <c r="B153" i="2"/>
  <c r="A153" i="2"/>
  <c r="EE152" i="2"/>
  <c r="BQ152" i="2"/>
  <c r="BR152" i="2" s="1"/>
  <c r="AS152" i="2"/>
  <c r="AT152" i="2" s="1"/>
  <c r="O152" i="2"/>
  <c r="P152" i="2" s="1"/>
  <c r="ED152" i="2" s="1"/>
  <c r="EF152" i="2" s="1"/>
  <c r="L152" i="2"/>
  <c r="D152" i="2"/>
  <c r="C152" i="2"/>
  <c r="B152" i="2"/>
  <c r="A152" i="2"/>
  <c r="EE151" i="2"/>
  <c r="BQ151" i="2"/>
  <c r="BR151" i="2" s="1"/>
  <c r="AS151" i="2"/>
  <c r="AT151" i="2" s="1"/>
  <c r="O151" i="2"/>
  <c r="P151" i="2" s="1"/>
  <c r="L151" i="2"/>
  <c r="D151" i="2"/>
  <c r="C151" i="2"/>
  <c r="B151" i="2"/>
  <c r="A151" i="2"/>
  <c r="BW150" i="2"/>
  <c r="BX150" i="2" s="1"/>
  <c r="BQ150" i="2"/>
  <c r="BR150" i="2" s="1"/>
  <c r="BK150" i="2"/>
  <c r="BL150" i="2" s="1"/>
  <c r="AS150" i="2"/>
  <c r="AT150" i="2" s="1"/>
  <c r="O150" i="2"/>
  <c r="P150" i="2" s="1"/>
  <c r="M150" i="2"/>
  <c r="L150" i="2"/>
  <c r="D150" i="2"/>
  <c r="C150" i="2"/>
  <c r="B150" i="2"/>
  <c r="A150" i="2"/>
  <c r="BQ149" i="2"/>
  <c r="BR149" i="2" s="1"/>
  <c r="O149" i="2"/>
  <c r="P149" i="2" s="1"/>
  <c r="M149" i="2"/>
  <c r="L149" i="2"/>
  <c r="D149" i="2"/>
  <c r="C149" i="2"/>
  <c r="B149" i="2"/>
  <c r="A149" i="2"/>
  <c r="BQ148" i="2"/>
  <c r="BR148" i="2" s="1"/>
  <c r="O148" i="2"/>
  <c r="P148" i="2" s="1"/>
  <c r="M148" i="2"/>
  <c r="L148" i="2"/>
  <c r="D148" i="2"/>
  <c r="C148" i="2"/>
  <c r="B148" i="2"/>
  <c r="A148" i="2"/>
  <c r="BW147" i="2"/>
  <c r="BX147" i="2" s="1"/>
  <c r="BQ147" i="2"/>
  <c r="BR147" i="2" s="1"/>
  <c r="BK147" i="2"/>
  <c r="BL147" i="2" s="1"/>
  <c r="O147" i="2"/>
  <c r="P147" i="2" s="1"/>
  <c r="M147" i="2"/>
  <c r="L147" i="2"/>
  <c r="D147" i="2"/>
  <c r="C147" i="2"/>
  <c r="B147" i="2"/>
  <c r="A147" i="2"/>
  <c r="BW146" i="2"/>
  <c r="BX146" i="2" s="1"/>
  <c r="BQ146" i="2"/>
  <c r="BR146" i="2" s="1"/>
  <c r="BK146" i="2"/>
  <c r="BL146" i="2" s="1"/>
  <c r="U146" i="2"/>
  <c r="V146" i="2" s="1"/>
  <c r="O146" i="2"/>
  <c r="P146" i="2" s="1"/>
  <c r="M146" i="2"/>
  <c r="L146" i="2"/>
  <c r="D146" i="2"/>
  <c r="C146" i="2"/>
  <c r="B146" i="2"/>
  <c r="A146" i="2"/>
  <c r="BW145" i="2"/>
  <c r="BX145" i="2" s="1"/>
  <c r="BQ145" i="2"/>
  <c r="BR145" i="2" s="1"/>
  <c r="BK145" i="2"/>
  <c r="BL145" i="2" s="1"/>
  <c r="U145" i="2"/>
  <c r="V145" i="2" s="1"/>
  <c r="O145" i="2"/>
  <c r="P145" i="2" s="1"/>
  <c r="M145" i="2"/>
  <c r="L145" i="2"/>
  <c r="D145" i="2"/>
  <c r="C145" i="2"/>
  <c r="B145" i="2"/>
  <c r="A145" i="2"/>
  <c r="BW144" i="2"/>
  <c r="BX144" i="2" s="1"/>
  <c r="BQ144" i="2"/>
  <c r="BR144" i="2" s="1"/>
  <c r="BK144" i="2"/>
  <c r="BL144" i="2" s="1"/>
  <c r="U144" i="2"/>
  <c r="V144" i="2" s="1"/>
  <c r="O144" i="2"/>
  <c r="P144" i="2" s="1"/>
  <c r="M144" i="2"/>
  <c r="L144" i="2"/>
  <c r="D144" i="2"/>
  <c r="C144" i="2"/>
  <c r="B144" i="2"/>
  <c r="A144" i="2"/>
  <c r="BQ143" i="2"/>
  <c r="BR143" i="2" s="1"/>
  <c r="O143" i="2"/>
  <c r="P143" i="2" s="1"/>
  <c r="M143" i="2"/>
  <c r="L143" i="2"/>
  <c r="D143" i="2"/>
  <c r="C143" i="2"/>
  <c r="B143" i="2"/>
  <c r="A143" i="2"/>
  <c r="BQ142" i="2"/>
  <c r="BR142" i="2" s="1"/>
  <c r="O142" i="2"/>
  <c r="P142" i="2" s="1"/>
  <c r="M142" i="2"/>
  <c r="L142" i="2"/>
  <c r="D142" i="2"/>
  <c r="C142" i="2"/>
  <c r="B142" i="2"/>
  <c r="A142" i="2"/>
  <c r="BQ141" i="2"/>
  <c r="BR141" i="2" s="1"/>
  <c r="O141" i="2"/>
  <c r="P141" i="2" s="1"/>
  <c r="M141" i="2"/>
  <c r="L141" i="2"/>
  <c r="D141" i="2"/>
  <c r="C141" i="2"/>
  <c r="B141" i="2"/>
  <c r="A141" i="2"/>
  <c r="BW140" i="2"/>
  <c r="BX140" i="2" s="1"/>
  <c r="BP140" i="2"/>
  <c r="BQ140" i="2" s="1"/>
  <c r="BR140" i="2" s="1"/>
  <c r="BK140" i="2"/>
  <c r="BL140" i="2" s="1"/>
  <c r="M140" i="2"/>
  <c r="L140" i="2"/>
  <c r="D140" i="2"/>
  <c r="C140" i="2"/>
  <c r="B140" i="2"/>
  <c r="A140" i="2"/>
  <c r="EE139" i="2"/>
  <c r="BQ139" i="2"/>
  <c r="BR139" i="2" s="1"/>
  <c r="O139" i="2"/>
  <c r="P139" i="2" s="1"/>
  <c r="ED139" i="2" s="1"/>
  <c r="EF139" i="2" s="1"/>
  <c r="L139" i="2"/>
  <c r="D139" i="2"/>
  <c r="C139" i="2"/>
  <c r="B139" i="2"/>
  <c r="A139" i="2"/>
  <c r="EE138" i="2"/>
  <c r="O138" i="2"/>
  <c r="P138" i="2" s="1"/>
  <c r="ED138" i="2" s="1"/>
  <c r="D138" i="2"/>
  <c r="C138" i="2"/>
  <c r="B138" i="2"/>
  <c r="A138" i="2"/>
  <c r="BW137" i="2"/>
  <c r="BX137" i="2" s="1"/>
  <c r="BQ137" i="2"/>
  <c r="BR137" i="2" s="1"/>
  <c r="BK137" i="2"/>
  <c r="BL137" i="2" s="1"/>
  <c r="T137" i="2"/>
  <c r="O137" i="2"/>
  <c r="P137" i="2" s="1"/>
  <c r="M137" i="2"/>
  <c r="L137" i="2"/>
  <c r="D137" i="2"/>
  <c r="C137" i="2"/>
  <c r="B137" i="2"/>
  <c r="A137" i="2"/>
  <c r="BW136" i="2"/>
  <c r="BX136" i="2" s="1"/>
  <c r="BQ136" i="2"/>
  <c r="BR136" i="2" s="1"/>
  <c r="BK136" i="2"/>
  <c r="BL136" i="2" s="1"/>
  <c r="T136" i="2"/>
  <c r="M136" i="2"/>
  <c r="L136" i="2"/>
  <c r="D136" i="2"/>
  <c r="C136" i="2"/>
  <c r="B136" i="2"/>
  <c r="A136" i="2"/>
  <c r="BW135" i="2"/>
  <c r="BX135" i="2" s="1"/>
  <c r="BQ135" i="2"/>
  <c r="BR135" i="2" s="1"/>
  <c r="BK135" i="2"/>
  <c r="BL135" i="2" s="1"/>
  <c r="T135" i="2"/>
  <c r="O135" i="2"/>
  <c r="P135" i="2" s="1"/>
  <c r="M135" i="2"/>
  <c r="L135" i="2"/>
  <c r="D135" i="2"/>
  <c r="C135" i="2"/>
  <c r="B135" i="2"/>
  <c r="A135" i="2"/>
  <c r="BW134" i="2"/>
  <c r="BX134" i="2" s="1"/>
  <c r="BQ134" i="2"/>
  <c r="BR134" i="2" s="1"/>
  <c r="BK134" i="2"/>
  <c r="BL134" i="2" s="1"/>
  <c r="T134" i="2"/>
  <c r="M134" i="2"/>
  <c r="L134" i="2"/>
  <c r="D134" i="2"/>
  <c r="C134" i="2"/>
  <c r="B134" i="2"/>
  <c r="A134" i="2"/>
  <c r="BW133" i="2"/>
  <c r="BX133" i="2" s="1"/>
  <c r="BQ133" i="2"/>
  <c r="BR133" i="2" s="1"/>
  <c r="BK133" i="2"/>
  <c r="BL133" i="2" s="1"/>
  <c r="T133" i="2"/>
  <c r="O133" i="2"/>
  <c r="P133" i="2" s="1"/>
  <c r="M133" i="2"/>
  <c r="L133" i="2"/>
  <c r="D133" i="2"/>
  <c r="C133" i="2"/>
  <c r="B133" i="2"/>
  <c r="A133" i="2"/>
  <c r="BW132" i="2"/>
  <c r="BX132" i="2" s="1"/>
  <c r="BQ132" i="2"/>
  <c r="BR132" i="2" s="1"/>
  <c r="BK132" i="2"/>
  <c r="BL132" i="2" s="1"/>
  <c r="O132" i="2"/>
  <c r="P132" i="2" s="1"/>
  <c r="M132" i="2"/>
  <c r="L132" i="2"/>
  <c r="D132" i="2"/>
  <c r="C132" i="2"/>
  <c r="B132" i="2"/>
  <c r="A132" i="2"/>
  <c r="BQ131" i="2"/>
  <c r="BR131" i="2" s="1"/>
  <c r="M131" i="2"/>
  <c r="L131" i="2"/>
  <c r="D131" i="2"/>
  <c r="C131" i="2"/>
  <c r="B131" i="2"/>
  <c r="A131" i="2"/>
  <c r="EE130" i="2"/>
  <c r="BQ130" i="2"/>
  <c r="BR130" i="2" s="1"/>
  <c r="O130" i="2"/>
  <c r="P130" i="2" s="1"/>
  <c r="ED130" i="2" s="1"/>
  <c r="EF130" i="2" s="1"/>
  <c r="L130" i="2"/>
  <c r="D130" i="2"/>
  <c r="C130" i="2"/>
  <c r="B130" i="2"/>
  <c r="A130" i="2"/>
  <c r="BW129" i="2"/>
  <c r="BX129" i="2" s="1"/>
  <c r="BQ129" i="2"/>
  <c r="BR129" i="2" s="1"/>
  <c r="BK129" i="2"/>
  <c r="BL129" i="2" s="1"/>
  <c r="U129" i="2"/>
  <c r="V129" i="2" s="1"/>
  <c r="M129" i="2"/>
  <c r="L129" i="2"/>
  <c r="D129" i="2"/>
  <c r="C129" i="2"/>
  <c r="B129" i="2"/>
  <c r="A129" i="2"/>
  <c r="EE128" i="2"/>
  <c r="CC128" i="2"/>
  <c r="CD128" i="2" s="1"/>
  <c r="CD569" i="2" s="1"/>
  <c r="BW128" i="2"/>
  <c r="BX128" i="2" s="1"/>
  <c r="BQ128" i="2"/>
  <c r="BR128" i="2" s="1"/>
  <c r="BK128" i="2"/>
  <c r="BL128" i="2" s="1"/>
  <c r="ED128" i="2" s="1"/>
  <c r="EF128" i="2" s="1"/>
  <c r="D128" i="2"/>
  <c r="C128" i="2"/>
  <c r="B128" i="2"/>
  <c r="A128" i="2"/>
  <c r="EE127" i="2"/>
  <c r="BW127" i="2"/>
  <c r="BX127" i="2" s="1"/>
  <c r="BQ127" i="2"/>
  <c r="BR127" i="2" s="1"/>
  <c r="BK127" i="2"/>
  <c r="BL127" i="2" s="1"/>
  <c r="O127" i="2"/>
  <c r="P127" i="2" s="1"/>
  <c r="D127" i="2"/>
  <c r="C127" i="2"/>
  <c r="B127" i="2"/>
  <c r="A127" i="2"/>
  <c r="EE126" i="2"/>
  <c r="BW126" i="2"/>
  <c r="BX126" i="2" s="1"/>
  <c r="BQ126" i="2"/>
  <c r="BR126" i="2" s="1"/>
  <c r="BK126" i="2"/>
  <c r="BL126" i="2" s="1"/>
  <c r="O126" i="2"/>
  <c r="P126" i="2" s="1"/>
  <c r="D126" i="2"/>
  <c r="C126" i="2"/>
  <c r="B126" i="2"/>
  <c r="A126" i="2"/>
  <c r="EE125" i="2"/>
  <c r="BW125" i="2"/>
  <c r="BX125" i="2" s="1"/>
  <c r="BQ125" i="2"/>
  <c r="BR125" i="2" s="1"/>
  <c r="BK125" i="2"/>
  <c r="BL125" i="2" s="1"/>
  <c r="O125" i="2"/>
  <c r="P125" i="2" s="1"/>
  <c r="D125" i="2"/>
  <c r="C125" i="2"/>
  <c r="B125" i="2"/>
  <c r="A125" i="2"/>
  <c r="EE124" i="2"/>
  <c r="BW124" i="2"/>
  <c r="BX124" i="2" s="1"/>
  <c r="BQ124" i="2"/>
  <c r="BR124" i="2" s="1"/>
  <c r="BK124" i="2"/>
  <c r="BL124" i="2" s="1"/>
  <c r="O124" i="2"/>
  <c r="P124" i="2" s="1"/>
  <c r="ED124" i="2" s="1"/>
  <c r="EF124" i="2" s="1"/>
  <c r="D124" i="2"/>
  <c r="C124" i="2"/>
  <c r="B124" i="2"/>
  <c r="A124" i="2"/>
  <c r="EE123" i="2"/>
  <c r="BW123" i="2"/>
  <c r="BX123" i="2" s="1"/>
  <c r="BQ123" i="2"/>
  <c r="BR123" i="2" s="1"/>
  <c r="BK123" i="2"/>
  <c r="BL123" i="2" s="1"/>
  <c r="ED123" i="2" s="1"/>
  <c r="EF123" i="2" s="1"/>
  <c r="D123" i="2"/>
  <c r="C123" i="2"/>
  <c r="B123" i="2"/>
  <c r="A123" i="2"/>
  <c r="BW122" i="2"/>
  <c r="BX122" i="2" s="1"/>
  <c r="BQ122" i="2"/>
  <c r="BR122" i="2" s="1"/>
  <c r="BK122" i="2"/>
  <c r="BL122" i="2" s="1"/>
  <c r="O122" i="2"/>
  <c r="P122" i="2" s="1"/>
  <c r="M122" i="2"/>
  <c r="L122" i="2"/>
  <c r="D122" i="2"/>
  <c r="C122" i="2"/>
  <c r="B122" i="2"/>
  <c r="A122" i="2"/>
  <c r="M121" i="2"/>
  <c r="L121" i="2"/>
  <c r="D121" i="2"/>
  <c r="C121" i="2"/>
  <c r="B121" i="2"/>
  <c r="A121" i="2"/>
  <c r="M120" i="2"/>
  <c r="L120" i="2"/>
  <c r="D120" i="2"/>
  <c r="C120" i="2"/>
  <c r="B120" i="2"/>
  <c r="A120" i="2"/>
  <c r="AM119" i="2"/>
  <c r="AN119" i="2" s="1"/>
  <c r="M119" i="2"/>
  <c r="L119" i="2"/>
  <c r="D119" i="2"/>
  <c r="C119" i="2"/>
  <c r="B119" i="2"/>
  <c r="A119" i="2"/>
  <c r="AM118" i="2"/>
  <c r="AN118" i="2" s="1"/>
  <c r="M118" i="2"/>
  <c r="L118" i="2"/>
  <c r="D118" i="2"/>
  <c r="C118" i="2"/>
  <c r="B118" i="2"/>
  <c r="A118" i="2"/>
  <c r="AM117" i="2"/>
  <c r="AN117" i="2" s="1"/>
  <c r="M117" i="2"/>
  <c r="L117" i="2"/>
  <c r="D117" i="2"/>
  <c r="C117" i="2"/>
  <c r="B117" i="2"/>
  <c r="A117" i="2"/>
  <c r="BW116" i="2"/>
  <c r="BX116" i="2" s="1"/>
  <c r="BK116" i="2"/>
  <c r="BL116" i="2" s="1"/>
  <c r="O116" i="2"/>
  <c r="P116" i="2" s="1"/>
  <c r="M116" i="2"/>
  <c r="L116" i="2"/>
  <c r="D116" i="2"/>
  <c r="C116" i="2"/>
  <c r="B116" i="2"/>
  <c r="A116" i="2"/>
  <c r="BW115" i="2"/>
  <c r="BX115" i="2" s="1"/>
  <c r="BQ115" i="2"/>
  <c r="BR115" i="2" s="1"/>
  <c r="BK115" i="2"/>
  <c r="BL115" i="2" s="1"/>
  <c r="O115" i="2"/>
  <c r="P115" i="2" s="1"/>
  <c r="M115" i="2"/>
  <c r="L115" i="2"/>
  <c r="D115" i="2"/>
  <c r="C115" i="2"/>
  <c r="B115" i="2"/>
  <c r="A115" i="2"/>
  <c r="BW114" i="2"/>
  <c r="BX114" i="2" s="1"/>
  <c r="BQ114" i="2"/>
  <c r="BR114" i="2" s="1"/>
  <c r="BK114" i="2"/>
  <c r="BL114" i="2" s="1"/>
  <c r="M114" i="2"/>
  <c r="L114" i="2"/>
  <c r="D114" i="2"/>
  <c r="C114" i="2"/>
  <c r="B114" i="2"/>
  <c r="A114" i="2"/>
  <c r="BW113" i="2"/>
  <c r="BX113" i="2" s="1"/>
  <c r="BQ113" i="2"/>
  <c r="BR113" i="2" s="1"/>
  <c r="BK113" i="2"/>
  <c r="BL113" i="2" s="1"/>
  <c r="AM113" i="2"/>
  <c r="AN113" i="2" s="1"/>
  <c r="O113" i="2"/>
  <c r="P113" i="2" s="1"/>
  <c r="M113" i="2"/>
  <c r="L113" i="2"/>
  <c r="D113" i="2"/>
  <c r="C113" i="2"/>
  <c r="B113" i="2"/>
  <c r="A113" i="2"/>
  <c r="BW112" i="2"/>
  <c r="BX112" i="2" s="1"/>
  <c r="BQ112" i="2"/>
  <c r="BR112" i="2" s="1"/>
  <c r="BK112" i="2"/>
  <c r="BL112" i="2" s="1"/>
  <c r="AS112" i="2"/>
  <c r="AT112" i="2" s="1"/>
  <c r="O112" i="2"/>
  <c r="P112" i="2" s="1"/>
  <c r="M112" i="2"/>
  <c r="L112" i="2"/>
  <c r="D112" i="2"/>
  <c r="C112" i="2"/>
  <c r="B112" i="2"/>
  <c r="A112" i="2"/>
  <c r="BW111" i="2"/>
  <c r="BX111" i="2" s="1"/>
  <c r="BQ111" i="2"/>
  <c r="BR111" i="2" s="1"/>
  <c r="BK111" i="2"/>
  <c r="BL111" i="2" s="1"/>
  <c r="O111" i="2"/>
  <c r="P111" i="2" s="1"/>
  <c r="M111" i="2"/>
  <c r="L111" i="2"/>
  <c r="D111" i="2"/>
  <c r="C111" i="2"/>
  <c r="B111" i="2"/>
  <c r="A111" i="2"/>
  <c r="BW110" i="2"/>
  <c r="BX110" i="2" s="1"/>
  <c r="BQ110" i="2"/>
  <c r="BR110" i="2" s="1"/>
  <c r="BK110" i="2"/>
  <c r="BL110" i="2" s="1"/>
  <c r="AS110" i="2"/>
  <c r="AT110" i="2" s="1"/>
  <c r="AM110" i="2"/>
  <c r="AN110" i="2" s="1"/>
  <c r="O110" i="2"/>
  <c r="P110" i="2" s="1"/>
  <c r="M110" i="2"/>
  <c r="L110" i="2"/>
  <c r="D110" i="2"/>
  <c r="C110" i="2"/>
  <c r="B110" i="2"/>
  <c r="A110" i="2"/>
  <c r="BW109" i="2"/>
  <c r="BX109" i="2" s="1"/>
  <c r="BQ109" i="2"/>
  <c r="BR109" i="2" s="1"/>
  <c r="BK109" i="2"/>
  <c r="BL109" i="2" s="1"/>
  <c r="AS109" i="2"/>
  <c r="AT109" i="2" s="1"/>
  <c r="AM109" i="2"/>
  <c r="AN109" i="2" s="1"/>
  <c r="M109" i="2"/>
  <c r="L109" i="2"/>
  <c r="D109" i="2"/>
  <c r="C109" i="2"/>
  <c r="B109" i="2"/>
  <c r="A109" i="2"/>
  <c r="EE108" i="2"/>
  <c r="BW108" i="2"/>
  <c r="BX108" i="2" s="1"/>
  <c r="BK108" i="2"/>
  <c r="BL108" i="2" s="1"/>
  <c r="O108" i="2"/>
  <c r="P108" i="2" s="1"/>
  <c r="D108" i="2"/>
  <c r="C108" i="2"/>
  <c r="B108" i="2"/>
  <c r="A108" i="2"/>
  <c r="BW107" i="2"/>
  <c r="BX107" i="2" s="1"/>
  <c r="BQ107" i="2"/>
  <c r="BR107" i="2" s="1"/>
  <c r="BK107" i="2"/>
  <c r="BL107" i="2" s="1"/>
  <c r="O107" i="2"/>
  <c r="P107" i="2" s="1"/>
  <c r="M107" i="2"/>
  <c r="L107" i="2"/>
  <c r="D107" i="2"/>
  <c r="C107" i="2"/>
  <c r="B107" i="2"/>
  <c r="A107" i="2"/>
  <c r="EE106" i="2"/>
  <c r="BW106" i="2"/>
  <c r="BX106" i="2" s="1"/>
  <c r="BQ106" i="2"/>
  <c r="BR106" i="2" s="1"/>
  <c r="BK106" i="2"/>
  <c r="BL106" i="2" s="1"/>
  <c r="O106" i="2"/>
  <c r="P106" i="2" s="1"/>
  <c r="D106" i="2"/>
  <c r="C106" i="2"/>
  <c r="B106" i="2"/>
  <c r="A106" i="2"/>
  <c r="BQ105" i="2"/>
  <c r="BR105" i="2" s="1"/>
  <c r="U105" i="2"/>
  <c r="V105" i="2" s="1"/>
  <c r="O105" i="2"/>
  <c r="P105" i="2" s="1"/>
  <c r="M105" i="2"/>
  <c r="L105" i="2"/>
  <c r="D105" i="2"/>
  <c r="C105" i="2"/>
  <c r="B105" i="2"/>
  <c r="A105" i="2"/>
  <c r="BW104" i="2"/>
  <c r="BX104" i="2" s="1"/>
  <c r="BQ104" i="2"/>
  <c r="BR104" i="2" s="1"/>
  <c r="BK104" i="2"/>
  <c r="BL104" i="2" s="1"/>
  <c r="AA104" i="2"/>
  <c r="AB104" i="2" s="1"/>
  <c r="U104" i="2"/>
  <c r="V104" i="2" s="1"/>
  <c r="O104" i="2"/>
  <c r="P104" i="2" s="1"/>
  <c r="M104" i="2"/>
  <c r="L104" i="2"/>
  <c r="D104" i="2"/>
  <c r="C104" i="2"/>
  <c r="B104" i="2"/>
  <c r="A104" i="2"/>
  <c r="BQ103" i="2"/>
  <c r="BR103" i="2" s="1"/>
  <c r="M103" i="2"/>
  <c r="L103" i="2"/>
  <c r="D103" i="2"/>
  <c r="C103" i="2"/>
  <c r="B103" i="2"/>
  <c r="A103" i="2"/>
  <c r="BQ102" i="2"/>
  <c r="BR102" i="2" s="1"/>
  <c r="O102" i="2"/>
  <c r="P102" i="2" s="1"/>
  <c r="M102" i="2"/>
  <c r="L102" i="2"/>
  <c r="D102" i="2"/>
  <c r="C102" i="2"/>
  <c r="B102" i="2"/>
  <c r="A102" i="2"/>
  <c r="EE101" i="2"/>
  <c r="BQ101" i="2"/>
  <c r="BR101" i="2" s="1"/>
  <c r="ED101" i="2" s="1"/>
  <c r="D101" i="2"/>
  <c r="C101" i="2"/>
  <c r="B101" i="2"/>
  <c r="A101" i="2"/>
  <c r="EE100" i="2"/>
  <c r="BQ100" i="2"/>
  <c r="BR100" i="2" s="1"/>
  <c r="O100" i="2"/>
  <c r="P100" i="2" s="1"/>
  <c r="ED100" i="2" s="1"/>
  <c r="D100" i="2"/>
  <c r="C100" i="2"/>
  <c r="B100" i="2"/>
  <c r="A100" i="2"/>
  <c r="EE99" i="2"/>
  <c r="BQ99" i="2"/>
  <c r="BR99" i="2" s="1"/>
  <c r="O99" i="2"/>
  <c r="P99" i="2" s="1"/>
  <c r="D99" i="2"/>
  <c r="C99" i="2"/>
  <c r="B99" i="2"/>
  <c r="A99" i="2"/>
  <c r="EE98" i="2"/>
  <c r="BQ98" i="2"/>
  <c r="BR98" i="2" s="1"/>
  <c r="ED98" i="2" s="1"/>
  <c r="D98" i="2"/>
  <c r="C98" i="2"/>
  <c r="B98" i="2"/>
  <c r="A98" i="2"/>
  <c r="EE97" i="2"/>
  <c r="BQ97" i="2"/>
  <c r="BR97" i="2" s="1"/>
  <c r="O97" i="2"/>
  <c r="P97" i="2" s="1"/>
  <c r="ED97" i="2" s="1"/>
  <c r="D97" i="2"/>
  <c r="C97" i="2"/>
  <c r="B97" i="2"/>
  <c r="A97" i="2"/>
  <c r="EE96" i="2"/>
  <c r="BW96" i="2"/>
  <c r="BX96" i="2" s="1"/>
  <c r="BQ96" i="2"/>
  <c r="BR96" i="2" s="1"/>
  <c r="BK96" i="2"/>
  <c r="BL96" i="2" s="1"/>
  <c r="O96" i="2"/>
  <c r="P96" i="2" s="1"/>
  <c r="D96" i="2"/>
  <c r="C96" i="2"/>
  <c r="B96" i="2"/>
  <c r="A96" i="2"/>
  <c r="EE95" i="2"/>
  <c r="BW95" i="2"/>
  <c r="BX95" i="2" s="1"/>
  <c r="BQ95" i="2"/>
  <c r="BR95" i="2" s="1"/>
  <c r="BK95" i="2"/>
  <c r="BL95" i="2" s="1"/>
  <c r="O95" i="2"/>
  <c r="P95" i="2" s="1"/>
  <c r="ED95" i="2" s="1"/>
  <c r="EF95" i="2" s="1"/>
  <c r="D95" i="2"/>
  <c r="C95" i="2"/>
  <c r="B95" i="2"/>
  <c r="A95" i="2"/>
  <c r="EE94" i="2"/>
  <c r="BQ94" i="2"/>
  <c r="BR94" i="2" s="1"/>
  <c r="O94" i="2"/>
  <c r="P94" i="2" s="1"/>
  <c r="D94" i="2"/>
  <c r="C94" i="2"/>
  <c r="B94" i="2"/>
  <c r="A94" i="2"/>
  <c r="BQ93" i="2"/>
  <c r="BR93" i="2" s="1"/>
  <c r="M93" i="2"/>
  <c r="L93" i="2"/>
  <c r="D93" i="2"/>
  <c r="C93" i="2"/>
  <c r="B93" i="2"/>
  <c r="A93" i="2"/>
  <c r="EE92" i="2"/>
  <c r="BQ92" i="2"/>
  <c r="BR92" i="2" s="1"/>
  <c r="ED92" i="2" s="1"/>
  <c r="EF92" i="2" s="1"/>
  <c r="L92" i="2"/>
  <c r="D92" i="2"/>
  <c r="C92" i="2"/>
  <c r="B92" i="2"/>
  <c r="A92" i="2"/>
  <c r="EE91" i="2"/>
  <c r="BQ91" i="2"/>
  <c r="BR91" i="2" s="1"/>
  <c r="BK91" i="2"/>
  <c r="BL91" i="2" s="1"/>
  <c r="AS91" i="2"/>
  <c r="AT91" i="2" s="1"/>
  <c r="D91" i="2"/>
  <c r="C91" i="2"/>
  <c r="B91" i="2"/>
  <c r="A91" i="2"/>
  <c r="EE90" i="2"/>
  <c r="BQ90" i="2"/>
  <c r="BR90" i="2" s="1"/>
  <c r="O90" i="2"/>
  <c r="P90" i="2" s="1"/>
  <c r="ED90" i="2" s="1"/>
  <c r="EF90" i="2" s="1"/>
  <c r="D90" i="2"/>
  <c r="C90" i="2"/>
  <c r="B90" i="2"/>
  <c r="A90" i="2"/>
  <c r="BP89" i="2"/>
  <c r="O89" i="2"/>
  <c r="P89" i="2" s="1"/>
  <c r="L89" i="2"/>
  <c r="D89" i="2"/>
  <c r="C89" i="2"/>
  <c r="B89" i="2"/>
  <c r="A89" i="2"/>
  <c r="BP88" i="2"/>
  <c r="BQ88" i="2" s="1"/>
  <c r="BR88" i="2" s="1"/>
  <c r="U88" i="2"/>
  <c r="V88" i="2" s="1"/>
  <c r="O88" i="2"/>
  <c r="P88" i="2" s="1"/>
  <c r="M88" i="2"/>
  <c r="L88" i="2"/>
  <c r="D88" i="2"/>
  <c r="C88" i="2"/>
  <c r="B88" i="2"/>
  <c r="A88" i="2"/>
  <c r="BQ87" i="2"/>
  <c r="BR87" i="2" s="1"/>
  <c r="U87" i="2"/>
  <c r="V87" i="2" s="1"/>
  <c r="O87" i="2"/>
  <c r="P87" i="2" s="1"/>
  <c r="M87" i="2"/>
  <c r="L87" i="2"/>
  <c r="D87" i="2"/>
  <c r="C87" i="2"/>
  <c r="B87" i="2"/>
  <c r="A87" i="2"/>
  <c r="BQ86" i="2"/>
  <c r="BR86" i="2" s="1"/>
  <c r="O86" i="2"/>
  <c r="P86" i="2" s="1"/>
  <c r="M86" i="2"/>
  <c r="L86" i="2"/>
  <c r="D86" i="2"/>
  <c r="C86" i="2"/>
  <c r="B86" i="2"/>
  <c r="A86" i="2"/>
  <c r="EE85" i="2"/>
  <c r="BQ85" i="2"/>
  <c r="BR85" i="2" s="1"/>
  <c r="O85" i="2"/>
  <c r="P85" i="2" s="1"/>
  <c r="ED85" i="2" s="1"/>
  <c r="EF85" i="2" s="1"/>
  <c r="D85" i="2"/>
  <c r="C85" i="2"/>
  <c r="B85" i="2"/>
  <c r="A85" i="2"/>
  <c r="EE84" i="2"/>
  <c r="BQ84" i="2"/>
  <c r="BR84" i="2" s="1"/>
  <c r="O84" i="2"/>
  <c r="P84" i="2" s="1"/>
  <c r="D84" i="2"/>
  <c r="C84" i="2"/>
  <c r="B84" i="2"/>
  <c r="A84" i="2"/>
  <c r="EE83" i="2"/>
  <c r="BQ83" i="2"/>
  <c r="BR83" i="2" s="1"/>
  <c r="ED83" i="2" s="1"/>
  <c r="D83" i="2"/>
  <c r="C83" i="2"/>
  <c r="B83" i="2"/>
  <c r="A83" i="2"/>
  <c r="BQ82" i="2"/>
  <c r="BR82" i="2" s="1"/>
  <c r="M82" i="2"/>
  <c r="L82" i="2"/>
  <c r="D82" i="2"/>
  <c r="C82" i="2"/>
  <c r="B82" i="2"/>
  <c r="A82" i="2"/>
  <c r="EE81" i="2"/>
  <c r="BW81" i="2"/>
  <c r="BX81" i="2" s="1"/>
  <c r="BQ81" i="2"/>
  <c r="BR81" i="2" s="1"/>
  <c r="BK81" i="2"/>
  <c r="BL81" i="2" s="1"/>
  <c r="O81" i="2"/>
  <c r="P81" i="2" s="1"/>
  <c r="D81" i="2"/>
  <c r="C81" i="2"/>
  <c r="B81" i="2"/>
  <c r="A81" i="2"/>
  <c r="BW80" i="2"/>
  <c r="BX80" i="2" s="1"/>
  <c r="BQ80" i="2"/>
  <c r="BR80" i="2" s="1"/>
  <c r="BK80" i="2"/>
  <c r="BL80" i="2" s="1"/>
  <c r="O80" i="2"/>
  <c r="P80" i="2" s="1"/>
  <c r="M80" i="2"/>
  <c r="L80" i="2"/>
  <c r="D80" i="2"/>
  <c r="C80" i="2"/>
  <c r="B80" i="2"/>
  <c r="A80" i="2"/>
  <c r="BW79" i="2"/>
  <c r="BX79" i="2" s="1"/>
  <c r="BQ79" i="2"/>
  <c r="BR79" i="2" s="1"/>
  <c r="BK79" i="2"/>
  <c r="BL79" i="2" s="1"/>
  <c r="O79" i="2"/>
  <c r="P79" i="2" s="1"/>
  <c r="M79" i="2"/>
  <c r="L79" i="2"/>
  <c r="D79" i="2"/>
  <c r="C79" i="2"/>
  <c r="B79" i="2"/>
  <c r="A79" i="2"/>
  <c r="EE78" i="2"/>
  <c r="BQ78" i="2"/>
  <c r="BR78" i="2" s="1"/>
  <c r="O78" i="2"/>
  <c r="P78" i="2" s="1"/>
  <c r="ED78" i="2" s="1"/>
  <c r="EF78" i="2" s="1"/>
  <c r="L78" i="2"/>
  <c r="D78" i="2"/>
  <c r="C78" i="2"/>
  <c r="B78" i="2"/>
  <c r="A78" i="2"/>
  <c r="EE77" i="2"/>
  <c r="BQ77" i="2"/>
  <c r="BR77" i="2" s="1"/>
  <c r="O77" i="2"/>
  <c r="P77" i="2" s="1"/>
  <c r="ED77" i="2" s="1"/>
  <c r="EF77" i="2" s="1"/>
  <c r="L77" i="2"/>
  <c r="D77" i="2"/>
  <c r="C77" i="2"/>
  <c r="B77" i="2"/>
  <c r="A77" i="2"/>
  <c r="EE76" i="2"/>
  <c r="BW76" i="2"/>
  <c r="BX76" i="2" s="1"/>
  <c r="BQ76" i="2"/>
  <c r="BR76" i="2" s="1"/>
  <c r="BK76" i="2"/>
  <c r="BL76" i="2" s="1"/>
  <c r="O76" i="2"/>
  <c r="P76" i="2" s="1"/>
  <c r="D76" i="2"/>
  <c r="C76" i="2"/>
  <c r="B76" i="2"/>
  <c r="A76" i="2"/>
  <c r="BQ75" i="2"/>
  <c r="BR75" i="2" s="1"/>
  <c r="O75" i="2"/>
  <c r="P75" i="2" s="1"/>
  <c r="M75" i="2"/>
  <c r="L75" i="2"/>
  <c r="D75" i="2"/>
  <c r="C75" i="2"/>
  <c r="B75" i="2"/>
  <c r="A75" i="2"/>
  <c r="BQ74" i="2"/>
  <c r="BR74" i="2" s="1"/>
  <c r="O74" i="2"/>
  <c r="P74" i="2" s="1"/>
  <c r="M74" i="2"/>
  <c r="L74" i="2"/>
  <c r="D74" i="2"/>
  <c r="C74" i="2"/>
  <c r="B74" i="2"/>
  <c r="A74" i="2"/>
  <c r="BQ73" i="2"/>
  <c r="BR73" i="2" s="1"/>
  <c r="O73" i="2"/>
  <c r="P73" i="2" s="1"/>
  <c r="M73" i="2"/>
  <c r="L73" i="2"/>
  <c r="D73" i="2"/>
  <c r="C73" i="2"/>
  <c r="B73" i="2"/>
  <c r="A73" i="2"/>
  <c r="BW72" i="2"/>
  <c r="BX72" i="2" s="1"/>
  <c r="BQ72" i="2"/>
  <c r="BR72" i="2" s="1"/>
  <c r="BK72" i="2"/>
  <c r="BL72" i="2" s="1"/>
  <c r="U72" i="2"/>
  <c r="V72" i="2" s="1"/>
  <c r="O72" i="2"/>
  <c r="P72" i="2" s="1"/>
  <c r="M72" i="2"/>
  <c r="L72" i="2"/>
  <c r="D72" i="2"/>
  <c r="C72" i="2"/>
  <c r="B72" i="2"/>
  <c r="A72" i="2"/>
  <c r="BW71" i="2"/>
  <c r="BX71" i="2" s="1"/>
  <c r="BQ71" i="2"/>
  <c r="BR71" i="2" s="1"/>
  <c r="BK71" i="2"/>
  <c r="BL71" i="2" s="1"/>
  <c r="O71" i="2"/>
  <c r="P71" i="2" s="1"/>
  <c r="M71" i="2"/>
  <c r="L71" i="2"/>
  <c r="D71" i="2"/>
  <c r="C71" i="2"/>
  <c r="B71" i="2"/>
  <c r="A71" i="2"/>
  <c r="BW70" i="2"/>
  <c r="BX70" i="2" s="1"/>
  <c r="BQ70" i="2"/>
  <c r="BR70" i="2" s="1"/>
  <c r="BK70" i="2"/>
  <c r="BL70" i="2" s="1"/>
  <c r="O70" i="2"/>
  <c r="P70" i="2" s="1"/>
  <c r="M70" i="2"/>
  <c r="L70" i="2"/>
  <c r="D70" i="2"/>
  <c r="C70" i="2"/>
  <c r="B70" i="2"/>
  <c r="A70" i="2"/>
  <c r="BQ69" i="2"/>
  <c r="BR69" i="2" s="1"/>
  <c r="M69" i="2"/>
  <c r="L69" i="2"/>
  <c r="D69" i="2"/>
  <c r="C69" i="2"/>
  <c r="B69" i="2"/>
  <c r="A69" i="2"/>
  <c r="EE68" i="2"/>
  <c r="BQ68" i="2"/>
  <c r="BR68" i="2" s="1"/>
  <c r="ED68" i="2" s="1"/>
  <c r="EF68" i="2" s="1"/>
  <c r="L68" i="2"/>
  <c r="D68" i="2"/>
  <c r="C68" i="2"/>
  <c r="B68" i="2"/>
  <c r="A68" i="2"/>
  <c r="EE67" i="2"/>
  <c r="BQ67" i="2"/>
  <c r="BR67" i="2" s="1"/>
  <c r="O67" i="2"/>
  <c r="P67" i="2" s="1"/>
  <c r="ED67" i="2" s="1"/>
  <c r="L67" i="2"/>
  <c r="D67" i="2"/>
  <c r="C67" i="2"/>
  <c r="B67" i="2"/>
  <c r="A67" i="2"/>
  <c r="BQ66" i="2"/>
  <c r="BR66" i="2" s="1"/>
  <c r="O66" i="2"/>
  <c r="P66" i="2" s="1"/>
  <c r="M66" i="2"/>
  <c r="L66" i="2"/>
  <c r="D66" i="2"/>
  <c r="C66" i="2"/>
  <c r="B66" i="2"/>
  <c r="A66" i="2"/>
  <c r="BQ65" i="2"/>
  <c r="BR65" i="2" s="1"/>
  <c r="O65" i="2"/>
  <c r="P65" i="2" s="1"/>
  <c r="M65" i="2"/>
  <c r="L65" i="2"/>
  <c r="D65" i="2"/>
  <c r="C65" i="2"/>
  <c r="B65" i="2"/>
  <c r="A65" i="2"/>
  <c r="BQ64" i="2"/>
  <c r="BR64" i="2" s="1"/>
  <c r="O64" i="2"/>
  <c r="P64" i="2" s="1"/>
  <c r="M64" i="2"/>
  <c r="L64" i="2"/>
  <c r="D64" i="2"/>
  <c r="C64" i="2"/>
  <c r="B64" i="2"/>
  <c r="A64" i="2"/>
  <c r="BQ63" i="2"/>
  <c r="BR63" i="2" s="1"/>
  <c r="O63" i="2"/>
  <c r="P63" i="2" s="1"/>
  <c r="M63" i="2"/>
  <c r="L63" i="2"/>
  <c r="D63" i="2"/>
  <c r="C63" i="2"/>
  <c r="B63" i="2"/>
  <c r="A63" i="2"/>
  <c r="BQ62" i="2"/>
  <c r="BR62" i="2" s="1"/>
  <c r="O62" i="2"/>
  <c r="P62" i="2" s="1"/>
  <c r="M62" i="2"/>
  <c r="L62" i="2"/>
  <c r="D62" i="2"/>
  <c r="C62" i="2"/>
  <c r="B62" i="2"/>
  <c r="A62" i="2"/>
  <c r="BQ61" i="2"/>
  <c r="BR61" i="2" s="1"/>
  <c r="AL61" i="2"/>
  <c r="O61" i="2"/>
  <c r="P61" i="2" s="1"/>
  <c r="M61" i="2"/>
  <c r="L61" i="2"/>
  <c r="D61" i="2"/>
  <c r="C61" i="2"/>
  <c r="B61" i="2"/>
  <c r="A61" i="2"/>
  <c r="BW60" i="2"/>
  <c r="BX60" i="2" s="1"/>
  <c r="BQ60" i="2"/>
  <c r="BR60" i="2" s="1"/>
  <c r="BK60" i="2"/>
  <c r="BL60" i="2" s="1"/>
  <c r="AL60" i="2"/>
  <c r="O60" i="2"/>
  <c r="P60" i="2" s="1"/>
  <c r="M60" i="2"/>
  <c r="L60" i="2"/>
  <c r="D60" i="2"/>
  <c r="C60" i="2"/>
  <c r="B60" i="2"/>
  <c r="A60" i="2"/>
  <c r="BQ59" i="2"/>
  <c r="BR59" i="2" s="1"/>
  <c r="AL59" i="2"/>
  <c r="M59" i="2"/>
  <c r="L59" i="2"/>
  <c r="D59" i="2"/>
  <c r="C59" i="2"/>
  <c r="B59" i="2"/>
  <c r="A59" i="2"/>
  <c r="BQ58" i="2"/>
  <c r="BR58" i="2" s="1"/>
  <c r="BK58" i="2"/>
  <c r="BL58" i="2" s="1"/>
  <c r="O58" i="2"/>
  <c r="P58" i="2" s="1"/>
  <c r="M58" i="2"/>
  <c r="L58" i="2"/>
  <c r="D58" i="2"/>
  <c r="C58" i="2"/>
  <c r="B58" i="2"/>
  <c r="A58" i="2"/>
  <c r="BQ57" i="2"/>
  <c r="BR57" i="2" s="1"/>
  <c r="BK57" i="2"/>
  <c r="BL57" i="2" s="1"/>
  <c r="O57" i="2"/>
  <c r="P57" i="2" s="1"/>
  <c r="M57" i="2"/>
  <c r="L57" i="2"/>
  <c r="D57" i="2"/>
  <c r="C57" i="2"/>
  <c r="B57" i="2"/>
  <c r="A57" i="2"/>
  <c r="BQ56" i="2"/>
  <c r="BR56" i="2" s="1"/>
  <c r="BJ56" i="2"/>
  <c r="AL56" i="2"/>
  <c r="O56" i="2"/>
  <c r="P56" i="2" s="1"/>
  <c r="M56" i="2"/>
  <c r="L56" i="2"/>
  <c r="D56" i="2"/>
  <c r="C56" i="2"/>
  <c r="B56" i="2"/>
  <c r="A56" i="2"/>
  <c r="BQ55" i="2"/>
  <c r="BR55" i="2" s="1"/>
  <c r="BK55" i="2"/>
  <c r="BL55" i="2" s="1"/>
  <c r="O55" i="2"/>
  <c r="P55" i="2" s="1"/>
  <c r="M55" i="2"/>
  <c r="L55" i="2"/>
  <c r="D55" i="2"/>
  <c r="C55" i="2"/>
  <c r="B55" i="2"/>
  <c r="A55" i="2"/>
  <c r="BQ54" i="2"/>
  <c r="BR54" i="2" s="1"/>
  <c r="O54" i="2"/>
  <c r="P54" i="2" s="1"/>
  <c r="M54" i="2"/>
  <c r="L54" i="2"/>
  <c r="D54" i="2"/>
  <c r="C54" i="2"/>
  <c r="B54" i="2"/>
  <c r="A54" i="2"/>
  <c r="EE53" i="2"/>
  <c r="BW53" i="2"/>
  <c r="BX53" i="2" s="1"/>
  <c r="BQ53" i="2"/>
  <c r="BR53" i="2" s="1"/>
  <c r="BK53" i="2"/>
  <c r="BL53" i="2" s="1"/>
  <c r="O53" i="2"/>
  <c r="P53" i="2" s="1"/>
  <c r="D53" i="2"/>
  <c r="C53" i="2"/>
  <c r="B53" i="2"/>
  <c r="A53" i="2"/>
  <c r="EE52" i="2"/>
  <c r="BQ52" i="2"/>
  <c r="BR52" i="2" s="1"/>
  <c r="O52" i="2"/>
  <c r="P52" i="2" s="1"/>
  <c r="ED52" i="2" s="1"/>
  <c r="EF52" i="2" s="1"/>
  <c r="L52" i="2"/>
  <c r="D52" i="2"/>
  <c r="C52" i="2"/>
  <c r="B52" i="2"/>
  <c r="A52" i="2"/>
  <c r="EE51" i="2"/>
  <c r="BW51" i="2"/>
  <c r="BX51" i="2" s="1"/>
  <c r="BQ51" i="2"/>
  <c r="BR51" i="2" s="1"/>
  <c r="BK51" i="2"/>
  <c r="BL51" i="2" s="1"/>
  <c r="O51" i="2"/>
  <c r="P51" i="2" s="1"/>
  <c r="D51" i="2"/>
  <c r="C51" i="2"/>
  <c r="B51" i="2"/>
  <c r="A51" i="2"/>
  <c r="EE50" i="2"/>
  <c r="BW50" i="2"/>
  <c r="BX50" i="2" s="1"/>
  <c r="BQ50" i="2"/>
  <c r="BR50" i="2" s="1"/>
  <c r="BK50" i="2"/>
  <c r="BL50" i="2" s="1"/>
  <c r="O50" i="2"/>
  <c r="P50" i="2" s="1"/>
  <c r="D50" i="2"/>
  <c r="C50" i="2"/>
  <c r="B50" i="2"/>
  <c r="A50" i="2"/>
  <c r="EE49" i="2"/>
  <c r="BW49" i="2"/>
  <c r="BX49" i="2" s="1"/>
  <c r="BQ49" i="2"/>
  <c r="BR49" i="2" s="1"/>
  <c r="BK49" i="2"/>
  <c r="BL49" i="2" s="1"/>
  <c r="O49" i="2"/>
  <c r="P49" i="2" s="1"/>
  <c r="ED49" i="2" s="1"/>
  <c r="EF49" i="2" s="1"/>
  <c r="L49" i="2"/>
  <c r="D49" i="2"/>
  <c r="C49" i="2"/>
  <c r="B49" i="2"/>
  <c r="A49" i="2"/>
  <c r="EE48" i="2"/>
  <c r="BW48" i="2"/>
  <c r="BX48" i="2" s="1"/>
  <c r="BQ48" i="2"/>
  <c r="BR48" i="2" s="1"/>
  <c r="BK48" i="2"/>
  <c r="BL48" i="2" s="1"/>
  <c r="O48" i="2"/>
  <c r="P48" i="2" s="1"/>
  <c r="L48" i="2"/>
  <c r="D48" i="2"/>
  <c r="C48" i="2"/>
  <c r="B48" i="2"/>
  <c r="A48" i="2"/>
  <c r="BW47" i="2"/>
  <c r="BX47" i="2" s="1"/>
  <c r="BQ47" i="2"/>
  <c r="BR47" i="2" s="1"/>
  <c r="BK47" i="2"/>
  <c r="BL47" i="2" s="1"/>
  <c r="U47" i="2"/>
  <c r="V47" i="2" s="1"/>
  <c r="O47" i="2"/>
  <c r="P47" i="2" s="1"/>
  <c r="M47" i="2"/>
  <c r="L47" i="2"/>
  <c r="D47" i="2"/>
  <c r="C47" i="2"/>
  <c r="B47" i="2"/>
  <c r="A47" i="2"/>
  <c r="BW46" i="2"/>
  <c r="BX46" i="2" s="1"/>
  <c r="BQ46" i="2"/>
  <c r="BR46" i="2" s="1"/>
  <c r="BK46" i="2"/>
  <c r="BL46" i="2" s="1"/>
  <c r="O46" i="2"/>
  <c r="P46" i="2" s="1"/>
  <c r="M46" i="2"/>
  <c r="L46" i="2"/>
  <c r="D46" i="2"/>
  <c r="C46" i="2"/>
  <c r="B46" i="2"/>
  <c r="A46" i="2"/>
  <c r="BW45" i="2"/>
  <c r="BX45" i="2" s="1"/>
  <c r="BQ45" i="2"/>
  <c r="BR45" i="2" s="1"/>
  <c r="BK45" i="2"/>
  <c r="BL45" i="2" s="1"/>
  <c r="O45" i="2"/>
  <c r="P45" i="2" s="1"/>
  <c r="M45" i="2"/>
  <c r="L45" i="2"/>
  <c r="D45" i="2"/>
  <c r="C45" i="2"/>
  <c r="B45" i="2"/>
  <c r="A45" i="2"/>
  <c r="BW44" i="2"/>
  <c r="BX44" i="2" s="1"/>
  <c r="BQ44" i="2"/>
  <c r="BR44" i="2" s="1"/>
  <c r="BK44" i="2"/>
  <c r="BL44" i="2" s="1"/>
  <c r="U44" i="2"/>
  <c r="V44" i="2" s="1"/>
  <c r="O44" i="2"/>
  <c r="P44" i="2" s="1"/>
  <c r="M44" i="2"/>
  <c r="L44" i="2"/>
  <c r="D44" i="2"/>
  <c r="C44" i="2"/>
  <c r="B44" i="2"/>
  <c r="A44" i="2"/>
  <c r="BW43" i="2"/>
  <c r="BX43" i="2" s="1"/>
  <c r="BQ43" i="2"/>
  <c r="BR43" i="2" s="1"/>
  <c r="BK43" i="2"/>
  <c r="BL43" i="2" s="1"/>
  <c r="U43" i="2"/>
  <c r="V43" i="2" s="1"/>
  <c r="O43" i="2"/>
  <c r="P43" i="2" s="1"/>
  <c r="M43" i="2"/>
  <c r="L43" i="2"/>
  <c r="D43" i="2"/>
  <c r="C43" i="2"/>
  <c r="B43" i="2"/>
  <c r="A43" i="2"/>
  <c r="EE42" i="2"/>
  <c r="BQ42" i="2"/>
  <c r="BR42" i="2" s="1"/>
  <c r="O42" i="2"/>
  <c r="P42" i="2" s="1"/>
  <c r="D42" i="2"/>
  <c r="C42" i="2"/>
  <c r="B42" i="2"/>
  <c r="A42" i="2"/>
  <c r="EE41" i="2"/>
  <c r="BW41" i="2"/>
  <c r="BX41" i="2" s="1"/>
  <c r="BQ41" i="2"/>
  <c r="BR41" i="2" s="1"/>
  <c r="BK41" i="2"/>
  <c r="BL41" i="2" s="1"/>
  <c r="O41" i="2"/>
  <c r="P41" i="2" s="1"/>
  <c r="ED41" i="2" s="1"/>
  <c r="EF41" i="2" s="1"/>
  <c r="D41" i="2"/>
  <c r="C41" i="2"/>
  <c r="B41" i="2"/>
  <c r="A41" i="2"/>
  <c r="EE40" i="2"/>
  <c r="BW40" i="2"/>
  <c r="BX40" i="2" s="1"/>
  <c r="BQ40" i="2"/>
  <c r="BR40" i="2" s="1"/>
  <c r="BK40" i="2"/>
  <c r="BL40" i="2" s="1"/>
  <c r="O40" i="2"/>
  <c r="P40" i="2" s="1"/>
  <c r="D40" i="2"/>
  <c r="C40" i="2"/>
  <c r="B40" i="2"/>
  <c r="A40" i="2"/>
  <c r="EE39" i="2"/>
  <c r="BQ39" i="2"/>
  <c r="BR39" i="2" s="1"/>
  <c r="O39" i="2"/>
  <c r="P39" i="2" s="1"/>
  <c r="ED39" i="2" s="1"/>
  <c r="EF39" i="2" s="1"/>
  <c r="L39" i="2"/>
  <c r="D39" i="2"/>
  <c r="C39" i="2"/>
  <c r="B39" i="2"/>
  <c r="A39" i="2"/>
  <c r="BW38" i="2"/>
  <c r="BX38" i="2" s="1"/>
  <c r="BQ38" i="2"/>
  <c r="BR38" i="2" s="1"/>
  <c r="BK38" i="2"/>
  <c r="BL38" i="2" s="1"/>
  <c r="AG38" i="2"/>
  <c r="AH38" i="2" s="1"/>
  <c r="M38" i="2"/>
  <c r="L38" i="2"/>
  <c r="D38" i="2"/>
  <c r="C38" i="2"/>
  <c r="B38" i="2"/>
  <c r="A38" i="2"/>
  <c r="BW37" i="2"/>
  <c r="BX37" i="2" s="1"/>
  <c r="BQ37" i="2"/>
  <c r="BR37" i="2" s="1"/>
  <c r="BK37" i="2"/>
  <c r="BL37" i="2" s="1"/>
  <c r="AG37" i="2"/>
  <c r="AH37" i="2" s="1"/>
  <c r="M37" i="2"/>
  <c r="L37" i="2"/>
  <c r="D37" i="2"/>
  <c r="C37" i="2"/>
  <c r="B37" i="2"/>
  <c r="A37" i="2"/>
  <c r="EE36" i="2"/>
  <c r="BW36" i="2"/>
  <c r="BX36" i="2" s="1"/>
  <c r="BQ36" i="2"/>
  <c r="BR36" i="2" s="1"/>
  <c r="BK36" i="2"/>
  <c r="BL36" i="2" s="1"/>
  <c r="AG36" i="2"/>
  <c r="AH36" i="2" s="1"/>
  <c r="U36" i="2"/>
  <c r="V36" i="2" s="1"/>
  <c r="O36" i="2"/>
  <c r="P36" i="2" s="1"/>
  <c r="ED36" i="2" s="1"/>
  <c r="EF36" i="2" s="1"/>
  <c r="D36" i="2"/>
  <c r="C36" i="2"/>
  <c r="B36" i="2"/>
  <c r="A36" i="2"/>
  <c r="EE35" i="2"/>
  <c r="BW35" i="2"/>
  <c r="BX35" i="2" s="1"/>
  <c r="BQ35" i="2"/>
  <c r="BR35" i="2" s="1"/>
  <c r="BK35" i="2"/>
  <c r="BL35" i="2" s="1"/>
  <c r="AG35" i="2"/>
  <c r="AH35" i="2" s="1"/>
  <c r="D35" i="2"/>
  <c r="C35" i="2"/>
  <c r="B35" i="2"/>
  <c r="A35" i="2"/>
  <c r="EE34" i="2"/>
  <c r="BW34" i="2"/>
  <c r="BX34" i="2" s="1"/>
  <c r="BQ34" i="2"/>
  <c r="BR34" i="2" s="1"/>
  <c r="BK34" i="2"/>
  <c r="BL34" i="2" s="1"/>
  <c r="AG34" i="2"/>
  <c r="AH34" i="2" s="1"/>
  <c r="O34" i="2"/>
  <c r="P34" i="2" s="1"/>
  <c r="D34" i="2"/>
  <c r="C34" i="2"/>
  <c r="B34" i="2"/>
  <c r="A34" i="2"/>
  <c r="BW33" i="2"/>
  <c r="BX33" i="2" s="1"/>
  <c r="BQ33" i="2"/>
  <c r="BR33" i="2" s="1"/>
  <c r="BK33" i="2"/>
  <c r="BL33" i="2" s="1"/>
  <c r="AG33" i="2"/>
  <c r="AH33" i="2" s="1"/>
  <c r="O33" i="2"/>
  <c r="P33" i="2" s="1"/>
  <c r="M33" i="2"/>
  <c r="L33" i="2"/>
  <c r="D33" i="2"/>
  <c r="C33" i="2"/>
  <c r="B33" i="2"/>
  <c r="A33" i="2"/>
  <c r="BW32" i="2"/>
  <c r="BX32" i="2" s="1"/>
  <c r="BQ32" i="2"/>
  <c r="BR32" i="2" s="1"/>
  <c r="BK32" i="2"/>
  <c r="BL32" i="2" s="1"/>
  <c r="AG32" i="2"/>
  <c r="AH32" i="2" s="1"/>
  <c r="O32" i="2"/>
  <c r="P32" i="2" s="1"/>
  <c r="M32" i="2"/>
  <c r="L32" i="2"/>
  <c r="D32" i="2"/>
  <c r="C32" i="2"/>
  <c r="B32" i="2"/>
  <c r="A32" i="2"/>
  <c r="EE31" i="2"/>
  <c r="BW31" i="2"/>
  <c r="BX31" i="2" s="1"/>
  <c r="BQ31" i="2"/>
  <c r="BR31" i="2" s="1"/>
  <c r="BK31" i="2"/>
  <c r="BL31" i="2" s="1"/>
  <c r="AG31" i="2"/>
  <c r="AH31" i="2" s="1"/>
  <c r="U31" i="2"/>
  <c r="V31" i="2" s="1"/>
  <c r="O31" i="2"/>
  <c r="P31" i="2" s="1"/>
  <c r="ED31" i="2" s="1"/>
  <c r="EF31" i="2" s="1"/>
  <c r="D31" i="2"/>
  <c r="C31" i="2"/>
  <c r="B31" i="2"/>
  <c r="A31" i="2"/>
  <c r="EE30" i="2"/>
  <c r="BW30" i="2"/>
  <c r="BX30" i="2" s="1"/>
  <c r="BQ30" i="2"/>
  <c r="BR30" i="2" s="1"/>
  <c r="BK30" i="2"/>
  <c r="BL30" i="2" s="1"/>
  <c r="AG30" i="2"/>
  <c r="AH30" i="2" s="1"/>
  <c r="O30" i="2"/>
  <c r="P30" i="2" s="1"/>
  <c r="D30" i="2"/>
  <c r="C30" i="2"/>
  <c r="B30" i="2"/>
  <c r="A30" i="2"/>
  <c r="EE29" i="2"/>
  <c r="BQ29" i="2"/>
  <c r="BR29" i="2" s="1"/>
  <c r="AS29" i="2"/>
  <c r="AT29" i="2" s="1"/>
  <c r="O29" i="2"/>
  <c r="P29" i="2" s="1"/>
  <c r="D29" i="2"/>
  <c r="C29" i="2"/>
  <c r="B29" i="2"/>
  <c r="A29" i="2"/>
  <c r="EE28" i="2"/>
  <c r="BQ28" i="2"/>
  <c r="BR28" i="2" s="1"/>
  <c r="AS28" i="2"/>
  <c r="AT28" i="2" s="1"/>
  <c r="O28" i="2"/>
  <c r="P28" i="2" s="1"/>
  <c r="D28" i="2"/>
  <c r="C28" i="2"/>
  <c r="B28" i="2"/>
  <c r="A28" i="2"/>
  <c r="BW27" i="2"/>
  <c r="BX27" i="2" s="1"/>
  <c r="BQ27" i="2"/>
  <c r="BR27" i="2" s="1"/>
  <c r="BK27" i="2"/>
  <c r="BL27" i="2" s="1"/>
  <c r="O27" i="2"/>
  <c r="P27" i="2" s="1"/>
  <c r="M27" i="2"/>
  <c r="L27" i="2"/>
  <c r="D27" i="2"/>
  <c r="C27" i="2"/>
  <c r="B27" i="2"/>
  <c r="A27" i="2"/>
  <c r="BW26" i="2"/>
  <c r="BX26" i="2" s="1"/>
  <c r="BQ26" i="2"/>
  <c r="BR26" i="2" s="1"/>
  <c r="BK26" i="2"/>
  <c r="BL26" i="2" s="1"/>
  <c r="AA26" i="2"/>
  <c r="AB26" i="2" s="1"/>
  <c r="O26" i="2"/>
  <c r="P26" i="2" s="1"/>
  <c r="M26" i="2"/>
  <c r="L26" i="2"/>
  <c r="D26" i="2"/>
  <c r="C26" i="2"/>
  <c r="B26" i="2"/>
  <c r="A26" i="2"/>
  <c r="BQ25" i="2"/>
  <c r="BR25" i="2" s="1"/>
  <c r="O25" i="2"/>
  <c r="P25" i="2" s="1"/>
  <c r="M25" i="2"/>
  <c r="L25" i="2"/>
  <c r="D25" i="2"/>
  <c r="C25" i="2"/>
  <c r="B25" i="2"/>
  <c r="A25" i="2"/>
  <c r="BW24" i="2"/>
  <c r="BX24" i="2" s="1"/>
  <c r="BQ24" i="2"/>
  <c r="BR24" i="2" s="1"/>
  <c r="BK24" i="2"/>
  <c r="BL24" i="2" s="1"/>
  <c r="U24" i="2"/>
  <c r="V24" i="2" s="1"/>
  <c r="O24" i="2"/>
  <c r="P24" i="2" s="1"/>
  <c r="M24" i="2"/>
  <c r="L24" i="2"/>
  <c r="D24" i="2"/>
  <c r="C24" i="2"/>
  <c r="B24" i="2"/>
  <c r="A24" i="2"/>
  <c r="BV23" i="2"/>
  <c r="BQ23" i="2"/>
  <c r="BR23" i="2" s="1"/>
  <c r="BJ23" i="2"/>
  <c r="U23" i="2"/>
  <c r="V23" i="2" s="1"/>
  <c r="O23" i="2"/>
  <c r="P23" i="2" s="1"/>
  <c r="M23" i="2"/>
  <c r="L23" i="2"/>
  <c r="D23" i="2"/>
  <c r="C23" i="2"/>
  <c r="B23" i="2"/>
  <c r="A23" i="2"/>
  <c r="BW22" i="2"/>
  <c r="BX22" i="2" s="1"/>
  <c r="BQ22" i="2"/>
  <c r="BR22" i="2" s="1"/>
  <c r="BK22" i="2"/>
  <c r="BL22" i="2" s="1"/>
  <c r="U22" i="2"/>
  <c r="V22" i="2" s="1"/>
  <c r="O22" i="2"/>
  <c r="P22" i="2" s="1"/>
  <c r="M22" i="2"/>
  <c r="L22" i="2"/>
  <c r="D22" i="2"/>
  <c r="C22" i="2"/>
  <c r="B22" i="2"/>
  <c r="A22" i="2"/>
  <c r="BW21" i="2"/>
  <c r="BX21" i="2" s="1"/>
  <c r="BQ21" i="2"/>
  <c r="BR21" i="2" s="1"/>
  <c r="BJ21" i="2"/>
  <c r="O21" i="2"/>
  <c r="P21" i="2" s="1"/>
  <c r="M21" i="2"/>
  <c r="L21" i="2"/>
  <c r="D21" i="2"/>
  <c r="C21" i="2"/>
  <c r="B21" i="2"/>
  <c r="A21" i="2"/>
  <c r="EE20" i="2"/>
  <c r="BQ20" i="2"/>
  <c r="BR20" i="2" s="1"/>
  <c r="BK20" i="2"/>
  <c r="BL20" i="2" s="1"/>
  <c r="O20" i="2"/>
  <c r="P20" i="2" s="1"/>
  <c r="L20" i="2"/>
  <c r="D20" i="2"/>
  <c r="C20" i="2"/>
  <c r="B20" i="2"/>
  <c r="A20" i="2"/>
  <c r="CU19" i="2"/>
  <c r="CV19" i="2" s="1"/>
  <c r="BJ19" i="2"/>
  <c r="O19" i="2"/>
  <c r="P19" i="2" s="1"/>
  <c r="D19" i="2"/>
  <c r="C19" i="2"/>
  <c r="B19" i="2"/>
  <c r="A19" i="2"/>
  <c r="BW18" i="2"/>
  <c r="BX18" i="2" s="1"/>
  <c r="BK18" i="2"/>
  <c r="BL18" i="2" s="1"/>
  <c r="AG18" i="2"/>
  <c r="AH18" i="2" s="1"/>
  <c r="O18" i="2"/>
  <c r="P18" i="2" s="1"/>
  <c r="M18" i="2"/>
  <c r="L18" i="2"/>
  <c r="D18" i="2"/>
  <c r="C18" i="2"/>
  <c r="B18" i="2"/>
  <c r="A18" i="2"/>
  <c r="BW17" i="2"/>
  <c r="BX17" i="2" s="1"/>
  <c r="BK17" i="2"/>
  <c r="BL17" i="2" s="1"/>
  <c r="AG17" i="2"/>
  <c r="AH17" i="2" s="1"/>
  <c r="O17" i="2"/>
  <c r="P17" i="2" s="1"/>
  <c r="M17" i="2"/>
  <c r="L17" i="2"/>
  <c r="D17" i="2"/>
  <c r="C17" i="2"/>
  <c r="B17" i="2"/>
  <c r="A17" i="2"/>
  <c r="EE16" i="2"/>
  <c r="BQ16" i="2"/>
  <c r="BR16" i="2" s="1"/>
  <c r="O16" i="2"/>
  <c r="P16" i="2" s="1"/>
  <c r="L16" i="2"/>
  <c r="D16" i="2"/>
  <c r="C16" i="2"/>
  <c r="B16" i="2"/>
  <c r="A16" i="2"/>
  <c r="EE15" i="2"/>
  <c r="BW15" i="2"/>
  <c r="BX15" i="2" s="1"/>
  <c r="BR15" i="2"/>
  <c r="BK15" i="2"/>
  <c r="BL15" i="2" s="1"/>
  <c r="O15" i="2"/>
  <c r="P15" i="2" s="1"/>
  <c r="L15" i="2"/>
  <c r="D15" i="2"/>
  <c r="C15" i="2"/>
  <c r="B15" i="2"/>
  <c r="A15" i="2"/>
  <c r="BW14" i="2"/>
  <c r="BX14" i="2" s="1"/>
  <c r="BK14" i="2"/>
  <c r="BL14" i="2" s="1"/>
  <c r="O14" i="2"/>
  <c r="P14" i="2" s="1"/>
  <c r="M14" i="2"/>
  <c r="L14" i="2"/>
  <c r="D14" i="2"/>
  <c r="C14" i="2"/>
  <c r="B14" i="2"/>
  <c r="A14" i="2"/>
  <c r="BW13" i="2"/>
  <c r="BX13" i="2" s="1"/>
  <c r="BQ13" i="2"/>
  <c r="BR13" i="2" s="1"/>
  <c r="BK13" i="2"/>
  <c r="BL13" i="2" s="1"/>
  <c r="AS13" i="2"/>
  <c r="AT13" i="2" s="1"/>
  <c r="O13" i="2"/>
  <c r="P13" i="2" s="1"/>
  <c r="M13" i="2"/>
  <c r="L13" i="2"/>
  <c r="D13" i="2"/>
  <c r="C13" i="2"/>
  <c r="B13" i="2"/>
  <c r="A13" i="2"/>
  <c r="BW12" i="2"/>
  <c r="BX12" i="2" s="1"/>
  <c r="BQ12" i="2"/>
  <c r="BR12" i="2" s="1"/>
  <c r="BK12" i="2"/>
  <c r="BL12" i="2" s="1"/>
  <c r="AS12" i="2"/>
  <c r="AT12" i="2" s="1"/>
  <c r="O12" i="2"/>
  <c r="P12" i="2" s="1"/>
  <c r="M12" i="2"/>
  <c r="L12" i="2"/>
  <c r="D12" i="2"/>
  <c r="C12" i="2"/>
  <c r="B12" i="2"/>
  <c r="A12" i="2"/>
  <c r="BW11" i="2"/>
  <c r="BX11" i="2" s="1"/>
  <c r="BQ11" i="2"/>
  <c r="BR11" i="2" s="1"/>
  <c r="BK11" i="2"/>
  <c r="BL11" i="2" s="1"/>
  <c r="AS11" i="2"/>
  <c r="AT11" i="2" s="1"/>
  <c r="O11" i="2"/>
  <c r="P11" i="2" s="1"/>
  <c r="M11" i="2"/>
  <c r="L11" i="2"/>
  <c r="D11" i="2"/>
  <c r="C11" i="2"/>
  <c r="B11" i="2"/>
  <c r="A11" i="2"/>
  <c r="BW10" i="2"/>
  <c r="BX10" i="2" s="1"/>
  <c r="BK10" i="2"/>
  <c r="BL10" i="2" s="1"/>
  <c r="O10" i="2"/>
  <c r="P10" i="2" s="1"/>
  <c r="M10" i="2"/>
  <c r="L10" i="2"/>
  <c r="D10" i="2"/>
  <c r="C10" i="2"/>
  <c r="B10" i="2"/>
  <c r="A10" i="2"/>
  <c r="BW9" i="2"/>
  <c r="BX9" i="2" s="1"/>
  <c r="BK9" i="2"/>
  <c r="BL9" i="2" s="1"/>
  <c r="O9" i="2"/>
  <c r="P9" i="2" s="1"/>
  <c r="M9" i="2"/>
  <c r="L9" i="2"/>
  <c r="D9" i="2"/>
  <c r="C9" i="2"/>
  <c r="B9" i="2"/>
  <c r="A9" i="2"/>
  <c r="BW8" i="2"/>
  <c r="BX8" i="2" s="1"/>
  <c r="BK8" i="2"/>
  <c r="BL8" i="2" s="1"/>
  <c r="O8" i="2"/>
  <c r="P8" i="2" s="1"/>
  <c r="M8" i="2"/>
  <c r="L8" i="2"/>
  <c r="D8" i="2"/>
  <c r="C8" i="2"/>
  <c r="B8" i="2"/>
  <c r="A8" i="2"/>
  <c r="BW7" i="2"/>
  <c r="BX7" i="2" s="1"/>
  <c r="BK7" i="2"/>
  <c r="BL7" i="2" s="1"/>
  <c r="O7" i="2"/>
  <c r="P7" i="2" s="1"/>
  <c r="M7" i="2"/>
  <c r="L7" i="2"/>
  <c r="D7" i="2"/>
  <c r="C7" i="2"/>
  <c r="B7" i="2"/>
  <c r="A7" i="2"/>
  <c r="BW6" i="2"/>
  <c r="BX6" i="2" s="1"/>
  <c r="BK6" i="2"/>
  <c r="BL6" i="2" s="1"/>
  <c r="O6" i="2"/>
  <c r="P6" i="2" s="1"/>
  <c r="M6" i="2"/>
  <c r="L6" i="2"/>
  <c r="D6" i="2"/>
  <c r="C6" i="2"/>
  <c r="B6" i="2"/>
  <c r="A6" i="2"/>
  <c r="BW5" i="2"/>
  <c r="BX5" i="2" s="1"/>
  <c r="BQ5" i="2"/>
  <c r="BR5" i="2" s="1"/>
  <c r="BK5" i="2"/>
  <c r="BL5" i="2" s="1"/>
  <c r="BE5" i="2"/>
  <c r="BF5" i="2" s="1"/>
  <c r="AY5" i="2"/>
  <c r="AZ5" i="2" s="1"/>
  <c r="M5" i="2"/>
  <c r="L5" i="2"/>
  <c r="D5" i="2"/>
  <c r="C5" i="2"/>
  <c r="B5" i="2"/>
  <c r="A5" i="2"/>
  <c r="EE4" i="2"/>
  <c r="BW4" i="2"/>
  <c r="BX4" i="2" s="1"/>
  <c r="BK4" i="2"/>
  <c r="BL4" i="2" s="1"/>
  <c r="AY4" i="2"/>
  <c r="AZ4" i="2" s="1"/>
  <c r="AA4" i="2"/>
  <c r="AB4" i="2" s="1"/>
  <c r="L4" i="2"/>
  <c r="D4" i="2"/>
  <c r="C4" i="2"/>
  <c r="B4" i="2"/>
  <c r="A4" i="2"/>
  <c r="EE3" i="2"/>
  <c r="BW3" i="2"/>
  <c r="BX3" i="2" s="1"/>
  <c r="BK3" i="2"/>
  <c r="BL3" i="2" s="1"/>
  <c r="AY3" i="2"/>
  <c r="AZ3" i="2" s="1"/>
  <c r="L3" i="2"/>
  <c r="D3" i="2"/>
  <c r="C3" i="2"/>
  <c r="B3" i="2"/>
  <c r="A3" i="2"/>
  <c r="BC501" i="4"/>
  <c r="BD501" i="4" s="1"/>
  <c r="BC500" i="4"/>
  <c r="BD500" i="4" s="1"/>
  <c r="BC499" i="4"/>
  <c r="BD499" i="4" s="1"/>
  <c r="BC498" i="4"/>
  <c r="BD498" i="4" s="1"/>
  <c r="BC497" i="4"/>
  <c r="BD497" i="4" s="1"/>
  <c r="BC496" i="4"/>
  <c r="BD496" i="4" s="1"/>
  <c r="BC495" i="4"/>
  <c r="BD495" i="4" s="1"/>
  <c r="BC494" i="4"/>
  <c r="BD494" i="4" s="1"/>
  <c r="BC493" i="4"/>
  <c r="BD493" i="4" s="1"/>
  <c r="BC492" i="4"/>
  <c r="BD492" i="4" s="1"/>
  <c r="BC491" i="4"/>
  <c r="BD491" i="4" s="1"/>
  <c r="BC490" i="4"/>
  <c r="BD490" i="4" s="1"/>
  <c r="BC489" i="4"/>
  <c r="BD489" i="4" s="1"/>
  <c r="BC488" i="4"/>
  <c r="BD488" i="4" s="1"/>
  <c r="BC487" i="4"/>
  <c r="BD487" i="4" s="1"/>
  <c r="BC486" i="4"/>
  <c r="BD486" i="4" s="1"/>
  <c r="BC485" i="4"/>
  <c r="BD485" i="4" s="1"/>
  <c r="BC484" i="4"/>
  <c r="BD484" i="4" s="1"/>
  <c r="BC483" i="4"/>
  <c r="BD483" i="4" s="1"/>
  <c r="BC482" i="4"/>
  <c r="BD482" i="4" s="1"/>
  <c r="BC481" i="4"/>
  <c r="BD481" i="4" s="1"/>
  <c r="BC480" i="4"/>
  <c r="BD480" i="4" s="1"/>
  <c r="BC479" i="4"/>
  <c r="BD479" i="4" s="1"/>
  <c r="BC478" i="4"/>
  <c r="BD478" i="4" s="1"/>
  <c r="BC477" i="4"/>
  <c r="BD477" i="4" s="1"/>
  <c r="BC476" i="4"/>
  <c r="BD476" i="4" s="1"/>
  <c r="BC475" i="4"/>
  <c r="BD475" i="4" s="1"/>
  <c r="BC474" i="4"/>
  <c r="BD474" i="4" s="1"/>
  <c r="BC473" i="4"/>
  <c r="BD473" i="4" s="1"/>
  <c r="BC472" i="4"/>
  <c r="BD472" i="4" s="1"/>
  <c r="BC471" i="4"/>
  <c r="BD471" i="4" s="1"/>
  <c r="BC470" i="4"/>
  <c r="BD470" i="4" s="1"/>
  <c r="BC469" i="4"/>
  <c r="BD469" i="4" s="1"/>
  <c r="BC468" i="4"/>
  <c r="BD468" i="4" s="1"/>
  <c r="BC467" i="4"/>
  <c r="BD467" i="4" s="1"/>
  <c r="BC466" i="4"/>
  <c r="BD466" i="4" s="1"/>
  <c r="BC465" i="4"/>
  <c r="BD465" i="4" s="1"/>
  <c r="BC464" i="4"/>
  <c r="BD464" i="4" s="1"/>
  <c r="BC463" i="4"/>
  <c r="BD463" i="4" s="1"/>
  <c r="BC462" i="4"/>
  <c r="BD462" i="4" s="1"/>
  <c r="BC461" i="4"/>
  <c r="BD461" i="4" s="1"/>
  <c r="BC460" i="4"/>
  <c r="BD460" i="4" s="1"/>
  <c r="BC459" i="4"/>
  <c r="BD459" i="4" s="1"/>
  <c r="BC458" i="4"/>
  <c r="BD458" i="4" s="1"/>
  <c r="BC457" i="4"/>
  <c r="BD457" i="4" s="1"/>
  <c r="BC456" i="4"/>
  <c r="BD456" i="4" s="1"/>
  <c r="BC455" i="4"/>
  <c r="BD455" i="4" s="1"/>
  <c r="BC454" i="4"/>
  <c r="BD454" i="4" s="1"/>
  <c r="BC453" i="4"/>
  <c r="BD453" i="4" s="1"/>
  <c r="BC452" i="4"/>
  <c r="BD452" i="4" s="1"/>
  <c r="BC451" i="4"/>
  <c r="BD451" i="4" s="1"/>
  <c r="BC450" i="4"/>
  <c r="BD450" i="4" s="1"/>
  <c r="BC449" i="4"/>
  <c r="BD449" i="4" s="1"/>
  <c r="BC448" i="4"/>
  <c r="BD448" i="4" s="1"/>
  <c r="BC447" i="4"/>
  <c r="BD447" i="4" s="1"/>
  <c r="BC446" i="4"/>
  <c r="BD446" i="4" s="1"/>
  <c r="BC445" i="4"/>
  <c r="BD445" i="4" s="1"/>
  <c r="BC444" i="4"/>
  <c r="BD444" i="4" s="1"/>
  <c r="BC443" i="4"/>
  <c r="BD443" i="4" s="1"/>
  <c r="BC442" i="4"/>
  <c r="BD442" i="4" s="1"/>
  <c r="BC441" i="4"/>
  <c r="BD441" i="4" s="1"/>
  <c r="BC440" i="4"/>
  <c r="BD440" i="4" s="1"/>
  <c r="BC439" i="4"/>
  <c r="BD439" i="4" s="1"/>
  <c r="BC438" i="4"/>
  <c r="BD438" i="4" s="1"/>
  <c r="BC437" i="4"/>
  <c r="BD437" i="4" s="1"/>
  <c r="BC436" i="4"/>
  <c r="BD436" i="4" s="1"/>
  <c r="BC435" i="4"/>
  <c r="BD435" i="4" s="1"/>
  <c r="BC434" i="4"/>
  <c r="BD434" i="4" s="1"/>
  <c r="BC433" i="4"/>
  <c r="BD433" i="4" s="1"/>
  <c r="BC432" i="4"/>
  <c r="BD432" i="4" s="1"/>
  <c r="BC431" i="4"/>
  <c r="BD431" i="4" s="1"/>
  <c r="BC430" i="4"/>
  <c r="BD430" i="4" s="1"/>
  <c r="BC429" i="4"/>
  <c r="BD429" i="4" s="1"/>
  <c r="BC428" i="4"/>
  <c r="BD428" i="4" s="1"/>
  <c r="BC427" i="4"/>
  <c r="BD427" i="4" s="1"/>
  <c r="BC426" i="4"/>
  <c r="BD426" i="4" s="1"/>
  <c r="BC425" i="4"/>
  <c r="BD425" i="4" s="1"/>
  <c r="BC424" i="4"/>
  <c r="BD424" i="4" s="1"/>
  <c r="BC423" i="4"/>
  <c r="BD423" i="4" s="1"/>
  <c r="BC422" i="4"/>
  <c r="BD422" i="4" s="1"/>
  <c r="BC421" i="4"/>
  <c r="BD421" i="4" s="1"/>
  <c r="BC420" i="4"/>
  <c r="BD420" i="4" s="1"/>
  <c r="BC419" i="4"/>
  <c r="BD419" i="4" s="1"/>
  <c r="BC418" i="4"/>
  <c r="BD418" i="4" s="1"/>
  <c r="BC417" i="4"/>
  <c r="BD417" i="4" s="1"/>
  <c r="BC416" i="4"/>
  <c r="BD416" i="4" s="1"/>
  <c r="BC415" i="4"/>
  <c r="BD415" i="4" s="1"/>
  <c r="BC414" i="4"/>
  <c r="BD414" i="4" s="1"/>
  <c r="BC413" i="4"/>
  <c r="BD413" i="4" s="1"/>
  <c r="BC412" i="4"/>
  <c r="BD412" i="4" s="1"/>
  <c r="BC411" i="4"/>
  <c r="BD411" i="4" s="1"/>
  <c r="BC410" i="4"/>
  <c r="BD410" i="4" s="1"/>
  <c r="BC409" i="4"/>
  <c r="BD409" i="4" s="1"/>
  <c r="BC408" i="4"/>
  <c r="BD408" i="4" s="1"/>
  <c r="BC407" i="4"/>
  <c r="BD407" i="4" s="1"/>
  <c r="BC406" i="4"/>
  <c r="BD406" i="4" s="1"/>
  <c r="BC405" i="4"/>
  <c r="BD405" i="4" s="1"/>
  <c r="BC404" i="4"/>
  <c r="BD404" i="4" s="1"/>
  <c r="BC403" i="4"/>
  <c r="BD403" i="4" s="1"/>
  <c r="BC402" i="4"/>
  <c r="BD402" i="4" s="1"/>
  <c r="BC401" i="4"/>
  <c r="BD401" i="4" s="1"/>
  <c r="BC400" i="4"/>
  <c r="BD400" i="4" s="1"/>
  <c r="BC399" i="4"/>
  <c r="BD399" i="4" s="1"/>
  <c r="BC398" i="4"/>
  <c r="BD398" i="4" s="1"/>
  <c r="BC397" i="4"/>
  <c r="BD397" i="4" s="1"/>
  <c r="BC396" i="4"/>
  <c r="BD396" i="4" s="1"/>
  <c r="BC395" i="4"/>
  <c r="BD395" i="4" s="1"/>
  <c r="BC394" i="4"/>
  <c r="BD394" i="4" s="1"/>
  <c r="BC393" i="4"/>
  <c r="BD393" i="4" s="1"/>
  <c r="BC392" i="4"/>
  <c r="BD392" i="4" s="1"/>
  <c r="BC391" i="4"/>
  <c r="BD391" i="4" s="1"/>
  <c r="BC390" i="4"/>
  <c r="BD390" i="4" s="1"/>
  <c r="BC389" i="4"/>
  <c r="BD389" i="4" s="1"/>
  <c r="BC388" i="4"/>
  <c r="BD388" i="4" s="1"/>
  <c r="BC387" i="4"/>
  <c r="BD387" i="4" s="1"/>
  <c r="BC386" i="4"/>
  <c r="BD386" i="4" s="1"/>
  <c r="BC385" i="4"/>
  <c r="BD385" i="4" s="1"/>
  <c r="BC384" i="4"/>
  <c r="BD384" i="4" s="1"/>
  <c r="BC383" i="4"/>
  <c r="BD383" i="4" s="1"/>
  <c r="BC382" i="4"/>
  <c r="BD382" i="4" s="1"/>
  <c r="BC381" i="4"/>
  <c r="BD381" i="4" s="1"/>
  <c r="BC380" i="4"/>
  <c r="BD380" i="4" s="1"/>
  <c r="BC379" i="4"/>
  <c r="BD379" i="4" s="1"/>
  <c r="BC378" i="4"/>
  <c r="BD378" i="4" s="1"/>
  <c r="BC377" i="4"/>
  <c r="BD377" i="4" s="1"/>
  <c r="BC376" i="4"/>
  <c r="BD376" i="4" s="1"/>
  <c r="BC375" i="4"/>
  <c r="BD375" i="4" s="1"/>
  <c r="BC374" i="4"/>
  <c r="BD374" i="4" s="1"/>
  <c r="BC373" i="4"/>
  <c r="BD373" i="4" s="1"/>
  <c r="BC372" i="4"/>
  <c r="BD372" i="4" s="1"/>
  <c r="BC371" i="4"/>
  <c r="BD371" i="4" s="1"/>
  <c r="BC370" i="4"/>
  <c r="BD370" i="4" s="1"/>
  <c r="BC369" i="4"/>
  <c r="BD369" i="4" s="1"/>
  <c r="BC368" i="4"/>
  <c r="BD368" i="4" s="1"/>
  <c r="BC367" i="4"/>
  <c r="BD367" i="4" s="1"/>
  <c r="BC366" i="4"/>
  <c r="BD366" i="4" s="1"/>
  <c r="BC365" i="4"/>
  <c r="BD365" i="4" s="1"/>
  <c r="BC364" i="4"/>
  <c r="BD364" i="4" s="1"/>
  <c r="BC363" i="4"/>
  <c r="BD363" i="4" s="1"/>
  <c r="BC362" i="4"/>
  <c r="BD362" i="4" s="1"/>
  <c r="BC361" i="4"/>
  <c r="BD361" i="4" s="1"/>
  <c r="BC360" i="4"/>
  <c r="BD360" i="4" s="1"/>
  <c r="BC359" i="4"/>
  <c r="BD359" i="4" s="1"/>
  <c r="BC358" i="4"/>
  <c r="BD358" i="4" s="1"/>
  <c r="BC357" i="4"/>
  <c r="BD357" i="4" s="1"/>
  <c r="BC356" i="4"/>
  <c r="BD356" i="4" s="1"/>
  <c r="BC355" i="4"/>
  <c r="BD355" i="4" s="1"/>
  <c r="BC354" i="4"/>
  <c r="BD354" i="4" s="1"/>
  <c r="BC353" i="4"/>
  <c r="BD353" i="4" s="1"/>
  <c r="BC352" i="4"/>
  <c r="BD352" i="4" s="1"/>
  <c r="BC351" i="4"/>
  <c r="BD351" i="4" s="1"/>
  <c r="BC350" i="4"/>
  <c r="BD350" i="4" s="1"/>
  <c r="BC349" i="4"/>
  <c r="BD349" i="4" s="1"/>
  <c r="BC348" i="4"/>
  <c r="BD348" i="4" s="1"/>
  <c r="BC347" i="4"/>
  <c r="BD347" i="4" s="1"/>
  <c r="BC346" i="4"/>
  <c r="BD346" i="4" s="1"/>
  <c r="BC345" i="4"/>
  <c r="BD345" i="4" s="1"/>
  <c r="BC344" i="4"/>
  <c r="BD344" i="4" s="1"/>
  <c r="BC343" i="4"/>
  <c r="BD343" i="4" s="1"/>
  <c r="BC342" i="4"/>
  <c r="BD342" i="4" s="1"/>
  <c r="BC341" i="4"/>
  <c r="BD341" i="4" s="1"/>
  <c r="BC340" i="4"/>
  <c r="BD340" i="4" s="1"/>
  <c r="BC339" i="4"/>
  <c r="BD339" i="4" s="1"/>
  <c r="BC338" i="4"/>
  <c r="BD338" i="4" s="1"/>
  <c r="BC337" i="4"/>
  <c r="BD337" i="4" s="1"/>
  <c r="BC336" i="4"/>
  <c r="BD336" i="4" s="1"/>
  <c r="BC335" i="4"/>
  <c r="BD335" i="4" s="1"/>
  <c r="BC334" i="4"/>
  <c r="BD334" i="4" s="1"/>
  <c r="BC333" i="4"/>
  <c r="BD333" i="4" s="1"/>
  <c r="BC332" i="4"/>
  <c r="BD332" i="4" s="1"/>
  <c r="BC331" i="4"/>
  <c r="BD331" i="4" s="1"/>
  <c r="BC330" i="4"/>
  <c r="BD330" i="4" s="1"/>
  <c r="BC329" i="4"/>
  <c r="BD329" i="4" s="1"/>
  <c r="BC328" i="4"/>
  <c r="BD328" i="4" s="1"/>
  <c r="BC327" i="4"/>
  <c r="BD327" i="4" s="1"/>
  <c r="BC326" i="4"/>
  <c r="BD326" i="4" s="1"/>
  <c r="BC325" i="4"/>
  <c r="BD325" i="4" s="1"/>
  <c r="BC324" i="4"/>
  <c r="BD324" i="4" s="1"/>
  <c r="BC323" i="4"/>
  <c r="BD323" i="4" s="1"/>
  <c r="BC322" i="4"/>
  <c r="BD322" i="4" s="1"/>
  <c r="BC321" i="4"/>
  <c r="BD321" i="4" s="1"/>
  <c r="BC320" i="4"/>
  <c r="BD320" i="4" s="1"/>
  <c r="BC319" i="4"/>
  <c r="BD319" i="4" s="1"/>
  <c r="BC318" i="4"/>
  <c r="BD318" i="4" s="1"/>
  <c r="BC317" i="4"/>
  <c r="BD317" i="4" s="1"/>
  <c r="BC316" i="4"/>
  <c r="BD316" i="4" s="1"/>
  <c r="BC315" i="4"/>
  <c r="BD315" i="4" s="1"/>
  <c r="BC314" i="4"/>
  <c r="BD314" i="4" s="1"/>
  <c r="BC313" i="4"/>
  <c r="BD313" i="4" s="1"/>
  <c r="BC312" i="4"/>
  <c r="BD312" i="4" s="1"/>
  <c r="BC311" i="4"/>
  <c r="BD311" i="4" s="1"/>
  <c r="BC310" i="4"/>
  <c r="BD310" i="4" s="1"/>
  <c r="BC309" i="4"/>
  <c r="BD309" i="4" s="1"/>
  <c r="BC308" i="4"/>
  <c r="BD308" i="4" s="1"/>
  <c r="BC307" i="4"/>
  <c r="BD307" i="4" s="1"/>
  <c r="BC306" i="4"/>
  <c r="BD306" i="4" s="1"/>
  <c r="BC305" i="4"/>
  <c r="BD305" i="4" s="1"/>
  <c r="BC304" i="4"/>
  <c r="BD304" i="4" s="1"/>
  <c r="BC303" i="4"/>
  <c r="BD303" i="4" s="1"/>
  <c r="BC302" i="4"/>
  <c r="BD302" i="4" s="1"/>
  <c r="BC301" i="4"/>
  <c r="BD301" i="4" s="1"/>
  <c r="BC300" i="4"/>
  <c r="BD300" i="4" s="1"/>
  <c r="BC299" i="4"/>
  <c r="BD299" i="4" s="1"/>
  <c r="BC298" i="4"/>
  <c r="BD298" i="4" s="1"/>
  <c r="BC297" i="4"/>
  <c r="BD297" i="4" s="1"/>
  <c r="BC296" i="4"/>
  <c r="BD296" i="4" s="1"/>
  <c r="BC295" i="4"/>
  <c r="BD295" i="4" s="1"/>
  <c r="BC294" i="4"/>
  <c r="BD294" i="4" s="1"/>
  <c r="BC293" i="4"/>
  <c r="BD293" i="4" s="1"/>
  <c r="BC292" i="4"/>
  <c r="BD292" i="4" s="1"/>
  <c r="BC291" i="4"/>
  <c r="BD291" i="4" s="1"/>
  <c r="BC290" i="4"/>
  <c r="BD290" i="4" s="1"/>
  <c r="BC289" i="4"/>
  <c r="BD289" i="4" s="1"/>
  <c r="BC288" i="4"/>
  <c r="BD288" i="4" s="1"/>
  <c r="BC287" i="4"/>
  <c r="BD287" i="4" s="1"/>
  <c r="BC286" i="4"/>
  <c r="BD286" i="4" s="1"/>
  <c r="BC285" i="4"/>
  <c r="BD285" i="4" s="1"/>
  <c r="BC284" i="4"/>
  <c r="BD284" i="4" s="1"/>
  <c r="BC283" i="4"/>
  <c r="BD283" i="4" s="1"/>
  <c r="BC282" i="4"/>
  <c r="BD282" i="4" s="1"/>
  <c r="BC281" i="4"/>
  <c r="BD281" i="4" s="1"/>
  <c r="BC280" i="4"/>
  <c r="BD280" i="4" s="1"/>
  <c r="BC279" i="4"/>
  <c r="BD279" i="4" s="1"/>
  <c r="BC278" i="4"/>
  <c r="BD278" i="4" s="1"/>
  <c r="BC277" i="4"/>
  <c r="BD277" i="4" s="1"/>
  <c r="BC276" i="4"/>
  <c r="BD276" i="4" s="1"/>
  <c r="BC275" i="4"/>
  <c r="BD275" i="4" s="1"/>
  <c r="BC274" i="4"/>
  <c r="BD274" i="4" s="1"/>
  <c r="BC273" i="4"/>
  <c r="BD273" i="4" s="1"/>
  <c r="BC272" i="4"/>
  <c r="BD272" i="4" s="1"/>
  <c r="BC271" i="4"/>
  <c r="BD271" i="4" s="1"/>
  <c r="BC270" i="4"/>
  <c r="BD270" i="4" s="1"/>
  <c r="BC269" i="4"/>
  <c r="BD269" i="4" s="1"/>
  <c r="BC268" i="4"/>
  <c r="BD268" i="4" s="1"/>
  <c r="BC267" i="4"/>
  <c r="BD267" i="4" s="1"/>
  <c r="BC266" i="4"/>
  <c r="BD266" i="4" s="1"/>
  <c r="BC265" i="4"/>
  <c r="BD265" i="4" s="1"/>
  <c r="BC264" i="4"/>
  <c r="BD264" i="4" s="1"/>
  <c r="BC263" i="4"/>
  <c r="BD263" i="4" s="1"/>
  <c r="BC262" i="4"/>
  <c r="BD262" i="4" s="1"/>
  <c r="BC261" i="4"/>
  <c r="BD261" i="4" s="1"/>
  <c r="BC260" i="4"/>
  <c r="BD260" i="4" s="1"/>
  <c r="BC259" i="4"/>
  <c r="BD259" i="4" s="1"/>
  <c r="BC258" i="4"/>
  <c r="BD258" i="4" s="1"/>
  <c r="BC257" i="4"/>
  <c r="BD257" i="4" s="1"/>
  <c r="BC256" i="4"/>
  <c r="BD256" i="4" s="1"/>
  <c r="BC255" i="4"/>
  <c r="BD255" i="4" s="1"/>
  <c r="BC254" i="4"/>
  <c r="BD254" i="4" s="1"/>
  <c r="BC253" i="4"/>
  <c r="BD253" i="4" s="1"/>
  <c r="BC252" i="4"/>
  <c r="BD252" i="4" s="1"/>
  <c r="BC251" i="4"/>
  <c r="BD251" i="4" s="1"/>
  <c r="BC250" i="4"/>
  <c r="BD250" i="4" s="1"/>
  <c r="BC249" i="4"/>
  <c r="BD249" i="4" s="1"/>
  <c r="BC248" i="4"/>
  <c r="BD248" i="4" s="1"/>
  <c r="BC247" i="4"/>
  <c r="BD247" i="4" s="1"/>
  <c r="BC246" i="4"/>
  <c r="BD246" i="4" s="1"/>
  <c r="BC245" i="4"/>
  <c r="BD245" i="4" s="1"/>
  <c r="BC244" i="4"/>
  <c r="BD244" i="4" s="1"/>
  <c r="BC243" i="4"/>
  <c r="BD243" i="4" s="1"/>
  <c r="BC242" i="4"/>
  <c r="BD242" i="4" s="1"/>
  <c r="BC241" i="4"/>
  <c r="BD241" i="4" s="1"/>
  <c r="BC240" i="4"/>
  <c r="BD240" i="4" s="1"/>
  <c r="BC239" i="4"/>
  <c r="BD239" i="4" s="1"/>
  <c r="BC238" i="4"/>
  <c r="BD238" i="4" s="1"/>
  <c r="BC237" i="4"/>
  <c r="BD237" i="4" s="1"/>
  <c r="BC236" i="4"/>
  <c r="BD236" i="4" s="1"/>
  <c r="BC235" i="4"/>
  <c r="BD235" i="4" s="1"/>
  <c r="BC234" i="4"/>
  <c r="BD234" i="4" s="1"/>
  <c r="BC233" i="4"/>
  <c r="BD233" i="4" s="1"/>
  <c r="BC232" i="4"/>
  <c r="BD232" i="4" s="1"/>
  <c r="BC231" i="4"/>
  <c r="BD231" i="4" s="1"/>
  <c r="BC230" i="4"/>
  <c r="BD230" i="4" s="1"/>
  <c r="BC229" i="4"/>
  <c r="BD229" i="4" s="1"/>
  <c r="BC228" i="4"/>
  <c r="BD228" i="4" s="1"/>
  <c r="BC227" i="4"/>
  <c r="BD227" i="4" s="1"/>
  <c r="BC226" i="4"/>
  <c r="BD226" i="4" s="1"/>
  <c r="BC225" i="4"/>
  <c r="BD225" i="4" s="1"/>
  <c r="BC224" i="4"/>
  <c r="BD224" i="4" s="1"/>
  <c r="BC223" i="4"/>
  <c r="BD223" i="4" s="1"/>
  <c r="BC222" i="4"/>
  <c r="BD222" i="4" s="1"/>
  <c r="BC221" i="4"/>
  <c r="BD221" i="4" s="1"/>
  <c r="BC220" i="4"/>
  <c r="BD220" i="4" s="1"/>
  <c r="BC219" i="4"/>
  <c r="BD219" i="4" s="1"/>
  <c r="BC218" i="4"/>
  <c r="BD218" i="4" s="1"/>
  <c r="BC217" i="4"/>
  <c r="BD217" i="4" s="1"/>
  <c r="BC216" i="4"/>
  <c r="BD216" i="4" s="1"/>
  <c r="BC215" i="4"/>
  <c r="BD215" i="4" s="1"/>
  <c r="BC214" i="4"/>
  <c r="BD214" i="4" s="1"/>
  <c r="BC213" i="4"/>
  <c r="BD213" i="4" s="1"/>
  <c r="BC212" i="4"/>
  <c r="BD212" i="4" s="1"/>
  <c r="BC211" i="4"/>
  <c r="BD211" i="4" s="1"/>
  <c r="BC210" i="4"/>
  <c r="BD210" i="4" s="1"/>
  <c r="BC209" i="4"/>
  <c r="BD209" i="4" s="1"/>
  <c r="BC208" i="4"/>
  <c r="BD208" i="4" s="1"/>
  <c r="BC207" i="4"/>
  <c r="BD207" i="4" s="1"/>
  <c r="BC206" i="4"/>
  <c r="BD206" i="4" s="1"/>
  <c r="BC205" i="4"/>
  <c r="BD205" i="4" s="1"/>
  <c r="BC204" i="4"/>
  <c r="BD204" i="4" s="1"/>
  <c r="BC203" i="4"/>
  <c r="BD203" i="4" s="1"/>
  <c r="BC202" i="4"/>
  <c r="BD202" i="4" s="1"/>
  <c r="BC201" i="4"/>
  <c r="BD201" i="4" s="1"/>
  <c r="BC200" i="4"/>
  <c r="BD200" i="4" s="1"/>
  <c r="BC199" i="4"/>
  <c r="BD199" i="4" s="1"/>
  <c r="BC198" i="4"/>
  <c r="BD198" i="4" s="1"/>
  <c r="BC197" i="4"/>
  <c r="BD197" i="4" s="1"/>
  <c r="BC196" i="4"/>
  <c r="BD196" i="4" s="1"/>
  <c r="BC195" i="4"/>
  <c r="BD195" i="4" s="1"/>
  <c r="BC194" i="4"/>
  <c r="BD194" i="4" s="1"/>
  <c r="BC193" i="4"/>
  <c r="BD193" i="4" s="1"/>
  <c r="BC192" i="4"/>
  <c r="BD192" i="4" s="1"/>
  <c r="BC191" i="4"/>
  <c r="BD191" i="4" s="1"/>
  <c r="BC190" i="4"/>
  <c r="BD190" i="4" s="1"/>
  <c r="BC189" i="4"/>
  <c r="BD189" i="4" s="1"/>
  <c r="BC188" i="4"/>
  <c r="BD188" i="4" s="1"/>
  <c r="BC187" i="4"/>
  <c r="BD187" i="4" s="1"/>
  <c r="BC186" i="4"/>
  <c r="BD186" i="4" s="1"/>
  <c r="BC185" i="4"/>
  <c r="BD185" i="4" s="1"/>
  <c r="BC184" i="4"/>
  <c r="BD184" i="4" s="1"/>
  <c r="BC183" i="4"/>
  <c r="BD183" i="4" s="1"/>
  <c r="BC182" i="4"/>
  <c r="BD182" i="4" s="1"/>
  <c r="BC181" i="4"/>
  <c r="BD181" i="4" s="1"/>
  <c r="BC180" i="4"/>
  <c r="BD180" i="4" s="1"/>
  <c r="BC179" i="4"/>
  <c r="BD179" i="4" s="1"/>
  <c r="BC178" i="4"/>
  <c r="BD178" i="4" s="1"/>
  <c r="BC177" i="4"/>
  <c r="BD177" i="4" s="1"/>
  <c r="BC176" i="4"/>
  <c r="BD176" i="4" s="1"/>
  <c r="BC175" i="4"/>
  <c r="BD175" i="4" s="1"/>
  <c r="BC174" i="4"/>
  <c r="BD174" i="4" s="1"/>
  <c r="BC173" i="4"/>
  <c r="BD173" i="4" s="1"/>
  <c r="BC172" i="4"/>
  <c r="BD172" i="4" s="1"/>
  <c r="BC171" i="4"/>
  <c r="BD171" i="4" s="1"/>
  <c r="BC170" i="4"/>
  <c r="BD170" i="4" s="1"/>
  <c r="BC169" i="4"/>
  <c r="BD169" i="4" s="1"/>
  <c r="BC168" i="4"/>
  <c r="BD168" i="4" s="1"/>
  <c r="BC167" i="4"/>
  <c r="BD167" i="4" s="1"/>
  <c r="BC166" i="4"/>
  <c r="BD166" i="4" s="1"/>
  <c r="BC165" i="4"/>
  <c r="BD165" i="4" s="1"/>
  <c r="BC164" i="4"/>
  <c r="BD164" i="4" s="1"/>
  <c r="BC163" i="4"/>
  <c r="BD163" i="4" s="1"/>
  <c r="BC162" i="4"/>
  <c r="BD162" i="4" s="1"/>
  <c r="BC161" i="4"/>
  <c r="BD161" i="4" s="1"/>
  <c r="BC160" i="4"/>
  <c r="BD160" i="4" s="1"/>
  <c r="BC159" i="4"/>
  <c r="BD159" i="4" s="1"/>
  <c r="BC158" i="4"/>
  <c r="BD158" i="4" s="1"/>
  <c r="BC157" i="4"/>
  <c r="BD157" i="4" s="1"/>
  <c r="BC156" i="4"/>
  <c r="BD156" i="4" s="1"/>
  <c r="BC155" i="4"/>
  <c r="BD155" i="4" s="1"/>
  <c r="BC154" i="4"/>
  <c r="BD154" i="4" s="1"/>
  <c r="BC153" i="4"/>
  <c r="BD153" i="4" s="1"/>
  <c r="BC152" i="4"/>
  <c r="BD152" i="4" s="1"/>
  <c r="BC151" i="4"/>
  <c r="BD151" i="4" s="1"/>
  <c r="BC150" i="4"/>
  <c r="BD150" i="4" s="1"/>
  <c r="BC149" i="4"/>
  <c r="BD149" i="4" s="1"/>
  <c r="BC148" i="4"/>
  <c r="BD148" i="4" s="1"/>
  <c r="BC147" i="4"/>
  <c r="BD147" i="4" s="1"/>
  <c r="BC146" i="4"/>
  <c r="BD146" i="4" s="1"/>
  <c r="BC145" i="4"/>
  <c r="BD145" i="4" s="1"/>
  <c r="BC144" i="4"/>
  <c r="BD144" i="4" s="1"/>
  <c r="BC143" i="4"/>
  <c r="BD143" i="4" s="1"/>
  <c r="BC142" i="4"/>
  <c r="BD142" i="4" s="1"/>
  <c r="BC141" i="4"/>
  <c r="BD141" i="4" s="1"/>
  <c r="BC140" i="4"/>
  <c r="BD140" i="4" s="1"/>
  <c r="BC139" i="4"/>
  <c r="BD139" i="4" s="1"/>
  <c r="BC138" i="4"/>
  <c r="BD138" i="4" s="1"/>
  <c r="BC137" i="4"/>
  <c r="BD137" i="4" s="1"/>
  <c r="BC136" i="4"/>
  <c r="BD136" i="4" s="1"/>
  <c r="BC135" i="4"/>
  <c r="BD135" i="4" s="1"/>
  <c r="BC134" i="4"/>
  <c r="BD134" i="4" s="1"/>
  <c r="BC133" i="4"/>
  <c r="BD133" i="4" s="1"/>
  <c r="BC132" i="4"/>
  <c r="BD132" i="4" s="1"/>
  <c r="BC131" i="4"/>
  <c r="BD131" i="4" s="1"/>
  <c r="BC130" i="4"/>
  <c r="BD130" i="4" s="1"/>
  <c r="BC129" i="4"/>
  <c r="BD129" i="4" s="1"/>
  <c r="BC128" i="4"/>
  <c r="BD128" i="4" s="1"/>
  <c r="BC127" i="4"/>
  <c r="BD127" i="4" s="1"/>
  <c r="BC126" i="4"/>
  <c r="BD126" i="4" s="1"/>
  <c r="BC125" i="4"/>
  <c r="BD125" i="4" s="1"/>
  <c r="BC124" i="4"/>
  <c r="BD124" i="4" s="1"/>
  <c r="BC123" i="4"/>
  <c r="BD123" i="4" s="1"/>
  <c r="BC122" i="4"/>
  <c r="BD122" i="4" s="1"/>
  <c r="BC121" i="4"/>
  <c r="BD121" i="4" s="1"/>
  <c r="BC120" i="4"/>
  <c r="BD120" i="4" s="1"/>
  <c r="BC119" i="4"/>
  <c r="BD119" i="4" s="1"/>
  <c r="BC118" i="4"/>
  <c r="BD118" i="4" s="1"/>
  <c r="BC117" i="4"/>
  <c r="BD117" i="4" s="1"/>
  <c r="BC116" i="4"/>
  <c r="BD116" i="4" s="1"/>
  <c r="BC115" i="4"/>
  <c r="BD115" i="4" s="1"/>
  <c r="BC114" i="4"/>
  <c r="BD114" i="4" s="1"/>
  <c r="BC113" i="4"/>
  <c r="BD113" i="4" s="1"/>
  <c r="BC112" i="4"/>
  <c r="BD112" i="4" s="1"/>
  <c r="BC111" i="4"/>
  <c r="BD111" i="4" s="1"/>
  <c r="BC110" i="4"/>
  <c r="BD110" i="4" s="1"/>
  <c r="BC109" i="4"/>
  <c r="BD109" i="4" s="1"/>
  <c r="BC108" i="4"/>
  <c r="BD108" i="4" s="1"/>
  <c r="BC107" i="4"/>
  <c r="BD107" i="4" s="1"/>
  <c r="BC106" i="4"/>
  <c r="BD106" i="4" s="1"/>
  <c r="BC105" i="4"/>
  <c r="BD105" i="4" s="1"/>
  <c r="BC104" i="4"/>
  <c r="BD104" i="4" s="1"/>
  <c r="BC103" i="4"/>
  <c r="BD103" i="4" s="1"/>
  <c r="BC102" i="4"/>
  <c r="BD102" i="4" s="1"/>
  <c r="BC101" i="4"/>
  <c r="BD101" i="4" s="1"/>
  <c r="BC100" i="4"/>
  <c r="BD100" i="4" s="1"/>
  <c r="BC99" i="4"/>
  <c r="BD99" i="4" s="1"/>
  <c r="BC98" i="4"/>
  <c r="BD98" i="4" s="1"/>
  <c r="BC97" i="4"/>
  <c r="BD97" i="4" s="1"/>
  <c r="BC96" i="4"/>
  <c r="BD96" i="4" s="1"/>
  <c r="BC95" i="4"/>
  <c r="BD95" i="4" s="1"/>
  <c r="BC94" i="4"/>
  <c r="BD94" i="4" s="1"/>
  <c r="BC93" i="4"/>
  <c r="BD93" i="4" s="1"/>
  <c r="BC92" i="4"/>
  <c r="BD92" i="4" s="1"/>
  <c r="BC91" i="4"/>
  <c r="BD91" i="4" s="1"/>
  <c r="BC90" i="4"/>
  <c r="BD90" i="4" s="1"/>
  <c r="BC89" i="4"/>
  <c r="BD89" i="4" s="1"/>
  <c r="BC88" i="4"/>
  <c r="BD88" i="4" s="1"/>
  <c r="BC87" i="4"/>
  <c r="BD87" i="4" s="1"/>
  <c r="BC86" i="4"/>
  <c r="BD86" i="4" s="1"/>
  <c r="BC85" i="4"/>
  <c r="BD85" i="4" s="1"/>
  <c r="BC84" i="4"/>
  <c r="BD84" i="4" s="1"/>
  <c r="BC83" i="4"/>
  <c r="BD83" i="4" s="1"/>
  <c r="BC82" i="4"/>
  <c r="BD82" i="4" s="1"/>
  <c r="BC81" i="4"/>
  <c r="BD81" i="4" s="1"/>
  <c r="BC80" i="4"/>
  <c r="BD80" i="4" s="1"/>
  <c r="BC79" i="4"/>
  <c r="BD79" i="4" s="1"/>
  <c r="BC78" i="4"/>
  <c r="BD78" i="4" s="1"/>
  <c r="BC77" i="4"/>
  <c r="BD77" i="4" s="1"/>
  <c r="BC76" i="4"/>
  <c r="BD76" i="4" s="1"/>
  <c r="BC75" i="4"/>
  <c r="BD75" i="4" s="1"/>
  <c r="BC74" i="4"/>
  <c r="BD74" i="4" s="1"/>
  <c r="BC73" i="4"/>
  <c r="BD73" i="4" s="1"/>
  <c r="BC72" i="4"/>
  <c r="BD72" i="4" s="1"/>
  <c r="BC71" i="4"/>
  <c r="BD71" i="4" s="1"/>
  <c r="BC70" i="4"/>
  <c r="BD70" i="4" s="1"/>
  <c r="BC69" i="4"/>
  <c r="BD69" i="4" s="1"/>
  <c r="BC68" i="4"/>
  <c r="BD68" i="4" s="1"/>
  <c r="BC67" i="4"/>
  <c r="BD67" i="4" s="1"/>
  <c r="BC66" i="4"/>
  <c r="BD66" i="4" s="1"/>
  <c r="BC65" i="4"/>
  <c r="BD65" i="4" s="1"/>
  <c r="BC64" i="4"/>
  <c r="BD64" i="4" s="1"/>
  <c r="BC63" i="4"/>
  <c r="BD63" i="4" s="1"/>
  <c r="BC62" i="4"/>
  <c r="BD62" i="4" s="1"/>
  <c r="BC61" i="4"/>
  <c r="BD61" i="4" s="1"/>
  <c r="BC60" i="4"/>
  <c r="BD60" i="4" s="1"/>
  <c r="BC59" i="4"/>
  <c r="BD59" i="4" s="1"/>
  <c r="BC58" i="4"/>
  <c r="BD58" i="4" s="1"/>
  <c r="BC57" i="4"/>
  <c r="BD57" i="4" s="1"/>
  <c r="BC56" i="4"/>
  <c r="BD56" i="4" s="1"/>
  <c r="BC55" i="4"/>
  <c r="BD55" i="4" s="1"/>
  <c r="BC54" i="4"/>
  <c r="BD54" i="4" s="1"/>
  <c r="BC53" i="4"/>
  <c r="BD53" i="4" s="1"/>
  <c r="BC52" i="4"/>
  <c r="BD52" i="4" s="1"/>
  <c r="BC51" i="4"/>
  <c r="BD51" i="4" s="1"/>
  <c r="BC50" i="4"/>
  <c r="BD50" i="4" s="1"/>
  <c r="BC49" i="4"/>
  <c r="BD49" i="4" s="1"/>
  <c r="BC48" i="4"/>
  <c r="BD48" i="4" s="1"/>
  <c r="BC47" i="4"/>
  <c r="BD47" i="4" s="1"/>
  <c r="BC46" i="4"/>
  <c r="BD46" i="4" s="1"/>
  <c r="BC45" i="4"/>
  <c r="BD45" i="4" s="1"/>
  <c r="BC44" i="4"/>
  <c r="BD44" i="4" s="1"/>
  <c r="BC43" i="4"/>
  <c r="BD43" i="4" s="1"/>
  <c r="BC42" i="4"/>
  <c r="BD42" i="4" s="1"/>
  <c r="BC41" i="4"/>
  <c r="BD41" i="4" s="1"/>
  <c r="BC40" i="4"/>
  <c r="BD40" i="4" s="1"/>
  <c r="BC39" i="4"/>
  <c r="BD39" i="4" s="1"/>
  <c r="BC38" i="4"/>
  <c r="BD38" i="4" s="1"/>
  <c r="BC37" i="4"/>
  <c r="BD37" i="4" s="1"/>
  <c r="BC36" i="4"/>
  <c r="BD36" i="4" s="1"/>
  <c r="BC35" i="4"/>
  <c r="BD35" i="4" s="1"/>
  <c r="BC34" i="4"/>
  <c r="BD34" i="4" s="1"/>
  <c r="BC33" i="4"/>
  <c r="BD33" i="4" s="1"/>
  <c r="BC32" i="4"/>
  <c r="BD32" i="4" s="1"/>
  <c r="BC31" i="4"/>
  <c r="BD31" i="4" s="1"/>
  <c r="BC30" i="4"/>
  <c r="BD30" i="4" s="1"/>
  <c r="BC29" i="4"/>
  <c r="BD29" i="4" s="1"/>
  <c r="BC28" i="4"/>
  <c r="BD28" i="4" s="1"/>
  <c r="BC27" i="4"/>
  <c r="BD27" i="4" s="1"/>
  <c r="BC26" i="4"/>
  <c r="BD26" i="4" s="1"/>
  <c r="BC25" i="4"/>
  <c r="BD25" i="4" s="1"/>
  <c r="BC24" i="4"/>
  <c r="BD24" i="4" s="1"/>
  <c r="BC23" i="4"/>
  <c r="BD23" i="4" s="1"/>
  <c r="BC22" i="4"/>
  <c r="BD22" i="4" s="1"/>
  <c r="BC21" i="4"/>
  <c r="BD21" i="4" s="1"/>
  <c r="BC20" i="4"/>
  <c r="BD20" i="4" s="1"/>
  <c r="BC19" i="4"/>
  <c r="BD19" i="4" s="1"/>
  <c r="BC18" i="4"/>
  <c r="BD18" i="4" s="1"/>
  <c r="BC17" i="4"/>
  <c r="BD17" i="4" s="1"/>
  <c r="BC16" i="4"/>
  <c r="BD16" i="4" s="1"/>
  <c r="BC15" i="4"/>
  <c r="BD15" i="4" s="1"/>
  <c r="BC14" i="4"/>
  <c r="BD14" i="4" s="1"/>
  <c r="BC13" i="4"/>
  <c r="BD13" i="4" s="1"/>
  <c r="BC12" i="4"/>
  <c r="BD12" i="4" s="1"/>
  <c r="BC11" i="4"/>
  <c r="BD11" i="4" s="1"/>
  <c r="BC10" i="4"/>
  <c r="BD10" i="4" s="1"/>
  <c r="BC9" i="4"/>
  <c r="BD9" i="4" s="1"/>
  <c r="BC8" i="4"/>
  <c r="BD8" i="4" s="1"/>
  <c r="BC7" i="4"/>
  <c r="BD7" i="4" s="1"/>
  <c r="BC6" i="4"/>
  <c r="BD6" i="4" s="1"/>
  <c r="BC5" i="4"/>
  <c r="BD5" i="4" s="1"/>
  <c r="BC4" i="4"/>
  <c r="BD4" i="4" s="1"/>
  <c r="BC3" i="4"/>
  <c r="BD3" i="4" s="1"/>
  <c r="EQ501" i="1"/>
  <c r="ER501" i="1" s="1"/>
  <c r="EK501" i="1"/>
  <c r="EL501" i="1" s="1"/>
  <c r="M501" i="1"/>
  <c r="L501" i="1"/>
  <c r="D501" i="1"/>
  <c r="C501" i="1"/>
  <c r="B501" i="1"/>
  <c r="FI500" i="1"/>
  <c r="EE500" i="1"/>
  <c r="EF500" i="1" s="1"/>
  <c r="FH500" i="1" s="1"/>
  <c r="FJ500" i="1" s="1"/>
  <c r="D500" i="1"/>
  <c r="C500" i="1"/>
  <c r="B500" i="1"/>
  <c r="A500" i="1"/>
  <c r="FI499" i="1"/>
  <c r="DY499" i="1"/>
  <c r="DZ499" i="1" s="1"/>
  <c r="FH499" i="1" s="1"/>
  <c r="D499" i="1"/>
  <c r="C499" i="1"/>
  <c r="B499" i="1"/>
  <c r="A499" i="1"/>
  <c r="FI498" i="1"/>
  <c r="DY498" i="1"/>
  <c r="DZ498" i="1" s="1"/>
  <c r="FH498" i="1" s="1"/>
  <c r="FJ498" i="1" s="1"/>
  <c r="D498" i="1"/>
  <c r="C498" i="1"/>
  <c r="B498" i="1"/>
  <c r="A498" i="1"/>
  <c r="FI497" i="1"/>
  <c r="DY497" i="1"/>
  <c r="DZ497" i="1" s="1"/>
  <c r="FH497" i="1" s="1"/>
  <c r="D497" i="1"/>
  <c r="C497" i="1"/>
  <c r="B497" i="1"/>
  <c r="A497" i="1"/>
  <c r="DM496" i="1"/>
  <c r="DN496" i="1" s="1"/>
  <c r="M496" i="1"/>
  <c r="D496" i="1"/>
  <c r="C496" i="1"/>
  <c r="B496" i="1"/>
  <c r="A496" i="1"/>
  <c r="DM495" i="1"/>
  <c r="DN495" i="1" s="1"/>
  <c r="M495" i="1"/>
  <c r="D495" i="1"/>
  <c r="C495" i="1"/>
  <c r="B495" i="1"/>
  <c r="A495" i="1"/>
  <c r="DT494" i="1"/>
  <c r="DM494" i="1"/>
  <c r="DN494" i="1" s="1"/>
  <c r="M494" i="1"/>
  <c r="D494" i="1"/>
  <c r="C494" i="1"/>
  <c r="B494" i="1"/>
  <c r="A494" i="1"/>
  <c r="DM493" i="1"/>
  <c r="DN493" i="1" s="1"/>
  <c r="M493" i="1"/>
  <c r="D493" i="1"/>
  <c r="C493" i="1"/>
  <c r="B493" i="1"/>
  <c r="A493" i="1"/>
  <c r="DM492" i="1"/>
  <c r="DN492" i="1" s="1"/>
  <c r="M492" i="1"/>
  <c r="D492" i="1"/>
  <c r="C492" i="1"/>
  <c r="B492" i="1"/>
  <c r="A492" i="1"/>
  <c r="DM491" i="1"/>
  <c r="DN491" i="1" s="1"/>
  <c r="M491" i="1"/>
  <c r="D491" i="1"/>
  <c r="C491" i="1"/>
  <c r="B491" i="1"/>
  <c r="A491" i="1"/>
  <c r="DT490" i="1"/>
  <c r="DN490" i="1"/>
  <c r="M490" i="1"/>
  <c r="D490" i="1"/>
  <c r="C490" i="1"/>
  <c r="B490" i="1"/>
  <c r="A490" i="1"/>
  <c r="DN489" i="1"/>
  <c r="M489" i="1"/>
  <c r="D489" i="1"/>
  <c r="C489" i="1"/>
  <c r="B489" i="1"/>
  <c r="A489" i="1"/>
  <c r="DT488" i="1"/>
  <c r="DN488" i="1"/>
  <c r="M488" i="1"/>
  <c r="D488" i="1"/>
  <c r="C488" i="1"/>
  <c r="B488" i="1"/>
  <c r="A488" i="1"/>
  <c r="DM487" i="1"/>
  <c r="DN487" i="1" s="1"/>
  <c r="M487" i="1"/>
  <c r="D487" i="1"/>
  <c r="C487" i="1"/>
  <c r="B487" i="1"/>
  <c r="A487" i="1"/>
  <c r="DM486" i="1"/>
  <c r="DN486" i="1" s="1"/>
  <c r="M486" i="1"/>
  <c r="D486" i="1"/>
  <c r="C486" i="1"/>
  <c r="B486" i="1"/>
  <c r="A486" i="1"/>
  <c r="DS485" i="1"/>
  <c r="DT485" i="1" s="1"/>
  <c r="DM485" i="1"/>
  <c r="DN485" i="1" s="1"/>
  <c r="M485" i="1"/>
  <c r="D485" i="1"/>
  <c r="C485" i="1"/>
  <c r="B485" i="1"/>
  <c r="A485" i="1"/>
  <c r="DT484" i="1"/>
  <c r="M484" i="1"/>
  <c r="D484" i="1"/>
  <c r="C484" i="1"/>
  <c r="B484" i="1"/>
  <c r="A484" i="1"/>
  <c r="DM483" i="1"/>
  <c r="DN483" i="1" s="1"/>
  <c r="M483" i="1"/>
  <c r="D483" i="1"/>
  <c r="C483" i="1"/>
  <c r="B483" i="1"/>
  <c r="A483" i="1"/>
  <c r="DN482" i="1"/>
  <c r="M482" i="1"/>
  <c r="D482" i="1"/>
  <c r="C482" i="1"/>
  <c r="B482" i="1"/>
  <c r="A482" i="1"/>
  <c r="DS481" i="1"/>
  <c r="DT481" i="1" s="1"/>
  <c r="M481" i="1"/>
  <c r="D481" i="1"/>
  <c r="C481" i="1"/>
  <c r="B481" i="1"/>
  <c r="A481" i="1"/>
  <c r="DS480" i="1"/>
  <c r="DT480" i="1" s="1"/>
  <c r="M480" i="1"/>
  <c r="L480" i="1"/>
  <c r="D480" i="1"/>
  <c r="C480" i="1"/>
  <c r="B480" i="1"/>
  <c r="A480" i="1"/>
  <c r="FI479" i="1"/>
  <c r="CI479" i="1"/>
  <c r="CJ479" i="1" s="1"/>
  <c r="BW479" i="1"/>
  <c r="BX479" i="1" s="1"/>
  <c r="FH479" i="1" s="1"/>
  <c r="FJ479" i="1" s="1"/>
  <c r="D479" i="1"/>
  <c r="C479" i="1"/>
  <c r="B479" i="1"/>
  <c r="A479" i="1"/>
  <c r="G6" i="7" s="1"/>
  <c r="FI478" i="1"/>
  <c r="CI478" i="1"/>
  <c r="CJ478" i="1" s="1"/>
  <c r="BW478" i="1"/>
  <c r="BX478" i="1" s="1"/>
  <c r="O478" i="1"/>
  <c r="P478" i="1" s="1"/>
  <c r="FH478" i="1" s="1"/>
  <c r="FJ478" i="1" s="1"/>
  <c r="D478" i="1"/>
  <c r="C478" i="1"/>
  <c r="B478" i="1"/>
  <c r="A478" i="1"/>
  <c r="FI477" i="1"/>
  <c r="CI477" i="1"/>
  <c r="CJ477" i="1" s="1"/>
  <c r="BW477" i="1"/>
  <c r="BX477" i="1" s="1"/>
  <c r="O477" i="1"/>
  <c r="P477" i="1" s="1"/>
  <c r="FH477" i="1" s="1"/>
  <c r="FJ477" i="1" s="1"/>
  <c r="D477" i="1"/>
  <c r="C477" i="1"/>
  <c r="B477" i="1"/>
  <c r="A477" i="1"/>
  <c r="FI476" i="1"/>
  <c r="BW476" i="1"/>
  <c r="BX476" i="1" s="1"/>
  <c r="AM476" i="1"/>
  <c r="AN476" i="1" s="1"/>
  <c r="O476" i="1"/>
  <c r="P476" i="1" s="1"/>
  <c r="FH476" i="1" s="1"/>
  <c r="FJ476" i="1" s="1"/>
  <c r="D476" i="1"/>
  <c r="C476" i="1"/>
  <c r="B476" i="1"/>
  <c r="A476" i="1"/>
  <c r="FI475" i="1"/>
  <c r="CI475" i="1"/>
  <c r="CJ475" i="1" s="1"/>
  <c r="BW475" i="1"/>
  <c r="BX475" i="1" s="1"/>
  <c r="O475" i="1"/>
  <c r="P475" i="1" s="1"/>
  <c r="FH475" i="1" s="1"/>
  <c r="FJ475" i="1" s="1"/>
  <c r="D475" i="1"/>
  <c r="C475" i="1"/>
  <c r="B475" i="1"/>
  <c r="A475" i="1"/>
  <c r="FI474" i="1"/>
  <c r="DA474" i="1"/>
  <c r="DB474" i="1" s="1"/>
  <c r="CI474" i="1"/>
  <c r="CJ474" i="1" s="1"/>
  <c r="BW474" i="1"/>
  <c r="BX474" i="1" s="1"/>
  <c r="O474" i="1"/>
  <c r="P474" i="1" s="1"/>
  <c r="D474" i="1"/>
  <c r="C474" i="1"/>
  <c r="B474" i="1"/>
  <c r="A474" i="1"/>
  <c r="FI473" i="1"/>
  <c r="DA473" i="1"/>
  <c r="DB473" i="1" s="1"/>
  <c r="BW473" i="1"/>
  <c r="BX473" i="1" s="1"/>
  <c r="O473" i="1"/>
  <c r="P473" i="1" s="1"/>
  <c r="D473" i="1"/>
  <c r="C473" i="1"/>
  <c r="B473" i="1"/>
  <c r="A473" i="1"/>
  <c r="FI472" i="1"/>
  <c r="DA472" i="1"/>
  <c r="DB472" i="1" s="1"/>
  <c r="CI472" i="1"/>
  <c r="CJ472" i="1" s="1"/>
  <c r="BW472" i="1"/>
  <c r="BX472" i="1" s="1"/>
  <c r="O472" i="1"/>
  <c r="P472" i="1" s="1"/>
  <c r="D472" i="1"/>
  <c r="C472" i="1"/>
  <c r="B472" i="1"/>
  <c r="A472" i="1"/>
  <c r="FI471" i="1"/>
  <c r="CI471" i="1"/>
  <c r="CJ471" i="1" s="1"/>
  <c r="BW471" i="1"/>
  <c r="BX471" i="1" s="1"/>
  <c r="O471" i="1"/>
  <c r="P471" i="1" s="1"/>
  <c r="D471" i="1"/>
  <c r="C471" i="1"/>
  <c r="B471" i="1"/>
  <c r="A471" i="1"/>
  <c r="FI470" i="1"/>
  <c r="DA470" i="1"/>
  <c r="DB470" i="1" s="1"/>
  <c r="CI470" i="1"/>
  <c r="CJ470" i="1" s="1"/>
  <c r="BW470" i="1"/>
  <c r="BX470" i="1" s="1"/>
  <c r="O470" i="1"/>
  <c r="P470" i="1" s="1"/>
  <c r="D470" i="1"/>
  <c r="C470" i="1"/>
  <c r="B470" i="1"/>
  <c r="A470" i="1"/>
  <c r="FI469" i="1"/>
  <c r="DA469" i="1"/>
  <c r="DB469" i="1" s="1"/>
  <c r="CI469" i="1"/>
  <c r="CJ469" i="1" s="1"/>
  <c r="BW469" i="1"/>
  <c r="BX469" i="1" s="1"/>
  <c r="O469" i="1"/>
  <c r="P469" i="1" s="1"/>
  <c r="FH469" i="1" s="1"/>
  <c r="FJ469" i="1" s="1"/>
  <c r="D469" i="1"/>
  <c r="C469" i="1"/>
  <c r="B469" i="1"/>
  <c r="A469" i="1"/>
  <c r="M468" i="1"/>
  <c r="L468" i="1"/>
  <c r="D468" i="1"/>
  <c r="C468" i="1"/>
  <c r="B468" i="1"/>
  <c r="A468" i="1"/>
  <c r="FI467" i="1"/>
  <c r="DA467" i="1"/>
  <c r="DB467" i="1" s="1"/>
  <c r="CI467" i="1"/>
  <c r="CJ467" i="1" s="1"/>
  <c r="BW467" i="1"/>
  <c r="BX467" i="1" s="1"/>
  <c r="O467" i="1"/>
  <c r="P467" i="1" s="1"/>
  <c r="D467" i="1"/>
  <c r="C467" i="1"/>
  <c r="B467" i="1"/>
  <c r="A467" i="1"/>
  <c r="FI466" i="1"/>
  <c r="DA466" i="1"/>
  <c r="DB466" i="1" s="1"/>
  <c r="CI466" i="1"/>
  <c r="CJ466" i="1" s="1"/>
  <c r="BW466" i="1"/>
  <c r="BX466" i="1" s="1"/>
  <c r="O466" i="1"/>
  <c r="P466" i="1" s="1"/>
  <c r="FH466" i="1" s="1"/>
  <c r="FJ466" i="1" s="1"/>
  <c r="D466" i="1"/>
  <c r="C466" i="1"/>
  <c r="B466" i="1"/>
  <c r="A466" i="1"/>
  <c r="FI465" i="1"/>
  <c r="CI465" i="1"/>
  <c r="CJ465" i="1" s="1"/>
  <c r="BW465" i="1"/>
  <c r="BX465" i="1" s="1"/>
  <c r="O465" i="1"/>
  <c r="P465" i="1" s="1"/>
  <c r="FH465" i="1" s="1"/>
  <c r="FJ465" i="1" s="1"/>
  <c r="D465" i="1"/>
  <c r="C465" i="1"/>
  <c r="B465" i="1"/>
  <c r="A465" i="1"/>
  <c r="FI464" i="1"/>
  <c r="DA464" i="1"/>
  <c r="DB464" i="1" s="1"/>
  <c r="CI464" i="1"/>
  <c r="CJ464" i="1" s="1"/>
  <c r="BW464" i="1"/>
  <c r="BX464" i="1" s="1"/>
  <c r="AM464" i="1"/>
  <c r="AN464" i="1" s="1"/>
  <c r="O464" i="1"/>
  <c r="P464" i="1" s="1"/>
  <c r="D464" i="1"/>
  <c r="C464" i="1"/>
  <c r="B464" i="1"/>
  <c r="A464" i="1"/>
  <c r="FI463" i="1"/>
  <c r="CI463" i="1"/>
  <c r="CJ463" i="1" s="1"/>
  <c r="BW463" i="1"/>
  <c r="BX463" i="1" s="1"/>
  <c r="AM463" i="1"/>
  <c r="AN463" i="1" s="1"/>
  <c r="O463" i="1"/>
  <c r="P463" i="1" s="1"/>
  <c r="D463" i="1"/>
  <c r="C463" i="1"/>
  <c r="B463" i="1"/>
  <c r="A463" i="1"/>
  <c r="FI462" i="1"/>
  <c r="DA462" i="1"/>
  <c r="DB462" i="1" s="1"/>
  <c r="CI462" i="1"/>
  <c r="CJ462" i="1" s="1"/>
  <c r="BW462" i="1"/>
  <c r="BX462" i="1" s="1"/>
  <c r="O462" i="1"/>
  <c r="P462" i="1" s="1"/>
  <c r="FH462" i="1" s="1"/>
  <c r="FJ462" i="1" s="1"/>
  <c r="D462" i="1"/>
  <c r="C462" i="1"/>
  <c r="B462" i="1"/>
  <c r="A462" i="1"/>
  <c r="FI461" i="1"/>
  <c r="CI461" i="1"/>
  <c r="CJ461" i="1" s="1"/>
  <c r="BW461" i="1"/>
  <c r="BX461" i="1" s="1"/>
  <c r="FH461" i="1" s="1"/>
  <c r="D461" i="1"/>
  <c r="C461" i="1"/>
  <c r="B461" i="1"/>
  <c r="A461" i="1"/>
  <c r="FI460" i="1"/>
  <c r="CI460" i="1"/>
  <c r="CJ460" i="1" s="1"/>
  <c r="BW460" i="1"/>
  <c r="BX460" i="1" s="1"/>
  <c r="AM460" i="1"/>
  <c r="AN460" i="1" s="1"/>
  <c r="O460" i="1"/>
  <c r="P460" i="1" s="1"/>
  <c r="FH460" i="1" s="1"/>
  <c r="FJ460" i="1" s="1"/>
  <c r="D460" i="1"/>
  <c r="C460" i="1"/>
  <c r="B460" i="1"/>
  <c r="A460" i="1"/>
  <c r="FI459" i="1"/>
  <c r="DA459" i="1"/>
  <c r="DB459" i="1" s="1"/>
  <c r="CI459" i="1"/>
  <c r="CJ459" i="1" s="1"/>
  <c r="BW459" i="1"/>
  <c r="BX459" i="1" s="1"/>
  <c r="AM459" i="1"/>
  <c r="AN459" i="1" s="1"/>
  <c r="O459" i="1"/>
  <c r="P459" i="1" s="1"/>
  <c r="D459" i="1"/>
  <c r="C459" i="1"/>
  <c r="B459" i="1"/>
  <c r="A459" i="1"/>
  <c r="FI458" i="1"/>
  <c r="CI458" i="1"/>
  <c r="CJ458" i="1" s="1"/>
  <c r="BW458" i="1"/>
  <c r="BX458" i="1" s="1"/>
  <c r="AM458" i="1"/>
  <c r="AN458" i="1" s="1"/>
  <c r="D458" i="1"/>
  <c r="C458" i="1"/>
  <c r="B458" i="1"/>
  <c r="A458" i="1"/>
  <c r="FI457" i="1"/>
  <c r="BW457" i="1"/>
  <c r="BX457" i="1" s="1"/>
  <c r="O457" i="1"/>
  <c r="P457" i="1" s="1"/>
  <c r="D457" i="1"/>
  <c r="C457" i="1"/>
  <c r="B457" i="1"/>
  <c r="A457" i="1"/>
  <c r="FI456" i="1"/>
  <c r="CI456" i="1"/>
  <c r="CJ456" i="1" s="1"/>
  <c r="BW456" i="1"/>
  <c r="BX456" i="1" s="1"/>
  <c r="FH456" i="1" s="1"/>
  <c r="FJ456" i="1" s="1"/>
  <c r="D456" i="1"/>
  <c r="C456" i="1"/>
  <c r="B456" i="1"/>
  <c r="A456" i="1"/>
  <c r="FI455" i="1"/>
  <c r="BW455" i="1"/>
  <c r="BX455" i="1" s="1"/>
  <c r="O455" i="1"/>
  <c r="P455" i="1" s="1"/>
  <c r="FH455" i="1" s="1"/>
  <c r="D455" i="1"/>
  <c r="C455" i="1"/>
  <c r="B455" i="1"/>
  <c r="A455" i="1"/>
  <c r="FI454" i="1"/>
  <c r="BW454" i="1"/>
  <c r="BX454" i="1" s="1"/>
  <c r="O454" i="1"/>
  <c r="P454" i="1" s="1"/>
  <c r="D454" i="1"/>
  <c r="C454" i="1"/>
  <c r="B454" i="1"/>
  <c r="A454" i="1"/>
  <c r="FI453" i="1"/>
  <c r="BW453" i="1"/>
  <c r="BX453" i="1" s="1"/>
  <c r="O453" i="1"/>
  <c r="P453" i="1" s="1"/>
  <c r="D453" i="1"/>
  <c r="C453" i="1"/>
  <c r="B453" i="1"/>
  <c r="A453" i="1"/>
  <c r="FI452" i="1"/>
  <c r="CI452" i="1"/>
  <c r="CJ452" i="1" s="1"/>
  <c r="BW452" i="1"/>
  <c r="BX452" i="1" s="1"/>
  <c r="FH452" i="1" s="1"/>
  <c r="FJ452" i="1" s="1"/>
  <c r="D452" i="1"/>
  <c r="C452" i="1"/>
  <c r="B452" i="1"/>
  <c r="A452" i="1"/>
  <c r="CO451" i="1"/>
  <c r="CP451" i="1" s="1"/>
  <c r="CH451" i="1"/>
  <c r="BV451" i="1"/>
  <c r="D451" i="1"/>
  <c r="C451" i="1"/>
  <c r="B451" i="1"/>
  <c r="A451" i="1"/>
  <c r="CO450" i="1"/>
  <c r="CP450" i="1" s="1"/>
  <c r="CH450" i="1"/>
  <c r="BV450" i="1"/>
  <c r="D450" i="1"/>
  <c r="C450" i="1"/>
  <c r="B450" i="1"/>
  <c r="A450" i="1"/>
  <c r="CO449" i="1"/>
  <c r="CP449" i="1" s="1"/>
  <c r="CH449" i="1"/>
  <c r="BV449" i="1"/>
  <c r="D449" i="1"/>
  <c r="C449" i="1"/>
  <c r="B449" i="1"/>
  <c r="A449" i="1"/>
  <c r="CO448" i="1"/>
  <c r="CP448" i="1" s="1"/>
  <c r="CH448" i="1"/>
  <c r="BV448" i="1"/>
  <c r="D448" i="1"/>
  <c r="C448" i="1"/>
  <c r="B448" i="1"/>
  <c r="A448" i="1"/>
  <c r="CO447" i="1"/>
  <c r="CP447" i="1" s="1"/>
  <c r="CH447" i="1"/>
  <c r="BV447" i="1"/>
  <c r="D447" i="1"/>
  <c r="C447" i="1"/>
  <c r="B447" i="1"/>
  <c r="A447" i="1"/>
  <c r="CO446" i="1"/>
  <c r="CP446" i="1" s="1"/>
  <c r="CH446" i="1"/>
  <c r="BV446" i="1"/>
  <c r="D446" i="1"/>
  <c r="C446" i="1"/>
  <c r="B446" i="1"/>
  <c r="A446" i="1"/>
  <c r="FI445" i="1"/>
  <c r="CO445" i="1"/>
  <c r="CP445" i="1" s="1"/>
  <c r="BW445" i="1"/>
  <c r="BX445" i="1" s="1"/>
  <c r="D445" i="1"/>
  <c r="C445" i="1"/>
  <c r="B445" i="1"/>
  <c r="A445" i="1"/>
  <c r="CO444" i="1"/>
  <c r="CP444" i="1" s="1"/>
  <c r="CH444" i="1"/>
  <c r="BV444" i="1"/>
  <c r="D444" i="1"/>
  <c r="C444" i="1"/>
  <c r="B444" i="1"/>
  <c r="A444" i="1"/>
  <c r="FI443" i="1"/>
  <c r="CO443" i="1"/>
  <c r="CP443" i="1" s="1"/>
  <c r="BW443" i="1"/>
  <c r="BX443" i="1" s="1"/>
  <c r="FH443" i="1" s="1"/>
  <c r="D443" i="1"/>
  <c r="C443" i="1"/>
  <c r="B443" i="1"/>
  <c r="A443" i="1"/>
  <c r="FI442" i="1"/>
  <c r="CO442" i="1"/>
  <c r="CP442" i="1" s="1"/>
  <c r="CI442" i="1"/>
  <c r="CJ442" i="1" s="1"/>
  <c r="BW442" i="1"/>
  <c r="BX442" i="1" s="1"/>
  <c r="D442" i="1"/>
  <c r="C442" i="1"/>
  <c r="B442" i="1"/>
  <c r="A442" i="1"/>
  <c r="FI441" i="1"/>
  <c r="CO441" i="1"/>
  <c r="CP441" i="1" s="1"/>
  <c r="CI441" i="1"/>
  <c r="CJ441" i="1" s="1"/>
  <c r="BW441" i="1"/>
  <c r="BX441" i="1" s="1"/>
  <c r="D441" i="1"/>
  <c r="C441" i="1"/>
  <c r="B441" i="1"/>
  <c r="A441" i="1"/>
  <c r="FI440" i="1"/>
  <c r="CO440" i="1"/>
  <c r="CP440" i="1" s="1"/>
  <c r="CI440" i="1"/>
  <c r="CJ440" i="1" s="1"/>
  <c r="BW440" i="1"/>
  <c r="BX440" i="1" s="1"/>
  <c r="D440" i="1"/>
  <c r="C440" i="1"/>
  <c r="B440" i="1"/>
  <c r="A440" i="1"/>
  <c r="FI439" i="1"/>
  <c r="CO439" i="1"/>
  <c r="CP439" i="1" s="1"/>
  <c r="CI439" i="1"/>
  <c r="CJ439" i="1" s="1"/>
  <c r="BW439" i="1"/>
  <c r="BX439" i="1" s="1"/>
  <c r="D439" i="1"/>
  <c r="C439" i="1"/>
  <c r="B439" i="1"/>
  <c r="A439" i="1"/>
  <c r="FI438" i="1"/>
  <c r="CO438" i="1"/>
  <c r="CP438" i="1" s="1"/>
  <c r="CI438" i="1"/>
  <c r="CJ438" i="1" s="1"/>
  <c r="BW438" i="1"/>
  <c r="BX438" i="1" s="1"/>
  <c r="D438" i="1"/>
  <c r="C438" i="1"/>
  <c r="B438" i="1"/>
  <c r="A438" i="1"/>
  <c r="FI437" i="1"/>
  <c r="CI437" i="1"/>
  <c r="CJ437" i="1" s="1"/>
  <c r="BW437" i="1"/>
  <c r="BX437" i="1" s="1"/>
  <c r="AM437" i="1"/>
  <c r="AN437" i="1" s="1"/>
  <c r="D437" i="1"/>
  <c r="C437" i="1"/>
  <c r="B437" i="1"/>
  <c r="A437" i="1"/>
  <c r="FI436" i="1"/>
  <c r="CI436" i="1"/>
  <c r="CJ436" i="1" s="1"/>
  <c r="BW436" i="1"/>
  <c r="BX436" i="1" s="1"/>
  <c r="D436" i="1"/>
  <c r="C436" i="1"/>
  <c r="B436" i="1"/>
  <c r="A436" i="1"/>
  <c r="FI435" i="1"/>
  <c r="O435" i="1"/>
  <c r="P435" i="1" s="1"/>
  <c r="FH435" i="1" s="1"/>
  <c r="FJ435" i="1" s="1"/>
  <c r="D435" i="1"/>
  <c r="C435" i="1"/>
  <c r="B435" i="1"/>
  <c r="A435" i="1"/>
  <c r="FI434" i="1"/>
  <c r="O434" i="1"/>
  <c r="P434" i="1" s="1"/>
  <c r="FH434" i="1" s="1"/>
  <c r="D434" i="1"/>
  <c r="C434" i="1"/>
  <c r="B434" i="1"/>
  <c r="A434" i="1"/>
  <c r="FI433" i="1"/>
  <c r="CV433" i="1"/>
  <c r="CU433" i="1"/>
  <c r="CI433" i="1"/>
  <c r="CJ433" i="1" s="1"/>
  <c r="BW433" i="1"/>
  <c r="BX433" i="1" s="1"/>
  <c r="D433" i="1"/>
  <c r="C433" i="1"/>
  <c r="B433" i="1"/>
  <c r="A433" i="1"/>
  <c r="CH432" i="1"/>
  <c r="BV432" i="1"/>
  <c r="AR432" i="1"/>
  <c r="AG432" i="1"/>
  <c r="AH432" i="1" s="1"/>
  <c r="M432" i="1"/>
  <c r="L432" i="1"/>
  <c r="D432" i="1"/>
  <c r="C432" i="1"/>
  <c r="B432" i="1"/>
  <c r="A432" i="1"/>
  <c r="FI431" i="1"/>
  <c r="CI431" i="1"/>
  <c r="CJ431" i="1" s="1"/>
  <c r="BW431" i="1"/>
  <c r="BX431" i="1" s="1"/>
  <c r="BE431" i="1"/>
  <c r="BF431" i="1" s="1"/>
  <c r="L431" i="1"/>
  <c r="D431" i="1"/>
  <c r="C431" i="1"/>
  <c r="B431" i="1"/>
  <c r="A431" i="1"/>
  <c r="FI430" i="1"/>
  <c r="CI430" i="1"/>
  <c r="CJ430" i="1" s="1"/>
  <c r="BW430" i="1"/>
  <c r="BX430" i="1" s="1"/>
  <c r="BE430" i="1"/>
  <c r="BF430" i="1" s="1"/>
  <c r="L430" i="1"/>
  <c r="D430" i="1"/>
  <c r="C430" i="1"/>
  <c r="B430" i="1"/>
  <c r="A430" i="1"/>
  <c r="CH429" i="1"/>
  <c r="BV429" i="1"/>
  <c r="AR429" i="1"/>
  <c r="AM429" i="1"/>
  <c r="AN429" i="1" s="1"/>
  <c r="M429" i="1"/>
  <c r="L429" i="1"/>
  <c r="D429" i="1"/>
  <c r="C429" i="1"/>
  <c r="B429" i="1"/>
  <c r="A429" i="1"/>
  <c r="BW428" i="1"/>
  <c r="BX428" i="1" s="1"/>
  <c r="AG428" i="1"/>
  <c r="AH428" i="1" s="1"/>
  <c r="M428" i="1"/>
  <c r="L428" i="1"/>
  <c r="D428" i="1"/>
  <c r="C428" i="1"/>
  <c r="B428" i="1"/>
  <c r="A428" i="1"/>
  <c r="FI427" i="1"/>
  <c r="AG427" i="1"/>
  <c r="AH427" i="1" s="1"/>
  <c r="FH427" i="1" s="1"/>
  <c r="FJ427" i="1" s="1"/>
  <c r="L427" i="1"/>
  <c r="D427" i="1"/>
  <c r="C427" i="1"/>
  <c r="B427" i="1"/>
  <c r="A427" i="1"/>
  <c r="CI426" i="1"/>
  <c r="CJ426" i="1" s="1"/>
  <c r="BV426" i="1"/>
  <c r="AM426" i="1"/>
  <c r="AN426" i="1" s="1"/>
  <c r="L426" i="1"/>
  <c r="D426" i="1"/>
  <c r="C426" i="1"/>
  <c r="B426" i="1"/>
  <c r="A426" i="1"/>
  <c r="FI425" i="1"/>
  <c r="CI425" i="1"/>
  <c r="CJ425" i="1" s="1"/>
  <c r="CC425" i="1"/>
  <c r="CD425" i="1" s="1"/>
  <c r="BW425" i="1"/>
  <c r="BX425" i="1" s="1"/>
  <c r="AG425" i="1"/>
  <c r="AH425" i="1" s="1"/>
  <c r="L425" i="1"/>
  <c r="D425" i="1"/>
  <c r="C425" i="1"/>
  <c r="B425" i="1"/>
  <c r="A425" i="1"/>
  <c r="AM424" i="1"/>
  <c r="AN424" i="1" s="1"/>
  <c r="AG424" i="1"/>
  <c r="AH424" i="1" s="1"/>
  <c r="M424" i="1"/>
  <c r="L424" i="1"/>
  <c r="D424" i="1"/>
  <c r="C424" i="1"/>
  <c r="B424" i="1"/>
  <c r="A424" i="1"/>
  <c r="CI423" i="1"/>
  <c r="CJ423" i="1" s="1"/>
  <c r="BW423" i="1"/>
  <c r="BX423" i="1" s="1"/>
  <c r="BQ423" i="1"/>
  <c r="BR423" i="1" s="1"/>
  <c r="AR423" i="1"/>
  <c r="AM423" i="1"/>
  <c r="AN423" i="1" s="1"/>
  <c r="AG423" i="1"/>
  <c r="AH423" i="1" s="1"/>
  <c r="U423" i="1"/>
  <c r="V423" i="1" s="1"/>
  <c r="M423" i="1"/>
  <c r="L423" i="1"/>
  <c r="D423" i="1"/>
  <c r="C423" i="1"/>
  <c r="B423" i="1"/>
  <c r="A423" i="1"/>
  <c r="DA422" i="1"/>
  <c r="DB422" i="1" s="1"/>
  <c r="CI422" i="1"/>
  <c r="CJ422" i="1" s="1"/>
  <c r="BW422" i="1"/>
  <c r="BX422" i="1" s="1"/>
  <c r="AY422" i="1"/>
  <c r="AZ422" i="1" s="1"/>
  <c r="AS422" i="1"/>
  <c r="AT422" i="1" s="1"/>
  <c r="AM422" i="1"/>
  <c r="AN422" i="1" s="1"/>
  <c r="AG422" i="1"/>
  <c r="AH422" i="1" s="1"/>
  <c r="M422" i="1"/>
  <c r="L422" i="1"/>
  <c r="D422" i="1"/>
  <c r="C422" i="1"/>
  <c r="B422" i="1"/>
  <c r="A422" i="1"/>
  <c r="DA421" i="1"/>
  <c r="DB421" i="1" s="1"/>
  <c r="CI421" i="1"/>
  <c r="CJ421" i="1" s="1"/>
  <c r="BW421" i="1"/>
  <c r="BX421" i="1" s="1"/>
  <c r="BQ421" i="1"/>
  <c r="BR421" i="1" s="1"/>
  <c r="AY421" i="1"/>
  <c r="AZ421" i="1" s="1"/>
  <c r="AS421" i="1"/>
  <c r="AT421" i="1" s="1"/>
  <c r="AM421" i="1"/>
  <c r="AN421" i="1" s="1"/>
  <c r="U421" i="1"/>
  <c r="V421" i="1" s="1"/>
  <c r="M421" i="1"/>
  <c r="L421" i="1"/>
  <c r="D421" i="1"/>
  <c r="C421" i="1"/>
  <c r="B421" i="1"/>
  <c r="A421" i="1"/>
  <c r="FI420" i="1"/>
  <c r="U420" i="1"/>
  <c r="V420" i="1" s="1"/>
  <c r="FH420" i="1" s="1"/>
  <c r="FJ420" i="1" s="1"/>
  <c r="L420" i="1"/>
  <c r="D420" i="1"/>
  <c r="C420" i="1"/>
  <c r="B420" i="1"/>
  <c r="A420" i="1"/>
  <c r="FI419" i="1"/>
  <c r="DM419" i="1"/>
  <c r="DN419" i="1" s="1"/>
  <c r="U419" i="1"/>
  <c r="V419" i="1" s="1"/>
  <c r="FH419" i="1" s="1"/>
  <c r="FJ419" i="1" s="1"/>
  <c r="L419" i="1"/>
  <c r="D419" i="1"/>
  <c r="C419" i="1"/>
  <c r="B419" i="1"/>
  <c r="A419" i="1"/>
  <c r="CI418" i="1"/>
  <c r="CJ418" i="1" s="1"/>
  <c r="BW418" i="1"/>
  <c r="BX418" i="1" s="1"/>
  <c r="BQ418" i="1"/>
  <c r="BR418" i="1" s="1"/>
  <c r="AS418" i="1"/>
  <c r="AT418" i="1" s="1"/>
  <c r="AM418" i="1"/>
  <c r="AN418" i="1" s="1"/>
  <c r="M418" i="1"/>
  <c r="L418" i="1"/>
  <c r="D418" i="1"/>
  <c r="C418" i="1"/>
  <c r="B418" i="1"/>
  <c r="A418" i="1"/>
  <c r="FI417" i="1"/>
  <c r="BW417" i="1"/>
  <c r="BX417" i="1" s="1"/>
  <c r="BQ417" i="1"/>
  <c r="BR417" i="1" s="1"/>
  <c r="AS417" i="1"/>
  <c r="AT417" i="1" s="1"/>
  <c r="FH417" i="1" s="1"/>
  <c r="FJ417" i="1" s="1"/>
  <c r="L417" i="1"/>
  <c r="D417" i="1"/>
  <c r="C417" i="1"/>
  <c r="B417" i="1"/>
  <c r="A417" i="1"/>
  <c r="BV416" i="1"/>
  <c r="AS416" i="1"/>
  <c r="AT416" i="1" s="1"/>
  <c r="M416" i="1"/>
  <c r="L416" i="1"/>
  <c r="D416" i="1"/>
  <c r="C416" i="1"/>
  <c r="B416" i="1"/>
  <c r="A416" i="1"/>
  <c r="FI415" i="1"/>
  <c r="DA415" i="1"/>
  <c r="DB415" i="1" s="1"/>
  <c r="CI415" i="1"/>
  <c r="CJ415" i="1" s="1"/>
  <c r="BW415" i="1"/>
  <c r="BX415" i="1" s="1"/>
  <c r="D415" i="1"/>
  <c r="C415" i="1"/>
  <c r="B415" i="1"/>
  <c r="A415" i="1"/>
  <c r="CH414" i="1"/>
  <c r="BV414" i="1"/>
  <c r="L414" i="1"/>
  <c r="D414" i="1"/>
  <c r="C414" i="1"/>
  <c r="B414" i="1"/>
  <c r="A414" i="1"/>
  <c r="DA413" i="1"/>
  <c r="DB413" i="1" s="1"/>
  <c r="BW413" i="1"/>
  <c r="BX413" i="1" s="1"/>
  <c r="AH413" i="1"/>
  <c r="O413" i="1"/>
  <c r="P413" i="1" s="1"/>
  <c r="M413" i="1"/>
  <c r="L413" i="1"/>
  <c r="D413" i="1"/>
  <c r="C413" i="1"/>
  <c r="B413" i="1"/>
  <c r="A413" i="1"/>
  <c r="CI412" i="1"/>
  <c r="CJ412" i="1" s="1"/>
  <c r="BW412" i="1"/>
  <c r="BX412" i="1" s="1"/>
  <c r="AS412" i="1"/>
  <c r="AT412" i="1" s="1"/>
  <c r="AM412" i="1"/>
  <c r="AN412" i="1" s="1"/>
  <c r="AG412" i="1"/>
  <c r="AH412" i="1" s="1"/>
  <c r="M412" i="1"/>
  <c r="L412" i="1"/>
  <c r="D412" i="1"/>
  <c r="C412" i="1"/>
  <c r="B412" i="1"/>
  <c r="A412" i="1"/>
  <c r="CI411" i="1"/>
  <c r="CJ411" i="1" s="1"/>
  <c r="CC411" i="1"/>
  <c r="CD411" i="1" s="1"/>
  <c r="BW411" i="1"/>
  <c r="BX411" i="1" s="1"/>
  <c r="AH411" i="1"/>
  <c r="M411" i="1"/>
  <c r="L411" i="1"/>
  <c r="D411" i="1"/>
  <c r="C411" i="1"/>
  <c r="B411" i="1"/>
  <c r="A411" i="1"/>
  <c r="DA410" i="1"/>
  <c r="DB410" i="1" s="1"/>
  <c r="CU410" i="1"/>
  <c r="CV410" i="1" s="1"/>
  <c r="BW410" i="1"/>
  <c r="BX410" i="1" s="1"/>
  <c r="AR410" i="1"/>
  <c r="AL410" i="1"/>
  <c r="AG410" i="1"/>
  <c r="AH410" i="1" s="1"/>
  <c r="M410" i="1"/>
  <c r="L410" i="1"/>
  <c r="D410" i="1"/>
  <c r="C410" i="1"/>
  <c r="B410" i="1"/>
  <c r="A410" i="1"/>
  <c r="CI409" i="1"/>
  <c r="CJ409" i="1" s="1"/>
  <c r="CC409" i="1"/>
  <c r="CD409" i="1" s="1"/>
  <c r="BW409" i="1"/>
  <c r="BX409" i="1" s="1"/>
  <c r="AS409" i="1"/>
  <c r="AT409" i="1" s="1"/>
  <c r="AM409" i="1"/>
  <c r="AN409" i="1" s="1"/>
  <c r="AG409" i="1"/>
  <c r="AH409" i="1" s="1"/>
  <c r="M409" i="1"/>
  <c r="L409" i="1"/>
  <c r="D409" i="1"/>
  <c r="C409" i="1"/>
  <c r="B409" i="1"/>
  <c r="A409" i="1"/>
  <c r="FI408" i="1"/>
  <c r="CI408" i="1"/>
  <c r="CJ408" i="1" s="1"/>
  <c r="BW408" i="1"/>
  <c r="BX408" i="1" s="1"/>
  <c r="AS408" i="1"/>
  <c r="AT408" i="1" s="1"/>
  <c r="AM408" i="1"/>
  <c r="AN408" i="1" s="1"/>
  <c r="AG408" i="1"/>
  <c r="AH408" i="1" s="1"/>
  <c r="L408" i="1"/>
  <c r="D408" i="1"/>
  <c r="C408" i="1"/>
  <c r="B408" i="1"/>
  <c r="A408" i="1"/>
  <c r="CU407" i="1"/>
  <c r="CV407" i="1" s="1"/>
  <c r="AB407" i="1"/>
  <c r="M407" i="1"/>
  <c r="L407" i="1"/>
  <c r="D407" i="1"/>
  <c r="C407" i="1"/>
  <c r="B407" i="1"/>
  <c r="A407" i="1"/>
  <c r="CI406" i="1"/>
  <c r="CJ406" i="1" s="1"/>
  <c r="BW406" i="1"/>
  <c r="BX406" i="1" s="1"/>
  <c r="AH406" i="1"/>
  <c r="M406" i="1"/>
  <c r="L406" i="1"/>
  <c r="D406" i="1"/>
  <c r="C406" i="1"/>
  <c r="B406" i="1"/>
  <c r="A406" i="1"/>
  <c r="FI405" i="1"/>
  <c r="BQ405" i="1"/>
  <c r="BR405" i="1" s="1"/>
  <c r="AS405" i="1"/>
  <c r="AT405" i="1" s="1"/>
  <c r="U405" i="1"/>
  <c r="V405" i="1" s="1"/>
  <c r="L405" i="1"/>
  <c r="D405" i="1"/>
  <c r="C405" i="1"/>
  <c r="B405" i="1"/>
  <c r="A405" i="1"/>
  <c r="FI404" i="1"/>
  <c r="BQ404" i="1"/>
  <c r="BR404" i="1" s="1"/>
  <c r="AS404" i="1"/>
  <c r="AT404" i="1" s="1"/>
  <c r="U404" i="1"/>
  <c r="V404" i="1" s="1"/>
  <c r="FH404" i="1" s="1"/>
  <c r="FJ404" i="1" s="1"/>
  <c r="L404" i="1"/>
  <c r="D404" i="1"/>
  <c r="C404" i="1"/>
  <c r="B404" i="1"/>
  <c r="A404" i="1"/>
  <c r="FI403" i="1"/>
  <c r="CI403" i="1"/>
  <c r="CJ403" i="1" s="1"/>
  <c r="BW403" i="1"/>
  <c r="BX403" i="1" s="1"/>
  <c r="FH403" i="1" s="1"/>
  <c r="FJ403" i="1" s="1"/>
  <c r="D403" i="1"/>
  <c r="C403" i="1"/>
  <c r="B403" i="1"/>
  <c r="A403" i="1"/>
  <c r="CI402" i="1"/>
  <c r="CJ402" i="1" s="1"/>
  <c r="BW402" i="1"/>
  <c r="BX402" i="1" s="1"/>
  <c r="AR402" i="1"/>
  <c r="AM402" i="1"/>
  <c r="AN402" i="1" s="1"/>
  <c r="L402" i="1"/>
  <c r="D402" i="1"/>
  <c r="C402" i="1"/>
  <c r="B402" i="1"/>
  <c r="A402" i="1"/>
  <c r="DA401" i="1"/>
  <c r="DB401" i="1" s="1"/>
  <c r="CI401" i="1"/>
  <c r="CJ401" i="1" s="1"/>
  <c r="CC401" i="1"/>
  <c r="CD401" i="1" s="1"/>
  <c r="BW401" i="1"/>
  <c r="BX401" i="1" s="1"/>
  <c r="AY401" i="1"/>
  <c r="AZ401" i="1" s="1"/>
  <c r="AS401" i="1"/>
  <c r="AT401" i="1" s="1"/>
  <c r="AM401" i="1"/>
  <c r="AN401" i="1" s="1"/>
  <c r="AG401" i="1"/>
  <c r="AH401" i="1" s="1"/>
  <c r="M401" i="1"/>
  <c r="L401" i="1"/>
  <c r="D401" i="1"/>
  <c r="C401" i="1"/>
  <c r="B401" i="1"/>
  <c r="A401" i="1"/>
  <c r="CI400" i="1"/>
  <c r="CJ400" i="1" s="1"/>
  <c r="BW400" i="1"/>
  <c r="BX400" i="1" s="1"/>
  <c r="AX400" i="1"/>
  <c r="AR400" i="1"/>
  <c r="AM400" i="1"/>
  <c r="AN400" i="1" s="1"/>
  <c r="AG400" i="1"/>
  <c r="AH400" i="1" s="1"/>
  <c r="M400" i="1"/>
  <c r="L400" i="1"/>
  <c r="D400" i="1"/>
  <c r="C400" i="1"/>
  <c r="B400" i="1"/>
  <c r="A400" i="1"/>
  <c r="BW399" i="1"/>
  <c r="BX399" i="1" s="1"/>
  <c r="AS399" i="1"/>
  <c r="AT399" i="1" s="1"/>
  <c r="AM399" i="1"/>
  <c r="AN399" i="1" s="1"/>
  <c r="AG399" i="1"/>
  <c r="AH399" i="1" s="1"/>
  <c r="M399" i="1"/>
  <c r="L399" i="1"/>
  <c r="D399" i="1"/>
  <c r="C399" i="1"/>
  <c r="B399" i="1"/>
  <c r="A399" i="1"/>
  <c r="FI398" i="1"/>
  <c r="CI398" i="1"/>
  <c r="CJ398" i="1" s="1"/>
  <c r="BW398" i="1"/>
  <c r="BX398" i="1" s="1"/>
  <c r="AS398" i="1"/>
  <c r="AT398" i="1" s="1"/>
  <c r="AM398" i="1"/>
  <c r="AN398" i="1" s="1"/>
  <c r="AG398" i="1"/>
  <c r="AH398" i="1" s="1"/>
  <c r="D398" i="1"/>
  <c r="C398" i="1"/>
  <c r="B398" i="1"/>
  <c r="A398" i="1"/>
  <c r="FI397" i="1"/>
  <c r="CI397" i="1"/>
  <c r="CJ397" i="1" s="1"/>
  <c r="BW397" i="1"/>
  <c r="BX397" i="1" s="1"/>
  <c r="AS397" i="1"/>
  <c r="AT397" i="1" s="1"/>
  <c r="AM397" i="1"/>
  <c r="AN397" i="1" s="1"/>
  <c r="FH397" i="1" s="1"/>
  <c r="FJ397" i="1" s="1"/>
  <c r="L397" i="1"/>
  <c r="D397" i="1"/>
  <c r="C397" i="1"/>
  <c r="B397" i="1"/>
  <c r="A397" i="1"/>
  <c r="CI396" i="1"/>
  <c r="CJ396" i="1" s="1"/>
  <c r="BW396" i="1"/>
  <c r="BX396" i="1" s="1"/>
  <c r="M396" i="1"/>
  <c r="L396" i="1"/>
  <c r="D396" i="1"/>
  <c r="C396" i="1"/>
  <c r="B396" i="1"/>
  <c r="A396" i="1"/>
  <c r="FI395" i="1"/>
  <c r="CI395" i="1"/>
  <c r="CJ395" i="1" s="1"/>
  <c r="BW395" i="1"/>
  <c r="BX395" i="1" s="1"/>
  <c r="AA395" i="1"/>
  <c r="AB395" i="1" s="1"/>
  <c r="L395" i="1"/>
  <c r="D395" i="1"/>
  <c r="C395" i="1"/>
  <c r="B395" i="1"/>
  <c r="A395" i="1"/>
  <c r="FI394" i="1"/>
  <c r="CI394" i="1"/>
  <c r="CJ394" i="1" s="1"/>
  <c r="BW394" i="1"/>
  <c r="BX394" i="1" s="1"/>
  <c r="AA394" i="1"/>
  <c r="AB394" i="1" s="1"/>
  <c r="L394" i="1"/>
  <c r="D394" i="1"/>
  <c r="C394" i="1"/>
  <c r="B394" i="1"/>
  <c r="A394" i="1"/>
  <c r="BQ393" i="1"/>
  <c r="BR393" i="1" s="1"/>
  <c r="M393" i="1"/>
  <c r="L393" i="1"/>
  <c r="D393" i="1"/>
  <c r="C393" i="1"/>
  <c r="B393" i="1"/>
  <c r="A393" i="1"/>
  <c r="FI392" i="1"/>
  <c r="CI392" i="1"/>
  <c r="CJ392" i="1" s="1"/>
  <c r="BW392" i="1"/>
  <c r="BX392" i="1" s="1"/>
  <c r="L392" i="1"/>
  <c r="D392" i="1"/>
  <c r="C392" i="1"/>
  <c r="B392" i="1"/>
  <c r="A392" i="1"/>
  <c r="CI391" i="1"/>
  <c r="CJ391" i="1" s="1"/>
  <c r="BW391" i="1"/>
  <c r="BX391" i="1" s="1"/>
  <c r="M391" i="1"/>
  <c r="L391" i="1"/>
  <c r="D391" i="1"/>
  <c r="C391" i="1"/>
  <c r="B391" i="1"/>
  <c r="A391" i="1"/>
  <c r="CI390" i="1"/>
  <c r="CJ390" i="1" s="1"/>
  <c r="BW390" i="1"/>
  <c r="BX390" i="1" s="1"/>
  <c r="M390" i="1"/>
  <c r="L390" i="1"/>
  <c r="D390" i="1"/>
  <c r="C390" i="1"/>
  <c r="B390" i="1"/>
  <c r="A390" i="1"/>
  <c r="FI389" i="1"/>
  <c r="CI389" i="1"/>
  <c r="CJ389" i="1" s="1"/>
  <c r="BW389" i="1"/>
  <c r="BX389" i="1" s="1"/>
  <c r="L389" i="1"/>
  <c r="D389" i="1"/>
  <c r="C389" i="1"/>
  <c r="B389" i="1"/>
  <c r="A389" i="1"/>
  <c r="FI388" i="1"/>
  <c r="CI388" i="1"/>
  <c r="CJ388" i="1" s="1"/>
  <c r="BW388" i="1"/>
  <c r="BX388" i="1" s="1"/>
  <c r="L388" i="1"/>
  <c r="D388" i="1"/>
  <c r="C388" i="1"/>
  <c r="B388" i="1"/>
  <c r="A388" i="1"/>
  <c r="M387" i="1"/>
  <c r="L387" i="1"/>
  <c r="D387" i="1"/>
  <c r="C387" i="1"/>
  <c r="B387" i="1"/>
  <c r="A387" i="1"/>
  <c r="M386" i="1"/>
  <c r="L386" i="1"/>
  <c r="D386" i="1"/>
  <c r="C386" i="1"/>
  <c r="B386" i="1"/>
  <c r="A386" i="1"/>
  <c r="FI385" i="1"/>
  <c r="CI385" i="1"/>
  <c r="CJ385" i="1" s="1"/>
  <c r="BW385" i="1"/>
  <c r="BX385" i="1" s="1"/>
  <c r="L385" i="1"/>
  <c r="D385" i="1"/>
  <c r="C385" i="1"/>
  <c r="B385" i="1"/>
  <c r="A385" i="1"/>
  <c r="FI384" i="1"/>
  <c r="CI384" i="1"/>
  <c r="CJ384" i="1" s="1"/>
  <c r="BW384" i="1"/>
  <c r="BX384" i="1" s="1"/>
  <c r="L384" i="1"/>
  <c r="D384" i="1"/>
  <c r="C384" i="1"/>
  <c r="B384" i="1"/>
  <c r="A384" i="1"/>
  <c r="FI383" i="1"/>
  <c r="CI383" i="1"/>
  <c r="CJ383" i="1" s="1"/>
  <c r="BW383" i="1"/>
  <c r="BX383" i="1" s="1"/>
  <c r="L383" i="1"/>
  <c r="D383" i="1"/>
  <c r="C383" i="1"/>
  <c r="B383" i="1"/>
  <c r="A383" i="1"/>
  <c r="CI382" i="1"/>
  <c r="CJ382" i="1" s="1"/>
  <c r="BW382" i="1"/>
  <c r="BX382" i="1" s="1"/>
  <c r="M382" i="1"/>
  <c r="L382" i="1"/>
  <c r="D382" i="1"/>
  <c r="C382" i="1"/>
  <c r="B382" i="1"/>
  <c r="A382" i="1"/>
  <c r="FI381" i="1"/>
  <c r="CI381" i="1"/>
  <c r="CJ381" i="1" s="1"/>
  <c r="BW381" i="1"/>
  <c r="BX381" i="1" s="1"/>
  <c r="L381" i="1"/>
  <c r="D381" i="1"/>
  <c r="C381" i="1"/>
  <c r="B381" i="1"/>
  <c r="A381" i="1"/>
  <c r="CI380" i="1"/>
  <c r="CJ380" i="1" s="1"/>
  <c r="BW380" i="1"/>
  <c r="BX380" i="1" s="1"/>
  <c r="M380" i="1"/>
  <c r="L380" i="1"/>
  <c r="D380" i="1"/>
  <c r="C380" i="1"/>
  <c r="B380" i="1"/>
  <c r="A380" i="1"/>
  <c r="CI379" i="1"/>
  <c r="CJ379" i="1" s="1"/>
  <c r="BW379" i="1"/>
  <c r="BX379" i="1" s="1"/>
  <c r="M379" i="1"/>
  <c r="L379" i="1"/>
  <c r="D379" i="1"/>
  <c r="C379" i="1"/>
  <c r="B379" i="1"/>
  <c r="A379" i="1"/>
  <c r="CI378" i="1"/>
  <c r="CJ378" i="1" s="1"/>
  <c r="BW378" i="1"/>
  <c r="BX378" i="1" s="1"/>
  <c r="AS378" i="1"/>
  <c r="AT378" i="1" s="1"/>
  <c r="AM378" i="1"/>
  <c r="AN378" i="1" s="1"/>
  <c r="M378" i="1"/>
  <c r="L378" i="1"/>
  <c r="D378" i="1"/>
  <c r="C378" i="1"/>
  <c r="B378" i="1"/>
  <c r="A378" i="1"/>
  <c r="FI377" i="1"/>
  <c r="U377" i="1"/>
  <c r="V377" i="1" s="1"/>
  <c r="FH377" i="1" s="1"/>
  <c r="L377" i="1"/>
  <c r="D377" i="1"/>
  <c r="C377" i="1"/>
  <c r="B377" i="1"/>
  <c r="A377" i="1"/>
  <c r="FI376" i="1"/>
  <c r="CI376" i="1"/>
  <c r="CJ376" i="1" s="1"/>
  <c r="BW376" i="1"/>
  <c r="BX376" i="1" s="1"/>
  <c r="AH376" i="1"/>
  <c r="D376" i="1"/>
  <c r="C376" i="1"/>
  <c r="B376" i="1"/>
  <c r="A376" i="1"/>
  <c r="FI375" i="1"/>
  <c r="CU375" i="1"/>
  <c r="CV375" i="1" s="1"/>
  <c r="V375" i="1"/>
  <c r="L375" i="1"/>
  <c r="D375" i="1"/>
  <c r="C375" i="1"/>
  <c r="B375" i="1"/>
  <c r="A375" i="1"/>
  <c r="DA374" i="1"/>
  <c r="DB374" i="1" s="1"/>
  <c r="CU374" i="1"/>
  <c r="CV374" i="1" s="1"/>
  <c r="CI374" i="1"/>
  <c r="CJ374" i="1" s="1"/>
  <c r="BW374" i="1"/>
  <c r="BX374" i="1" s="1"/>
  <c r="AM374" i="1"/>
  <c r="AN374" i="1" s="1"/>
  <c r="M374" i="1"/>
  <c r="L374" i="1"/>
  <c r="D374" i="1"/>
  <c r="C374" i="1"/>
  <c r="B374" i="1"/>
  <c r="A374" i="1"/>
  <c r="FI373" i="1"/>
  <c r="DA373" i="1"/>
  <c r="DB373" i="1" s="1"/>
  <c r="CU373" i="1"/>
  <c r="CV373" i="1" s="1"/>
  <c r="CI373" i="1"/>
  <c r="CJ373" i="1" s="1"/>
  <c r="BW373" i="1"/>
  <c r="BX373" i="1" s="1"/>
  <c r="AM373" i="1"/>
  <c r="AN373" i="1" s="1"/>
  <c r="AG373" i="1"/>
  <c r="AH373" i="1" s="1"/>
  <c r="L373" i="1"/>
  <c r="D373" i="1"/>
  <c r="C373" i="1"/>
  <c r="B373" i="1"/>
  <c r="A373" i="1"/>
  <c r="FI372" i="1"/>
  <c r="DA372" i="1"/>
  <c r="DB372" i="1" s="1"/>
  <c r="CU372" i="1"/>
  <c r="CV372" i="1" s="1"/>
  <c r="CI372" i="1"/>
  <c r="CJ372" i="1" s="1"/>
  <c r="BW372" i="1"/>
  <c r="BX372" i="1" s="1"/>
  <c r="AM372" i="1"/>
  <c r="AN372" i="1" s="1"/>
  <c r="AG372" i="1"/>
  <c r="AH372" i="1" s="1"/>
  <c r="L372" i="1"/>
  <c r="D372" i="1"/>
  <c r="C372" i="1"/>
  <c r="B372" i="1"/>
  <c r="A372" i="1"/>
  <c r="FI371" i="1"/>
  <c r="DA371" i="1"/>
  <c r="DB371" i="1" s="1"/>
  <c r="CU371" i="1"/>
  <c r="CV371" i="1" s="1"/>
  <c r="CI371" i="1"/>
  <c r="CJ371" i="1" s="1"/>
  <c r="BW371" i="1"/>
  <c r="BX371" i="1" s="1"/>
  <c r="AM371" i="1"/>
  <c r="AN371" i="1" s="1"/>
  <c r="AG371" i="1"/>
  <c r="AH371" i="1" s="1"/>
  <c r="L371" i="1"/>
  <c r="D371" i="1"/>
  <c r="C371" i="1"/>
  <c r="B371" i="1"/>
  <c r="A371" i="1"/>
  <c r="FI370" i="1"/>
  <c r="DA370" i="1"/>
  <c r="DB370" i="1" s="1"/>
  <c r="CU370" i="1"/>
  <c r="CV370" i="1" s="1"/>
  <c r="CI370" i="1"/>
  <c r="CJ370" i="1" s="1"/>
  <c r="BW370" i="1"/>
  <c r="BX370" i="1" s="1"/>
  <c r="AM370" i="1"/>
  <c r="AN370" i="1" s="1"/>
  <c r="AG370" i="1"/>
  <c r="AH370" i="1" s="1"/>
  <c r="L370" i="1"/>
  <c r="D370" i="1"/>
  <c r="C370" i="1"/>
  <c r="B370" i="1"/>
  <c r="A370" i="1"/>
  <c r="FI369" i="1"/>
  <c r="DA369" i="1"/>
  <c r="DB369" i="1" s="1"/>
  <c r="CU369" i="1"/>
  <c r="CV369" i="1" s="1"/>
  <c r="CI369" i="1"/>
  <c r="CJ369" i="1" s="1"/>
  <c r="BW369" i="1"/>
  <c r="BX369" i="1" s="1"/>
  <c r="AM369" i="1"/>
  <c r="AN369" i="1" s="1"/>
  <c r="AG369" i="1"/>
  <c r="AH369" i="1" s="1"/>
  <c r="L369" i="1"/>
  <c r="D369" i="1"/>
  <c r="C369" i="1"/>
  <c r="B369" i="1"/>
  <c r="A369" i="1"/>
  <c r="CU368" i="1"/>
  <c r="CV368" i="1" s="1"/>
  <c r="CI368" i="1"/>
  <c r="CJ368" i="1" s="1"/>
  <c r="BW368" i="1"/>
  <c r="BX368" i="1" s="1"/>
  <c r="AM368" i="1"/>
  <c r="AN368" i="1" s="1"/>
  <c r="AG368" i="1"/>
  <c r="AH368" i="1" s="1"/>
  <c r="M368" i="1"/>
  <c r="L368" i="1"/>
  <c r="D368" i="1"/>
  <c r="C368" i="1"/>
  <c r="B368" i="1"/>
  <c r="A368" i="1"/>
  <c r="FI367" i="1"/>
  <c r="DA367" i="1"/>
  <c r="DB367" i="1" s="1"/>
  <c r="CU367" i="1"/>
  <c r="CV367" i="1" s="1"/>
  <c r="CI367" i="1"/>
  <c r="CJ367" i="1" s="1"/>
  <c r="BW367" i="1"/>
  <c r="BX367" i="1" s="1"/>
  <c r="AM367" i="1"/>
  <c r="AN367" i="1" s="1"/>
  <c r="AG367" i="1"/>
  <c r="AH367" i="1" s="1"/>
  <c r="FH367" i="1" s="1"/>
  <c r="FJ367" i="1" s="1"/>
  <c r="L367" i="1"/>
  <c r="D367" i="1"/>
  <c r="C367" i="1"/>
  <c r="B367" i="1"/>
  <c r="A367" i="1"/>
  <c r="CI366" i="1"/>
  <c r="CJ366" i="1" s="1"/>
  <c r="BW366" i="1"/>
  <c r="BX366" i="1" s="1"/>
  <c r="AM366" i="1"/>
  <c r="AN366" i="1" s="1"/>
  <c r="M366" i="1"/>
  <c r="L366" i="1"/>
  <c r="D366" i="1"/>
  <c r="C366" i="1"/>
  <c r="B366" i="1"/>
  <c r="A366" i="1"/>
  <c r="BK365" i="1"/>
  <c r="BL365" i="1" s="1"/>
  <c r="AH365" i="1"/>
  <c r="O365" i="1"/>
  <c r="P365" i="1" s="1"/>
  <c r="M365" i="1"/>
  <c r="L365" i="1"/>
  <c r="D365" i="1"/>
  <c r="C365" i="1"/>
  <c r="B365" i="1"/>
  <c r="A365" i="1"/>
  <c r="FI364" i="1"/>
  <c r="BK364" i="1"/>
  <c r="BL364" i="1" s="1"/>
  <c r="AH364" i="1"/>
  <c r="O364" i="1"/>
  <c r="P364" i="1" s="1"/>
  <c r="L364" i="1"/>
  <c r="D364" i="1"/>
  <c r="C364" i="1"/>
  <c r="B364" i="1"/>
  <c r="A364" i="1"/>
  <c r="AH363" i="1"/>
  <c r="O363" i="1"/>
  <c r="P363" i="1" s="1"/>
  <c r="M363" i="1"/>
  <c r="L363" i="1"/>
  <c r="D363" i="1"/>
  <c r="C363" i="1"/>
  <c r="B363" i="1"/>
  <c r="A363" i="1"/>
  <c r="FI362" i="1"/>
  <c r="AH362" i="1"/>
  <c r="FH362" i="1" s="1"/>
  <c r="L362" i="1"/>
  <c r="D362" i="1"/>
  <c r="C362" i="1"/>
  <c r="B362" i="1"/>
  <c r="A362" i="1"/>
  <c r="FI361" i="1"/>
  <c r="AH361" i="1"/>
  <c r="O361" i="1"/>
  <c r="P361" i="1" s="1"/>
  <c r="L361" i="1"/>
  <c r="D361" i="1"/>
  <c r="C361" i="1"/>
  <c r="B361" i="1"/>
  <c r="A361" i="1"/>
  <c r="FI360" i="1"/>
  <c r="BK360" i="1"/>
  <c r="BL360" i="1" s="1"/>
  <c r="AH360" i="1"/>
  <c r="O360" i="1"/>
  <c r="P360" i="1" s="1"/>
  <c r="L360" i="1"/>
  <c r="D360" i="1"/>
  <c r="C360" i="1"/>
  <c r="B360" i="1"/>
  <c r="A360" i="1"/>
  <c r="FI359" i="1"/>
  <c r="AH359" i="1"/>
  <c r="O359" i="1"/>
  <c r="P359" i="1" s="1"/>
  <c r="FH359" i="1" s="1"/>
  <c r="L359" i="1"/>
  <c r="D359" i="1"/>
  <c r="C359" i="1"/>
  <c r="B359" i="1"/>
  <c r="A359" i="1"/>
  <c r="AH358" i="1"/>
  <c r="O358" i="1"/>
  <c r="P358" i="1" s="1"/>
  <c r="M358" i="1"/>
  <c r="L358" i="1"/>
  <c r="D358" i="1"/>
  <c r="C358" i="1"/>
  <c r="B358" i="1"/>
  <c r="A358" i="1"/>
  <c r="FI357" i="1"/>
  <c r="BK357" i="1"/>
  <c r="BL357" i="1" s="1"/>
  <c r="AH357" i="1"/>
  <c r="O357" i="1"/>
  <c r="P357" i="1" s="1"/>
  <c r="FH357" i="1" s="1"/>
  <c r="FJ357" i="1" s="1"/>
  <c r="L357" i="1"/>
  <c r="D357" i="1"/>
  <c r="C357" i="1"/>
  <c r="B357" i="1"/>
  <c r="A357" i="1"/>
  <c r="FI356" i="1"/>
  <c r="BK356" i="1"/>
  <c r="BL356" i="1" s="1"/>
  <c r="AH356" i="1"/>
  <c r="O356" i="1"/>
  <c r="P356" i="1" s="1"/>
  <c r="L356" i="1"/>
  <c r="D356" i="1"/>
  <c r="C356" i="1"/>
  <c r="B356" i="1"/>
  <c r="A356" i="1"/>
  <c r="FI355" i="1"/>
  <c r="BK355" i="1"/>
  <c r="BL355" i="1" s="1"/>
  <c r="AH355" i="1"/>
  <c r="L355" i="1"/>
  <c r="D355" i="1"/>
  <c r="C355" i="1"/>
  <c r="B355" i="1"/>
  <c r="A355" i="1"/>
  <c r="FI354" i="1"/>
  <c r="BK354" i="1"/>
  <c r="BL354" i="1" s="1"/>
  <c r="AH354" i="1"/>
  <c r="O354" i="1"/>
  <c r="P354" i="1" s="1"/>
  <c r="L354" i="1"/>
  <c r="D354" i="1"/>
  <c r="C354" i="1"/>
  <c r="B354" i="1"/>
  <c r="A354" i="1"/>
  <c r="FI353" i="1"/>
  <c r="BK353" i="1"/>
  <c r="BL353" i="1" s="1"/>
  <c r="AH353" i="1"/>
  <c r="O353" i="1"/>
  <c r="P353" i="1" s="1"/>
  <c r="L353" i="1"/>
  <c r="D353" i="1"/>
  <c r="C353" i="1"/>
  <c r="B353" i="1"/>
  <c r="A353" i="1"/>
  <c r="CU352" i="1"/>
  <c r="CV352" i="1" s="1"/>
  <c r="CI352" i="1"/>
  <c r="CJ352" i="1" s="1"/>
  <c r="BW352" i="1"/>
  <c r="BX352" i="1" s="1"/>
  <c r="BP352" i="1"/>
  <c r="M352" i="1"/>
  <c r="L352" i="1"/>
  <c r="D352" i="1"/>
  <c r="C352" i="1"/>
  <c r="B352" i="1"/>
  <c r="A352" i="1"/>
  <c r="CI351" i="1"/>
  <c r="CJ351" i="1" s="1"/>
  <c r="BW351" i="1"/>
  <c r="BX351" i="1" s="1"/>
  <c r="O351" i="1"/>
  <c r="P351" i="1" s="1"/>
  <c r="M351" i="1"/>
  <c r="L351" i="1"/>
  <c r="D351" i="1"/>
  <c r="C351" i="1"/>
  <c r="B351" i="1"/>
  <c r="A351" i="1"/>
  <c r="CU350" i="1"/>
  <c r="CV350" i="1" s="1"/>
  <c r="BW350" i="1"/>
  <c r="BX350" i="1" s="1"/>
  <c r="AR350" i="1"/>
  <c r="M350" i="1"/>
  <c r="L350" i="1"/>
  <c r="D350" i="1"/>
  <c r="C350" i="1"/>
  <c r="B350" i="1"/>
  <c r="A350" i="1"/>
  <c r="DA349" i="1"/>
  <c r="DB349" i="1" s="1"/>
  <c r="CI349" i="1"/>
  <c r="CJ349" i="1" s="1"/>
  <c r="BW349" i="1"/>
  <c r="BX349" i="1" s="1"/>
  <c r="AS349" i="1"/>
  <c r="AT349" i="1" s="1"/>
  <c r="AL349" i="1"/>
  <c r="AG349" i="1"/>
  <c r="AH349" i="1" s="1"/>
  <c r="M349" i="1"/>
  <c r="L349" i="1"/>
  <c r="D349" i="1"/>
  <c r="C349" i="1"/>
  <c r="B349" i="1"/>
  <c r="A349" i="1"/>
  <c r="CI348" i="1"/>
  <c r="CJ348" i="1" s="1"/>
  <c r="BW348" i="1"/>
  <c r="BX348" i="1" s="1"/>
  <c r="AS348" i="1"/>
  <c r="AT348" i="1" s="1"/>
  <c r="AM348" i="1"/>
  <c r="AN348" i="1" s="1"/>
  <c r="AG348" i="1"/>
  <c r="AH348" i="1" s="1"/>
  <c r="M348" i="1"/>
  <c r="L348" i="1"/>
  <c r="D348" i="1"/>
  <c r="C348" i="1"/>
  <c r="B348" i="1"/>
  <c r="A348" i="1"/>
  <c r="DA347" i="1"/>
  <c r="DB347" i="1" s="1"/>
  <c r="CI347" i="1"/>
  <c r="CJ347" i="1" s="1"/>
  <c r="BW347" i="1"/>
  <c r="BX347" i="1" s="1"/>
  <c r="AS347" i="1"/>
  <c r="AT347" i="1" s="1"/>
  <c r="AM347" i="1"/>
  <c r="AN347" i="1" s="1"/>
  <c r="AG347" i="1"/>
  <c r="AH347" i="1" s="1"/>
  <c r="M347" i="1"/>
  <c r="L347" i="1"/>
  <c r="D347" i="1"/>
  <c r="C347" i="1"/>
  <c r="B347" i="1"/>
  <c r="A347" i="1"/>
  <c r="CI346" i="1"/>
  <c r="CJ346" i="1" s="1"/>
  <c r="BW346" i="1"/>
  <c r="BX346" i="1" s="1"/>
  <c r="BQ346" i="1"/>
  <c r="BR346" i="1" s="1"/>
  <c r="AS346" i="1"/>
  <c r="AT346" i="1" s="1"/>
  <c r="U346" i="1"/>
  <c r="V346" i="1" s="1"/>
  <c r="M346" i="1"/>
  <c r="L346" i="1"/>
  <c r="D346" i="1"/>
  <c r="C346" i="1"/>
  <c r="B346" i="1"/>
  <c r="A346" i="1"/>
  <c r="FI345" i="1"/>
  <c r="BW345" i="1"/>
  <c r="BX345" i="1" s="1"/>
  <c r="AS345" i="1"/>
  <c r="AT345" i="1" s="1"/>
  <c r="U345" i="1"/>
  <c r="V345" i="1" s="1"/>
  <c r="L345" i="1"/>
  <c r="D345" i="1"/>
  <c r="C345" i="1"/>
  <c r="B345" i="1"/>
  <c r="A345" i="1"/>
  <c r="CI344" i="1"/>
  <c r="CJ344" i="1" s="1"/>
  <c r="BW344" i="1"/>
  <c r="BX344" i="1" s="1"/>
  <c r="AS344" i="1"/>
  <c r="AT344" i="1" s="1"/>
  <c r="U344" i="1"/>
  <c r="V344" i="1" s="1"/>
  <c r="M344" i="1"/>
  <c r="L344" i="1"/>
  <c r="D344" i="1"/>
  <c r="C344" i="1"/>
  <c r="B344" i="1"/>
  <c r="A344" i="1"/>
  <c r="CI343" i="1"/>
  <c r="CJ343" i="1" s="1"/>
  <c r="BW343" i="1"/>
  <c r="BX343" i="1" s="1"/>
  <c r="AS343" i="1"/>
  <c r="AT343" i="1" s="1"/>
  <c r="M343" i="1"/>
  <c r="L343" i="1"/>
  <c r="D343" i="1"/>
  <c r="C343" i="1"/>
  <c r="B343" i="1"/>
  <c r="A343" i="1"/>
  <c r="DA342" i="1"/>
  <c r="DB342" i="1" s="1"/>
  <c r="CI342" i="1"/>
  <c r="CJ342" i="1" s="1"/>
  <c r="BW342" i="1"/>
  <c r="BX342" i="1" s="1"/>
  <c r="AS342" i="1"/>
  <c r="AT342" i="1" s="1"/>
  <c r="AM342" i="1"/>
  <c r="AN342" i="1" s="1"/>
  <c r="AG342" i="1"/>
  <c r="AH342" i="1" s="1"/>
  <c r="M342" i="1"/>
  <c r="L342" i="1"/>
  <c r="D342" i="1"/>
  <c r="C342" i="1"/>
  <c r="B342" i="1"/>
  <c r="A342" i="1"/>
  <c r="FI341" i="1"/>
  <c r="AS341" i="1"/>
  <c r="AT341" i="1" s="1"/>
  <c r="FH341" i="1" s="1"/>
  <c r="FJ341" i="1" s="1"/>
  <c r="L341" i="1"/>
  <c r="D341" i="1"/>
  <c r="C341" i="1"/>
  <c r="B341" i="1"/>
  <c r="A341" i="1"/>
  <c r="AS340" i="1"/>
  <c r="AT340" i="1" s="1"/>
  <c r="AG340" i="1"/>
  <c r="AH340" i="1" s="1"/>
  <c r="M340" i="1"/>
  <c r="L340" i="1"/>
  <c r="D340" i="1"/>
  <c r="C340" i="1"/>
  <c r="B340" i="1"/>
  <c r="A340" i="1"/>
  <c r="BW339" i="1"/>
  <c r="BX339" i="1" s="1"/>
  <c r="BQ339" i="1"/>
  <c r="BR339" i="1" s="1"/>
  <c r="M339" i="1"/>
  <c r="L339" i="1"/>
  <c r="D339" i="1"/>
  <c r="C339" i="1"/>
  <c r="B339" i="1"/>
  <c r="A339" i="1"/>
  <c r="FI338" i="1"/>
  <c r="CI338" i="1"/>
  <c r="CJ338" i="1" s="1"/>
  <c r="BW338" i="1"/>
  <c r="BX338" i="1" s="1"/>
  <c r="BQ338" i="1"/>
  <c r="BR338" i="1" s="1"/>
  <c r="AS338" i="1"/>
  <c r="AT338" i="1" s="1"/>
  <c r="L338" i="1"/>
  <c r="D338" i="1"/>
  <c r="C338" i="1"/>
  <c r="B338" i="1"/>
  <c r="A338" i="1"/>
  <c r="FI337" i="1"/>
  <c r="CI337" i="1"/>
  <c r="CJ337" i="1" s="1"/>
  <c r="BW337" i="1"/>
  <c r="BX337" i="1" s="1"/>
  <c r="AS337" i="1"/>
  <c r="AT337" i="1" s="1"/>
  <c r="AM337" i="1"/>
  <c r="AN337" i="1" s="1"/>
  <c r="FH337" i="1" s="1"/>
  <c r="FJ337" i="1" s="1"/>
  <c r="L337" i="1"/>
  <c r="D337" i="1"/>
  <c r="C337" i="1"/>
  <c r="B337" i="1"/>
  <c r="A337" i="1"/>
  <c r="FI336" i="1"/>
  <c r="CI336" i="1"/>
  <c r="CJ336" i="1" s="1"/>
  <c r="BW336" i="1"/>
  <c r="BX336" i="1" s="1"/>
  <c r="FH336" i="1" s="1"/>
  <c r="FJ336" i="1" s="1"/>
  <c r="L336" i="1"/>
  <c r="D336" i="1"/>
  <c r="C336" i="1"/>
  <c r="B336" i="1"/>
  <c r="A336" i="1"/>
  <c r="FI335" i="1"/>
  <c r="CI335" i="1"/>
  <c r="CJ335" i="1" s="1"/>
  <c r="BW335" i="1"/>
  <c r="BX335" i="1" s="1"/>
  <c r="FH335" i="1" s="1"/>
  <c r="FJ335" i="1" s="1"/>
  <c r="L335" i="1"/>
  <c r="D335" i="1"/>
  <c r="C335" i="1"/>
  <c r="B335" i="1"/>
  <c r="A335" i="1"/>
  <c r="FI334" i="1"/>
  <c r="DA334" i="1"/>
  <c r="DB334" i="1" s="1"/>
  <c r="BW334" i="1"/>
  <c r="BX334" i="1" s="1"/>
  <c r="O334" i="1"/>
  <c r="P334" i="1" s="1"/>
  <c r="D334" i="1"/>
  <c r="C334" i="1"/>
  <c r="B334" i="1"/>
  <c r="A334" i="1"/>
  <c r="CI333" i="1"/>
  <c r="CJ333" i="1" s="1"/>
  <c r="CC333" i="1"/>
  <c r="CD333" i="1" s="1"/>
  <c r="BW333" i="1"/>
  <c r="BX333" i="1" s="1"/>
  <c r="AS333" i="1"/>
  <c r="AT333" i="1" s="1"/>
  <c r="AM333" i="1"/>
  <c r="AN333" i="1" s="1"/>
  <c r="AG333" i="1"/>
  <c r="AH333" i="1" s="1"/>
  <c r="M333" i="1"/>
  <c r="L333" i="1"/>
  <c r="D333" i="1"/>
  <c r="C333" i="1"/>
  <c r="B333" i="1"/>
  <c r="A333" i="1"/>
  <c r="CI332" i="1"/>
  <c r="CJ332" i="1" s="1"/>
  <c r="BW332" i="1"/>
  <c r="BX332" i="1" s="1"/>
  <c r="AR332" i="1"/>
  <c r="L332" i="1"/>
  <c r="D332" i="1"/>
  <c r="C332" i="1"/>
  <c r="B332" i="1"/>
  <c r="A332" i="1"/>
  <c r="CI331" i="1"/>
  <c r="CJ331" i="1" s="1"/>
  <c r="BW331" i="1"/>
  <c r="BX331" i="1" s="1"/>
  <c r="M331" i="1"/>
  <c r="L331" i="1"/>
  <c r="D331" i="1"/>
  <c r="C331" i="1"/>
  <c r="B331" i="1"/>
  <c r="A331" i="1"/>
  <c r="CI330" i="1"/>
  <c r="CJ330" i="1" s="1"/>
  <c r="BW330" i="1"/>
  <c r="BX330" i="1" s="1"/>
  <c r="AS330" i="1"/>
  <c r="AT330" i="1" s="1"/>
  <c r="M330" i="1"/>
  <c r="L330" i="1"/>
  <c r="D330" i="1"/>
  <c r="C330" i="1"/>
  <c r="B330" i="1"/>
  <c r="A330" i="1"/>
  <c r="FI329" i="1"/>
  <c r="CI329" i="1"/>
  <c r="CJ329" i="1" s="1"/>
  <c r="BW329" i="1"/>
  <c r="BX329" i="1" s="1"/>
  <c r="AS329" i="1"/>
  <c r="AT329" i="1" s="1"/>
  <c r="AM329" i="1"/>
  <c r="AN329" i="1" s="1"/>
  <c r="D329" i="1"/>
  <c r="C329" i="1"/>
  <c r="B329" i="1"/>
  <c r="A329" i="1"/>
  <c r="DA328" i="1"/>
  <c r="DB328" i="1" s="1"/>
  <c r="CI328" i="1"/>
  <c r="CJ328" i="1" s="1"/>
  <c r="BW328" i="1"/>
  <c r="BX328" i="1" s="1"/>
  <c r="AS328" i="1"/>
  <c r="AT328" i="1" s="1"/>
  <c r="AM328" i="1"/>
  <c r="AN328" i="1" s="1"/>
  <c r="M328" i="1"/>
  <c r="L328" i="1"/>
  <c r="D328" i="1"/>
  <c r="C328" i="1"/>
  <c r="B328" i="1"/>
  <c r="A328" i="1"/>
  <c r="FI327" i="1"/>
  <c r="AS327" i="1"/>
  <c r="AT327" i="1" s="1"/>
  <c r="AH327" i="1"/>
  <c r="L327" i="1"/>
  <c r="D327" i="1"/>
  <c r="C327" i="1"/>
  <c r="B327" i="1"/>
  <c r="A327" i="1"/>
  <c r="DA326" i="1"/>
  <c r="DB326" i="1" s="1"/>
  <c r="CI326" i="1"/>
  <c r="CJ326" i="1" s="1"/>
  <c r="BW326" i="1"/>
  <c r="BX326" i="1" s="1"/>
  <c r="M326" i="1"/>
  <c r="L326" i="1"/>
  <c r="D326" i="1"/>
  <c r="C326" i="1"/>
  <c r="B326" i="1"/>
  <c r="A326" i="1"/>
  <c r="FI325" i="1"/>
  <c r="CO325" i="1"/>
  <c r="CP325" i="1" s="1"/>
  <c r="CI325" i="1"/>
  <c r="CJ325" i="1" s="1"/>
  <c r="BW325" i="1"/>
  <c r="BX325" i="1" s="1"/>
  <c r="L325" i="1"/>
  <c r="D325" i="1"/>
  <c r="C325" i="1"/>
  <c r="B325" i="1"/>
  <c r="A325" i="1"/>
  <c r="FI324" i="1"/>
  <c r="CO324" i="1"/>
  <c r="CP324" i="1" s="1"/>
  <c r="CI324" i="1"/>
  <c r="CJ324" i="1" s="1"/>
  <c r="BW324" i="1"/>
  <c r="BX324" i="1" s="1"/>
  <c r="FH324" i="1" s="1"/>
  <c r="FJ324" i="1" s="1"/>
  <c r="L324" i="1"/>
  <c r="D324" i="1"/>
  <c r="C324" i="1"/>
  <c r="B324" i="1"/>
  <c r="A324" i="1"/>
  <c r="CI323" i="1"/>
  <c r="CJ323" i="1" s="1"/>
  <c r="BW323" i="1"/>
  <c r="BX323" i="1" s="1"/>
  <c r="AR323" i="1"/>
  <c r="U323" i="1"/>
  <c r="V323" i="1" s="1"/>
  <c r="M323" i="1"/>
  <c r="L323" i="1"/>
  <c r="D323" i="1"/>
  <c r="C323" i="1"/>
  <c r="B323" i="1"/>
  <c r="A323" i="1"/>
  <c r="CI322" i="1"/>
  <c r="CJ322" i="1" s="1"/>
  <c r="CC322" i="1"/>
  <c r="CD322" i="1" s="1"/>
  <c r="BW322" i="1"/>
  <c r="BX322" i="1" s="1"/>
  <c r="AR322" i="1"/>
  <c r="AM322" i="1"/>
  <c r="AN322" i="1" s="1"/>
  <c r="M322" i="1"/>
  <c r="L322" i="1"/>
  <c r="D322" i="1"/>
  <c r="C322" i="1"/>
  <c r="B322" i="1"/>
  <c r="A322" i="1"/>
  <c r="FI321" i="1"/>
  <c r="CI321" i="1"/>
  <c r="CJ321" i="1" s="1"/>
  <c r="BW321" i="1"/>
  <c r="BX321" i="1" s="1"/>
  <c r="D321" i="1"/>
  <c r="C321" i="1"/>
  <c r="B321" i="1"/>
  <c r="A321" i="1"/>
  <c r="FI320" i="1"/>
  <c r="CI320" i="1"/>
  <c r="CJ320" i="1" s="1"/>
  <c r="BW320" i="1"/>
  <c r="BX320" i="1" s="1"/>
  <c r="AS320" i="1"/>
  <c r="AT320" i="1" s="1"/>
  <c r="D320" i="1"/>
  <c r="C320" i="1"/>
  <c r="B320" i="1"/>
  <c r="A320" i="1"/>
  <c r="CU319" i="1"/>
  <c r="CV319" i="1" s="1"/>
  <c r="BW319" i="1"/>
  <c r="BX319" i="1" s="1"/>
  <c r="M319" i="1"/>
  <c r="L319" i="1"/>
  <c r="D319" i="1"/>
  <c r="C319" i="1"/>
  <c r="B319" i="1"/>
  <c r="A319" i="1"/>
  <c r="CI318" i="1"/>
  <c r="CJ318" i="1" s="1"/>
  <c r="BW318" i="1"/>
  <c r="BX318" i="1" s="1"/>
  <c r="M318" i="1"/>
  <c r="L318" i="1"/>
  <c r="D318" i="1"/>
  <c r="C318" i="1"/>
  <c r="B318" i="1"/>
  <c r="A318" i="1"/>
  <c r="BW317" i="1"/>
  <c r="BX317" i="1" s="1"/>
  <c r="AR317" i="1"/>
  <c r="AG317" i="1"/>
  <c r="AH317" i="1" s="1"/>
  <c r="L317" i="1"/>
  <c r="D317" i="1"/>
  <c r="C317" i="1"/>
  <c r="B317" i="1"/>
  <c r="A317" i="1"/>
  <c r="CU316" i="1"/>
  <c r="CV316" i="1" s="1"/>
  <c r="BW316" i="1"/>
  <c r="BX316" i="1" s="1"/>
  <c r="M316" i="1"/>
  <c r="L316" i="1"/>
  <c r="D316" i="1"/>
  <c r="C316" i="1"/>
  <c r="B316" i="1"/>
  <c r="A316" i="1"/>
  <c r="CU315" i="1"/>
  <c r="CV315" i="1" s="1"/>
  <c r="BW315" i="1"/>
  <c r="BX315" i="1" s="1"/>
  <c r="M315" i="1"/>
  <c r="L315" i="1"/>
  <c r="D315" i="1"/>
  <c r="C315" i="1"/>
  <c r="B315" i="1"/>
  <c r="A315" i="1"/>
  <c r="FI314" i="1"/>
  <c r="CU314" i="1"/>
  <c r="CV314" i="1" s="1"/>
  <c r="CI314" i="1"/>
  <c r="CJ314" i="1" s="1"/>
  <c r="BW314" i="1"/>
  <c r="BX314" i="1" s="1"/>
  <c r="L314" i="1"/>
  <c r="D314" i="1"/>
  <c r="C314" i="1"/>
  <c r="B314" i="1"/>
  <c r="A314" i="1"/>
  <c r="CI313" i="1"/>
  <c r="CJ313" i="1" s="1"/>
  <c r="BW313" i="1"/>
  <c r="BX313" i="1" s="1"/>
  <c r="M313" i="1"/>
  <c r="L313" i="1"/>
  <c r="D313" i="1"/>
  <c r="C313" i="1"/>
  <c r="B313" i="1"/>
  <c r="A313" i="1"/>
  <c r="BW312" i="1"/>
  <c r="BX312" i="1" s="1"/>
  <c r="O312" i="1"/>
  <c r="P312" i="1" s="1"/>
  <c r="M312" i="1"/>
  <c r="L312" i="1"/>
  <c r="D312" i="1"/>
  <c r="C312" i="1"/>
  <c r="B312" i="1"/>
  <c r="A312" i="1"/>
  <c r="CI311" i="1"/>
  <c r="CJ311" i="1" s="1"/>
  <c r="BW311" i="1"/>
  <c r="BX311" i="1" s="1"/>
  <c r="M311" i="1"/>
  <c r="L311" i="1"/>
  <c r="D311" i="1"/>
  <c r="C311" i="1"/>
  <c r="B311" i="1"/>
  <c r="A311" i="1"/>
  <c r="CI310" i="1"/>
  <c r="CJ310" i="1" s="1"/>
  <c r="BW310" i="1"/>
  <c r="BX310" i="1" s="1"/>
  <c r="AG310" i="1"/>
  <c r="AH310" i="1" s="1"/>
  <c r="M310" i="1"/>
  <c r="L310" i="1"/>
  <c r="D310" i="1"/>
  <c r="C310" i="1"/>
  <c r="B310" i="1"/>
  <c r="A310" i="1"/>
  <c r="FI309" i="1"/>
  <c r="CU309" i="1"/>
  <c r="CV309" i="1" s="1"/>
  <c r="CI309" i="1"/>
  <c r="CJ309" i="1" s="1"/>
  <c r="BW309" i="1"/>
  <c r="BX309" i="1" s="1"/>
  <c r="L309" i="1"/>
  <c r="D309" i="1"/>
  <c r="C309" i="1"/>
  <c r="B309" i="1"/>
  <c r="A309" i="1"/>
  <c r="DA308" i="1"/>
  <c r="DB308" i="1" s="1"/>
  <c r="CV308" i="1"/>
  <c r="CU308" i="1"/>
  <c r="CI308" i="1"/>
  <c r="CJ308" i="1" s="1"/>
  <c r="BW308" i="1"/>
  <c r="BX308" i="1" s="1"/>
  <c r="AM308" i="1"/>
  <c r="AN308" i="1" s="1"/>
  <c r="AG308" i="1"/>
  <c r="AH308" i="1" s="1"/>
  <c r="M308" i="1"/>
  <c r="L308" i="1"/>
  <c r="D308" i="1"/>
  <c r="C308" i="1"/>
  <c r="B308" i="1"/>
  <c r="A308" i="1"/>
  <c r="FI307" i="1"/>
  <c r="BW307" i="1"/>
  <c r="BX307" i="1" s="1"/>
  <c r="AS307" i="1"/>
  <c r="AT307" i="1" s="1"/>
  <c r="AG307" i="1"/>
  <c r="AH307" i="1" s="1"/>
  <c r="L307" i="1"/>
  <c r="D307" i="1"/>
  <c r="C307" i="1"/>
  <c r="B307" i="1"/>
  <c r="A307" i="1"/>
  <c r="DA306" i="1"/>
  <c r="DB306" i="1" s="1"/>
  <c r="CU306" i="1"/>
  <c r="CV306" i="1" s="1"/>
  <c r="CI306" i="1"/>
  <c r="CJ306" i="1" s="1"/>
  <c r="BW306" i="1"/>
  <c r="BX306" i="1" s="1"/>
  <c r="AS306" i="1"/>
  <c r="AT306" i="1" s="1"/>
  <c r="AM306" i="1"/>
  <c r="AN306" i="1" s="1"/>
  <c r="AG306" i="1"/>
  <c r="AH306" i="1" s="1"/>
  <c r="M306" i="1"/>
  <c r="L306" i="1"/>
  <c r="D306" i="1"/>
  <c r="C306" i="1"/>
  <c r="B306" i="1"/>
  <c r="A306" i="1"/>
  <c r="BW305" i="1"/>
  <c r="BX305" i="1" s="1"/>
  <c r="AX305" i="1"/>
  <c r="AS305" i="1"/>
  <c r="AT305" i="1" s="1"/>
  <c r="AM305" i="1"/>
  <c r="AN305" i="1" s="1"/>
  <c r="M305" i="1"/>
  <c r="L305" i="1"/>
  <c r="D305" i="1"/>
  <c r="C305" i="1"/>
  <c r="B305" i="1"/>
  <c r="A305" i="1"/>
  <c r="CI304" i="1"/>
  <c r="CJ304" i="1" s="1"/>
  <c r="BW304" i="1"/>
  <c r="BX304" i="1" s="1"/>
  <c r="AY304" i="1"/>
  <c r="AZ304" i="1" s="1"/>
  <c r="AM304" i="1"/>
  <c r="AN304" i="1" s="1"/>
  <c r="M304" i="1"/>
  <c r="L304" i="1"/>
  <c r="D304" i="1"/>
  <c r="C304" i="1"/>
  <c r="B304" i="1"/>
  <c r="A304" i="1"/>
  <c r="CI303" i="1"/>
  <c r="CJ303" i="1" s="1"/>
  <c r="CC303" i="1"/>
  <c r="CD303" i="1" s="1"/>
  <c r="BW303" i="1"/>
  <c r="BX303" i="1" s="1"/>
  <c r="AM303" i="1"/>
  <c r="AN303" i="1" s="1"/>
  <c r="M303" i="1"/>
  <c r="L303" i="1"/>
  <c r="D303" i="1"/>
  <c r="C303" i="1"/>
  <c r="B303" i="1"/>
  <c r="A303" i="1"/>
  <c r="FI302" i="1"/>
  <c r="CI302" i="1"/>
  <c r="CJ302" i="1" s="1"/>
  <c r="BW302" i="1"/>
  <c r="BX302" i="1" s="1"/>
  <c r="AS302" i="1"/>
  <c r="AT302" i="1" s="1"/>
  <c r="L302" i="1"/>
  <c r="D302" i="1"/>
  <c r="C302" i="1"/>
  <c r="B302" i="1"/>
  <c r="A302" i="1"/>
  <c r="FI301" i="1"/>
  <c r="CI301" i="1"/>
  <c r="CJ301" i="1" s="1"/>
  <c r="BW301" i="1"/>
  <c r="BX301" i="1" s="1"/>
  <c r="D301" i="1"/>
  <c r="C301" i="1"/>
  <c r="B301" i="1"/>
  <c r="A301" i="1"/>
  <c r="FI300" i="1"/>
  <c r="CI300" i="1"/>
  <c r="CJ300" i="1" s="1"/>
  <c r="BW300" i="1"/>
  <c r="BX300" i="1" s="1"/>
  <c r="FH300" i="1" s="1"/>
  <c r="FJ300" i="1" s="1"/>
  <c r="D300" i="1"/>
  <c r="C300" i="1"/>
  <c r="B300" i="1"/>
  <c r="A300" i="1"/>
  <c r="FI299" i="1"/>
  <c r="CI299" i="1"/>
  <c r="CJ299" i="1" s="1"/>
  <c r="BW299" i="1"/>
  <c r="BX299" i="1" s="1"/>
  <c r="D299" i="1"/>
  <c r="C299" i="1"/>
  <c r="B299" i="1"/>
  <c r="A299" i="1"/>
  <c r="FI298" i="1"/>
  <c r="CI298" i="1"/>
  <c r="CJ298" i="1" s="1"/>
  <c r="BW298" i="1"/>
  <c r="BX298" i="1" s="1"/>
  <c r="D298" i="1"/>
  <c r="C298" i="1"/>
  <c r="B298" i="1"/>
  <c r="A298" i="1"/>
  <c r="DA297" i="1"/>
  <c r="DB297" i="1" s="1"/>
  <c r="CI297" i="1"/>
  <c r="CJ297" i="1" s="1"/>
  <c r="BW297" i="1"/>
  <c r="BX297" i="1" s="1"/>
  <c r="AY297" i="1"/>
  <c r="AZ297" i="1" s="1"/>
  <c r="AM297" i="1"/>
  <c r="AN297" i="1" s="1"/>
  <c r="M297" i="1"/>
  <c r="L297" i="1"/>
  <c r="D297" i="1"/>
  <c r="C297" i="1"/>
  <c r="B297" i="1"/>
  <c r="A297" i="1"/>
  <c r="FI296" i="1"/>
  <c r="DA296" i="1"/>
  <c r="DB296" i="1" s="1"/>
  <c r="CI296" i="1"/>
  <c r="CJ296" i="1" s="1"/>
  <c r="BW296" i="1"/>
  <c r="BX296" i="1" s="1"/>
  <c r="AG296" i="1"/>
  <c r="AH296" i="1" s="1"/>
  <c r="D296" i="1"/>
  <c r="C296" i="1"/>
  <c r="B296" i="1"/>
  <c r="A296" i="1"/>
  <c r="FI295" i="1"/>
  <c r="CI295" i="1"/>
  <c r="CJ295" i="1" s="1"/>
  <c r="BW295" i="1"/>
  <c r="BX295" i="1" s="1"/>
  <c r="AS295" i="1"/>
  <c r="AT295" i="1" s="1"/>
  <c r="AM295" i="1"/>
  <c r="AN295" i="1" s="1"/>
  <c r="D295" i="1"/>
  <c r="C295" i="1"/>
  <c r="B295" i="1"/>
  <c r="A295" i="1"/>
  <c r="BV294" i="1"/>
  <c r="T294" i="1"/>
  <c r="L294" i="1"/>
  <c r="D294" i="1"/>
  <c r="C294" i="1"/>
  <c r="B294" i="1"/>
  <c r="A294" i="1"/>
  <c r="DA293" i="1"/>
  <c r="DB293" i="1" s="1"/>
  <c r="CI293" i="1"/>
  <c r="CJ293" i="1" s="1"/>
  <c r="BW293" i="1"/>
  <c r="BX293" i="1" s="1"/>
  <c r="O293" i="1"/>
  <c r="P293" i="1" s="1"/>
  <c r="M293" i="1"/>
  <c r="L293" i="1"/>
  <c r="D293" i="1"/>
  <c r="C293" i="1"/>
  <c r="B293" i="1"/>
  <c r="A293" i="1"/>
  <c r="CI292" i="1"/>
  <c r="CJ292" i="1" s="1"/>
  <c r="BW292" i="1"/>
  <c r="BX292" i="1" s="1"/>
  <c r="M292" i="1"/>
  <c r="L292" i="1"/>
  <c r="D292" i="1"/>
  <c r="C292" i="1"/>
  <c r="B292" i="1"/>
  <c r="A292" i="1"/>
  <c r="FI291" i="1"/>
  <c r="CI291" i="1"/>
  <c r="CJ291" i="1" s="1"/>
  <c r="BW291" i="1"/>
  <c r="BX291" i="1" s="1"/>
  <c r="L291" i="1"/>
  <c r="D291" i="1"/>
  <c r="C291" i="1"/>
  <c r="B291" i="1"/>
  <c r="A291" i="1"/>
  <c r="FI290" i="1"/>
  <c r="CI290" i="1"/>
  <c r="CJ290" i="1" s="1"/>
  <c r="BW290" i="1"/>
  <c r="BX290" i="1" s="1"/>
  <c r="BQ290" i="1"/>
  <c r="BR290" i="1" s="1"/>
  <c r="FH290" i="1" s="1"/>
  <c r="FJ290" i="1" s="1"/>
  <c r="L290" i="1"/>
  <c r="D290" i="1"/>
  <c r="C290" i="1"/>
  <c r="B290" i="1"/>
  <c r="A290" i="1"/>
  <c r="CI289" i="1"/>
  <c r="CJ289" i="1" s="1"/>
  <c r="BW289" i="1"/>
  <c r="BX289" i="1" s="1"/>
  <c r="M289" i="1"/>
  <c r="L289" i="1"/>
  <c r="D289" i="1"/>
  <c r="C289" i="1"/>
  <c r="B289" i="1"/>
  <c r="A289" i="1"/>
  <c r="CI288" i="1"/>
  <c r="CJ288" i="1" s="1"/>
  <c r="BW288" i="1"/>
  <c r="BX288" i="1" s="1"/>
  <c r="M288" i="1"/>
  <c r="L288" i="1"/>
  <c r="D288" i="1"/>
  <c r="C288" i="1"/>
  <c r="B288" i="1"/>
  <c r="A288" i="1"/>
  <c r="FI287" i="1"/>
  <c r="CI287" i="1"/>
  <c r="CJ287" i="1" s="1"/>
  <c r="BW287" i="1"/>
  <c r="BX287" i="1" s="1"/>
  <c r="FH287" i="1" s="1"/>
  <c r="FJ287" i="1" s="1"/>
  <c r="L287" i="1"/>
  <c r="D287" i="1"/>
  <c r="C287" i="1"/>
  <c r="B287" i="1"/>
  <c r="A287" i="1"/>
  <c r="FI286" i="1"/>
  <c r="DA286" i="1"/>
  <c r="DB286" i="1" s="1"/>
  <c r="CI286" i="1"/>
  <c r="CJ286" i="1" s="1"/>
  <c r="BW286" i="1"/>
  <c r="BX286" i="1" s="1"/>
  <c r="L286" i="1"/>
  <c r="D286" i="1"/>
  <c r="C286" i="1"/>
  <c r="B286" i="1"/>
  <c r="A286" i="1"/>
  <c r="FI285" i="1"/>
  <c r="CI285" i="1"/>
  <c r="CJ285" i="1" s="1"/>
  <c r="BW285" i="1"/>
  <c r="BX285" i="1" s="1"/>
  <c r="BQ285" i="1"/>
  <c r="BR285" i="1" s="1"/>
  <c r="L285" i="1"/>
  <c r="D285" i="1"/>
  <c r="C285" i="1"/>
  <c r="B285" i="1"/>
  <c r="A285" i="1"/>
  <c r="FI284" i="1"/>
  <c r="CI284" i="1"/>
  <c r="CJ284" i="1" s="1"/>
  <c r="BW284" i="1"/>
  <c r="BX284" i="1" s="1"/>
  <c r="AS284" i="1"/>
  <c r="AT284" i="1" s="1"/>
  <c r="L284" i="1"/>
  <c r="D284" i="1"/>
  <c r="C284" i="1"/>
  <c r="B284" i="1"/>
  <c r="A284" i="1"/>
  <c r="FI283" i="1"/>
  <c r="CI283" i="1"/>
  <c r="CJ283" i="1" s="1"/>
  <c r="BW283" i="1"/>
  <c r="BX283" i="1" s="1"/>
  <c r="L283" i="1"/>
  <c r="D283" i="1"/>
  <c r="C283" i="1"/>
  <c r="B283" i="1"/>
  <c r="A283" i="1"/>
  <c r="FI282" i="1"/>
  <c r="CI282" i="1"/>
  <c r="CJ282" i="1" s="1"/>
  <c r="BW282" i="1"/>
  <c r="BX282" i="1" s="1"/>
  <c r="D282" i="1"/>
  <c r="C282" i="1"/>
  <c r="B282" i="1"/>
  <c r="A282" i="1"/>
  <c r="FI281" i="1"/>
  <c r="BW281" i="1"/>
  <c r="BX281" i="1" s="1"/>
  <c r="AS281" i="1"/>
  <c r="AT281" i="1" s="1"/>
  <c r="L281" i="1"/>
  <c r="D281" i="1"/>
  <c r="C281" i="1"/>
  <c r="B281" i="1"/>
  <c r="A281" i="1"/>
  <c r="CI280" i="1"/>
  <c r="CJ280" i="1" s="1"/>
  <c r="BW280" i="1"/>
  <c r="BX280" i="1" s="1"/>
  <c r="AS280" i="1"/>
  <c r="AT280" i="1" s="1"/>
  <c r="AM280" i="1"/>
  <c r="AN280" i="1" s="1"/>
  <c r="AH280" i="1"/>
  <c r="M280" i="1"/>
  <c r="L280" i="1"/>
  <c r="D280" i="1"/>
  <c r="C280" i="1"/>
  <c r="B280" i="1"/>
  <c r="A280" i="1"/>
  <c r="FI279" i="1"/>
  <c r="AS279" i="1"/>
  <c r="AT279" i="1" s="1"/>
  <c r="FH279" i="1" s="1"/>
  <c r="FJ279" i="1" s="1"/>
  <c r="D279" i="1"/>
  <c r="C279" i="1"/>
  <c r="B279" i="1"/>
  <c r="A279" i="1"/>
  <c r="CI278" i="1"/>
  <c r="CJ278" i="1" s="1"/>
  <c r="BW278" i="1"/>
  <c r="BX278" i="1" s="1"/>
  <c r="AS278" i="1"/>
  <c r="AT278" i="1" s="1"/>
  <c r="AM278" i="1"/>
  <c r="AN278" i="1" s="1"/>
  <c r="M278" i="1"/>
  <c r="L278" i="1"/>
  <c r="D278" i="1"/>
  <c r="C278" i="1"/>
  <c r="B278" i="1"/>
  <c r="A278" i="1"/>
  <c r="CI277" i="1"/>
  <c r="CJ277" i="1" s="1"/>
  <c r="BW277" i="1"/>
  <c r="BX277" i="1" s="1"/>
  <c r="AS277" i="1"/>
  <c r="AT277" i="1" s="1"/>
  <c r="AM277" i="1"/>
  <c r="AN277" i="1" s="1"/>
  <c r="AG277" i="1"/>
  <c r="AH277" i="1" s="1"/>
  <c r="M277" i="1"/>
  <c r="L277" i="1"/>
  <c r="D277" i="1"/>
  <c r="C277" i="1"/>
  <c r="B277" i="1"/>
  <c r="A277" i="1"/>
  <c r="FI276" i="1"/>
  <c r="CI276" i="1"/>
  <c r="CJ276" i="1" s="1"/>
  <c r="BW276" i="1"/>
  <c r="BX276" i="1" s="1"/>
  <c r="AS276" i="1"/>
  <c r="AT276" i="1" s="1"/>
  <c r="L276" i="1"/>
  <c r="D276" i="1"/>
  <c r="C276" i="1"/>
  <c r="B276" i="1"/>
  <c r="A276" i="1"/>
  <c r="FI275" i="1"/>
  <c r="CI275" i="1"/>
  <c r="CJ275" i="1" s="1"/>
  <c r="BW275" i="1"/>
  <c r="BX275" i="1" s="1"/>
  <c r="AG275" i="1"/>
  <c r="AH275" i="1" s="1"/>
  <c r="L275" i="1"/>
  <c r="D275" i="1"/>
  <c r="C275" i="1"/>
  <c r="B275" i="1"/>
  <c r="A275" i="1"/>
  <c r="CI274" i="1"/>
  <c r="CJ274" i="1" s="1"/>
  <c r="BW274" i="1"/>
  <c r="BX274" i="1" s="1"/>
  <c r="AS274" i="1"/>
  <c r="AT274" i="1" s="1"/>
  <c r="AM274" i="1"/>
  <c r="AN274" i="1" s="1"/>
  <c r="AG274" i="1"/>
  <c r="AH274" i="1" s="1"/>
  <c r="M274" i="1"/>
  <c r="L274" i="1"/>
  <c r="D274" i="1"/>
  <c r="C274" i="1"/>
  <c r="B274" i="1"/>
  <c r="A274" i="1"/>
  <c r="CI273" i="1"/>
  <c r="CJ273" i="1" s="1"/>
  <c r="BW273" i="1"/>
  <c r="BX273" i="1" s="1"/>
  <c r="AS273" i="1"/>
  <c r="AT273" i="1" s="1"/>
  <c r="AM273" i="1"/>
  <c r="AN273" i="1" s="1"/>
  <c r="AG273" i="1"/>
  <c r="AH273" i="1" s="1"/>
  <c r="M273" i="1"/>
  <c r="L273" i="1"/>
  <c r="D273" i="1"/>
  <c r="C273" i="1"/>
  <c r="B273" i="1"/>
  <c r="A273" i="1"/>
  <c r="BW272" i="1"/>
  <c r="BX272" i="1" s="1"/>
  <c r="AS272" i="1"/>
  <c r="AT272" i="1" s="1"/>
  <c r="AL272" i="1"/>
  <c r="AG272" i="1"/>
  <c r="AH272" i="1" s="1"/>
  <c r="M272" i="1"/>
  <c r="L272" i="1"/>
  <c r="D272" i="1"/>
  <c r="C272" i="1"/>
  <c r="B272" i="1"/>
  <c r="A272" i="1"/>
  <c r="FI271" i="1"/>
  <c r="CU271" i="1"/>
  <c r="CV271" i="1" s="1"/>
  <c r="AY271" i="1"/>
  <c r="AZ271" i="1" s="1"/>
  <c r="AS271" i="1"/>
  <c r="AT271" i="1" s="1"/>
  <c r="AM271" i="1"/>
  <c r="AN271" i="1" s="1"/>
  <c r="FH271" i="1" s="1"/>
  <c r="FJ271" i="1" s="1"/>
  <c r="L271" i="1"/>
  <c r="D271" i="1"/>
  <c r="C271" i="1"/>
  <c r="B271" i="1"/>
  <c r="A271" i="1"/>
  <c r="AR270" i="1"/>
  <c r="L270" i="1"/>
  <c r="D270" i="1"/>
  <c r="C270" i="1"/>
  <c r="B270" i="1"/>
  <c r="A270" i="1"/>
  <c r="FI269" i="1"/>
  <c r="FH269" i="1"/>
  <c r="L269" i="1"/>
  <c r="D269" i="1"/>
  <c r="C269" i="1"/>
  <c r="B269" i="1"/>
  <c r="A269" i="1"/>
  <c r="DS268" i="1"/>
  <c r="DT268" i="1" s="1"/>
  <c r="DM268" i="1"/>
  <c r="DN268" i="1" s="1"/>
  <c r="DG268" i="1"/>
  <c r="DH268" i="1" s="1"/>
  <c r="BP268" i="1"/>
  <c r="L268" i="1"/>
  <c r="D268" i="1"/>
  <c r="C268" i="1"/>
  <c r="B268" i="1"/>
  <c r="A268" i="1"/>
  <c r="CI267" i="1"/>
  <c r="CJ267" i="1" s="1"/>
  <c r="BW267" i="1"/>
  <c r="BX267" i="1" s="1"/>
  <c r="M267" i="1"/>
  <c r="L267" i="1"/>
  <c r="D267" i="1"/>
  <c r="C267" i="1"/>
  <c r="B267" i="1"/>
  <c r="A267" i="1"/>
  <c r="BW266" i="1"/>
  <c r="BX266" i="1" s="1"/>
  <c r="AS266" i="1"/>
  <c r="AT266" i="1" s="1"/>
  <c r="M266" i="1"/>
  <c r="L266" i="1"/>
  <c r="D266" i="1"/>
  <c r="C266" i="1"/>
  <c r="B266" i="1"/>
  <c r="A266" i="1"/>
  <c r="BW265" i="1"/>
  <c r="BX265" i="1" s="1"/>
  <c r="M265" i="1"/>
  <c r="L265" i="1"/>
  <c r="D265" i="1"/>
  <c r="C265" i="1"/>
  <c r="B265" i="1"/>
  <c r="A265" i="1"/>
  <c r="AS264" i="1"/>
  <c r="AT264" i="1" s="1"/>
  <c r="U264" i="1"/>
  <c r="V264" i="1" s="1"/>
  <c r="M264" i="1"/>
  <c r="L264" i="1"/>
  <c r="D264" i="1"/>
  <c r="C264" i="1"/>
  <c r="B264" i="1"/>
  <c r="A264" i="1"/>
  <c r="CC263" i="1"/>
  <c r="CD263" i="1" s="1"/>
  <c r="BW263" i="1"/>
  <c r="BX263" i="1" s="1"/>
  <c r="AM263" i="1"/>
  <c r="AN263" i="1" s="1"/>
  <c r="AG263" i="1"/>
  <c r="AH263" i="1" s="1"/>
  <c r="M263" i="1"/>
  <c r="L263" i="1"/>
  <c r="D263" i="1"/>
  <c r="C263" i="1"/>
  <c r="B263" i="1"/>
  <c r="A263" i="1"/>
  <c r="CI262" i="1"/>
  <c r="CJ262" i="1" s="1"/>
  <c r="BW262" i="1"/>
  <c r="BX262" i="1" s="1"/>
  <c r="AG262" i="1"/>
  <c r="AH262" i="1" s="1"/>
  <c r="M262" i="1"/>
  <c r="L262" i="1"/>
  <c r="D262" i="1"/>
  <c r="C262" i="1"/>
  <c r="B262" i="1"/>
  <c r="A262" i="1"/>
  <c r="FI261" i="1"/>
  <c r="AM261" i="1"/>
  <c r="AN261" i="1" s="1"/>
  <c r="AG261" i="1"/>
  <c r="AH261" i="1" s="1"/>
  <c r="FH261" i="1" s="1"/>
  <c r="FJ261" i="1" s="1"/>
  <c r="D261" i="1"/>
  <c r="C261" i="1"/>
  <c r="B261" i="1"/>
  <c r="A261" i="1"/>
  <c r="CI260" i="1"/>
  <c r="CJ260" i="1" s="1"/>
  <c r="BW260" i="1"/>
  <c r="BX260" i="1" s="1"/>
  <c r="AM260" i="1"/>
  <c r="AN260" i="1" s="1"/>
  <c r="AG260" i="1"/>
  <c r="AH260" i="1" s="1"/>
  <c r="M260" i="1"/>
  <c r="L260" i="1"/>
  <c r="D260" i="1"/>
  <c r="C260" i="1"/>
  <c r="B260" i="1"/>
  <c r="A260" i="1"/>
  <c r="FI259" i="1"/>
  <c r="DA259" i="1"/>
  <c r="DB259" i="1" s="1"/>
  <c r="FH259" i="1" s="1"/>
  <c r="FJ259" i="1" s="1"/>
  <c r="D259" i="1"/>
  <c r="C259" i="1"/>
  <c r="B259" i="1"/>
  <c r="A259" i="1"/>
  <c r="CI258" i="1"/>
  <c r="CJ258" i="1" s="1"/>
  <c r="BW258" i="1"/>
  <c r="BX258" i="1" s="1"/>
  <c r="AM258" i="1"/>
  <c r="AN258" i="1" s="1"/>
  <c r="M258" i="1"/>
  <c r="L258" i="1"/>
  <c r="D258" i="1"/>
  <c r="C258" i="1"/>
  <c r="B258" i="1"/>
  <c r="A258" i="1"/>
  <c r="CU257" i="1"/>
  <c r="CV257" i="1" s="1"/>
  <c r="BW257" i="1"/>
  <c r="BX257" i="1" s="1"/>
  <c r="AS257" i="1"/>
  <c r="AT257" i="1" s="1"/>
  <c r="M257" i="1"/>
  <c r="L257" i="1"/>
  <c r="D257" i="1"/>
  <c r="C257" i="1"/>
  <c r="B257" i="1"/>
  <c r="A257" i="1"/>
  <c r="BW256" i="1"/>
  <c r="BX256" i="1" s="1"/>
  <c r="AH256" i="1"/>
  <c r="M256" i="1"/>
  <c r="L256" i="1"/>
  <c r="D256" i="1"/>
  <c r="C256" i="1"/>
  <c r="B256" i="1"/>
  <c r="A256" i="1"/>
  <c r="FI255" i="1"/>
  <c r="BW255" i="1"/>
  <c r="BX255" i="1" s="1"/>
  <c r="AB255" i="1"/>
  <c r="L255" i="1"/>
  <c r="D255" i="1"/>
  <c r="C255" i="1"/>
  <c r="B255" i="1"/>
  <c r="A255" i="1"/>
  <c r="FI254" i="1"/>
  <c r="BW254" i="1"/>
  <c r="BX254" i="1" s="1"/>
  <c r="AB254" i="1"/>
  <c r="L254" i="1"/>
  <c r="D254" i="1"/>
  <c r="C254" i="1"/>
  <c r="B254" i="1"/>
  <c r="A254" i="1"/>
  <c r="FI253" i="1"/>
  <c r="CI253" i="1"/>
  <c r="CJ253" i="1" s="1"/>
  <c r="CC253" i="1"/>
  <c r="CD253" i="1" s="1"/>
  <c r="BW253" i="1"/>
  <c r="BX253" i="1" s="1"/>
  <c r="AS253" i="1"/>
  <c r="AT253" i="1" s="1"/>
  <c r="AG253" i="1"/>
  <c r="AH253" i="1" s="1"/>
  <c r="FH253" i="1" s="1"/>
  <c r="FJ253" i="1" s="1"/>
  <c r="D253" i="1"/>
  <c r="C253" i="1"/>
  <c r="B253" i="1"/>
  <c r="A253" i="1"/>
  <c r="DA252" i="1"/>
  <c r="DB252" i="1" s="1"/>
  <c r="CI252" i="1"/>
  <c r="CJ252" i="1" s="1"/>
  <c r="BW252" i="1"/>
  <c r="BX252" i="1" s="1"/>
  <c r="AM252" i="1"/>
  <c r="AN252" i="1" s="1"/>
  <c r="M252" i="1"/>
  <c r="L252" i="1"/>
  <c r="D252" i="1"/>
  <c r="C252" i="1"/>
  <c r="B252" i="1"/>
  <c r="A252" i="1"/>
  <c r="DA251" i="1"/>
  <c r="DB251" i="1" s="1"/>
  <c r="CI251" i="1"/>
  <c r="CJ251" i="1" s="1"/>
  <c r="BW251" i="1"/>
  <c r="BX251" i="1" s="1"/>
  <c r="AM251" i="1"/>
  <c r="AN251" i="1" s="1"/>
  <c r="M251" i="1"/>
  <c r="L251" i="1"/>
  <c r="D251" i="1"/>
  <c r="C251" i="1"/>
  <c r="B251" i="1"/>
  <c r="A251" i="1"/>
  <c r="CI250" i="1"/>
  <c r="CJ250" i="1" s="1"/>
  <c r="BW250" i="1"/>
  <c r="BX250" i="1" s="1"/>
  <c r="AM250" i="1"/>
  <c r="AN250" i="1" s="1"/>
  <c r="AG250" i="1"/>
  <c r="AH250" i="1" s="1"/>
  <c r="M250" i="1"/>
  <c r="L250" i="1"/>
  <c r="D250" i="1"/>
  <c r="C250" i="1"/>
  <c r="B250" i="1"/>
  <c r="A250" i="1"/>
  <c r="CI249" i="1"/>
  <c r="CJ249" i="1" s="1"/>
  <c r="BW249" i="1"/>
  <c r="BX249" i="1" s="1"/>
  <c r="AM249" i="1"/>
  <c r="AN249" i="1" s="1"/>
  <c r="AG249" i="1"/>
  <c r="AH249" i="1" s="1"/>
  <c r="M249" i="1"/>
  <c r="L249" i="1"/>
  <c r="D249" i="1"/>
  <c r="C249" i="1"/>
  <c r="B249" i="1"/>
  <c r="A249" i="1"/>
  <c r="CI248" i="1"/>
  <c r="CJ248" i="1" s="1"/>
  <c r="BW248" i="1"/>
  <c r="BX248" i="1" s="1"/>
  <c r="AR248" i="1"/>
  <c r="L248" i="1"/>
  <c r="D248" i="1"/>
  <c r="C248" i="1"/>
  <c r="B248" i="1"/>
  <c r="A248" i="1"/>
  <c r="DA247" i="1"/>
  <c r="DB247" i="1" s="1"/>
  <c r="BW247" i="1"/>
  <c r="BX247" i="1" s="1"/>
  <c r="AM247" i="1"/>
  <c r="AN247" i="1" s="1"/>
  <c r="M247" i="1"/>
  <c r="L247" i="1"/>
  <c r="D247" i="1"/>
  <c r="C247" i="1"/>
  <c r="B247" i="1"/>
  <c r="A247" i="1"/>
  <c r="BW246" i="1"/>
  <c r="BX246" i="1" s="1"/>
  <c r="AG246" i="1"/>
  <c r="AH246" i="1" s="1"/>
  <c r="M246" i="1"/>
  <c r="L246" i="1"/>
  <c r="D246" i="1"/>
  <c r="C246" i="1"/>
  <c r="B246" i="1"/>
  <c r="A246" i="1"/>
  <c r="FI245" i="1"/>
  <c r="CO245" i="1"/>
  <c r="CP245" i="1" s="1"/>
  <c r="FH245" i="1" s="1"/>
  <c r="D245" i="1"/>
  <c r="C245" i="1"/>
  <c r="B245" i="1"/>
  <c r="A245" i="1"/>
  <c r="CI244" i="1"/>
  <c r="CJ244" i="1" s="1"/>
  <c r="BW244" i="1"/>
  <c r="BX244" i="1" s="1"/>
  <c r="AS244" i="1"/>
  <c r="AT244" i="1" s="1"/>
  <c r="AM244" i="1"/>
  <c r="AN244" i="1" s="1"/>
  <c r="AG244" i="1"/>
  <c r="AH244" i="1" s="1"/>
  <c r="U244" i="1"/>
  <c r="V244" i="1" s="1"/>
  <c r="M244" i="1"/>
  <c r="L244" i="1"/>
  <c r="D244" i="1"/>
  <c r="C244" i="1"/>
  <c r="B244" i="1"/>
  <c r="A244" i="1"/>
  <c r="FI243" i="1"/>
  <c r="BW243" i="1"/>
  <c r="BX243" i="1" s="1"/>
  <c r="AY243" i="1"/>
  <c r="AZ243" i="1" s="1"/>
  <c r="AS243" i="1"/>
  <c r="AT243" i="1" s="1"/>
  <c r="AM243" i="1"/>
  <c r="AN243" i="1" s="1"/>
  <c r="AG243" i="1"/>
  <c r="AH243" i="1" s="1"/>
  <c r="L243" i="1"/>
  <c r="D243" i="1"/>
  <c r="C243" i="1"/>
  <c r="B243" i="1"/>
  <c r="A243" i="1"/>
  <c r="FI242" i="1"/>
  <c r="CI242" i="1"/>
  <c r="CJ242" i="1" s="1"/>
  <c r="BW242" i="1"/>
  <c r="BX242" i="1" s="1"/>
  <c r="D242" i="1"/>
  <c r="C242" i="1"/>
  <c r="B242" i="1"/>
  <c r="A242" i="1"/>
  <c r="CI241" i="1"/>
  <c r="CJ241" i="1" s="1"/>
  <c r="BW241" i="1"/>
  <c r="BX241" i="1" s="1"/>
  <c r="M241" i="1"/>
  <c r="L241" i="1"/>
  <c r="D241" i="1"/>
  <c r="C241" i="1"/>
  <c r="B241" i="1"/>
  <c r="A241" i="1"/>
  <c r="BW240" i="1"/>
  <c r="BX240" i="1" s="1"/>
  <c r="AS240" i="1"/>
  <c r="AT240" i="1" s="1"/>
  <c r="AG240" i="1"/>
  <c r="AH240" i="1" s="1"/>
  <c r="M240" i="1"/>
  <c r="L240" i="1"/>
  <c r="D240" i="1"/>
  <c r="C240" i="1"/>
  <c r="B240" i="1"/>
  <c r="A240" i="1"/>
  <c r="BW239" i="1"/>
  <c r="BX239" i="1" s="1"/>
  <c r="AS239" i="1"/>
  <c r="AT239" i="1" s="1"/>
  <c r="AG239" i="1"/>
  <c r="AH239" i="1" s="1"/>
  <c r="O239" i="1"/>
  <c r="P239" i="1" s="1"/>
  <c r="M239" i="1"/>
  <c r="L239" i="1"/>
  <c r="D239" i="1"/>
  <c r="C239" i="1"/>
  <c r="B239" i="1"/>
  <c r="A239" i="1"/>
  <c r="CH238" i="1"/>
  <c r="CC238" i="1"/>
  <c r="CD238" i="1" s="1"/>
  <c r="BV238" i="1"/>
  <c r="AG238" i="1"/>
  <c r="AH238" i="1" s="1"/>
  <c r="M238" i="1"/>
  <c r="L238" i="1"/>
  <c r="D238" i="1"/>
  <c r="C238" i="1"/>
  <c r="B238" i="1"/>
  <c r="A238" i="1"/>
  <c r="BW237" i="1"/>
  <c r="BX237" i="1" s="1"/>
  <c r="AM237" i="1"/>
  <c r="AN237" i="1" s="1"/>
  <c r="AG237" i="1"/>
  <c r="AH237" i="1" s="1"/>
  <c r="M237" i="1"/>
  <c r="L237" i="1"/>
  <c r="D237" i="1"/>
  <c r="C237" i="1"/>
  <c r="B237" i="1"/>
  <c r="A237" i="1"/>
  <c r="CI236" i="1"/>
  <c r="CJ236" i="1" s="1"/>
  <c r="BW236" i="1"/>
  <c r="BX236" i="1" s="1"/>
  <c r="AS236" i="1"/>
  <c r="AT236" i="1" s="1"/>
  <c r="AM236" i="1"/>
  <c r="AN236" i="1" s="1"/>
  <c r="AG236" i="1"/>
  <c r="AH236" i="1" s="1"/>
  <c r="M236" i="1"/>
  <c r="L236" i="1"/>
  <c r="D236" i="1"/>
  <c r="C236" i="1"/>
  <c r="B236" i="1"/>
  <c r="A236" i="1"/>
  <c r="CI235" i="1"/>
  <c r="CJ235" i="1" s="1"/>
  <c r="BW235" i="1"/>
  <c r="BX235" i="1" s="1"/>
  <c r="AS235" i="1"/>
  <c r="AT235" i="1" s="1"/>
  <c r="AH235" i="1"/>
  <c r="M235" i="1"/>
  <c r="L235" i="1"/>
  <c r="D235" i="1"/>
  <c r="C235" i="1"/>
  <c r="B235" i="1"/>
  <c r="A235" i="1"/>
  <c r="CI234" i="1"/>
  <c r="CJ234" i="1" s="1"/>
  <c r="BW234" i="1"/>
  <c r="BX234" i="1" s="1"/>
  <c r="AS234" i="1"/>
  <c r="AT234" i="1" s="1"/>
  <c r="AM234" i="1"/>
  <c r="AN234" i="1" s="1"/>
  <c r="AH234" i="1"/>
  <c r="M234" i="1"/>
  <c r="L234" i="1"/>
  <c r="D234" i="1"/>
  <c r="C234" i="1"/>
  <c r="B234" i="1"/>
  <c r="A234" i="1"/>
  <c r="BW233" i="1"/>
  <c r="BX233" i="1" s="1"/>
  <c r="AS233" i="1"/>
  <c r="AT233" i="1" s="1"/>
  <c r="AM233" i="1"/>
  <c r="AN233" i="1" s="1"/>
  <c r="AG233" i="1"/>
  <c r="AH233" i="1" s="1"/>
  <c r="M233" i="1"/>
  <c r="L233" i="1"/>
  <c r="D233" i="1"/>
  <c r="C233" i="1"/>
  <c r="B233" i="1"/>
  <c r="A233" i="1"/>
  <c r="CU232" i="1"/>
  <c r="CV232" i="1" s="1"/>
  <c r="CI232" i="1"/>
  <c r="CJ232" i="1" s="1"/>
  <c r="BW232" i="1"/>
  <c r="BX232" i="1" s="1"/>
  <c r="AR232" i="1"/>
  <c r="AL232" i="1"/>
  <c r="AG232" i="1"/>
  <c r="AH232" i="1" s="1"/>
  <c r="M232" i="1"/>
  <c r="L232" i="1"/>
  <c r="D232" i="1"/>
  <c r="C232" i="1"/>
  <c r="B232" i="1"/>
  <c r="A232" i="1"/>
  <c r="CI231" i="1"/>
  <c r="CJ231" i="1" s="1"/>
  <c r="BW231" i="1"/>
  <c r="BX231" i="1" s="1"/>
  <c r="AS231" i="1"/>
  <c r="AT231" i="1" s="1"/>
  <c r="AM231" i="1"/>
  <c r="AN231" i="1" s="1"/>
  <c r="AG231" i="1"/>
  <c r="AH231" i="1" s="1"/>
  <c r="M231" i="1"/>
  <c r="L231" i="1"/>
  <c r="D231" i="1"/>
  <c r="C231" i="1"/>
  <c r="B231" i="1"/>
  <c r="A231" i="1"/>
  <c r="AR230" i="1"/>
  <c r="AG230" i="1"/>
  <c r="AH230" i="1" s="1"/>
  <c r="L230" i="1"/>
  <c r="D230" i="1"/>
  <c r="C230" i="1"/>
  <c r="B230" i="1"/>
  <c r="A230" i="1"/>
  <c r="DA229" i="1"/>
  <c r="DB229" i="1" s="1"/>
  <c r="CI229" i="1"/>
  <c r="CJ229" i="1" s="1"/>
  <c r="BW229" i="1"/>
  <c r="BX229" i="1" s="1"/>
  <c r="AS229" i="1"/>
  <c r="AT229" i="1" s="1"/>
  <c r="AM229" i="1"/>
  <c r="AN229" i="1" s="1"/>
  <c r="AG229" i="1"/>
  <c r="AH229" i="1" s="1"/>
  <c r="M229" i="1"/>
  <c r="L229" i="1"/>
  <c r="D229" i="1"/>
  <c r="C229" i="1"/>
  <c r="B229" i="1"/>
  <c r="A229" i="1"/>
  <c r="DA228" i="1"/>
  <c r="DB228" i="1" s="1"/>
  <c r="CV228" i="1"/>
  <c r="CU228" i="1"/>
  <c r="CI228" i="1"/>
  <c r="CJ228" i="1" s="1"/>
  <c r="BW228" i="1"/>
  <c r="BX228" i="1" s="1"/>
  <c r="AY228" i="1"/>
  <c r="AZ228" i="1" s="1"/>
  <c r="AR228" i="1"/>
  <c r="AM228" i="1"/>
  <c r="AN228" i="1" s="1"/>
  <c r="AG228" i="1"/>
  <c r="AH228" i="1" s="1"/>
  <c r="D228" i="1"/>
  <c r="C228" i="1"/>
  <c r="B228" i="1"/>
  <c r="A228" i="1"/>
  <c r="CI227" i="1"/>
  <c r="CJ227" i="1" s="1"/>
  <c r="BW227" i="1"/>
  <c r="BX227" i="1" s="1"/>
  <c r="AM227" i="1"/>
  <c r="AN227" i="1" s="1"/>
  <c r="AG227" i="1"/>
  <c r="AH227" i="1" s="1"/>
  <c r="M227" i="1"/>
  <c r="L227" i="1"/>
  <c r="D227" i="1"/>
  <c r="C227" i="1"/>
  <c r="B227" i="1"/>
  <c r="A227" i="1"/>
  <c r="BW226" i="1"/>
  <c r="BX226" i="1" s="1"/>
  <c r="AR226" i="1"/>
  <c r="M226" i="1"/>
  <c r="L226" i="1"/>
  <c r="D226" i="1"/>
  <c r="C226" i="1"/>
  <c r="B226" i="1"/>
  <c r="A226" i="1"/>
  <c r="FI225" i="1"/>
  <c r="CI225" i="1"/>
  <c r="CJ225" i="1" s="1"/>
  <c r="BW225" i="1"/>
  <c r="BX225" i="1" s="1"/>
  <c r="AS225" i="1"/>
  <c r="AT225" i="1" s="1"/>
  <c r="L225" i="1"/>
  <c r="D225" i="1"/>
  <c r="C225" i="1"/>
  <c r="B225" i="1"/>
  <c r="A225" i="1"/>
  <c r="DA224" i="1"/>
  <c r="DB224" i="1" s="1"/>
  <c r="CU224" i="1"/>
  <c r="CV224" i="1" s="1"/>
  <c r="BW224" i="1"/>
  <c r="BX224" i="1" s="1"/>
  <c r="AM224" i="1"/>
  <c r="AN224" i="1" s="1"/>
  <c r="AG224" i="1"/>
  <c r="AH224" i="1" s="1"/>
  <c r="M224" i="1"/>
  <c r="L224" i="1"/>
  <c r="D224" i="1"/>
  <c r="C224" i="1"/>
  <c r="B224" i="1"/>
  <c r="A224" i="1"/>
  <c r="DA223" i="1"/>
  <c r="DB223" i="1" s="1"/>
  <c r="CU223" i="1"/>
  <c r="CV223" i="1" s="1"/>
  <c r="BW223" i="1"/>
  <c r="BX223" i="1" s="1"/>
  <c r="AG223" i="1"/>
  <c r="AH223" i="1" s="1"/>
  <c r="M223" i="1"/>
  <c r="L223" i="1"/>
  <c r="D223" i="1"/>
  <c r="C223" i="1"/>
  <c r="B223" i="1"/>
  <c r="A223" i="1"/>
  <c r="FI222" i="1"/>
  <c r="CI222" i="1"/>
  <c r="CJ222" i="1" s="1"/>
  <c r="BW222" i="1"/>
  <c r="BX222" i="1" s="1"/>
  <c r="AG222" i="1"/>
  <c r="AH222" i="1" s="1"/>
  <c r="FH222" i="1" s="1"/>
  <c r="FJ222" i="1" s="1"/>
  <c r="L222" i="1"/>
  <c r="D222" i="1"/>
  <c r="C222" i="1"/>
  <c r="B222" i="1"/>
  <c r="A222" i="1"/>
  <c r="CI221" i="1"/>
  <c r="CJ221" i="1" s="1"/>
  <c r="BW221" i="1"/>
  <c r="BX221" i="1" s="1"/>
  <c r="AM221" i="1"/>
  <c r="AN221" i="1" s="1"/>
  <c r="M221" i="1"/>
  <c r="L221" i="1"/>
  <c r="D221" i="1"/>
  <c r="C221" i="1"/>
  <c r="B221" i="1"/>
  <c r="A221" i="1"/>
  <c r="CI220" i="1"/>
  <c r="CJ220" i="1" s="1"/>
  <c r="BW220" i="1"/>
  <c r="BX220" i="1" s="1"/>
  <c r="AS220" i="1"/>
  <c r="AT220" i="1" s="1"/>
  <c r="AM220" i="1"/>
  <c r="AN220" i="1" s="1"/>
  <c r="AH220" i="1"/>
  <c r="M220" i="1"/>
  <c r="L220" i="1"/>
  <c r="D220" i="1"/>
  <c r="C220" i="1"/>
  <c r="B220" i="1"/>
  <c r="A220" i="1"/>
  <c r="CI219" i="1"/>
  <c r="CJ219" i="1" s="1"/>
  <c r="BW219" i="1"/>
  <c r="BX219" i="1" s="1"/>
  <c r="AS219" i="1"/>
  <c r="AT219" i="1" s="1"/>
  <c r="AM219" i="1"/>
  <c r="AN219" i="1" s="1"/>
  <c r="AG219" i="1"/>
  <c r="AH219" i="1" s="1"/>
  <c r="M219" i="1"/>
  <c r="L219" i="1"/>
  <c r="D219" i="1"/>
  <c r="C219" i="1"/>
  <c r="B219" i="1"/>
  <c r="A219" i="1"/>
  <c r="DA218" i="1"/>
  <c r="DB218" i="1" s="1"/>
  <c r="BW218" i="1"/>
  <c r="BX218" i="1" s="1"/>
  <c r="AS218" i="1"/>
  <c r="AT218" i="1" s="1"/>
  <c r="AM218" i="1"/>
  <c r="AN218" i="1" s="1"/>
  <c r="AG218" i="1"/>
  <c r="AH218" i="1" s="1"/>
  <c r="M218" i="1"/>
  <c r="L218" i="1"/>
  <c r="D218" i="1"/>
  <c r="C218" i="1"/>
  <c r="B218" i="1"/>
  <c r="A218" i="1"/>
  <c r="CN217" i="1"/>
  <c r="CO217" i="1" s="1"/>
  <c r="CP217" i="1" s="1"/>
  <c r="BW217" i="1"/>
  <c r="BX217" i="1" s="1"/>
  <c r="AS217" i="1"/>
  <c r="AT217" i="1" s="1"/>
  <c r="M217" i="1"/>
  <c r="L217" i="1"/>
  <c r="D217" i="1"/>
  <c r="C217" i="1"/>
  <c r="B217" i="1"/>
  <c r="A217" i="1"/>
  <c r="CU216" i="1"/>
  <c r="CV216" i="1" s="1"/>
  <c r="BV216" i="1"/>
  <c r="AS216" i="1"/>
  <c r="AT216" i="1" s="1"/>
  <c r="D216" i="1"/>
  <c r="C216" i="1"/>
  <c r="B216" i="1"/>
  <c r="A216" i="1"/>
  <c r="FI215" i="1"/>
  <c r="CU215" i="1"/>
  <c r="CV215" i="1" s="1"/>
  <c r="CI215" i="1"/>
  <c r="CJ215" i="1" s="1"/>
  <c r="BW215" i="1"/>
  <c r="BX215" i="1" s="1"/>
  <c r="D215" i="1"/>
  <c r="C215" i="1"/>
  <c r="B215" i="1"/>
  <c r="A215" i="1"/>
  <c r="CU214" i="1"/>
  <c r="CV214" i="1" s="1"/>
  <c r="CH214" i="1"/>
  <c r="BV214" i="1"/>
  <c r="AS214" i="1"/>
  <c r="AT214" i="1" s="1"/>
  <c r="M214" i="1"/>
  <c r="L214" i="1"/>
  <c r="D214" i="1"/>
  <c r="C214" i="1"/>
  <c r="B214" i="1"/>
  <c r="A214" i="1"/>
  <c r="CU213" i="1"/>
  <c r="CV213" i="1" s="1"/>
  <c r="BW213" i="1"/>
  <c r="BX213" i="1" s="1"/>
  <c r="AS213" i="1"/>
  <c r="AT213" i="1" s="1"/>
  <c r="M213" i="1"/>
  <c r="L213" i="1"/>
  <c r="D213" i="1"/>
  <c r="C213" i="1"/>
  <c r="B213" i="1"/>
  <c r="A213" i="1"/>
  <c r="FI212" i="1"/>
  <c r="CU212" i="1"/>
  <c r="CV212" i="1" s="1"/>
  <c r="CI212" i="1"/>
  <c r="CJ212" i="1" s="1"/>
  <c r="BW212" i="1"/>
  <c r="BX212" i="1" s="1"/>
  <c r="AS212" i="1"/>
  <c r="AT212" i="1" s="1"/>
  <c r="D212" i="1"/>
  <c r="C212" i="1"/>
  <c r="B212" i="1"/>
  <c r="A212" i="1"/>
  <c r="FI211" i="1"/>
  <c r="CU211" i="1"/>
  <c r="CV211" i="1" s="1"/>
  <c r="BW211" i="1"/>
  <c r="BX211" i="1" s="1"/>
  <c r="AS211" i="1"/>
  <c r="AT211" i="1" s="1"/>
  <c r="D211" i="1"/>
  <c r="C211" i="1"/>
  <c r="B211" i="1"/>
  <c r="A211" i="1"/>
  <c r="FI210" i="1"/>
  <c r="CU210" i="1"/>
  <c r="CV210" i="1" s="1"/>
  <c r="BW210" i="1"/>
  <c r="BX210" i="1" s="1"/>
  <c r="AS210" i="1"/>
  <c r="AT210" i="1" s="1"/>
  <c r="D210" i="1"/>
  <c r="C210" i="1"/>
  <c r="B210" i="1"/>
  <c r="A210" i="1"/>
  <c r="CU209" i="1"/>
  <c r="CV209" i="1" s="1"/>
  <c r="CI209" i="1"/>
  <c r="CJ209" i="1" s="1"/>
  <c r="BW209" i="1"/>
  <c r="BX209" i="1" s="1"/>
  <c r="AS209" i="1"/>
  <c r="AT209" i="1" s="1"/>
  <c r="M209" i="1"/>
  <c r="L209" i="1"/>
  <c r="D209" i="1"/>
  <c r="C209" i="1"/>
  <c r="B209" i="1"/>
  <c r="A209" i="1"/>
  <c r="CU208" i="1"/>
  <c r="CV208" i="1" s="1"/>
  <c r="CI208" i="1"/>
  <c r="CJ208" i="1" s="1"/>
  <c r="BW208" i="1"/>
  <c r="BX208" i="1" s="1"/>
  <c r="AS208" i="1"/>
  <c r="AT208" i="1" s="1"/>
  <c r="M208" i="1"/>
  <c r="L208" i="1"/>
  <c r="D208" i="1"/>
  <c r="C208" i="1"/>
  <c r="B208" i="1"/>
  <c r="A208" i="1"/>
  <c r="CU207" i="1"/>
  <c r="CV207" i="1" s="1"/>
  <c r="CI207" i="1"/>
  <c r="CJ207" i="1" s="1"/>
  <c r="BW207" i="1"/>
  <c r="BX207" i="1" s="1"/>
  <c r="AS207" i="1"/>
  <c r="AT207" i="1" s="1"/>
  <c r="M207" i="1"/>
  <c r="L207" i="1"/>
  <c r="D207" i="1"/>
  <c r="C207" i="1"/>
  <c r="B207" i="1"/>
  <c r="A207" i="1"/>
  <c r="DA206" i="1"/>
  <c r="DB206" i="1" s="1"/>
  <c r="CU206" i="1"/>
  <c r="CV206" i="1" s="1"/>
  <c r="CI206" i="1"/>
  <c r="CJ206" i="1" s="1"/>
  <c r="BW206" i="1"/>
  <c r="BX206" i="1" s="1"/>
  <c r="AS206" i="1"/>
  <c r="AT206" i="1" s="1"/>
  <c r="AM206" i="1"/>
  <c r="AN206" i="1" s="1"/>
  <c r="M206" i="1"/>
  <c r="L206" i="1"/>
  <c r="D206" i="1"/>
  <c r="C206" i="1"/>
  <c r="B206" i="1"/>
  <c r="A206" i="1"/>
  <c r="FI205" i="1"/>
  <c r="CU205" i="1"/>
  <c r="CV205" i="1" s="1"/>
  <c r="CI205" i="1"/>
  <c r="CJ205" i="1" s="1"/>
  <c r="BW205" i="1"/>
  <c r="BX205" i="1" s="1"/>
  <c r="AS205" i="1"/>
  <c r="AT205" i="1" s="1"/>
  <c r="AM205" i="1"/>
  <c r="AN205" i="1" s="1"/>
  <c r="L205" i="1"/>
  <c r="D205" i="1"/>
  <c r="C205" i="1"/>
  <c r="B205" i="1"/>
  <c r="A205" i="1"/>
  <c r="FI204" i="1"/>
  <c r="CU204" i="1"/>
  <c r="CV204" i="1" s="1"/>
  <c r="CI204" i="1"/>
  <c r="CJ204" i="1" s="1"/>
  <c r="BW204" i="1"/>
  <c r="BX204" i="1" s="1"/>
  <c r="FH204" i="1" s="1"/>
  <c r="FJ204" i="1" s="1"/>
  <c r="L204" i="1"/>
  <c r="D204" i="1"/>
  <c r="C204" i="1"/>
  <c r="B204" i="1"/>
  <c r="A204" i="1"/>
  <c r="CU203" i="1"/>
  <c r="CV203" i="1" s="1"/>
  <c r="CI203" i="1"/>
  <c r="CJ203" i="1" s="1"/>
  <c r="BW203" i="1"/>
  <c r="BX203" i="1" s="1"/>
  <c r="AS203" i="1"/>
  <c r="AT203" i="1" s="1"/>
  <c r="AM203" i="1"/>
  <c r="AN203" i="1" s="1"/>
  <c r="M203" i="1"/>
  <c r="L203" i="1"/>
  <c r="D203" i="1"/>
  <c r="C203" i="1"/>
  <c r="B203" i="1"/>
  <c r="A203" i="1"/>
  <c r="CU202" i="1"/>
  <c r="CV202" i="1" s="1"/>
  <c r="BW202" i="1"/>
  <c r="BX202" i="1" s="1"/>
  <c r="M202" i="1"/>
  <c r="L202" i="1"/>
  <c r="D202" i="1"/>
  <c r="C202" i="1"/>
  <c r="B202" i="1"/>
  <c r="A202" i="1"/>
  <c r="CU201" i="1"/>
  <c r="CV201" i="1" s="1"/>
  <c r="BW201" i="1"/>
  <c r="BX201" i="1" s="1"/>
  <c r="AS201" i="1"/>
  <c r="AT201" i="1" s="1"/>
  <c r="M201" i="1"/>
  <c r="L201" i="1"/>
  <c r="D201" i="1"/>
  <c r="C201" i="1"/>
  <c r="B201" i="1"/>
  <c r="A201" i="1"/>
  <c r="CU200" i="1"/>
  <c r="CV200" i="1" s="1"/>
  <c r="BW200" i="1"/>
  <c r="BX200" i="1" s="1"/>
  <c r="AS200" i="1"/>
  <c r="AT200" i="1" s="1"/>
  <c r="M200" i="1"/>
  <c r="L200" i="1"/>
  <c r="D200" i="1"/>
  <c r="C200" i="1"/>
  <c r="B200" i="1"/>
  <c r="A200" i="1"/>
  <c r="CU199" i="1"/>
  <c r="CV199" i="1" s="1"/>
  <c r="CI199" i="1"/>
  <c r="CJ199" i="1" s="1"/>
  <c r="BW199" i="1"/>
  <c r="BX199" i="1" s="1"/>
  <c r="M199" i="1"/>
  <c r="L199" i="1"/>
  <c r="D199" i="1"/>
  <c r="C199" i="1"/>
  <c r="B199" i="1"/>
  <c r="A199" i="1"/>
  <c r="CU198" i="1"/>
  <c r="CV198" i="1" s="1"/>
  <c r="BW198" i="1"/>
  <c r="BX198" i="1" s="1"/>
  <c r="M198" i="1"/>
  <c r="L198" i="1"/>
  <c r="D198" i="1"/>
  <c r="C198" i="1"/>
  <c r="B198" i="1"/>
  <c r="A198" i="1"/>
  <c r="CU197" i="1"/>
  <c r="CV197" i="1" s="1"/>
  <c r="CI197" i="1"/>
  <c r="CJ197" i="1" s="1"/>
  <c r="BW197" i="1"/>
  <c r="BX197" i="1" s="1"/>
  <c r="AS197" i="1"/>
  <c r="AT197" i="1" s="1"/>
  <c r="M197" i="1"/>
  <c r="L197" i="1"/>
  <c r="D197" i="1"/>
  <c r="C197" i="1"/>
  <c r="B197" i="1"/>
  <c r="A197" i="1"/>
  <c r="DA196" i="1"/>
  <c r="DB196" i="1" s="1"/>
  <c r="CU196" i="1"/>
  <c r="CV196" i="1" s="1"/>
  <c r="CI196" i="1"/>
  <c r="CJ196" i="1" s="1"/>
  <c r="BW196" i="1"/>
  <c r="BX196" i="1" s="1"/>
  <c r="AS196" i="1"/>
  <c r="AT196" i="1" s="1"/>
  <c r="AM196" i="1"/>
  <c r="AN196" i="1" s="1"/>
  <c r="M196" i="1"/>
  <c r="L196" i="1"/>
  <c r="D196" i="1"/>
  <c r="C196" i="1"/>
  <c r="B196" i="1"/>
  <c r="A196" i="1"/>
  <c r="CU195" i="1"/>
  <c r="CV195" i="1" s="1"/>
  <c r="CI195" i="1"/>
  <c r="CJ195" i="1" s="1"/>
  <c r="BW195" i="1"/>
  <c r="BX195" i="1" s="1"/>
  <c r="AS195" i="1"/>
  <c r="AT195" i="1" s="1"/>
  <c r="AM195" i="1"/>
  <c r="AN195" i="1" s="1"/>
  <c r="M195" i="1"/>
  <c r="L195" i="1"/>
  <c r="D195" i="1"/>
  <c r="C195" i="1"/>
  <c r="B195" i="1"/>
  <c r="A195" i="1"/>
  <c r="FI194" i="1"/>
  <c r="DA194" i="1"/>
  <c r="DB194" i="1" s="1"/>
  <c r="CU194" i="1"/>
  <c r="CV194" i="1" s="1"/>
  <c r="CI194" i="1"/>
  <c r="CJ194" i="1" s="1"/>
  <c r="BW194" i="1"/>
  <c r="BX194" i="1" s="1"/>
  <c r="AS194" i="1"/>
  <c r="AT194" i="1" s="1"/>
  <c r="AM194" i="1"/>
  <c r="AN194" i="1" s="1"/>
  <c r="D194" i="1"/>
  <c r="C194" i="1"/>
  <c r="B194" i="1"/>
  <c r="A194" i="1"/>
  <c r="DA193" i="1"/>
  <c r="DB193" i="1" s="1"/>
  <c r="CU193" i="1"/>
  <c r="CV193" i="1" s="1"/>
  <c r="CI193" i="1"/>
  <c r="CJ193" i="1" s="1"/>
  <c r="BW193" i="1"/>
  <c r="BX193" i="1" s="1"/>
  <c r="AS193" i="1"/>
  <c r="AT193" i="1" s="1"/>
  <c r="AM193" i="1"/>
  <c r="AN193" i="1" s="1"/>
  <c r="M193" i="1"/>
  <c r="L193" i="1"/>
  <c r="D193" i="1"/>
  <c r="C193" i="1"/>
  <c r="B193" i="1"/>
  <c r="A193" i="1"/>
  <c r="CU192" i="1"/>
  <c r="CV192" i="1" s="1"/>
  <c r="CI192" i="1"/>
  <c r="CJ192" i="1" s="1"/>
  <c r="BW192" i="1"/>
  <c r="BX192" i="1" s="1"/>
  <c r="AS192" i="1"/>
  <c r="AT192" i="1" s="1"/>
  <c r="AM192" i="1"/>
  <c r="AN192" i="1" s="1"/>
  <c r="M192" i="1"/>
  <c r="L192" i="1"/>
  <c r="D192" i="1"/>
  <c r="C192" i="1"/>
  <c r="B192" i="1"/>
  <c r="A192" i="1"/>
  <c r="FI191" i="1"/>
  <c r="CU191" i="1"/>
  <c r="CV191" i="1" s="1"/>
  <c r="CI191" i="1"/>
  <c r="CJ191" i="1" s="1"/>
  <c r="BW191" i="1"/>
  <c r="BX191" i="1" s="1"/>
  <c r="D191" i="1"/>
  <c r="C191" i="1"/>
  <c r="B191" i="1"/>
  <c r="A191" i="1"/>
  <c r="FI190" i="1"/>
  <c r="CU190" i="1"/>
  <c r="CV190" i="1" s="1"/>
  <c r="FH190" i="1" s="1"/>
  <c r="FJ190" i="1" s="1"/>
  <c r="D190" i="1"/>
  <c r="C190" i="1"/>
  <c r="B190" i="1"/>
  <c r="A190" i="1"/>
  <c r="CU189" i="1"/>
  <c r="CV189" i="1" s="1"/>
  <c r="M189" i="1"/>
  <c r="L189" i="1"/>
  <c r="D189" i="1"/>
  <c r="C189" i="1"/>
  <c r="B189" i="1"/>
  <c r="A189" i="1"/>
  <c r="FI188" i="1"/>
  <c r="CU188" i="1"/>
  <c r="CV188" i="1" s="1"/>
  <c r="AS188" i="1"/>
  <c r="AT188" i="1" s="1"/>
  <c r="D188" i="1"/>
  <c r="C188" i="1"/>
  <c r="B188" i="1"/>
  <c r="A188" i="1"/>
  <c r="FI187" i="1"/>
  <c r="CU187" i="1"/>
  <c r="CV187" i="1" s="1"/>
  <c r="AS187" i="1"/>
  <c r="AT187" i="1" s="1"/>
  <c r="D187" i="1"/>
  <c r="C187" i="1"/>
  <c r="B187" i="1"/>
  <c r="A187" i="1"/>
  <c r="FI186" i="1"/>
  <c r="CU186" i="1"/>
  <c r="CV186" i="1" s="1"/>
  <c r="AS186" i="1"/>
  <c r="AT186" i="1" s="1"/>
  <c r="FH186" i="1" s="1"/>
  <c r="FJ186" i="1" s="1"/>
  <c r="D186" i="1"/>
  <c r="C186" i="1"/>
  <c r="B186" i="1"/>
  <c r="A186" i="1"/>
  <c r="FI185" i="1"/>
  <c r="CU185" i="1"/>
  <c r="CV185" i="1" s="1"/>
  <c r="AS185" i="1"/>
  <c r="AT185" i="1" s="1"/>
  <c r="D185" i="1"/>
  <c r="C185" i="1"/>
  <c r="B185" i="1"/>
  <c r="A185" i="1"/>
  <c r="FI184" i="1"/>
  <c r="CU184" i="1"/>
  <c r="CV184" i="1" s="1"/>
  <c r="AS184" i="1"/>
  <c r="AT184" i="1" s="1"/>
  <c r="D184" i="1"/>
  <c r="C184" i="1"/>
  <c r="B184" i="1"/>
  <c r="A184" i="1"/>
  <c r="FI183" i="1"/>
  <c r="CU183" i="1"/>
  <c r="CV183" i="1" s="1"/>
  <c r="AS183" i="1"/>
  <c r="AT183" i="1" s="1"/>
  <c r="D183" i="1"/>
  <c r="C183" i="1"/>
  <c r="B183" i="1"/>
  <c r="A183" i="1"/>
  <c r="FI182" i="1"/>
  <c r="AG182" i="1"/>
  <c r="AH182" i="1" s="1"/>
  <c r="FH182" i="1" s="1"/>
  <c r="L182" i="1"/>
  <c r="D182" i="1"/>
  <c r="C182" i="1"/>
  <c r="B182" i="1"/>
  <c r="A182" i="1"/>
  <c r="M181" i="1"/>
  <c r="L181" i="1"/>
  <c r="D181" i="1"/>
  <c r="C181" i="1"/>
  <c r="B181" i="1"/>
  <c r="A181" i="1"/>
  <c r="FI180" i="1"/>
  <c r="AS180" i="1"/>
  <c r="AT180" i="1" s="1"/>
  <c r="AM180" i="1"/>
  <c r="AN180" i="1" s="1"/>
  <c r="L180" i="1"/>
  <c r="D180" i="1"/>
  <c r="C180" i="1"/>
  <c r="B180" i="1"/>
  <c r="A180" i="1"/>
  <c r="AS179" i="1"/>
  <c r="AT179" i="1" s="1"/>
  <c r="AG179" i="1"/>
  <c r="AH179" i="1" s="1"/>
  <c r="M179" i="1"/>
  <c r="L179" i="1"/>
  <c r="D179" i="1"/>
  <c r="C179" i="1"/>
  <c r="B179" i="1"/>
  <c r="A179" i="1"/>
  <c r="FI178" i="1"/>
  <c r="AS178" i="1"/>
  <c r="AT178" i="1" s="1"/>
  <c r="FH178" i="1" s="1"/>
  <c r="FJ178" i="1" s="1"/>
  <c r="L178" i="1"/>
  <c r="D178" i="1"/>
  <c r="C178" i="1"/>
  <c r="B178" i="1"/>
  <c r="A178" i="1"/>
  <c r="AG177" i="1"/>
  <c r="AH177" i="1" s="1"/>
  <c r="M177" i="1"/>
  <c r="L177" i="1"/>
  <c r="D177" i="1"/>
  <c r="C177" i="1"/>
  <c r="B177" i="1"/>
  <c r="A177" i="1"/>
  <c r="M176" i="1"/>
  <c r="L176" i="1"/>
  <c r="D176" i="1"/>
  <c r="C176" i="1"/>
  <c r="B176" i="1"/>
  <c r="A176" i="1"/>
  <c r="FI175" i="1"/>
  <c r="AS175" i="1"/>
  <c r="AT175" i="1" s="1"/>
  <c r="U175" i="1"/>
  <c r="V175" i="1" s="1"/>
  <c r="L175" i="1"/>
  <c r="D175" i="1"/>
  <c r="C175" i="1"/>
  <c r="B175" i="1"/>
  <c r="A175" i="1"/>
  <c r="CC174" i="1"/>
  <c r="CD174" i="1" s="1"/>
  <c r="AR174" i="1"/>
  <c r="L174" i="1"/>
  <c r="D174" i="1"/>
  <c r="C174" i="1"/>
  <c r="B174" i="1"/>
  <c r="A174" i="1"/>
  <c r="DA173" i="1"/>
  <c r="DB173" i="1" s="1"/>
  <c r="AY173" i="1"/>
  <c r="AZ173" i="1" s="1"/>
  <c r="AR173" i="1"/>
  <c r="AM173" i="1"/>
  <c r="AN173" i="1" s="1"/>
  <c r="U173" i="1"/>
  <c r="V173" i="1" s="1"/>
  <c r="D173" i="1"/>
  <c r="C173" i="1"/>
  <c r="B173" i="1"/>
  <c r="A173" i="1"/>
  <c r="CI172" i="1"/>
  <c r="CJ172" i="1" s="1"/>
  <c r="BW172" i="1"/>
  <c r="BX172" i="1" s="1"/>
  <c r="BP172" i="1"/>
  <c r="AS172" i="1"/>
  <c r="AT172" i="1" s="1"/>
  <c r="AM172" i="1"/>
  <c r="AN172" i="1" s="1"/>
  <c r="AG172" i="1"/>
  <c r="AH172" i="1" s="1"/>
  <c r="M172" i="1"/>
  <c r="L172" i="1"/>
  <c r="D172" i="1"/>
  <c r="C172" i="1"/>
  <c r="B172" i="1"/>
  <c r="A172" i="1"/>
  <c r="FI171" i="1"/>
  <c r="DA171" i="1"/>
  <c r="DB171" i="1" s="1"/>
  <c r="CI171" i="1"/>
  <c r="CJ171" i="1" s="1"/>
  <c r="BW171" i="1"/>
  <c r="BX171" i="1" s="1"/>
  <c r="AS171" i="1"/>
  <c r="AT171" i="1" s="1"/>
  <c r="L171" i="1"/>
  <c r="D171" i="1"/>
  <c r="C171" i="1"/>
  <c r="B171" i="1"/>
  <c r="A171" i="1"/>
  <c r="DA170" i="1"/>
  <c r="DB170" i="1" s="1"/>
  <c r="CU170" i="1"/>
  <c r="CV170" i="1" s="1"/>
  <c r="CI170" i="1"/>
  <c r="CJ170" i="1" s="1"/>
  <c r="BW170" i="1"/>
  <c r="BX170" i="1" s="1"/>
  <c r="AS170" i="1"/>
  <c r="AT170" i="1" s="1"/>
  <c r="AM170" i="1"/>
  <c r="AN170" i="1" s="1"/>
  <c r="M170" i="1"/>
  <c r="L170" i="1"/>
  <c r="D170" i="1"/>
  <c r="C170" i="1"/>
  <c r="B170" i="1"/>
  <c r="A170" i="1"/>
  <c r="FI169" i="1"/>
  <c r="CI169" i="1"/>
  <c r="CJ169" i="1" s="1"/>
  <c r="BW169" i="1"/>
  <c r="BX169" i="1" s="1"/>
  <c r="AS169" i="1"/>
  <c r="AT169" i="1" s="1"/>
  <c r="FH169" i="1" s="1"/>
  <c r="FJ169" i="1" s="1"/>
  <c r="L169" i="1"/>
  <c r="D169" i="1"/>
  <c r="C169" i="1"/>
  <c r="B169" i="1"/>
  <c r="A169" i="1"/>
  <c r="DA168" i="1"/>
  <c r="DB168" i="1" s="1"/>
  <c r="CU168" i="1"/>
  <c r="CV168" i="1" s="1"/>
  <c r="CI168" i="1"/>
  <c r="CJ168" i="1" s="1"/>
  <c r="BW168" i="1"/>
  <c r="BX168" i="1" s="1"/>
  <c r="AM168" i="1"/>
  <c r="AN168" i="1" s="1"/>
  <c r="M168" i="1"/>
  <c r="L168" i="1"/>
  <c r="D168" i="1"/>
  <c r="C168" i="1"/>
  <c r="B168" i="1"/>
  <c r="A168" i="1"/>
  <c r="CU167" i="1"/>
  <c r="CV167" i="1" s="1"/>
  <c r="CI167" i="1"/>
  <c r="CJ167" i="1" s="1"/>
  <c r="BW167" i="1"/>
  <c r="BX167" i="1" s="1"/>
  <c r="AR167" i="1"/>
  <c r="AM167" i="1"/>
  <c r="AN167" i="1" s="1"/>
  <c r="AG167" i="1"/>
  <c r="AH167" i="1" s="1"/>
  <c r="M167" i="1"/>
  <c r="L167" i="1"/>
  <c r="D167" i="1"/>
  <c r="C167" i="1"/>
  <c r="B167" i="1"/>
  <c r="A167" i="1"/>
  <c r="FI166" i="1"/>
  <c r="CI166" i="1"/>
  <c r="CJ166" i="1" s="1"/>
  <c r="BW166" i="1"/>
  <c r="BX166" i="1" s="1"/>
  <c r="AS166" i="1"/>
  <c r="AT166" i="1" s="1"/>
  <c r="FH166" i="1" s="1"/>
  <c r="FJ166" i="1" s="1"/>
  <c r="L166" i="1"/>
  <c r="D166" i="1"/>
  <c r="C166" i="1"/>
  <c r="B166" i="1"/>
  <c r="A166" i="1"/>
  <c r="FI165" i="1"/>
  <c r="CI165" i="1"/>
  <c r="CJ165" i="1" s="1"/>
  <c r="BW165" i="1"/>
  <c r="BX165" i="1" s="1"/>
  <c r="FH165" i="1" s="1"/>
  <c r="FJ165" i="1" s="1"/>
  <c r="L165" i="1"/>
  <c r="D165" i="1"/>
  <c r="C165" i="1"/>
  <c r="B165" i="1"/>
  <c r="A165" i="1"/>
  <c r="CI164" i="1"/>
  <c r="CJ164" i="1" s="1"/>
  <c r="CC164" i="1"/>
  <c r="CD164" i="1" s="1"/>
  <c r="BW164" i="1"/>
  <c r="BX164" i="1" s="1"/>
  <c r="AR164" i="1"/>
  <c r="AM164" i="1"/>
  <c r="AN164" i="1" s="1"/>
  <c r="AG164" i="1"/>
  <c r="AH164" i="1" s="1"/>
  <c r="M164" i="1"/>
  <c r="L164" i="1"/>
  <c r="D164" i="1"/>
  <c r="C164" i="1"/>
  <c r="B164" i="1"/>
  <c r="A164" i="1"/>
  <c r="FI163" i="1"/>
  <c r="AS163" i="1"/>
  <c r="AT163" i="1" s="1"/>
  <c r="FH163" i="1" s="1"/>
  <c r="L163" i="1"/>
  <c r="D163" i="1"/>
  <c r="C163" i="1"/>
  <c r="B163" i="1"/>
  <c r="A163" i="1"/>
  <c r="CI162" i="1"/>
  <c r="CJ162" i="1" s="1"/>
  <c r="BW162" i="1"/>
  <c r="BX162" i="1" s="1"/>
  <c r="AR162" i="1"/>
  <c r="D162" i="1"/>
  <c r="C162" i="1"/>
  <c r="B162" i="1"/>
  <c r="A162" i="1"/>
  <c r="CI161" i="1"/>
  <c r="CJ161" i="1" s="1"/>
  <c r="BW161" i="1"/>
  <c r="BX161" i="1" s="1"/>
  <c r="AY161" i="1"/>
  <c r="AZ161" i="1" s="1"/>
  <c r="AR161" i="1"/>
  <c r="AM161" i="1"/>
  <c r="AN161" i="1" s="1"/>
  <c r="AG161" i="1"/>
  <c r="AH161" i="1" s="1"/>
  <c r="M161" i="1"/>
  <c r="L161" i="1"/>
  <c r="D161" i="1"/>
  <c r="C161" i="1"/>
  <c r="B161" i="1"/>
  <c r="A161" i="1"/>
  <c r="CI160" i="1"/>
  <c r="CJ160" i="1" s="1"/>
  <c r="BW160" i="1"/>
  <c r="BX160" i="1" s="1"/>
  <c r="AR160" i="1"/>
  <c r="AL160" i="1"/>
  <c r="M160" i="1"/>
  <c r="L160" i="1"/>
  <c r="D160" i="1"/>
  <c r="C160" i="1"/>
  <c r="B160" i="1"/>
  <c r="A160" i="1"/>
  <c r="FI159" i="1"/>
  <c r="CI159" i="1"/>
  <c r="CJ159" i="1" s="1"/>
  <c r="BW159" i="1"/>
  <c r="BX159" i="1" s="1"/>
  <c r="AS159" i="1"/>
  <c r="AT159" i="1" s="1"/>
  <c r="AM159" i="1"/>
  <c r="AN159" i="1" s="1"/>
  <c r="AG159" i="1"/>
  <c r="AH159" i="1" s="1"/>
  <c r="L159" i="1"/>
  <c r="D159" i="1"/>
  <c r="C159" i="1"/>
  <c r="B159" i="1"/>
  <c r="A159" i="1"/>
  <c r="AH158" i="1"/>
  <c r="M158" i="1"/>
  <c r="L158" i="1"/>
  <c r="D158" i="1"/>
  <c r="C158" i="1"/>
  <c r="B158" i="1"/>
  <c r="A158" i="1"/>
  <c r="FI157" i="1"/>
  <c r="CI157" i="1"/>
  <c r="CJ157" i="1" s="1"/>
  <c r="BW157" i="1"/>
  <c r="BX157" i="1" s="1"/>
  <c r="AS157" i="1"/>
  <c r="AT157" i="1" s="1"/>
  <c r="L157" i="1"/>
  <c r="D157" i="1"/>
  <c r="C157" i="1"/>
  <c r="B157" i="1"/>
  <c r="A157" i="1"/>
  <c r="BW156" i="1"/>
  <c r="BX156" i="1" s="1"/>
  <c r="AS156" i="1"/>
  <c r="AT156" i="1" s="1"/>
  <c r="AM156" i="1"/>
  <c r="AN156" i="1" s="1"/>
  <c r="AG156" i="1"/>
  <c r="AH156" i="1" s="1"/>
  <c r="M156" i="1"/>
  <c r="L156" i="1"/>
  <c r="D156" i="1"/>
  <c r="C156" i="1"/>
  <c r="B156" i="1"/>
  <c r="A156" i="1"/>
  <c r="CI155" i="1"/>
  <c r="CJ155" i="1" s="1"/>
  <c r="CC155" i="1"/>
  <c r="CD155" i="1" s="1"/>
  <c r="BW155" i="1"/>
  <c r="BX155" i="1" s="1"/>
  <c r="AS155" i="1"/>
  <c r="AT155" i="1" s="1"/>
  <c r="AM155" i="1"/>
  <c r="AN155" i="1" s="1"/>
  <c r="AG155" i="1"/>
  <c r="AH155" i="1" s="1"/>
  <c r="M155" i="1"/>
  <c r="L155" i="1"/>
  <c r="D155" i="1"/>
  <c r="C155" i="1"/>
  <c r="B155" i="1"/>
  <c r="A155" i="1"/>
  <c r="CV154" i="1"/>
  <c r="CU154" i="1"/>
  <c r="BW154" i="1"/>
  <c r="BX154" i="1" s="1"/>
  <c r="AS154" i="1"/>
  <c r="AT154" i="1" s="1"/>
  <c r="M154" i="1"/>
  <c r="L154" i="1"/>
  <c r="D154" i="1"/>
  <c r="C154" i="1"/>
  <c r="B154" i="1"/>
  <c r="A154" i="1"/>
  <c r="BW153" i="1"/>
  <c r="BX153" i="1" s="1"/>
  <c r="AS153" i="1"/>
  <c r="AT153" i="1" s="1"/>
  <c r="AA153" i="1"/>
  <c r="AB153" i="1" s="1"/>
  <c r="M153" i="1"/>
  <c r="L153" i="1"/>
  <c r="D153" i="1"/>
  <c r="C153" i="1"/>
  <c r="B153" i="1"/>
  <c r="A153" i="1"/>
  <c r="CI152" i="1"/>
  <c r="CJ152" i="1" s="1"/>
  <c r="BW152" i="1"/>
  <c r="BX152" i="1" s="1"/>
  <c r="AS152" i="1"/>
  <c r="AT152" i="1" s="1"/>
  <c r="AM152" i="1"/>
  <c r="AN152" i="1" s="1"/>
  <c r="AG152" i="1"/>
  <c r="AH152" i="1" s="1"/>
  <c r="M152" i="1"/>
  <c r="L152" i="1"/>
  <c r="D152" i="1"/>
  <c r="C152" i="1"/>
  <c r="B152" i="1"/>
  <c r="A152" i="1"/>
  <c r="CI151" i="1"/>
  <c r="CJ151" i="1" s="1"/>
  <c r="BW151" i="1"/>
  <c r="BX151" i="1" s="1"/>
  <c r="AG151" i="1"/>
  <c r="AH151" i="1" s="1"/>
  <c r="M151" i="1"/>
  <c r="L151" i="1"/>
  <c r="D151" i="1"/>
  <c r="C151" i="1"/>
  <c r="B151" i="1"/>
  <c r="A151" i="1"/>
  <c r="CI150" i="1"/>
  <c r="CJ150" i="1" s="1"/>
  <c r="BW150" i="1"/>
  <c r="BX150" i="1" s="1"/>
  <c r="AS150" i="1"/>
  <c r="AT150" i="1" s="1"/>
  <c r="AG150" i="1"/>
  <c r="AH150" i="1" s="1"/>
  <c r="M150" i="1"/>
  <c r="L150" i="1"/>
  <c r="D150" i="1"/>
  <c r="C150" i="1"/>
  <c r="B150" i="1"/>
  <c r="A150" i="1"/>
  <c r="FI149" i="1"/>
  <c r="CI149" i="1"/>
  <c r="CJ149" i="1" s="1"/>
  <c r="BW149" i="1"/>
  <c r="BX149" i="1" s="1"/>
  <c r="O149" i="1"/>
  <c r="P149" i="1" s="1"/>
  <c r="L149" i="1"/>
  <c r="D149" i="1"/>
  <c r="C149" i="1"/>
  <c r="B149" i="1"/>
  <c r="A149" i="1"/>
  <c r="CI148" i="1"/>
  <c r="CJ148" i="1" s="1"/>
  <c r="BW148" i="1"/>
  <c r="BX148" i="1" s="1"/>
  <c r="AM148" i="1"/>
  <c r="AN148" i="1" s="1"/>
  <c r="AG148" i="1"/>
  <c r="AH148" i="1" s="1"/>
  <c r="M148" i="1"/>
  <c r="L148" i="1"/>
  <c r="D148" i="1"/>
  <c r="C148" i="1"/>
  <c r="B148" i="1"/>
  <c r="A148" i="1"/>
  <c r="BW147" i="1"/>
  <c r="BX147" i="1" s="1"/>
  <c r="AM147" i="1"/>
  <c r="AN147" i="1" s="1"/>
  <c r="AG147" i="1"/>
  <c r="AH147" i="1" s="1"/>
  <c r="M147" i="1"/>
  <c r="L147" i="1"/>
  <c r="D147" i="1"/>
  <c r="C147" i="1"/>
  <c r="B147" i="1"/>
  <c r="A147" i="1"/>
  <c r="FI146" i="1"/>
  <c r="CV146" i="1"/>
  <c r="CU146" i="1"/>
  <c r="CI146" i="1"/>
  <c r="CJ146" i="1" s="1"/>
  <c r="BW146" i="1"/>
  <c r="BX146" i="1" s="1"/>
  <c r="AY146" i="1"/>
  <c r="AZ146" i="1" s="1"/>
  <c r="AS146" i="1"/>
  <c r="AT146" i="1" s="1"/>
  <c r="AM146" i="1"/>
  <c r="AN146" i="1" s="1"/>
  <c r="AG146" i="1"/>
  <c r="AH146" i="1" s="1"/>
  <c r="FH146" i="1" s="1"/>
  <c r="FJ146" i="1" s="1"/>
  <c r="D146" i="1"/>
  <c r="C146" i="1"/>
  <c r="B146" i="1"/>
  <c r="A146" i="1"/>
  <c r="CI145" i="1"/>
  <c r="CJ145" i="1" s="1"/>
  <c r="BW145" i="1"/>
  <c r="BX145" i="1" s="1"/>
  <c r="AY145" i="1"/>
  <c r="AZ145" i="1" s="1"/>
  <c r="AS145" i="1"/>
  <c r="AT145" i="1" s="1"/>
  <c r="AM145" i="1"/>
  <c r="AN145" i="1" s="1"/>
  <c r="AG145" i="1"/>
  <c r="AH145" i="1" s="1"/>
  <c r="M145" i="1"/>
  <c r="L145" i="1"/>
  <c r="D145" i="1"/>
  <c r="C145" i="1"/>
  <c r="B145" i="1"/>
  <c r="A145" i="1"/>
  <c r="DA144" i="1"/>
  <c r="DB144" i="1" s="1"/>
  <c r="CI144" i="1"/>
  <c r="CJ144" i="1" s="1"/>
  <c r="BW144" i="1"/>
  <c r="BX144" i="1" s="1"/>
  <c r="AS144" i="1"/>
  <c r="AT144" i="1" s="1"/>
  <c r="AL144" i="1"/>
  <c r="M144" i="1"/>
  <c r="L144" i="1"/>
  <c r="D144" i="1"/>
  <c r="C144" i="1"/>
  <c r="B144" i="1"/>
  <c r="A144" i="1"/>
  <c r="DA143" i="1"/>
  <c r="DB143" i="1" s="1"/>
  <c r="BW143" i="1"/>
  <c r="BX143" i="1" s="1"/>
  <c r="AS143" i="1"/>
  <c r="AT143" i="1" s="1"/>
  <c r="AM143" i="1"/>
  <c r="AN143" i="1" s="1"/>
  <c r="M143" i="1"/>
  <c r="L143" i="1"/>
  <c r="D143" i="1"/>
  <c r="C143" i="1"/>
  <c r="B143" i="1"/>
  <c r="A143" i="1"/>
  <c r="DA142" i="1"/>
  <c r="DB142" i="1" s="1"/>
  <c r="CI142" i="1"/>
  <c r="CJ142" i="1" s="1"/>
  <c r="BW142" i="1"/>
  <c r="BX142" i="1" s="1"/>
  <c r="AR142" i="1"/>
  <c r="AM142" i="1"/>
  <c r="AN142" i="1" s="1"/>
  <c r="AG142" i="1"/>
  <c r="AH142" i="1" s="1"/>
  <c r="M142" i="1"/>
  <c r="L142" i="1"/>
  <c r="D142" i="1"/>
  <c r="C142" i="1"/>
  <c r="B142" i="1"/>
  <c r="A142" i="1"/>
  <c r="FI141" i="1"/>
  <c r="DA141" i="1"/>
  <c r="DB141" i="1" s="1"/>
  <c r="CI141" i="1"/>
  <c r="CJ141" i="1" s="1"/>
  <c r="BW141" i="1"/>
  <c r="BX141" i="1" s="1"/>
  <c r="AY141" i="1"/>
  <c r="AZ141" i="1" s="1"/>
  <c r="AS141" i="1"/>
  <c r="AT141" i="1" s="1"/>
  <c r="AM141" i="1"/>
  <c r="AN141" i="1" s="1"/>
  <c r="AG141" i="1"/>
  <c r="AH141" i="1" s="1"/>
  <c r="D141" i="1"/>
  <c r="C141" i="1"/>
  <c r="B141" i="1"/>
  <c r="A141" i="1"/>
  <c r="AR140" i="1"/>
  <c r="L140" i="1"/>
  <c r="D140" i="1"/>
  <c r="C140" i="1"/>
  <c r="B140" i="1"/>
  <c r="A140" i="1"/>
  <c r="FI139" i="1"/>
  <c r="CO139" i="1"/>
  <c r="CP139" i="1" s="1"/>
  <c r="FH139" i="1" s="1"/>
  <c r="D139" i="1"/>
  <c r="C139" i="1"/>
  <c r="B139" i="1"/>
  <c r="A139" i="1"/>
  <c r="DA138" i="1"/>
  <c r="DB138" i="1" s="1"/>
  <c r="CU138" i="1"/>
  <c r="CV138" i="1" s="1"/>
  <c r="CI138" i="1"/>
  <c r="CJ138" i="1" s="1"/>
  <c r="BW138" i="1"/>
  <c r="BX138" i="1" s="1"/>
  <c r="AM138" i="1"/>
  <c r="AN138" i="1" s="1"/>
  <c r="M138" i="1"/>
  <c r="L138" i="1"/>
  <c r="D138" i="1"/>
  <c r="C138" i="1"/>
  <c r="B138" i="1"/>
  <c r="A138" i="1"/>
  <c r="FI137" i="1"/>
  <c r="DA137" i="1"/>
  <c r="DB137" i="1" s="1"/>
  <c r="CI137" i="1"/>
  <c r="CJ137" i="1" s="1"/>
  <c r="BW137" i="1"/>
  <c r="BX137" i="1" s="1"/>
  <c r="AY137" i="1"/>
  <c r="AZ137" i="1" s="1"/>
  <c r="AM137" i="1"/>
  <c r="AN137" i="1" s="1"/>
  <c r="AG137" i="1"/>
  <c r="AH137" i="1" s="1"/>
  <c r="D137" i="1"/>
  <c r="C137" i="1"/>
  <c r="B137" i="1"/>
  <c r="A137" i="1"/>
  <c r="CI136" i="1"/>
  <c r="CJ136" i="1" s="1"/>
  <c r="BW136" i="1"/>
  <c r="BX136" i="1" s="1"/>
  <c r="AS136" i="1"/>
  <c r="AT136" i="1" s="1"/>
  <c r="M136" i="1"/>
  <c r="L136" i="1"/>
  <c r="D136" i="1"/>
  <c r="C136" i="1"/>
  <c r="B136" i="1"/>
  <c r="A136" i="1"/>
  <c r="FI135" i="1"/>
  <c r="AM135" i="1"/>
  <c r="AN135" i="1" s="1"/>
  <c r="AG135" i="1"/>
  <c r="AH135" i="1" s="1"/>
  <c r="L135" i="1"/>
  <c r="D135" i="1"/>
  <c r="C135" i="1"/>
  <c r="B135" i="1"/>
  <c r="A135" i="1"/>
  <c r="FI134" i="1"/>
  <c r="CU134" i="1"/>
  <c r="CV134" i="1" s="1"/>
  <c r="CI134" i="1"/>
  <c r="CJ134" i="1" s="1"/>
  <c r="BW134" i="1"/>
  <c r="BX134" i="1" s="1"/>
  <c r="FH134" i="1" s="1"/>
  <c r="FJ134" i="1" s="1"/>
  <c r="D134" i="1"/>
  <c r="C134" i="1"/>
  <c r="B134" i="1"/>
  <c r="A134" i="1"/>
  <c r="CI133" i="1"/>
  <c r="CJ133" i="1" s="1"/>
  <c r="BW133" i="1"/>
  <c r="BX133" i="1" s="1"/>
  <c r="AR133" i="1"/>
  <c r="L133" i="1"/>
  <c r="D133" i="1"/>
  <c r="C133" i="1"/>
  <c r="B133" i="1"/>
  <c r="A133" i="1"/>
  <c r="FI132" i="1"/>
  <c r="CI132" i="1"/>
  <c r="CJ132" i="1" s="1"/>
  <c r="BW132" i="1"/>
  <c r="BX132" i="1" s="1"/>
  <c r="AG132" i="1"/>
  <c r="AH132" i="1" s="1"/>
  <c r="FH132" i="1" s="1"/>
  <c r="FJ132" i="1" s="1"/>
  <c r="D132" i="1"/>
  <c r="C132" i="1"/>
  <c r="B132" i="1"/>
  <c r="A132" i="1"/>
  <c r="CI131" i="1"/>
  <c r="CJ131" i="1" s="1"/>
  <c r="BW131" i="1"/>
  <c r="BX131" i="1" s="1"/>
  <c r="M131" i="1"/>
  <c r="L131" i="1"/>
  <c r="D131" i="1"/>
  <c r="C131" i="1"/>
  <c r="B131" i="1"/>
  <c r="A131" i="1"/>
  <c r="CI130" i="1"/>
  <c r="CJ130" i="1" s="1"/>
  <c r="CC130" i="1"/>
  <c r="CD130" i="1" s="1"/>
  <c r="BW130" i="1"/>
  <c r="BX130" i="1" s="1"/>
  <c r="O130" i="1"/>
  <c r="P130" i="1" s="1"/>
  <c r="M130" i="1"/>
  <c r="L130" i="1"/>
  <c r="D130" i="1"/>
  <c r="C130" i="1"/>
  <c r="B130" i="1"/>
  <c r="A130" i="1"/>
  <c r="FI129" i="1"/>
  <c r="CC129" i="1"/>
  <c r="CD129" i="1" s="1"/>
  <c r="O129" i="1"/>
  <c r="P129" i="1" s="1"/>
  <c r="D129" i="1"/>
  <c r="C129" i="1"/>
  <c r="B129" i="1"/>
  <c r="A129" i="1"/>
  <c r="FI128" i="1"/>
  <c r="CC128" i="1"/>
  <c r="CD128" i="1" s="1"/>
  <c r="FH128" i="1" s="1"/>
  <c r="D128" i="1"/>
  <c r="C128" i="1"/>
  <c r="B128" i="1"/>
  <c r="A128" i="1"/>
  <c r="FI127" i="1"/>
  <c r="CI127" i="1"/>
  <c r="CJ127" i="1" s="1"/>
  <c r="CC127" i="1"/>
  <c r="CD127" i="1" s="1"/>
  <c r="BW127" i="1"/>
  <c r="BX127" i="1" s="1"/>
  <c r="O127" i="1"/>
  <c r="P127" i="1" s="1"/>
  <c r="FH127" i="1" s="1"/>
  <c r="FJ127" i="1" s="1"/>
  <c r="D127" i="1"/>
  <c r="C127" i="1"/>
  <c r="B127" i="1"/>
  <c r="A127" i="1"/>
  <c r="FI126" i="1"/>
  <c r="CC126" i="1"/>
  <c r="CD126" i="1" s="1"/>
  <c r="O126" i="1"/>
  <c r="P126" i="1" s="1"/>
  <c r="L126" i="1"/>
  <c r="D126" i="1"/>
  <c r="C126" i="1"/>
  <c r="B126" i="1"/>
  <c r="A126" i="1"/>
  <c r="FI125" i="1"/>
  <c r="CC125" i="1"/>
  <c r="CD125" i="1" s="1"/>
  <c r="FH125" i="1" s="1"/>
  <c r="L125" i="1"/>
  <c r="D125" i="1"/>
  <c r="C125" i="1"/>
  <c r="B125" i="1"/>
  <c r="A125" i="1"/>
  <c r="FI124" i="1"/>
  <c r="CC124" i="1"/>
  <c r="CD124" i="1" s="1"/>
  <c r="FH124" i="1" s="1"/>
  <c r="L124" i="1"/>
  <c r="D124" i="1"/>
  <c r="C124" i="1"/>
  <c r="B124" i="1"/>
  <c r="A124" i="1"/>
  <c r="BW123" i="1"/>
  <c r="BX123" i="1" s="1"/>
  <c r="AG123" i="1"/>
  <c r="AH123" i="1" s="1"/>
  <c r="M123" i="1"/>
  <c r="L123" i="1"/>
  <c r="D123" i="1"/>
  <c r="C123" i="1"/>
  <c r="B123" i="1"/>
  <c r="A123" i="1"/>
  <c r="CI122" i="1"/>
  <c r="CJ122" i="1" s="1"/>
  <c r="BW122" i="1"/>
  <c r="BX122" i="1" s="1"/>
  <c r="AG122" i="1"/>
  <c r="AH122" i="1" s="1"/>
  <c r="M122" i="1"/>
  <c r="L122" i="1"/>
  <c r="D122" i="1"/>
  <c r="C122" i="1"/>
  <c r="B122" i="1"/>
  <c r="A122" i="1"/>
  <c r="BW121" i="1"/>
  <c r="BX121" i="1" s="1"/>
  <c r="M121" i="1"/>
  <c r="L121" i="1"/>
  <c r="D121" i="1"/>
  <c r="C121" i="1"/>
  <c r="B121" i="1"/>
  <c r="A121" i="1"/>
  <c r="FI120" i="1"/>
  <c r="CO120" i="1"/>
  <c r="CP120" i="1" s="1"/>
  <c r="CC120" i="1"/>
  <c r="CD120" i="1" s="1"/>
  <c r="L120" i="1"/>
  <c r="D120" i="1"/>
  <c r="C120" i="1"/>
  <c r="B120" i="1"/>
  <c r="A120" i="1"/>
  <c r="CU119" i="1"/>
  <c r="CV119" i="1" s="1"/>
  <c r="CI119" i="1"/>
  <c r="CJ119" i="1" s="1"/>
  <c r="BW119" i="1"/>
  <c r="BX119" i="1" s="1"/>
  <c r="AY119" i="1"/>
  <c r="AZ119" i="1" s="1"/>
  <c r="AS119" i="1"/>
  <c r="AT119" i="1" s="1"/>
  <c r="AM119" i="1"/>
  <c r="AN119" i="1" s="1"/>
  <c r="AG119" i="1"/>
  <c r="AH119" i="1" s="1"/>
  <c r="M119" i="1"/>
  <c r="L119" i="1"/>
  <c r="D119" i="1"/>
  <c r="C119" i="1"/>
  <c r="B119" i="1"/>
  <c r="A119" i="1"/>
  <c r="FI118" i="1"/>
  <c r="DA118" i="1"/>
  <c r="DB118" i="1" s="1"/>
  <c r="AS118" i="1"/>
  <c r="AT118" i="1" s="1"/>
  <c r="AM118" i="1"/>
  <c r="AN118" i="1" s="1"/>
  <c r="AG118" i="1"/>
  <c r="AH118" i="1" s="1"/>
  <c r="FH118" i="1" s="1"/>
  <c r="FJ118" i="1" s="1"/>
  <c r="D118" i="1"/>
  <c r="C118" i="1"/>
  <c r="B118" i="1"/>
  <c r="A118" i="1"/>
  <c r="CI117" i="1"/>
  <c r="CJ117" i="1" s="1"/>
  <c r="BW117" i="1"/>
  <c r="BX117" i="1" s="1"/>
  <c r="AX117" i="1"/>
  <c r="AS117" i="1"/>
  <c r="AT117" i="1" s="1"/>
  <c r="AM117" i="1"/>
  <c r="AN117" i="1" s="1"/>
  <c r="L117" i="1"/>
  <c r="D117" i="1"/>
  <c r="C117" i="1"/>
  <c r="B117" i="1"/>
  <c r="A117" i="1"/>
  <c r="CI116" i="1"/>
  <c r="CJ116" i="1" s="1"/>
  <c r="BW116" i="1"/>
  <c r="BX116" i="1" s="1"/>
  <c r="BK116" i="1"/>
  <c r="BL116" i="1" s="1"/>
  <c r="O116" i="1"/>
  <c r="P116" i="1" s="1"/>
  <c r="M116" i="1"/>
  <c r="L116" i="1"/>
  <c r="D116" i="1"/>
  <c r="C116" i="1"/>
  <c r="B116" i="1"/>
  <c r="A116" i="1"/>
  <c r="FI115" i="1"/>
  <c r="BK115" i="1"/>
  <c r="BL115" i="1" s="1"/>
  <c r="FH115" i="1" s="1"/>
  <c r="L115" i="1"/>
  <c r="D115" i="1"/>
  <c r="C115" i="1"/>
  <c r="B115" i="1"/>
  <c r="A115" i="1"/>
  <c r="FI114" i="1"/>
  <c r="DA114" i="1"/>
  <c r="DB114" i="1" s="1"/>
  <c r="BW114" i="1"/>
  <c r="BX114" i="1" s="1"/>
  <c r="L114" i="1"/>
  <c r="D114" i="1"/>
  <c r="C114" i="1"/>
  <c r="B114" i="1"/>
  <c r="A114" i="1"/>
  <c r="DA113" i="1"/>
  <c r="DB113" i="1" s="1"/>
  <c r="BW113" i="1"/>
  <c r="BX113" i="1" s="1"/>
  <c r="O113" i="1"/>
  <c r="P113" i="1" s="1"/>
  <c r="M113" i="1"/>
  <c r="L113" i="1"/>
  <c r="D113" i="1"/>
  <c r="C113" i="1"/>
  <c r="B113" i="1"/>
  <c r="A113" i="1"/>
  <c r="DA112" i="1"/>
  <c r="DB112" i="1" s="1"/>
  <c r="BW112" i="1"/>
  <c r="BX112" i="1" s="1"/>
  <c r="AS112" i="1"/>
  <c r="AT112" i="1" s="1"/>
  <c r="M112" i="1"/>
  <c r="L112" i="1"/>
  <c r="D112" i="1"/>
  <c r="C112" i="1"/>
  <c r="B112" i="1"/>
  <c r="A112" i="1"/>
  <c r="FI111" i="1"/>
  <c r="O111" i="1"/>
  <c r="P111" i="1" s="1"/>
  <c r="FH111" i="1" s="1"/>
  <c r="L111" i="1"/>
  <c r="D111" i="1"/>
  <c r="C111" i="1"/>
  <c r="B111" i="1"/>
  <c r="A111" i="1"/>
  <c r="BW110" i="1"/>
  <c r="BX110" i="1" s="1"/>
  <c r="M110" i="1"/>
  <c r="L110" i="1"/>
  <c r="D110" i="1"/>
  <c r="C110" i="1"/>
  <c r="B110" i="1"/>
  <c r="A110" i="1"/>
  <c r="CI109" i="1"/>
  <c r="CJ109" i="1" s="1"/>
  <c r="BW109" i="1"/>
  <c r="BX109" i="1" s="1"/>
  <c r="BQ109" i="1"/>
  <c r="BR109" i="1" s="1"/>
  <c r="AS109" i="1"/>
  <c r="AT109" i="1" s="1"/>
  <c r="M109" i="1"/>
  <c r="L109" i="1"/>
  <c r="D109" i="1"/>
  <c r="C109" i="1"/>
  <c r="B109" i="1"/>
  <c r="A109" i="1"/>
  <c r="DA108" i="1"/>
  <c r="DB108" i="1" s="1"/>
  <c r="CC108" i="1"/>
  <c r="CD108" i="1" s="1"/>
  <c r="BW108" i="1"/>
  <c r="BX108" i="1" s="1"/>
  <c r="AS108" i="1"/>
  <c r="AT108" i="1" s="1"/>
  <c r="AM108" i="1"/>
  <c r="AN108" i="1" s="1"/>
  <c r="AG108" i="1"/>
  <c r="AH108" i="1" s="1"/>
  <c r="M108" i="1"/>
  <c r="L108" i="1"/>
  <c r="D108" i="1"/>
  <c r="C108" i="1"/>
  <c r="B108" i="1"/>
  <c r="A108" i="1"/>
  <c r="DA107" i="1"/>
  <c r="DB107" i="1" s="1"/>
  <c r="CC107" i="1"/>
  <c r="CD107" i="1" s="1"/>
  <c r="BW107" i="1"/>
  <c r="BX107" i="1" s="1"/>
  <c r="AS107" i="1"/>
  <c r="AT107" i="1" s="1"/>
  <c r="AM107" i="1"/>
  <c r="AN107" i="1" s="1"/>
  <c r="AG107" i="1"/>
  <c r="AH107" i="1" s="1"/>
  <c r="M107" i="1"/>
  <c r="L107" i="1"/>
  <c r="D107" i="1"/>
  <c r="C107" i="1"/>
  <c r="B107" i="1"/>
  <c r="A107" i="1"/>
  <c r="FI106" i="1"/>
  <c r="DA106" i="1"/>
  <c r="DB106" i="1" s="1"/>
  <c r="CC106" i="1"/>
  <c r="CD106" i="1" s="1"/>
  <c r="BW106" i="1"/>
  <c r="BX106" i="1" s="1"/>
  <c r="AG106" i="1"/>
  <c r="AH106" i="1" s="1"/>
  <c r="D106" i="1"/>
  <c r="C106" i="1"/>
  <c r="B106" i="1"/>
  <c r="A106" i="1"/>
  <c r="DA105" i="1"/>
  <c r="DB105" i="1" s="1"/>
  <c r="CC105" i="1"/>
  <c r="CD105" i="1" s="1"/>
  <c r="BW105" i="1"/>
  <c r="BX105" i="1" s="1"/>
  <c r="AS105" i="1"/>
  <c r="AT105" i="1" s="1"/>
  <c r="AM105" i="1"/>
  <c r="AN105" i="1" s="1"/>
  <c r="AG105" i="1"/>
  <c r="AH105" i="1" s="1"/>
  <c r="M105" i="1"/>
  <c r="L105" i="1"/>
  <c r="D105" i="1"/>
  <c r="C105" i="1"/>
  <c r="B105" i="1"/>
  <c r="A105" i="1"/>
  <c r="BW104" i="1"/>
  <c r="BX104" i="1" s="1"/>
  <c r="BQ104" i="1"/>
  <c r="BR104" i="1" s="1"/>
  <c r="AS104" i="1"/>
  <c r="AT104" i="1" s="1"/>
  <c r="U104" i="1"/>
  <c r="V104" i="1" s="1"/>
  <c r="M104" i="1"/>
  <c r="L104" i="1"/>
  <c r="D104" i="1"/>
  <c r="C104" i="1"/>
  <c r="B104" i="1"/>
  <c r="A104" i="1"/>
  <c r="FI103" i="1"/>
  <c r="BW103" i="1"/>
  <c r="BX103" i="1" s="1"/>
  <c r="BQ103" i="1"/>
  <c r="BR103" i="1" s="1"/>
  <c r="AS103" i="1"/>
  <c r="AT103" i="1" s="1"/>
  <c r="FH103" i="1" s="1"/>
  <c r="FJ103" i="1" s="1"/>
  <c r="L103" i="1"/>
  <c r="D103" i="1"/>
  <c r="C103" i="1"/>
  <c r="B103" i="1"/>
  <c r="A103" i="1"/>
  <c r="M102" i="1"/>
  <c r="L102" i="1"/>
  <c r="D102" i="1"/>
  <c r="C102" i="1"/>
  <c r="B102" i="1"/>
  <c r="A102" i="1"/>
  <c r="M101" i="1"/>
  <c r="L101" i="1"/>
  <c r="D101" i="1"/>
  <c r="C101" i="1"/>
  <c r="B101" i="1"/>
  <c r="A101" i="1"/>
  <c r="FI100" i="1"/>
  <c r="CO100" i="1"/>
  <c r="CP100" i="1" s="1"/>
  <c r="FH100" i="1" s="1"/>
  <c r="L100" i="1"/>
  <c r="D100" i="1"/>
  <c r="C100" i="1"/>
  <c r="B100" i="1"/>
  <c r="A100" i="1"/>
  <c r="FI99" i="1"/>
  <c r="CV99" i="1"/>
  <c r="CO99" i="1"/>
  <c r="CP99" i="1" s="1"/>
  <c r="L99" i="1"/>
  <c r="D99" i="1"/>
  <c r="C99" i="1"/>
  <c r="B99" i="1"/>
  <c r="A99" i="1"/>
  <c r="FI98" i="1"/>
  <c r="CV98" i="1"/>
  <c r="FH98" i="1" s="1"/>
  <c r="L98" i="1"/>
  <c r="D98" i="1"/>
  <c r="C98" i="1"/>
  <c r="B98" i="1"/>
  <c r="A98" i="1"/>
  <c r="DA97" i="1"/>
  <c r="DB97" i="1" s="1"/>
  <c r="CI97" i="1"/>
  <c r="CJ97" i="1" s="1"/>
  <c r="BW97" i="1"/>
  <c r="BX97" i="1" s="1"/>
  <c r="AS97" i="1"/>
  <c r="AT97" i="1" s="1"/>
  <c r="AM97" i="1"/>
  <c r="AN97" i="1" s="1"/>
  <c r="AG97" i="1"/>
  <c r="AH97" i="1" s="1"/>
  <c r="M97" i="1"/>
  <c r="L97" i="1"/>
  <c r="D97" i="1"/>
  <c r="C97" i="1"/>
  <c r="B97" i="1"/>
  <c r="A97" i="1"/>
  <c r="CV96" i="1"/>
  <c r="CI96" i="1"/>
  <c r="CJ96" i="1" s="1"/>
  <c r="BW96" i="1"/>
  <c r="BX96" i="1" s="1"/>
  <c r="AS96" i="1"/>
  <c r="AT96" i="1" s="1"/>
  <c r="M96" i="1"/>
  <c r="L96" i="1"/>
  <c r="D96" i="1"/>
  <c r="C96" i="1"/>
  <c r="B96" i="1"/>
  <c r="A96" i="1"/>
  <c r="FI95" i="1"/>
  <c r="CU95" i="1"/>
  <c r="CV95" i="1" s="1"/>
  <c r="BW95" i="1"/>
  <c r="BX95" i="1" s="1"/>
  <c r="AS95" i="1"/>
  <c r="AT95" i="1" s="1"/>
  <c r="L95" i="1"/>
  <c r="D95" i="1"/>
  <c r="C95" i="1"/>
  <c r="B95" i="1"/>
  <c r="A95" i="1"/>
  <c r="CI94" i="1"/>
  <c r="CJ94" i="1" s="1"/>
  <c r="BW94" i="1"/>
  <c r="BX94" i="1" s="1"/>
  <c r="M94" i="1"/>
  <c r="L94" i="1"/>
  <c r="D94" i="1"/>
  <c r="C94" i="1"/>
  <c r="B94" i="1"/>
  <c r="A94" i="1"/>
  <c r="FI93" i="1"/>
  <c r="CI93" i="1"/>
  <c r="CJ93" i="1" s="1"/>
  <c r="BW93" i="1"/>
  <c r="BX93" i="1" s="1"/>
  <c r="D93" i="1"/>
  <c r="C93" i="1"/>
  <c r="B93" i="1"/>
  <c r="A93" i="1"/>
  <c r="BW92" i="1"/>
  <c r="BX92" i="1" s="1"/>
  <c r="O92" i="1"/>
  <c r="P92" i="1" s="1"/>
  <c r="M92" i="1"/>
  <c r="L92" i="1"/>
  <c r="D92" i="1"/>
  <c r="C92" i="1"/>
  <c r="B92" i="1"/>
  <c r="A92" i="1"/>
  <c r="FI91" i="1"/>
  <c r="AS91" i="1"/>
  <c r="AT91" i="1" s="1"/>
  <c r="U91" i="1"/>
  <c r="V91" i="1" s="1"/>
  <c r="FH91" i="1" s="1"/>
  <c r="FJ91" i="1" s="1"/>
  <c r="L91" i="1"/>
  <c r="D91" i="1"/>
  <c r="C91" i="1"/>
  <c r="B91" i="1"/>
  <c r="A91" i="1"/>
  <c r="FI90" i="1"/>
  <c r="CC90" i="1"/>
  <c r="CD90" i="1" s="1"/>
  <c r="BW90" i="1"/>
  <c r="BX90" i="1" s="1"/>
  <c r="AS90" i="1"/>
  <c r="AT90" i="1" s="1"/>
  <c r="AM90" i="1"/>
  <c r="AN90" i="1" s="1"/>
  <c r="AG90" i="1"/>
  <c r="AH90" i="1" s="1"/>
  <c r="D90" i="1"/>
  <c r="C90" i="1"/>
  <c r="B90" i="1"/>
  <c r="A90" i="1"/>
  <c r="BW89" i="1"/>
  <c r="BX89" i="1" s="1"/>
  <c r="O89" i="1"/>
  <c r="P89" i="1" s="1"/>
  <c r="M89" i="1"/>
  <c r="L89" i="1"/>
  <c r="D89" i="1"/>
  <c r="C89" i="1"/>
  <c r="B89" i="1"/>
  <c r="A89" i="1"/>
  <c r="CI88" i="1"/>
  <c r="CJ88" i="1" s="1"/>
  <c r="BW88" i="1"/>
  <c r="BX88" i="1" s="1"/>
  <c r="AS88" i="1"/>
  <c r="AT88" i="1" s="1"/>
  <c r="M88" i="1"/>
  <c r="L88" i="1"/>
  <c r="D88" i="1"/>
  <c r="C88" i="1"/>
  <c r="B88" i="1"/>
  <c r="A88" i="1"/>
  <c r="FI87" i="1"/>
  <c r="AS87" i="1"/>
  <c r="AT87" i="1" s="1"/>
  <c r="FH87" i="1" s="1"/>
  <c r="L87" i="1"/>
  <c r="D87" i="1"/>
  <c r="C87" i="1"/>
  <c r="B87" i="1"/>
  <c r="A87" i="1"/>
  <c r="FI86" i="1"/>
  <c r="CI86" i="1"/>
  <c r="CJ86" i="1" s="1"/>
  <c r="BW86" i="1"/>
  <c r="BX86" i="1" s="1"/>
  <c r="AS86" i="1"/>
  <c r="AT86" i="1" s="1"/>
  <c r="D86" i="1"/>
  <c r="C86" i="1"/>
  <c r="B86" i="1"/>
  <c r="A86" i="1"/>
  <c r="CI85" i="1"/>
  <c r="CJ85" i="1" s="1"/>
  <c r="BW85" i="1"/>
  <c r="BX85" i="1" s="1"/>
  <c r="AS85" i="1"/>
  <c r="AT85" i="1" s="1"/>
  <c r="AG85" i="1"/>
  <c r="AH85" i="1" s="1"/>
  <c r="M85" i="1"/>
  <c r="L85" i="1"/>
  <c r="D85" i="1"/>
  <c r="C85" i="1"/>
  <c r="B85" i="1"/>
  <c r="A85" i="1"/>
  <c r="DA84" i="1"/>
  <c r="DB84" i="1" s="1"/>
  <c r="BW84" i="1"/>
  <c r="BX84" i="1" s="1"/>
  <c r="AX84" i="1"/>
  <c r="AS84" i="1"/>
  <c r="AT84" i="1" s="1"/>
  <c r="AM84" i="1"/>
  <c r="AN84" i="1" s="1"/>
  <c r="AG84" i="1"/>
  <c r="AH84" i="1" s="1"/>
  <c r="M84" i="1"/>
  <c r="L84" i="1"/>
  <c r="D84" i="1"/>
  <c r="C84" i="1"/>
  <c r="B84" i="1"/>
  <c r="A84" i="1"/>
  <c r="FI83" i="1"/>
  <c r="CI83" i="1"/>
  <c r="CJ83" i="1" s="1"/>
  <c r="CC83" i="1"/>
  <c r="CD83" i="1" s="1"/>
  <c r="BW83" i="1"/>
  <c r="BX83" i="1" s="1"/>
  <c r="AS83" i="1"/>
  <c r="AT83" i="1" s="1"/>
  <c r="AM83" i="1"/>
  <c r="AN83" i="1" s="1"/>
  <c r="AG83" i="1"/>
  <c r="AH83" i="1" s="1"/>
  <c r="FH83" i="1" s="1"/>
  <c r="FJ83" i="1" s="1"/>
  <c r="D83" i="1"/>
  <c r="C83" i="1"/>
  <c r="B83" i="1"/>
  <c r="A83" i="1"/>
  <c r="DA82" i="1"/>
  <c r="DB82" i="1" s="1"/>
  <c r="CC82" i="1"/>
  <c r="CD82" i="1" s="1"/>
  <c r="BW82" i="1"/>
  <c r="BX82" i="1" s="1"/>
  <c r="AY82" i="1"/>
  <c r="AZ82" i="1" s="1"/>
  <c r="AS82" i="1"/>
  <c r="AT82" i="1" s="1"/>
  <c r="AM82" i="1"/>
  <c r="AN82" i="1" s="1"/>
  <c r="AG82" i="1"/>
  <c r="AH82" i="1" s="1"/>
  <c r="M82" i="1"/>
  <c r="L82" i="1"/>
  <c r="D82" i="1"/>
  <c r="C82" i="1"/>
  <c r="B82" i="1"/>
  <c r="A82" i="1"/>
  <c r="BW81" i="1"/>
  <c r="BX81" i="1" s="1"/>
  <c r="AS81" i="1"/>
  <c r="AT81" i="1" s="1"/>
  <c r="AG81" i="1"/>
  <c r="AH81" i="1" s="1"/>
  <c r="M81" i="1"/>
  <c r="L81" i="1"/>
  <c r="D81" i="1"/>
  <c r="C81" i="1"/>
  <c r="B81" i="1"/>
  <c r="A81" i="1"/>
  <c r="FI80" i="1"/>
  <c r="CI80" i="1"/>
  <c r="CJ80" i="1" s="1"/>
  <c r="BW80" i="1"/>
  <c r="BX80" i="1" s="1"/>
  <c r="L80" i="1"/>
  <c r="D80" i="1"/>
  <c r="C80" i="1"/>
  <c r="B80" i="1"/>
  <c r="A80" i="1"/>
  <c r="CC79" i="1"/>
  <c r="CD79" i="1" s="1"/>
  <c r="BW79" i="1"/>
  <c r="BX79" i="1" s="1"/>
  <c r="AG79" i="1"/>
  <c r="AH79" i="1" s="1"/>
  <c r="M79" i="1"/>
  <c r="L79" i="1"/>
  <c r="D79" i="1"/>
  <c r="C79" i="1"/>
  <c r="B79" i="1"/>
  <c r="A79" i="1"/>
  <c r="FI78" i="1"/>
  <c r="DS78" i="1"/>
  <c r="DT78" i="1" s="1"/>
  <c r="DG78" i="1"/>
  <c r="DH78" i="1" s="1"/>
  <c r="L78" i="1"/>
  <c r="D78" i="1"/>
  <c r="C78" i="1"/>
  <c r="B78" i="1"/>
  <c r="A78" i="1"/>
  <c r="CI77" i="1"/>
  <c r="CJ77" i="1" s="1"/>
  <c r="BW77" i="1"/>
  <c r="BX77" i="1" s="1"/>
  <c r="O77" i="1"/>
  <c r="P77" i="1" s="1"/>
  <c r="M77" i="1"/>
  <c r="L77" i="1"/>
  <c r="D77" i="1"/>
  <c r="C77" i="1"/>
  <c r="B77" i="1"/>
  <c r="A77" i="1"/>
  <c r="FI76" i="1"/>
  <c r="CV76" i="1"/>
  <c r="FH76" i="1" s="1"/>
  <c r="L76" i="1"/>
  <c r="D76" i="1"/>
  <c r="C76" i="1"/>
  <c r="B76" i="1"/>
  <c r="A76" i="1"/>
  <c r="FI75" i="1"/>
  <c r="CU75" i="1"/>
  <c r="CV75" i="1" s="1"/>
  <c r="FH75" i="1" s="1"/>
  <c r="L75" i="1"/>
  <c r="D75" i="1"/>
  <c r="C75" i="1"/>
  <c r="B75" i="1"/>
  <c r="A75" i="1"/>
  <c r="FI74" i="1"/>
  <c r="CV74" i="1"/>
  <c r="FH74" i="1" s="1"/>
  <c r="FJ74" i="1" s="1"/>
  <c r="L74" i="1"/>
  <c r="D74" i="1"/>
  <c r="C74" i="1"/>
  <c r="B74" i="1"/>
  <c r="A74" i="1"/>
  <c r="FI73" i="1"/>
  <c r="CU73" i="1"/>
  <c r="CV73" i="1" s="1"/>
  <c r="FH73" i="1" s="1"/>
  <c r="L73" i="1"/>
  <c r="D73" i="1"/>
  <c r="C73" i="1"/>
  <c r="B73" i="1"/>
  <c r="A73" i="1"/>
  <c r="FI72" i="1"/>
  <c r="CV72" i="1"/>
  <c r="FH72" i="1" s="1"/>
  <c r="L72" i="1"/>
  <c r="D72" i="1"/>
  <c r="C72" i="1"/>
  <c r="B72" i="1"/>
  <c r="A72" i="1"/>
  <c r="FI71" i="1"/>
  <c r="CV71" i="1"/>
  <c r="FH71" i="1" s="1"/>
  <c r="L71" i="1"/>
  <c r="D71" i="1"/>
  <c r="C71" i="1"/>
  <c r="B71" i="1"/>
  <c r="A71" i="1"/>
  <c r="FI70" i="1"/>
  <c r="CV70" i="1"/>
  <c r="FH70" i="1" s="1"/>
  <c r="FJ70" i="1" s="1"/>
  <c r="L70" i="1"/>
  <c r="D70" i="1"/>
  <c r="C70" i="1"/>
  <c r="B70" i="1"/>
  <c r="A70" i="1"/>
  <c r="FI69" i="1"/>
  <c r="CV69" i="1"/>
  <c r="AB69" i="1"/>
  <c r="L69" i="1"/>
  <c r="D69" i="1"/>
  <c r="C69" i="1"/>
  <c r="B69" i="1"/>
  <c r="A69" i="1"/>
  <c r="FI68" i="1"/>
  <c r="CV68" i="1"/>
  <c r="BW68" i="1"/>
  <c r="BX68" i="1" s="1"/>
  <c r="FH68" i="1" s="1"/>
  <c r="FJ68" i="1" s="1"/>
  <c r="D68" i="1"/>
  <c r="C68" i="1"/>
  <c r="B68" i="1"/>
  <c r="A68" i="1"/>
  <c r="FI67" i="1"/>
  <c r="CV67" i="1"/>
  <c r="CI67" i="1"/>
  <c r="CJ67" i="1" s="1"/>
  <c r="BW67" i="1"/>
  <c r="BX67" i="1" s="1"/>
  <c r="AS67" i="1"/>
  <c r="AT67" i="1" s="1"/>
  <c r="L67" i="1"/>
  <c r="D67" i="1"/>
  <c r="C67" i="1"/>
  <c r="B67" i="1"/>
  <c r="A67" i="1"/>
  <c r="CV66" i="1"/>
  <c r="BW66" i="1"/>
  <c r="BX66" i="1" s="1"/>
  <c r="AR66" i="1"/>
  <c r="M66" i="1"/>
  <c r="L66" i="1"/>
  <c r="D66" i="1"/>
  <c r="C66" i="1"/>
  <c r="B66" i="1"/>
  <c r="A66" i="1"/>
  <c r="FI65" i="1"/>
  <c r="DA65" i="1"/>
  <c r="DB65" i="1" s="1"/>
  <c r="CV65" i="1"/>
  <c r="CI65" i="1"/>
  <c r="CJ65" i="1" s="1"/>
  <c r="BW65" i="1"/>
  <c r="BX65" i="1" s="1"/>
  <c r="AS65" i="1"/>
  <c r="AT65" i="1" s="1"/>
  <c r="L65" i="1"/>
  <c r="D65" i="1"/>
  <c r="C65" i="1"/>
  <c r="B65" i="1"/>
  <c r="A65" i="1"/>
  <c r="DA64" i="1"/>
  <c r="DB64" i="1" s="1"/>
  <c r="CV64" i="1"/>
  <c r="CI64" i="1"/>
  <c r="CJ64" i="1" s="1"/>
  <c r="BW64" i="1"/>
  <c r="BX64" i="1" s="1"/>
  <c r="U64" i="1"/>
  <c r="V64" i="1" s="1"/>
  <c r="M64" i="1"/>
  <c r="L64" i="1"/>
  <c r="D64" i="1"/>
  <c r="C64" i="1"/>
  <c r="B64" i="1"/>
  <c r="A64" i="1"/>
  <c r="DA63" i="1"/>
  <c r="DB63" i="1" s="1"/>
  <c r="CV63" i="1"/>
  <c r="CI63" i="1"/>
  <c r="CJ63" i="1" s="1"/>
  <c r="BW63" i="1"/>
  <c r="BX63" i="1" s="1"/>
  <c r="BQ63" i="1"/>
  <c r="BR63" i="1" s="1"/>
  <c r="T63" i="1"/>
  <c r="U63" i="1" s="1"/>
  <c r="V63" i="1" s="1"/>
  <c r="M63" i="1"/>
  <c r="L63" i="1"/>
  <c r="D63" i="1"/>
  <c r="C63" i="1"/>
  <c r="B63" i="1"/>
  <c r="A63" i="1"/>
  <c r="DA62" i="1"/>
  <c r="DB62" i="1" s="1"/>
  <c r="CV62" i="1"/>
  <c r="AG62" i="1"/>
  <c r="AH62" i="1" s="1"/>
  <c r="O62" i="1"/>
  <c r="P62" i="1" s="1"/>
  <c r="M62" i="1"/>
  <c r="L62" i="1"/>
  <c r="D62" i="1"/>
  <c r="C62" i="1"/>
  <c r="B62" i="1"/>
  <c r="A62" i="1"/>
  <c r="DA61" i="1"/>
  <c r="DB61" i="1" s="1"/>
  <c r="CI61" i="1"/>
  <c r="CJ61" i="1" s="1"/>
  <c r="BW61" i="1"/>
  <c r="BX61" i="1" s="1"/>
  <c r="AG61" i="1"/>
  <c r="AH61" i="1" s="1"/>
  <c r="O61" i="1"/>
  <c r="P61" i="1" s="1"/>
  <c r="M61" i="1"/>
  <c r="L61" i="1"/>
  <c r="D61" i="1"/>
  <c r="C61" i="1"/>
  <c r="B61" i="1"/>
  <c r="A61" i="1"/>
  <c r="DA60" i="1"/>
  <c r="DB60" i="1" s="1"/>
  <c r="CU60" i="1"/>
  <c r="CV60" i="1" s="1"/>
  <c r="CI60" i="1"/>
  <c r="CJ60" i="1" s="1"/>
  <c r="BW60" i="1"/>
  <c r="BX60" i="1" s="1"/>
  <c r="AG60" i="1"/>
  <c r="AH60" i="1" s="1"/>
  <c r="O60" i="1"/>
  <c r="P60" i="1" s="1"/>
  <c r="M60" i="1"/>
  <c r="L60" i="1"/>
  <c r="D60" i="1"/>
  <c r="C60" i="1"/>
  <c r="B60" i="1"/>
  <c r="A60" i="1"/>
  <c r="CV59" i="1"/>
  <c r="CI59" i="1"/>
  <c r="CJ59" i="1" s="1"/>
  <c r="BW59" i="1"/>
  <c r="BX59" i="1" s="1"/>
  <c r="AS59" i="1"/>
  <c r="AT59" i="1" s="1"/>
  <c r="AG59" i="1"/>
  <c r="AH59" i="1" s="1"/>
  <c r="M59" i="1"/>
  <c r="L59" i="1"/>
  <c r="D59" i="1"/>
  <c r="C59" i="1"/>
  <c r="B59" i="1"/>
  <c r="A59" i="1"/>
  <c r="FI58" i="1"/>
  <c r="DA58" i="1"/>
  <c r="DB58" i="1" s="1"/>
  <c r="CI58" i="1"/>
  <c r="CJ58" i="1" s="1"/>
  <c r="BW58" i="1"/>
  <c r="BX58" i="1" s="1"/>
  <c r="AM58" i="1"/>
  <c r="AN58" i="1" s="1"/>
  <c r="AG58" i="1"/>
  <c r="AH58" i="1" s="1"/>
  <c r="D58" i="1"/>
  <c r="C58" i="1"/>
  <c r="B58" i="1"/>
  <c r="A58" i="1"/>
  <c r="FI57" i="1"/>
  <c r="CI57" i="1"/>
  <c r="CJ57" i="1" s="1"/>
  <c r="BW57" i="1"/>
  <c r="BX57" i="1" s="1"/>
  <c r="U57" i="1"/>
  <c r="V57" i="1" s="1"/>
  <c r="L57" i="1"/>
  <c r="D57" i="1"/>
  <c r="C57" i="1"/>
  <c r="B57" i="1"/>
  <c r="A57" i="1"/>
  <c r="CV56" i="1"/>
  <c r="CI56" i="1"/>
  <c r="CJ56" i="1" s="1"/>
  <c r="BW56" i="1"/>
  <c r="BX56" i="1" s="1"/>
  <c r="AX56" i="1"/>
  <c r="AS56" i="1"/>
  <c r="AT56" i="1" s="1"/>
  <c r="AM56" i="1"/>
  <c r="AN56" i="1" s="1"/>
  <c r="AG56" i="1"/>
  <c r="AH56" i="1" s="1"/>
  <c r="M56" i="1"/>
  <c r="L56" i="1"/>
  <c r="D56" i="1"/>
  <c r="C56" i="1"/>
  <c r="B56" i="1"/>
  <c r="A56" i="1"/>
  <c r="DA55" i="1"/>
  <c r="DB55" i="1" s="1"/>
  <c r="CI55" i="1"/>
  <c r="CJ55" i="1" s="1"/>
  <c r="BW55" i="1"/>
  <c r="BX55" i="1" s="1"/>
  <c r="AS55" i="1"/>
  <c r="AT55" i="1" s="1"/>
  <c r="AG55" i="1"/>
  <c r="AH55" i="1" s="1"/>
  <c r="M55" i="1"/>
  <c r="L55" i="1"/>
  <c r="D55" i="1"/>
  <c r="C55" i="1"/>
  <c r="B55" i="1"/>
  <c r="A55" i="1"/>
  <c r="CI54" i="1"/>
  <c r="CJ54" i="1" s="1"/>
  <c r="CC54" i="1"/>
  <c r="CD54" i="1" s="1"/>
  <c r="BW54" i="1"/>
  <c r="BX54" i="1" s="1"/>
  <c r="AS54" i="1"/>
  <c r="AT54" i="1" s="1"/>
  <c r="AM54" i="1"/>
  <c r="AN54" i="1" s="1"/>
  <c r="M54" i="1"/>
  <c r="L54" i="1"/>
  <c r="D54" i="1"/>
  <c r="C54" i="1"/>
  <c r="B54" i="1"/>
  <c r="A54" i="1"/>
  <c r="CI53" i="1"/>
  <c r="CJ53" i="1" s="1"/>
  <c r="CD53" i="1"/>
  <c r="BW53" i="1"/>
  <c r="BX53" i="1" s="1"/>
  <c r="AM53" i="1"/>
  <c r="AN53" i="1" s="1"/>
  <c r="AG53" i="1"/>
  <c r="AH53" i="1" s="1"/>
  <c r="M53" i="1"/>
  <c r="L53" i="1"/>
  <c r="D53" i="1"/>
  <c r="C53" i="1"/>
  <c r="B53" i="1"/>
  <c r="A53" i="1"/>
  <c r="CI52" i="1"/>
  <c r="CJ52" i="1" s="1"/>
  <c r="CD52" i="1"/>
  <c r="BW52" i="1"/>
  <c r="BX52" i="1" s="1"/>
  <c r="AS52" i="1"/>
  <c r="AT52" i="1" s="1"/>
  <c r="AM52" i="1"/>
  <c r="AN52" i="1" s="1"/>
  <c r="AG52" i="1"/>
  <c r="AH52" i="1" s="1"/>
  <c r="M52" i="1"/>
  <c r="L52" i="1"/>
  <c r="D52" i="1"/>
  <c r="C52" i="1"/>
  <c r="B52" i="1"/>
  <c r="A52" i="1"/>
  <c r="CI51" i="1"/>
  <c r="CJ51" i="1" s="1"/>
  <c r="CD51" i="1"/>
  <c r="BW51" i="1"/>
  <c r="BX51" i="1" s="1"/>
  <c r="AS51" i="1"/>
  <c r="AT51" i="1" s="1"/>
  <c r="AH51" i="1"/>
  <c r="M51" i="1"/>
  <c r="L51" i="1"/>
  <c r="D51" i="1"/>
  <c r="C51" i="1"/>
  <c r="B51" i="1"/>
  <c r="A51" i="1"/>
  <c r="CV50" i="1"/>
  <c r="CI50" i="1"/>
  <c r="CJ50" i="1" s="1"/>
  <c r="CC50" i="1"/>
  <c r="CD50" i="1" s="1"/>
  <c r="BW50" i="1"/>
  <c r="BX50" i="1" s="1"/>
  <c r="AG50" i="1"/>
  <c r="AH50" i="1" s="1"/>
  <c r="M50" i="1"/>
  <c r="L50" i="1"/>
  <c r="D50" i="1"/>
  <c r="C50" i="1"/>
  <c r="B50" i="1"/>
  <c r="A50" i="1"/>
  <c r="CU49" i="1"/>
  <c r="CV49" i="1" s="1"/>
  <c r="CI49" i="1"/>
  <c r="CJ49" i="1" s="1"/>
  <c r="BW49" i="1"/>
  <c r="BX49" i="1" s="1"/>
  <c r="BP49" i="1"/>
  <c r="BE49" i="1"/>
  <c r="BF49" i="1" s="1"/>
  <c r="AG49" i="1"/>
  <c r="AH49" i="1" s="1"/>
  <c r="M49" i="1"/>
  <c r="L49" i="1"/>
  <c r="D49" i="1"/>
  <c r="C49" i="1"/>
  <c r="B49" i="1"/>
  <c r="A49" i="1"/>
  <c r="DA48" i="1"/>
  <c r="DB48" i="1" s="1"/>
  <c r="CV48" i="1"/>
  <c r="CC48" i="1"/>
  <c r="CD48" i="1" s="1"/>
  <c r="BW48" i="1"/>
  <c r="BX48" i="1" s="1"/>
  <c r="BK48" i="1"/>
  <c r="BL48" i="1" s="1"/>
  <c r="AS48" i="1"/>
  <c r="AT48" i="1" s="1"/>
  <c r="AG48" i="1"/>
  <c r="AH48" i="1" s="1"/>
  <c r="M48" i="1"/>
  <c r="L48" i="1"/>
  <c r="D48" i="1"/>
  <c r="C48" i="1"/>
  <c r="B48" i="1"/>
  <c r="A48" i="1"/>
  <c r="FI47" i="1"/>
  <c r="CI47" i="1"/>
  <c r="CJ47" i="1" s="1"/>
  <c r="BW47" i="1"/>
  <c r="BX47" i="1" s="1"/>
  <c r="AS47" i="1"/>
  <c r="AT47" i="1" s="1"/>
  <c r="AH47" i="1"/>
  <c r="L47" i="1"/>
  <c r="D47" i="1"/>
  <c r="C47" i="1"/>
  <c r="B47" i="1"/>
  <c r="A47" i="1"/>
  <c r="FI46" i="1"/>
  <c r="DS46" i="1"/>
  <c r="DT46" i="1" s="1"/>
  <c r="DN46" i="1"/>
  <c r="DG46" i="1"/>
  <c r="DH46" i="1" s="1"/>
  <c r="CV46" i="1"/>
  <c r="AS46" i="1"/>
  <c r="AT46" i="1" s="1"/>
  <c r="U46" i="1"/>
  <c r="V46" i="1" s="1"/>
  <c r="L46" i="1"/>
  <c r="D46" i="1"/>
  <c r="C46" i="1"/>
  <c r="B46" i="1"/>
  <c r="A46" i="1"/>
  <c r="DA45" i="1"/>
  <c r="DB45" i="1" s="1"/>
  <c r="CV45" i="1"/>
  <c r="BQ45" i="1"/>
  <c r="BR45" i="1" s="1"/>
  <c r="BE45" i="1"/>
  <c r="BF45" i="1" s="1"/>
  <c r="AR45" i="1"/>
  <c r="AL45" i="1"/>
  <c r="U45" i="1"/>
  <c r="V45" i="1" s="1"/>
  <c r="M45" i="1"/>
  <c r="L45" i="1"/>
  <c r="D45" i="1"/>
  <c r="C45" i="1"/>
  <c r="B45" i="1"/>
  <c r="A45" i="1"/>
  <c r="CV44" i="1"/>
  <c r="CI44" i="1"/>
  <c r="CJ44" i="1" s="1"/>
  <c r="BW44" i="1"/>
  <c r="BX44" i="1" s="1"/>
  <c r="BK44" i="1"/>
  <c r="BL44" i="1" s="1"/>
  <c r="AS44" i="1"/>
  <c r="AT44" i="1" s="1"/>
  <c r="AM44" i="1"/>
  <c r="AN44" i="1" s="1"/>
  <c r="AG44" i="1"/>
  <c r="AH44" i="1" s="1"/>
  <c r="O44" i="1"/>
  <c r="P44" i="1" s="1"/>
  <c r="M44" i="1"/>
  <c r="L44" i="1"/>
  <c r="D44" i="1"/>
  <c r="C44" i="1"/>
  <c r="B44" i="1"/>
  <c r="A44" i="1"/>
  <c r="DA43" i="1"/>
  <c r="DB43" i="1" s="1"/>
  <c r="CV43" i="1"/>
  <c r="CI43" i="1"/>
  <c r="CJ43" i="1" s="1"/>
  <c r="CC43" i="1"/>
  <c r="CD43" i="1" s="1"/>
  <c r="BW43" i="1"/>
  <c r="BX43" i="1" s="1"/>
  <c r="BK43" i="1"/>
  <c r="BL43" i="1" s="1"/>
  <c r="AS43" i="1"/>
  <c r="AT43" i="1" s="1"/>
  <c r="AM43" i="1"/>
  <c r="AN43" i="1" s="1"/>
  <c r="O43" i="1"/>
  <c r="P43" i="1" s="1"/>
  <c r="M43" i="1"/>
  <c r="L43" i="1"/>
  <c r="D43" i="1"/>
  <c r="C43" i="1"/>
  <c r="B43" i="1"/>
  <c r="A43" i="1"/>
  <c r="DA42" i="1"/>
  <c r="DB42" i="1" s="1"/>
  <c r="CV42" i="1"/>
  <c r="CI42" i="1"/>
  <c r="CJ42" i="1" s="1"/>
  <c r="BW42" i="1"/>
  <c r="BX42" i="1" s="1"/>
  <c r="AS42" i="1"/>
  <c r="AT42" i="1" s="1"/>
  <c r="AM42" i="1"/>
  <c r="AN42" i="1" s="1"/>
  <c r="M42" i="1"/>
  <c r="L42" i="1"/>
  <c r="D42" i="1"/>
  <c r="C42" i="1"/>
  <c r="B42" i="1"/>
  <c r="A42" i="1"/>
  <c r="DA41" i="1"/>
  <c r="DB41" i="1" s="1"/>
  <c r="CV41" i="1"/>
  <c r="CI41" i="1"/>
  <c r="CJ41" i="1" s="1"/>
  <c r="CC41" i="1"/>
  <c r="CD41" i="1" s="1"/>
  <c r="BW41" i="1"/>
  <c r="BX41" i="1" s="1"/>
  <c r="AM41" i="1"/>
  <c r="AN41" i="1" s="1"/>
  <c r="M41" i="1"/>
  <c r="L41" i="1"/>
  <c r="D41" i="1"/>
  <c r="C41" i="1"/>
  <c r="B41" i="1"/>
  <c r="A41" i="1"/>
  <c r="FI40" i="1"/>
  <c r="CV40" i="1"/>
  <c r="BW40" i="1"/>
  <c r="BX40" i="1" s="1"/>
  <c r="FH40" i="1" s="1"/>
  <c r="FJ40" i="1" s="1"/>
  <c r="D40" i="1"/>
  <c r="C40" i="1"/>
  <c r="B40" i="1"/>
  <c r="A40" i="1"/>
  <c r="FI39" i="1"/>
  <c r="CV39" i="1"/>
  <c r="BW39" i="1"/>
  <c r="BX39" i="1" s="1"/>
  <c r="BQ39" i="1"/>
  <c r="BR39" i="1" s="1"/>
  <c r="O39" i="1"/>
  <c r="P39" i="1" s="1"/>
  <c r="L39" i="1"/>
  <c r="D39" i="1"/>
  <c r="C39" i="1"/>
  <c r="B39" i="1"/>
  <c r="A39" i="1"/>
  <c r="DA38" i="1"/>
  <c r="DB38" i="1" s="1"/>
  <c r="CV38" i="1"/>
  <c r="BW38" i="1"/>
  <c r="BX38" i="1" s="1"/>
  <c r="M38" i="1"/>
  <c r="L38" i="1"/>
  <c r="D38" i="1"/>
  <c r="C38" i="1"/>
  <c r="B38" i="1"/>
  <c r="A38" i="1"/>
  <c r="DA37" i="1"/>
  <c r="DB37" i="1" s="1"/>
  <c r="CV37" i="1"/>
  <c r="CC37" i="1"/>
  <c r="CD37" i="1" s="1"/>
  <c r="BW37" i="1"/>
  <c r="BX37" i="1" s="1"/>
  <c r="AS37" i="1"/>
  <c r="AT37" i="1" s="1"/>
  <c r="AM37" i="1"/>
  <c r="AN37" i="1" s="1"/>
  <c r="O37" i="1"/>
  <c r="P37" i="1" s="1"/>
  <c r="M37" i="1"/>
  <c r="L37" i="1"/>
  <c r="D37" i="1"/>
  <c r="C37" i="1"/>
  <c r="B37" i="1"/>
  <c r="A37" i="1"/>
  <c r="FI36" i="1"/>
  <c r="CV36" i="1"/>
  <c r="CC36" i="1"/>
  <c r="CD36" i="1" s="1"/>
  <c r="BW36" i="1"/>
  <c r="BX36" i="1" s="1"/>
  <c r="BK36" i="1"/>
  <c r="BL36" i="1" s="1"/>
  <c r="D36" i="1"/>
  <c r="C36" i="1"/>
  <c r="B36" i="1"/>
  <c r="A36" i="1"/>
  <c r="FI35" i="1"/>
  <c r="CV35" i="1"/>
  <c r="CI35" i="1"/>
  <c r="CJ35" i="1" s="1"/>
  <c r="BX35" i="1"/>
  <c r="BK35" i="1"/>
  <c r="BL35" i="1" s="1"/>
  <c r="D35" i="1"/>
  <c r="C35" i="1"/>
  <c r="B35" i="1"/>
  <c r="A35" i="1"/>
  <c r="DA34" i="1"/>
  <c r="DB34" i="1" s="1"/>
  <c r="CV34" i="1"/>
  <c r="CI34" i="1"/>
  <c r="CJ34" i="1" s="1"/>
  <c r="BW34" i="1"/>
  <c r="BX34" i="1" s="1"/>
  <c r="AS34" i="1"/>
  <c r="AT34" i="1" s="1"/>
  <c r="AM34" i="1"/>
  <c r="AN34" i="1" s="1"/>
  <c r="AG34" i="1"/>
  <c r="AH34" i="1" s="1"/>
  <c r="M34" i="1"/>
  <c r="L34" i="1"/>
  <c r="D34" i="1"/>
  <c r="C34" i="1"/>
  <c r="B34" i="1"/>
  <c r="A34" i="1"/>
  <c r="FI33" i="1"/>
  <c r="DA33" i="1"/>
  <c r="DB33" i="1" s="1"/>
  <c r="CV33" i="1"/>
  <c r="CI33" i="1"/>
  <c r="CJ33" i="1" s="1"/>
  <c r="BW33" i="1"/>
  <c r="BX33" i="1" s="1"/>
  <c r="AM33" i="1"/>
  <c r="AN33" i="1" s="1"/>
  <c r="AG33" i="1"/>
  <c r="AH33" i="1" s="1"/>
  <c r="D33" i="1"/>
  <c r="C33" i="1"/>
  <c r="B33" i="1"/>
  <c r="A33" i="1"/>
  <c r="FI32" i="1"/>
  <c r="CV32" i="1"/>
  <c r="BW32" i="1"/>
  <c r="BX32" i="1" s="1"/>
  <c r="AS32" i="1"/>
  <c r="AT32" i="1" s="1"/>
  <c r="AM32" i="1"/>
  <c r="AN32" i="1" s="1"/>
  <c r="L32" i="1"/>
  <c r="D32" i="1"/>
  <c r="C32" i="1"/>
  <c r="B32" i="1"/>
  <c r="A32" i="1"/>
  <c r="CV31" i="1"/>
  <c r="BW31" i="1"/>
  <c r="BX31" i="1" s="1"/>
  <c r="AR31" i="1"/>
  <c r="AM31" i="1"/>
  <c r="AN31" i="1" s="1"/>
  <c r="AG31" i="1"/>
  <c r="AH31" i="1" s="1"/>
  <c r="L31" i="1"/>
  <c r="D31" i="1"/>
  <c r="C31" i="1"/>
  <c r="B31" i="1"/>
  <c r="A31" i="1"/>
  <c r="CV30" i="1"/>
  <c r="BW30" i="1"/>
  <c r="BX30" i="1" s="1"/>
  <c r="AS30" i="1"/>
  <c r="AT30" i="1" s="1"/>
  <c r="AM30" i="1"/>
  <c r="AN30" i="1" s="1"/>
  <c r="AG30" i="1"/>
  <c r="AH30" i="1" s="1"/>
  <c r="M30" i="1"/>
  <c r="L30" i="1"/>
  <c r="D30" i="1"/>
  <c r="C30" i="1"/>
  <c r="B30" i="1"/>
  <c r="A30" i="1"/>
  <c r="FI29" i="1"/>
  <c r="CV29" i="1"/>
  <c r="BW29" i="1"/>
  <c r="BX29" i="1" s="1"/>
  <c r="AS29" i="1"/>
  <c r="AT29" i="1" s="1"/>
  <c r="AM29" i="1"/>
  <c r="AN29" i="1" s="1"/>
  <c r="AG29" i="1"/>
  <c r="AH29" i="1" s="1"/>
  <c r="D29" i="1"/>
  <c r="C29" i="1"/>
  <c r="B29" i="1"/>
  <c r="A29" i="1"/>
  <c r="DA28" i="1"/>
  <c r="DB28" i="1" s="1"/>
  <c r="CV28" i="1"/>
  <c r="CI28" i="1"/>
  <c r="CJ28" i="1" s="1"/>
  <c r="BW28" i="1"/>
  <c r="BX28" i="1" s="1"/>
  <c r="AR28" i="1"/>
  <c r="AM28" i="1"/>
  <c r="AN28" i="1" s="1"/>
  <c r="AG28" i="1"/>
  <c r="AH28" i="1" s="1"/>
  <c r="D28" i="1"/>
  <c r="C28" i="1"/>
  <c r="B28" i="1"/>
  <c r="A28" i="1"/>
  <c r="CV27" i="1"/>
  <c r="CI27" i="1"/>
  <c r="CJ27" i="1" s="1"/>
  <c r="BW27" i="1"/>
  <c r="BX27" i="1" s="1"/>
  <c r="AR27" i="1"/>
  <c r="AL27" i="1"/>
  <c r="M27" i="1"/>
  <c r="L27" i="1"/>
  <c r="D27" i="1"/>
  <c r="C27" i="1"/>
  <c r="B27" i="1"/>
  <c r="A27" i="1"/>
  <c r="FI26" i="1"/>
  <c r="CV26" i="1"/>
  <c r="CI26" i="1"/>
  <c r="CJ26" i="1" s="1"/>
  <c r="BW26" i="1"/>
  <c r="BX26" i="1" s="1"/>
  <c r="FH26" i="1" s="1"/>
  <c r="FJ26" i="1" s="1"/>
  <c r="L26" i="1"/>
  <c r="D26" i="1"/>
  <c r="C26" i="1"/>
  <c r="B26" i="1"/>
  <c r="A26" i="1"/>
  <c r="DA25" i="1"/>
  <c r="DB25" i="1" s="1"/>
  <c r="CV25" i="1"/>
  <c r="BW25" i="1"/>
  <c r="BX25" i="1" s="1"/>
  <c r="AR25" i="1"/>
  <c r="AM25" i="1"/>
  <c r="AN25" i="1" s="1"/>
  <c r="L25" i="1"/>
  <c r="D25" i="1"/>
  <c r="C25" i="1"/>
  <c r="B25" i="1"/>
  <c r="A25" i="1"/>
  <c r="FI24" i="1"/>
  <c r="CV24" i="1"/>
  <c r="CI24" i="1"/>
  <c r="CJ24" i="1" s="1"/>
  <c r="BW24" i="1"/>
  <c r="BX24" i="1" s="1"/>
  <c r="AY24" i="1"/>
  <c r="AZ24" i="1" s="1"/>
  <c r="FH24" i="1" s="1"/>
  <c r="FJ24" i="1" s="1"/>
  <c r="D24" i="1"/>
  <c r="C24" i="1"/>
  <c r="B24" i="1"/>
  <c r="A24" i="1"/>
  <c r="CV23" i="1"/>
  <c r="CI23" i="1"/>
  <c r="CJ23" i="1" s="1"/>
  <c r="BW23" i="1"/>
  <c r="BX23" i="1" s="1"/>
  <c r="AS23" i="1"/>
  <c r="AT23" i="1" s="1"/>
  <c r="AM23" i="1"/>
  <c r="AN23" i="1" s="1"/>
  <c r="AG23" i="1"/>
  <c r="AH23" i="1" s="1"/>
  <c r="M23" i="1"/>
  <c r="L23" i="1"/>
  <c r="D23" i="1"/>
  <c r="C23" i="1"/>
  <c r="B23" i="1"/>
  <c r="A23" i="1"/>
  <c r="DA22" i="1"/>
  <c r="DB22" i="1" s="1"/>
  <c r="CV22" i="1"/>
  <c r="CI22" i="1"/>
  <c r="CJ22" i="1" s="1"/>
  <c r="BW22" i="1"/>
  <c r="BX22" i="1" s="1"/>
  <c r="AM22" i="1"/>
  <c r="AN22" i="1" s="1"/>
  <c r="AG22" i="1"/>
  <c r="AH22" i="1" s="1"/>
  <c r="M22" i="1"/>
  <c r="L22" i="1"/>
  <c r="D22" i="1"/>
  <c r="C22" i="1"/>
  <c r="B22" i="1"/>
  <c r="A22" i="1"/>
  <c r="DA21" i="1"/>
  <c r="DB21" i="1" s="1"/>
  <c r="CV21" i="1"/>
  <c r="CI21" i="1"/>
  <c r="CJ21" i="1" s="1"/>
  <c r="BW21" i="1"/>
  <c r="BX21" i="1" s="1"/>
  <c r="AY21" i="1"/>
  <c r="AZ21" i="1" s="1"/>
  <c r="AS21" i="1"/>
  <c r="AT21" i="1" s="1"/>
  <c r="AM21" i="1"/>
  <c r="AN21" i="1" s="1"/>
  <c r="AG21" i="1"/>
  <c r="AH21" i="1" s="1"/>
  <c r="M21" i="1"/>
  <c r="L21" i="1"/>
  <c r="D21" i="1"/>
  <c r="C21" i="1"/>
  <c r="B21" i="1"/>
  <c r="A21" i="1"/>
  <c r="DA20" i="1"/>
  <c r="DB20" i="1" s="1"/>
  <c r="CV20" i="1"/>
  <c r="CI20" i="1"/>
  <c r="CJ20" i="1" s="1"/>
  <c r="CC20" i="1"/>
  <c r="CD20" i="1" s="1"/>
  <c r="BW20" i="1"/>
  <c r="BX20" i="1" s="1"/>
  <c r="AS20" i="1"/>
  <c r="AT20" i="1" s="1"/>
  <c r="AM20" i="1"/>
  <c r="AN20" i="1" s="1"/>
  <c r="AG20" i="1"/>
  <c r="AH20" i="1" s="1"/>
  <c r="M20" i="1"/>
  <c r="L20" i="1"/>
  <c r="D20" i="1"/>
  <c r="C20" i="1"/>
  <c r="B20" i="1"/>
  <c r="A20" i="1"/>
  <c r="DA19" i="1"/>
  <c r="DB19" i="1" s="1"/>
  <c r="CV19" i="1"/>
  <c r="CI19" i="1"/>
  <c r="CJ19" i="1" s="1"/>
  <c r="CC19" i="1"/>
  <c r="CD19" i="1" s="1"/>
  <c r="BW19" i="1"/>
  <c r="BX19" i="1" s="1"/>
  <c r="AY19" i="1"/>
  <c r="AZ19" i="1" s="1"/>
  <c r="AS19" i="1"/>
  <c r="AT19" i="1" s="1"/>
  <c r="AM19" i="1"/>
  <c r="AN19" i="1" s="1"/>
  <c r="AG19" i="1"/>
  <c r="AH19" i="1" s="1"/>
  <c r="M19" i="1"/>
  <c r="L19" i="1"/>
  <c r="D19" i="1"/>
  <c r="C19" i="1"/>
  <c r="B19" i="1"/>
  <c r="A19" i="1"/>
  <c r="FI18" i="1"/>
  <c r="DA18" i="1"/>
  <c r="DB18" i="1" s="1"/>
  <c r="CV18" i="1"/>
  <c r="BW18" i="1"/>
  <c r="BX18" i="1" s="1"/>
  <c r="FH18" i="1" s="1"/>
  <c r="D18" i="1"/>
  <c r="C18" i="1"/>
  <c r="B18" i="1"/>
  <c r="A18" i="1"/>
  <c r="FI17" i="1"/>
  <c r="DA17" i="1"/>
  <c r="DB17" i="1" s="1"/>
  <c r="CU17" i="1"/>
  <c r="CV17" i="1" s="1"/>
  <c r="BW17" i="1"/>
  <c r="BX17" i="1" s="1"/>
  <c r="AG17" i="1"/>
  <c r="AH17" i="1" s="1"/>
  <c r="FH17" i="1" s="1"/>
  <c r="FJ17" i="1" s="1"/>
  <c r="D17" i="1"/>
  <c r="C17" i="1"/>
  <c r="B17" i="1"/>
  <c r="A17" i="1"/>
  <c r="FI16" i="1"/>
  <c r="DA16" i="1"/>
  <c r="DB16" i="1" s="1"/>
  <c r="CU16" i="1"/>
  <c r="CV16" i="1" s="1"/>
  <c r="CI16" i="1"/>
  <c r="CJ16" i="1" s="1"/>
  <c r="CC16" i="1"/>
  <c r="CD16" i="1" s="1"/>
  <c r="BW16" i="1"/>
  <c r="BX16" i="1" s="1"/>
  <c r="AS16" i="1"/>
  <c r="AT16" i="1" s="1"/>
  <c r="AM16" i="1"/>
  <c r="AN16" i="1" s="1"/>
  <c r="AG16" i="1"/>
  <c r="AH16" i="1" s="1"/>
  <c r="D16" i="1"/>
  <c r="C16" i="1"/>
  <c r="B16" i="1"/>
  <c r="A16" i="1"/>
  <c r="FI15" i="1"/>
  <c r="DA15" i="1"/>
  <c r="DB15" i="1" s="1"/>
  <c r="CV15" i="1"/>
  <c r="CI15" i="1"/>
  <c r="CJ15" i="1" s="1"/>
  <c r="BW15" i="1"/>
  <c r="BX15" i="1" s="1"/>
  <c r="AY15" i="1"/>
  <c r="AZ15" i="1" s="1"/>
  <c r="AM15" i="1"/>
  <c r="AN15" i="1" s="1"/>
  <c r="AG15" i="1"/>
  <c r="AH15" i="1" s="1"/>
  <c r="D15" i="1"/>
  <c r="C15" i="1"/>
  <c r="B15" i="1"/>
  <c r="A15" i="1"/>
  <c r="DA14" i="1"/>
  <c r="DB14" i="1" s="1"/>
  <c r="CV14" i="1"/>
  <c r="CI14" i="1"/>
  <c r="CJ14" i="1" s="1"/>
  <c r="BW14" i="1"/>
  <c r="BX14" i="1" s="1"/>
  <c r="AY14" i="1"/>
  <c r="AZ14" i="1" s="1"/>
  <c r="AM14" i="1"/>
  <c r="AN14" i="1" s="1"/>
  <c r="M14" i="1"/>
  <c r="L14" i="1"/>
  <c r="D14" i="1"/>
  <c r="C14" i="1"/>
  <c r="B14" i="1"/>
  <c r="A14" i="1"/>
  <c r="DA13" i="1"/>
  <c r="DB13" i="1" s="1"/>
  <c r="CV13" i="1"/>
  <c r="CI13" i="1"/>
  <c r="CJ13" i="1" s="1"/>
  <c r="CC13" i="1"/>
  <c r="CD13" i="1" s="1"/>
  <c r="BW13" i="1"/>
  <c r="BX13" i="1" s="1"/>
  <c r="AL13" i="1"/>
  <c r="M13" i="1"/>
  <c r="L13" i="1"/>
  <c r="D13" i="1"/>
  <c r="C13" i="1"/>
  <c r="B13" i="1"/>
  <c r="A13" i="1"/>
  <c r="CV12" i="1"/>
  <c r="CI12" i="1"/>
  <c r="CJ12" i="1" s="1"/>
  <c r="CC12" i="1"/>
  <c r="CD12" i="1" s="1"/>
  <c r="BW12" i="1"/>
  <c r="BX12" i="1" s="1"/>
  <c r="AY12" i="1"/>
  <c r="AZ12" i="1" s="1"/>
  <c r="AR12" i="1"/>
  <c r="AM12" i="1"/>
  <c r="AN12" i="1" s="1"/>
  <c r="AG12" i="1"/>
  <c r="AH12" i="1" s="1"/>
  <c r="M12" i="1"/>
  <c r="L12" i="1"/>
  <c r="D12" i="1"/>
  <c r="C12" i="1"/>
  <c r="B12" i="1"/>
  <c r="A12" i="1"/>
  <c r="FI11" i="1"/>
  <c r="DA11" i="1"/>
  <c r="DB11" i="1" s="1"/>
  <c r="CV11" i="1"/>
  <c r="CI11" i="1"/>
  <c r="CJ11" i="1" s="1"/>
  <c r="BW11" i="1"/>
  <c r="BX11" i="1" s="1"/>
  <c r="AS11" i="1"/>
  <c r="AT11" i="1" s="1"/>
  <c r="AM11" i="1"/>
  <c r="AN11" i="1" s="1"/>
  <c r="L11" i="1"/>
  <c r="D11" i="1"/>
  <c r="C11" i="1"/>
  <c r="B11" i="1"/>
  <c r="A11" i="1"/>
  <c r="DA10" i="1"/>
  <c r="DB10" i="1" s="1"/>
  <c r="CI10" i="1"/>
  <c r="CJ10" i="1" s="1"/>
  <c r="BW10" i="1"/>
  <c r="BX10" i="1" s="1"/>
  <c r="AY10" i="1"/>
  <c r="AZ10" i="1" s="1"/>
  <c r="M10" i="1"/>
  <c r="L10" i="1"/>
  <c r="D10" i="1"/>
  <c r="C10" i="1"/>
  <c r="B10" i="1"/>
  <c r="A10" i="1"/>
  <c r="FI9" i="1"/>
  <c r="DA9" i="1"/>
  <c r="DB9" i="1" s="1"/>
  <c r="CI9" i="1"/>
  <c r="CJ9" i="1" s="1"/>
  <c r="BW9" i="1"/>
  <c r="BX9" i="1" s="1"/>
  <c r="AS9" i="1"/>
  <c r="AT9" i="1" s="1"/>
  <c r="L9" i="1"/>
  <c r="D9" i="1"/>
  <c r="C9" i="1"/>
  <c r="B9" i="1"/>
  <c r="A9" i="1"/>
  <c r="DA8" i="1"/>
  <c r="DB8" i="1" s="1"/>
  <c r="CV8" i="1"/>
  <c r="BW8" i="1"/>
  <c r="BX8" i="1" s="1"/>
  <c r="AS8" i="1"/>
  <c r="AT8" i="1" s="1"/>
  <c r="M8" i="1"/>
  <c r="L8" i="1"/>
  <c r="D8" i="1"/>
  <c r="C8" i="1"/>
  <c r="B8" i="1"/>
  <c r="A8" i="1"/>
  <c r="CU7" i="1"/>
  <c r="CV7" i="1" s="1"/>
  <c r="CI7" i="1"/>
  <c r="CJ7" i="1" s="1"/>
  <c r="CC7" i="1"/>
  <c r="CD7" i="1" s="1"/>
  <c r="BW7" i="1"/>
  <c r="BX7" i="1" s="1"/>
  <c r="AS7" i="1"/>
  <c r="AT7" i="1" s="1"/>
  <c r="AL7" i="1"/>
  <c r="AG7" i="1"/>
  <c r="AH7" i="1" s="1"/>
  <c r="M7" i="1"/>
  <c r="L7" i="1"/>
  <c r="D7" i="1"/>
  <c r="C7" i="1"/>
  <c r="B7" i="1"/>
  <c r="A7" i="1"/>
  <c r="CI6" i="1"/>
  <c r="CJ6" i="1" s="1"/>
  <c r="CC6" i="1"/>
  <c r="CD6" i="1" s="1"/>
  <c r="BW6" i="1"/>
  <c r="BX6" i="1" s="1"/>
  <c r="AS6" i="1"/>
  <c r="AT6" i="1" s="1"/>
  <c r="AM6" i="1"/>
  <c r="AN6" i="1" s="1"/>
  <c r="AG6" i="1"/>
  <c r="AH6" i="1" s="1"/>
  <c r="O6" i="1"/>
  <c r="P6" i="1" s="1"/>
  <c r="M6" i="1"/>
  <c r="L6" i="1"/>
  <c r="D6" i="1"/>
  <c r="C6" i="1"/>
  <c r="B6" i="1"/>
  <c r="A6" i="1"/>
  <c r="CI5" i="1"/>
  <c r="CJ5" i="1" s="1"/>
  <c r="CC5" i="1"/>
  <c r="CD5" i="1" s="1"/>
  <c r="BW5" i="1"/>
  <c r="BX5" i="1" s="1"/>
  <c r="AS5" i="1"/>
  <c r="AT5" i="1" s="1"/>
  <c r="AG5" i="1"/>
  <c r="AH5" i="1" s="1"/>
  <c r="AH502" i="1" s="1"/>
  <c r="M5" i="1"/>
  <c r="L5" i="1"/>
  <c r="D5" i="1"/>
  <c r="C5" i="1"/>
  <c r="B5" i="1"/>
  <c r="A5" i="1"/>
  <c r="FI4" i="1"/>
  <c r="CV4" i="1"/>
  <c r="CI4" i="1"/>
  <c r="CJ4" i="1" s="1"/>
  <c r="BW4" i="1"/>
  <c r="BX4" i="1" s="1"/>
  <c r="L4" i="1"/>
  <c r="D4" i="1"/>
  <c r="C4" i="1"/>
  <c r="B4" i="1"/>
  <c r="A4" i="1"/>
  <c r="CV3" i="1"/>
  <c r="CV502" i="1" s="1"/>
  <c r="CI3" i="1"/>
  <c r="CJ3" i="1" s="1"/>
  <c r="BW3" i="1"/>
  <c r="BX3" i="1" s="1"/>
  <c r="AS3" i="1"/>
  <c r="AT3" i="1" s="1"/>
  <c r="M3" i="1"/>
  <c r="L3" i="1"/>
  <c r="D3" i="1"/>
  <c r="C3" i="1"/>
  <c r="B3" i="1"/>
  <c r="A3" i="1"/>
  <c r="FH36" i="1" l="1"/>
  <c r="FJ36" i="1" s="1"/>
  <c r="FH39" i="1"/>
  <c r="FJ39" i="1" s="1"/>
  <c r="FH65" i="1"/>
  <c r="FJ65" i="1" s="1"/>
  <c r="FH67" i="1"/>
  <c r="FJ67" i="1" s="1"/>
  <c r="FJ71" i="1"/>
  <c r="FJ75" i="1"/>
  <c r="FH80" i="1"/>
  <c r="FJ80" i="1" s="1"/>
  <c r="FH93" i="1"/>
  <c r="FJ93" i="1" s="1"/>
  <c r="FH95" i="1"/>
  <c r="FJ95" i="1" s="1"/>
  <c r="FH120" i="1"/>
  <c r="FJ120" i="1" s="1"/>
  <c r="FJ124" i="1"/>
  <c r="FH129" i="1"/>
  <c r="FJ129" i="1" s="1"/>
  <c r="FJ139" i="1"/>
  <c r="FH141" i="1"/>
  <c r="FJ141" i="1" s="1"/>
  <c r="FH175" i="1"/>
  <c r="FJ175" i="1" s="1"/>
  <c r="FH180" i="1"/>
  <c r="FJ180" i="1" s="1"/>
  <c r="FH183" i="1"/>
  <c r="FJ183" i="1" s="1"/>
  <c r="FH187" i="1"/>
  <c r="FJ187" i="1" s="1"/>
  <c r="FH242" i="1"/>
  <c r="FJ242" i="1" s="1"/>
  <c r="FH243" i="1"/>
  <c r="FJ243" i="1" s="1"/>
  <c r="FH254" i="1"/>
  <c r="FJ254" i="1" s="1"/>
  <c r="FH255" i="1"/>
  <c r="FJ255" i="1" s="1"/>
  <c r="FJ269" i="1"/>
  <c r="FH276" i="1"/>
  <c r="FJ276" i="1" s="1"/>
  <c r="FH286" i="1"/>
  <c r="FJ286" i="1" s="1"/>
  <c r="FH301" i="1"/>
  <c r="FJ301" i="1" s="1"/>
  <c r="FH302" i="1"/>
  <c r="FJ302" i="1" s="1"/>
  <c r="FH307" i="1"/>
  <c r="FJ307" i="1" s="1"/>
  <c r="FH314" i="1"/>
  <c r="FJ314" i="1" s="1"/>
  <c r="FH320" i="1"/>
  <c r="FJ320" i="1" s="1"/>
  <c r="FH321" i="1"/>
  <c r="FJ321" i="1" s="1"/>
  <c r="FH327" i="1"/>
  <c r="FJ327" i="1" s="1"/>
  <c r="FH334" i="1"/>
  <c r="FJ334" i="1" s="1"/>
  <c r="FH355" i="1"/>
  <c r="FJ355" i="1" s="1"/>
  <c r="FH356" i="1"/>
  <c r="FJ356" i="1" s="1"/>
  <c r="FH369" i="1"/>
  <c r="FJ369" i="1" s="1"/>
  <c r="FH370" i="1"/>
  <c r="FJ370" i="1" s="1"/>
  <c r="FH371" i="1"/>
  <c r="FJ371" i="1" s="1"/>
  <c r="FH372" i="1"/>
  <c r="FJ372" i="1" s="1"/>
  <c r="FH373" i="1"/>
  <c r="FJ373" i="1" s="1"/>
  <c r="FH381" i="1"/>
  <c r="FJ381" i="1" s="1"/>
  <c r="FH383" i="1"/>
  <c r="FJ383" i="1" s="1"/>
  <c r="FH384" i="1"/>
  <c r="FJ384" i="1" s="1"/>
  <c r="FH385" i="1"/>
  <c r="FJ385" i="1" s="1"/>
  <c r="FH388" i="1"/>
  <c r="FJ388" i="1" s="1"/>
  <c r="FH389" i="1"/>
  <c r="FJ389" i="1" s="1"/>
  <c r="FH392" i="1"/>
  <c r="FJ392" i="1" s="1"/>
  <c r="FH395" i="1"/>
  <c r="FJ395" i="1" s="1"/>
  <c r="FH408" i="1"/>
  <c r="FJ408" i="1" s="1"/>
  <c r="FH415" i="1"/>
  <c r="FJ415" i="1" s="1"/>
  <c r="FH425" i="1"/>
  <c r="FJ425" i="1" s="1"/>
  <c r="FH431" i="1"/>
  <c r="FJ431" i="1" s="1"/>
  <c r="FH445" i="1"/>
  <c r="FJ445" i="1" s="1"/>
  <c r="FH453" i="1"/>
  <c r="FJ453" i="1" s="1"/>
  <c r="FH457" i="1"/>
  <c r="FJ457" i="1" s="1"/>
  <c r="FH473" i="1"/>
  <c r="FJ473" i="1" s="1"/>
  <c r="FH474" i="1"/>
  <c r="FJ474" i="1" s="1"/>
  <c r="FJ18" i="1"/>
  <c r="FH4" i="1"/>
  <c r="FJ4" i="1" s="1"/>
  <c r="FH9" i="1"/>
  <c r="FJ9" i="1" s="1"/>
  <c r="FH11" i="1"/>
  <c r="FJ11" i="1" s="1"/>
  <c r="FH29" i="1"/>
  <c r="FJ29" i="1" s="1"/>
  <c r="FH32" i="1"/>
  <c r="FJ32" i="1" s="1"/>
  <c r="CD502" i="1"/>
  <c r="P502" i="1"/>
  <c r="FH15" i="1"/>
  <c r="FJ15" i="1" s="1"/>
  <c r="FH16" i="1"/>
  <c r="FJ16" i="1" s="1"/>
  <c r="FH33" i="1"/>
  <c r="FJ33" i="1" s="1"/>
  <c r="FH46" i="1"/>
  <c r="FJ46" i="1" s="1"/>
  <c r="FH47" i="1"/>
  <c r="FJ47" i="1" s="1"/>
  <c r="FJ72" i="1"/>
  <c r="FJ76" i="1"/>
  <c r="FH78" i="1"/>
  <c r="FJ78" i="1" s="1"/>
  <c r="FJ87" i="1"/>
  <c r="FJ98" i="1"/>
  <c r="FH106" i="1"/>
  <c r="FJ106" i="1" s="1"/>
  <c r="FH114" i="1"/>
  <c r="FJ114" i="1" s="1"/>
  <c r="FJ115" i="1"/>
  <c r="FJ125" i="1"/>
  <c r="FH184" i="1"/>
  <c r="FJ184" i="1" s="1"/>
  <c r="FH188" i="1"/>
  <c r="FJ188" i="1" s="1"/>
  <c r="FH191" i="1"/>
  <c r="FJ191" i="1" s="1"/>
  <c r="FH225" i="1"/>
  <c r="FJ225" i="1" s="1"/>
  <c r="FH275" i="1"/>
  <c r="FJ275" i="1" s="1"/>
  <c r="FH281" i="1"/>
  <c r="FJ281" i="1" s="1"/>
  <c r="FH285" i="1"/>
  <c r="FJ285" i="1" s="1"/>
  <c r="FH296" i="1"/>
  <c r="FJ296" i="1" s="1"/>
  <c r="FH298" i="1"/>
  <c r="FJ298" i="1" s="1"/>
  <c r="FH338" i="1"/>
  <c r="FJ338" i="1" s="1"/>
  <c r="FH345" i="1"/>
  <c r="FJ345" i="1" s="1"/>
  <c r="FH354" i="1"/>
  <c r="FJ354" i="1" s="1"/>
  <c r="FH361" i="1"/>
  <c r="FJ361" i="1" s="1"/>
  <c r="FJ362" i="1"/>
  <c r="FH375" i="1"/>
  <c r="FJ375" i="1" s="1"/>
  <c r="FJ377" i="1"/>
  <c r="FH394" i="1"/>
  <c r="FJ394" i="1" s="1"/>
  <c r="FH430" i="1"/>
  <c r="FJ430" i="1" s="1"/>
  <c r="FJ434" i="1"/>
  <c r="FH436" i="1"/>
  <c r="FJ436" i="1" s="1"/>
  <c r="FH454" i="1"/>
  <c r="FJ454" i="1" s="1"/>
  <c r="FH458" i="1"/>
  <c r="FJ458" i="1" s="1"/>
  <c r="FH459" i="1"/>
  <c r="FJ459" i="1" s="1"/>
  <c r="FH464" i="1"/>
  <c r="FJ464" i="1" s="1"/>
  <c r="FH471" i="1"/>
  <c r="FJ471" i="1" s="1"/>
  <c r="FH472" i="1"/>
  <c r="FJ472" i="1" s="1"/>
  <c r="FJ497" i="1"/>
  <c r="FJ499" i="1"/>
  <c r="AT569" i="2"/>
  <c r="ED15" i="2"/>
  <c r="EF15" i="2" s="1"/>
  <c r="AH569" i="2"/>
  <c r="ED34" i="2"/>
  <c r="EF34" i="2" s="1"/>
  <c r="ED42" i="2"/>
  <c r="EF42" i="2" s="1"/>
  <c r="ED50" i="2"/>
  <c r="EF50" i="2" s="1"/>
  <c r="ED84" i="2"/>
  <c r="EF84" i="2" s="1"/>
  <c r="ED94" i="2"/>
  <c r="EF94" i="2" s="1"/>
  <c r="ED96" i="2"/>
  <c r="EF96" i="2" s="1"/>
  <c r="EF98" i="2"/>
  <c r="EF101" i="2"/>
  <c r="ED125" i="2"/>
  <c r="EF125" i="2" s="1"/>
  <c r="EF138" i="2"/>
  <c r="ED153" i="2"/>
  <c r="EF153" i="2" s="1"/>
  <c r="ED156" i="2"/>
  <c r="EF156" i="2" s="1"/>
  <c r="ED157" i="2"/>
  <c r="EF157" i="2" s="1"/>
  <c r="ED184" i="2"/>
  <c r="EF184" i="2" s="1"/>
  <c r="ED185" i="2"/>
  <c r="EF185" i="2" s="1"/>
  <c r="ED186" i="2"/>
  <c r="EF186" i="2" s="1"/>
  <c r="ED200" i="2"/>
  <c r="EF200" i="2" s="1"/>
  <c r="EF210" i="2"/>
  <c r="ED231" i="2"/>
  <c r="EF231" i="2" s="1"/>
  <c r="ED234" i="2"/>
  <c r="EF234" i="2" s="1"/>
  <c r="EF246" i="2"/>
  <c r="ED249" i="2"/>
  <c r="EF249" i="2" s="1"/>
  <c r="ED296" i="2"/>
  <c r="EF296" i="2" s="1"/>
  <c r="ED302" i="2"/>
  <c r="EF302" i="2" s="1"/>
  <c r="ED343" i="2"/>
  <c r="EF343" i="2" s="1"/>
  <c r="ED345" i="2"/>
  <c r="EF345" i="2" s="1"/>
  <c r="ED351" i="2"/>
  <c r="EF351" i="2" s="1"/>
  <c r="ED366" i="2"/>
  <c r="EF366" i="2" s="1"/>
  <c r="ED368" i="2"/>
  <c r="EF368" i="2" s="1"/>
  <c r="ED377" i="2"/>
  <c r="EF377" i="2" s="1"/>
  <c r="ED413" i="2"/>
  <c r="EF413" i="2" s="1"/>
  <c r="ED417" i="2"/>
  <c r="EF417" i="2" s="1"/>
  <c r="ED440" i="2"/>
  <c r="EF440" i="2" s="1"/>
  <c r="ED468" i="2"/>
  <c r="EF468" i="2" s="1"/>
  <c r="EF474" i="2"/>
  <c r="ED490" i="2"/>
  <c r="EF490" i="2" s="1"/>
  <c r="ED552" i="2"/>
  <c r="EF552" i="2" s="1"/>
  <c r="ED20" i="2"/>
  <c r="EF20" i="2" s="1"/>
  <c r="ED28" i="2"/>
  <c r="EF28" i="2" s="1"/>
  <c r="ED29" i="2"/>
  <c r="EF29" i="2" s="1"/>
  <c r="ED30" i="2"/>
  <c r="EF30" i="2" s="1"/>
  <c r="ED48" i="2"/>
  <c r="EF48" i="2" s="1"/>
  <c r="ED51" i="2"/>
  <c r="EF51" i="2" s="1"/>
  <c r="EF67" i="2"/>
  <c r="ED76" i="2"/>
  <c r="EF76" i="2" s="1"/>
  <c r="EF97" i="2"/>
  <c r="EF100" i="2"/>
  <c r="ED108" i="2"/>
  <c r="EF108" i="2" s="1"/>
  <c r="ED126" i="2"/>
  <c r="EF126" i="2" s="1"/>
  <c r="CJ569" i="2"/>
  <c r="ED194" i="2"/>
  <c r="EF194" i="2" s="1"/>
  <c r="ED197" i="2"/>
  <c r="EF197" i="2" s="1"/>
  <c r="ED201" i="2"/>
  <c r="EF201" i="2" s="1"/>
  <c r="EF214" i="2"/>
  <c r="EF215" i="2"/>
  <c r="ED227" i="2"/>
  <c r="EF227" i="2" s="1"/>
  <c r="EF245" i="2"/>
  <c r="EF250" i="2"/>
  <c r="ED257" i="2"/>
  <c r="EF257" i="2" s="1"/>
  <c r="EF295" i="2"/>
  <c r="EF301" i="2"/>
  <c r="EF349" i="2"/>
  <c r="EF350" i="2"/>
  <c r="ED369" i="2"/>
  <c r="EF369" i="2" s="1"/>
  <c r="EF375" i="2"/>
  <c r="EF376" i="2"/>
  <c r="ED384" i="2"/>
  <c r="EF384" i="2" s="1"/>
  <c r="ED387" i="2"/>
  <c r="EF387" i="2" s="1"/>
  <c r="ED405" i="2"/>
  <c r="EF405" i="2" s="1"/>
  <c r="ED406" i="2"/>
  <c r="EF406" i="2" s="1"/>
  <c r="ED414" i="2"/>
  <c r="EF414" i="2" s="1"/>
  <c r="ED418" i="2"/>
  <c r="EF418" i="2" s="1"/>
  <c r="ED465" i="2"/>
  <c r="EF465" i="2" s="1"/>
  <c r="ED481" i="2"/>
  <c r="EF481" i="2" s="1"/>
  <c r="ED518" i="2"/>
  <c r="EF518" i="2" s="1"/>
  <c r="ED526" i="2"/>
  <c r="EF526" i="2" s="1"/>
  <c r="ED527" i="2"/>
  <c r="EF527" i="2" s="1"/>
  <c r="ED530" i="2"/>
  <c r="EF530" i="2" s="1"/>
  <c r="ED557" i="2"/>
  <c r="EF557" i="2" s="1"/>
  <c r="ED558" i="2"/>
  <c r="EF558" i="2" s="1"/>
  <c r="ED559" i="2"/>
  <c r="EF559" i="2" s="1"/>
  <c r="ED560" i="2"/>
  <c r="EF560" i="2" s="1"/>
  <c r="ED561" i="2"/>
  <c r="EF561" i="2" s="1"/>
  <c r="ED563" i="2"/>
  <c r="EF563" i="2" s="1"/>
  <c r="P569" i="2"/>
  <c r="ED16" i="2"/>
  <c r="EF16" i="2" s="1"/>
  <c r="ED35" i="2"/>
  <c r="EF35" i="2" s="1"/>
  <c r="ED40" i="2"/>
  <c r="EF40" i="2" s="1"/>
  <c r="ED53" i="2"/>
  <c r="EF53" i="2" s="1"/>
  <c r="ED81" i="2"/>
  <c r="EF81" i="2" s="1"/>
  <c r="EF83" i="2"/>
  <c r="ED91" i="2"/>
  <c r="EF91" i="2" s="1"/>
  <c r="ED99" i="2"/>
  <c r="EF99" i="2" s="1"/>
  <c r="ED106" i="2"/>
  <c r="EF106" i="2" s="1"/>
  <c r="ED127" i="2"/>
  <c r="EF127" i="2" s="1"/>
  <c r="ED151" i="2"/>
  <c r="EF151" i="2" s="1"/>
  <c r="ED191" i="2"/>
  <c r="EF191" i="2" s="1"/>
  <c r="ED198" i="2"/>
  <c r="EF198" i="2" s="1"/>
  <c r="EF221" i="2"/>
  <c r="ED226" i="2"/>
  <c r="EF226" i="2" s="1"/>
  <c r="ED229" i="2"/>
  <c r="EF229" i="2" s="1"/>
  <c r="ED238" i="2"/>
  <c r="EF238" i="2" s="1"/>
  <c r="ED252" i="2"/>
  <c r="EF252" i="2" s="1"/>
  <c r="ED260" i="2"/>
  <c r="EF260" i="2" s="1"/>
  <c r="ED261" i="2"/>
  <c r="EF261" i="2" s="1"/>
  <c r="ED262" i="2"/>
  <c r="EF262" i="2" s="1"/>
  <c r="EF277" i="2"/>
  <c r="ED294" i="2"/>
  <c r="EF294" i="2" s="1"/>
  <c r="ED298" i="2"/>
  <c r="EF298" i="2" s="1"/>
  <c r="ED309" i="2"/>
  <c r="EF309" i="2" s="1"/>
  <c r="EF311" i="2"/>
  <c r="ED319" i="2"/>
  <c r="EF319" i="2" s="1"/>
  <c r="ED364" i="2"/>
  <c r="EF364" i="2" s="1"/>
  <c r="ED407" i="2"/>
  <c r="EF407" i="2" s="1"/>
  <c r="ED451" i="2"/>
  <c r="EF451" i="2" s="1"/>
  <c r="ED454" i="2"/>
  <c r="EF454" i="2" s="1"/>
  <c r="ED458" i="2"/>
  <c r="EF458" i="2" s="1"/>
  <c r="EF471" i="2"/>
  <c r="EF473" i="2"/>
  <c r="EF475" i="2"/>
  <c r="ED483" i="2"/>
  <c r="EF483" i="2" s="1"/>
  <c r="ED484" i="2"/>
  <c r="EF484" i="2" s="1"/>
  <c r="ED486" i="2"/>
  <c r="EF486" i="2" s="1"/>
  <c r="EF512" i="2"/>
  <c r="ED521" i="2"/>
  <c r="EF521" i="2" s="1"/>
  <c r="ED534" i="2"/>
  <c r="EF534" i="2" s="1"/>
  <c r="ED543" i="2"/>
  <c r="EF543" i="2" s="1"/>
  <c r="ED554" i="2"/>
  <c r="EF554" i="2" s="1"/>
  <c r="ED565" i="2"/>
  <c r="EF565" i="2" s="1"/>
  <c r="BF502" i="1"/>
  <c r="FH57" i="1"/>
  <c r="FJ57" i="1" s="1"/>
  <c r="FH58" i="1"/>
  <c r="FJ58" i="1" s="1"/>
  <c r="FJ73" i="1"/>
  <c r="FH86" i="1"/>
  <c r="FJ86" i="1" s="1"/>
  <c r="FH90" i="1"/>
  <c r="FJ90" i="1" s="1"/>
  <c r="FJ100" i="1"/>
  <c r="FJ111" i="1"/>
  <c r="FH126" i="1"/>
  <c r="FJ126" i="1" s="1"/>
  <c r="FJ128" i="1"/>
  <c r="FH135" i="1"/>
  <c r="FJ135" i="1" s="1"/>
  <c r="FH137" i="1"/>
  <c r="FJ137" i="1" s="1"/>
  <c r="FH149" i="1"/>
  <c r="FJ149" i="1" s="1"/>
  <c r="FH157" i="1"/>
  <c r="FJ157" i="1" s="1"/>
  <c r="FH159" i="1"/>
  <c r="FJ159" i="1" s="1"/>
  <c r="FJ163" i="1"/>
  <c r="FH171" i="1"/>
  <c r="FJ171" i="1" s="1"/>
  <c r="FJ182" i="1"/>
  <c r="FH185" i="1"/>
  <c r="FJ185" i="1" s="1"/>
  <c r="FH194" i="1"/>
  <c r="FJ194" i="1" s="1"/>
  <c r="FH205" i="1"/>
  <c r="FJ205" i="1" s="1"/>
  <c r="FH210" i="1"/>
  <c r="FJ210" i="1" s="1"/>
  <c r="FH211" i="1"/>
  <c r="FJ211" i="1" s="1"/>
  <c r="FH212" i="1"/>
  <c r="FJ212" i="1" s="1"/>
  <c r="FH215" i="1"/>
  <c r="FJ215" i="1" s="1"/>
  <c r="FJ245" i="1"/>
  <c r="FH282" i="1"/>
  <c r="FJ282" i="1" s="1"/>
  <c r="FH283" i="1"/>
  <c r="FJ283" i="1" s="1"/>
  <c r="FH284" i="1"/>
  <c r="FJ284" i="1" s="1"/>
  <c r="FH291" i="1"/>
  <c r="FJ291" i="1" s="1"/>
  <c r="FH295" i="1"/>
  <c r="FJ295" i="1" s="1"/>
  <c r="FH299" i="1"/>
  <c r="FJ299" i="1" s="1"/>
  <c r="FH309" i="1"/>
  <c r="FJ309" i="1" s="1"/>
  <c r="FH325" i="1"/>
  <c r="FJ325" i="1" s="1"/>
  <c r="FH329" i="1"/>
  <c r="FJ329" i="1" s="1"/>
  <c r="FH353" i="1"/>
  <c r="FJ353" i="1" s="1"/>
  <c r="FJ359" i="1"/>
  <c r="FH360" i="1"/>
  <c r="FJ360" i="1" s="1"/>
  <c r="FH364" i="1"/>
  <c r="FJ364" i="1" s="1"/>
  <c r="FH376" i="1"/>
  <c r="FJ376" i="1" s="1"/>
  <c r="FH398" i="1"/>
  <c r="FJ398" i="1" s="1"/>
  <c r="FH405" i="1"/>
  <c r="FJ405" i="1" s="1"/>
  <c r="FH433" i="1"/>
  <c r="FJ433" i="1" s="1"/>
  <c r="FH437" i="1"/>
  <c r="FJ437" i="1" s="1"/>
  <c r="FH438" i="1"/>
  <c r="FJ438" i="1" s="1"/>
  <c r="FH439" i="1"/>
  <c r="FJ439" i="1" s="1"/>
  <c r="FH440" i="1"/>
  <c r="FJ440" i="1" s="1"/>
  <c r="FH441" i="1"/>
  <c r="FJ441" i="1" s="1"/>
  <c r="FH442" i="1"/>
  <c r="FJ442" i="1" s="1"/>
  <c r="FJ443" i="1"/>
  <c r="FJ455" i="1"/>
  <c r="FJ461" i="1"/>
  <c r="FH463" i="1"/>
  <c r="FJ463" i="1" s="1"/>
  <c r="FH467" i="1"/>
  <c r="FJ467" i="1" s="1"/>
  <c r="FH470" i="1"/>
  <c r="FJ470" i="1" s="1"/>
  <c r="FI3" i="1"/>
  <c r="FH3" i="1"/>
  <c r="FJ3" i="1" s="1"/>
  <c r="FI5" i="1"/>
  <c r="FH5" i="1"/>
  <c r="FI6" i="1"/>
  <c r="FH6" i="1"/>
  <c r="FJ6" i="1" s="1"/>
  <c r="FI7" i="1"/>
  <c r="AL502" i="1"/>
  <c r="AM7" i="1"/>
  <c r="AN7" i="1" s="1"/>
  <c r="FI8" i="1"/>
  <c r="FH8" i="1"/>
  <c r="FI10" i="1"/>
  <c r="FH10" i="1"/>
  <c r="FJ10" i="1" s="1"/>
  <c r="FI12" i="1"/>
  <c r="AS12" i="1"/>
  <c r="AT12" i="1" s="1"/>
  <c r="FI13" i="1"/>
  <c r="AM13" i="1"/>
  <c r="AN13" i="1" s="1"/>
  <c r="FH13" i="1" s="1"/>
  <c r="FJ13" i="1" s="1"/>
  <c r="FI14" i="1"/>
  <c r="FH14" i="1"/>
  <c r="FI19" i="1"/>
  <c r="FH19" i="1"/>
  <c r="FJ19" i="1" s="1"/>
  <c r="FI20" i="1"/>
  <c r="FH20" i="1"/>
  <c r="FI21" i="1"/>
  <c r="FH21" i="1"/>
  <c r="FJ21" i="1" s="1"/>
  <c r="FI22" i="1"/>
  <c r="FH22" i="1"/>
  <c r="FI23" i="1"/>
  <c r="FH23" i="1"/>
  <c r="FJ23" i="1" s="1"/>
  <c r="FI25" i="1"/>
  <c r="AS25" i="1"/>
  <c r="AT25" i="1" s="1"/>
  <c r="FH25" i="1" s="1"/>
  <c r="FI27" i="1"/>
  <c r="AM27" i="1"/>
  <c r="AN27" i="1" s="1"/>
  <c r="AS27" i="1"/>
  <c r="AT27" i="1" s="1"/>
  <c r="FI28" i="1"/>
  <c r="AS28" i="1"/>
  <c r="AT28" i="1" s="1"/>
  <c r="FH28" i="1" s="1"/>
  <c r="FI30" i="1"/>
  <c r="FH30" i="1"/>
  <c r="FJ30" i="1" s="1"/>
  <c r="FI31" i="1"/>
  <c r="AS31" i="1"/>
  <c r="AT31" i="1" s="1"/>
  <c r="FH31" i="1" s="1"/>
  <c r="FI34" i="1"/>
  <c r="FH34" i="1"/>
  <c r="FJ34" i="1" s="1"/>
  <c r="BL502" i="1"/>
  <c r="FH35" i="1"/>
  <c r="FJ35" i="1" s="1"/>
  <c r="FI37" i="1"/>
  <c r="FH37" i="1"/>
  <c r="FJ37" i="1" s="1"/>
  <c r="FI38" i="1"/>
  <c r="FH38" i="1"/>
  <c r="FI41" i="1"/>
  <c r="FH41" i="1"/>
  <c r="FJ41" i="1" s="1"/>
  <c r="FI42" i="1"/>
  <c r="FH42" i="1"/>
  <c r="FI43" i="1"/>
  <c r="FH43" i="1"/>
  <c r="FJ43" i="1" s="1"/>
  <c r="FI44" i="1"/>
  <c r="FH44" i="1"/>
  <c r="FI45" i="1"/>
  <c r="AM45" i="1"/>
  <c r="AN45" i="1" s="1"/>
  <c r="AS45" i="1"/>
  <c r="AT45" i="1" s="1"/>
  <c r="FI48" i="1"/>
  <c r="FH48" i="1"/>
  <c r="FJ48" i="1" s="1"/>
  <c r="FI49" i="1"/>
  <c r="BQ49" i="1"/>
  <c r="BR49" i="1" s="1"/>
  <c r="FI50" i="1"/>
  <c r="FH50" i="1"/>
  <c r="FJ50" i="1" s="1"/>
  <c r="FI51" i="1"/>
  <c r="FH51" i="1"/>
  <c r="FI52" i="1"/>
  <c r="FH52" i="1"/>
  <c r="FJ52" i="1" s="1"/>
  <c r="FI53" i="1"/>
  <c r="FH53" i="1"/>
  <c r="FI54" i="1"/>
  <c r="FH54" i="1"/>
  <c r="FJ54" i="1" s="1"/>
  <c r="FI55" i="1"/>
  <c r="FH55" i="1"/>
  <c r="FI56" i="1"/>
  <c r="AY56" i="1"/>
  <c r="AZ56" i="1" s="1"/>
  <c r="FI59" i="1"/>
  <c r="FH59" i="1"/>
  <c r="FI60" i="1"/>
  <c r="FH60" i="1"/>
  <c r="FJ60" i="1" s="1"/>
  <c r="FI61" i="1"/>
  <c r="FH61" i="1"/>
  <c r="FI62" i="1"/>
  <c r="FH62" i="1"/>
  <c r="FJ62" i="1" s="1"/>
  <c r="FI63" i="1"/>
  <c r="FH63" i="1"/>
  <c r="FI64" i="1"/>
  <c r="FH64" i="1"/>
  <c r="FJ64" i="1" s="1"/>
  <c r="FI66" i="1"/>
  <c r="AS66" i="1"/>
  <c r="AT66" i="1" s="1"/>
  <c r="FH66" i="1" s="1"/>
  <c r="AB502" i="1"/>
  <c r="FH69" i="1"/>
  <c r="FJ69" i="1" s="1"/>
  <c r="FI77" i="1"/>
  <c r="FH77" i="1"/>
  <c r="FI79" i="1"/>
  <c r="FH79" i="1"/>
  <c r="FI81" i="1"/>
  <c r="FH81" i="1"/>
  <c r="FI82" i="1"/>
  <c r="FH82" i="1"/>
  <c r="FJ82" i="1" s="1"/>
  <c r="FI84" i="1"/>
  <c r="AY84" i="1"/>
  <c r="AZ84" i="1" s="1"/>
  <c r="FH84" i="1" s="1"/>
  <c r="FI85" i="1"/>
  <c r="FH85" i="1"/>
  <c r="FJ85" i="1" s="1"/>
  <c r="FI88" i="1"/>
  <c r="FH88" i="1"/>
  <c r="FI89" i="1"/>
  <c r="FH89" i="1"/>
  <c r="FJ89" i="1" s="1"/>
  <c r="FI92" i="1"/>
  <c r="FH92" i="1"/>
  <c r="FI94" i="1"/>
  <c r="FH94" i="1"/>
  <c r="FJ94" i="1" s="1"/>
  <c r="FI96" i="1"/>
  <c r="FH96" i="1"/>
  <c r="FI97" i="1"/>
  <c r="FH97" i="1"/>
  <c r="FJ97" i="1" s="1"/>
  <c r="CP502" i="1"/>
  <c r="FH99" i="1"/>
  <c r="FJ99" i="1" s="1"/>
  <c r="FI101" i="1"/>
  <c r="FH101" i="1"/>
  <c r="FJ101" i="1" s="1"/>
  <c r="FI102" i="1"/>
  <c r="FH102" i="1"/>
  <c r="FI104" i="1"/>
  <c r="FH104" i="1"/>
  <c r="FJ104" i="1" s="1"/>
  <c r="FI105" i="1"/>
  <c r="FH105" i="1"/>
  <c r="FI107" i="1"/>
  <c r="FH107" i="1"/>
  <c r="FJ107" i="1" s="1"/>
  <c r="FI108" i="1"/>
  <c r="FH108" i="1"/>
  <c r="FI109" i="1"/>
  <c r="FH109" i="1"/>
  <c r="FJ109" i="1" s="1"/>
  <c r="FI110" i="1"/>
  <c r="FH110" i="1"/>
  <c r="FI112" i="1"/>
  <c r="FH112" i="1"/>
  <c r="FJ112" i="1" s="1"/>
  <c r="FI113" i="1"/>
  <c r="FH113" i="1"/>
  <c r="FI116" i="1"/>
  <c r="FH116" i="1"/>
  <c r="FJ116" i="1" s="1"/>
  <c r="FI117" i="1"/>
  <c r="AY117" i="1"/>
  <c r="AZ117" i="1" s="1"/>
  <c r="FH117" i="1" s="1"/>
  <c r="FI119" i="1"/>
  <c r="FH119" i="1"/>
  <c r="FJ119" i="1" s="1"/>
  <c r="FI121" i="1"/>
  <c r="FH121" i="1"/>
  <c r="FI122" i="1"/>
  <c r="FH122" i="1"/>
  <c r="FJ122" i="1" s="1"/>
  <c r="FI123" i="1"/>
  <c r="FH123" i="1"/>
  <c r="FI130" i="1"/>
  <c r="FH130" i="1"/>
  <c r="FJ130" i="1" s="1"/>
  <c r="FI131" i="1"/>
  <c r="FH131" i="1"/>
  <c r="FI133" i="1"/>
  <c r="AS133" i="1"/>
  <c r="AT133" i="1" s="1"/>
  <c r="FH133" i="1" s="1"/>
  <c r="FJ133" i="1" s="1"/>
  <c r="FI136" i="1"/>
  <c r="FH136" i="1"/>
  <c r="FI138" i="1"/>
  <c r="FH138" i="1"/>
  <c r="FJ138" i="1" s="1"/>
  <c r="FI140" i="1"/>
  <c r="AS140" i="1"/>
  <c r="AT140" i="1" s="1"/>
  <c r="FH140" i="1" s="1"/>
  <c r="FI142" i="1"/>
  <c r="AS142" i="1"/>
  <c r="AT142" i="1" s="1"/>
  <c r="FH142" i="1" s="1"/>
  <c r="FJ142" i="1" s="1"/>
  <c r="FI143" i="1"/>
  <c r="FH143" i="1"/>
  <c r="FI144" i="1"/>
  <c r="AM144" i="1"/>
  <c r="AN144" i="1" s="1"/>
  <c r="FH144" i="1" s="1"/>
  <c r="FJ144" i="1" s="1"/>
  <c r="FI145" i="1"/>
  <c r="FH145" i="1"/>
  <c r="FI147" i="1"/>
  <c r="FH147" i="1"/>
  <c r="FJ147" i="1" s="1"/>
  <c r="FI148" i="1"/>
  <c r="FH148" i="1"/>
  <c r="FI150" i="1"/>
  <c r="FH150" i="1"/>
  <c r="FJ150" i="1" s="1"/>
  <c r="FI151" i="1"/>
  <c r="FH151" i="1"/>
  <c r="FI152" i="1"/>
  <c r="FH152" i="1"/>
  <c r="FJ152" i="1" s="1"/>
  <c r="FI153" i="1"/>
  <c r="FH153" i="1"/>
  <c r="FI154" i="1"/>
  <c r="FH154" i="1"/>
  <c r="FJ154" i="1" s="1"/>
  <c r="FI155" i="1"/>
  <c r="FH155" i="1"/>
  <c r="FI156" i="1"/>
  <c r="FH156" i="1"/>
  <c r="FJ156" i="1" s="1"/>
  <c r="FI158" i="1"/>
  <c r="FH158" i="1"/>
  <c r="FI160" i="1"/>
  <c r="AM160" i="1"/>
  <c r="AN160" i="1" s="1"/>
  <c r="AS160" i="1"/>
  <c r="AT160" i="1" s="1"/>
  <c r="FI161" i="1"/>
  <c r="AS161" i="1"/>
  <c r="AT161" i="1" s="1"/>
  <c r="FH161" i="1" s="1"/>
  <c r="FI162" i="1"/>
  <c r="AS162" i="1"/>
  <c r="AT162" i="1" s="1"/>
  <c r="FH162" i="1" s="1"/>
  <c r="FJ162" i="1" s="1"/>
  <c r="FI164" i="1"/>
  <c r="AS164" i="1"/>
  <c r="AT164" i="1" s="1"/>
  <c r="FH164" i="1" s="1"/>
  <c r="FI167" i="1"/>
  <c r="AS167" i="1"/>
  <c r="AT167" i="1" s="1"/>
  <c r="FH167" i="1" s="1"/>
  <c r="FJ167" i="1" s="1"/>
  <c r="FI168" i="1"/>
  <c r="FH168" i="1"/>
  <c r="FI170" i="1"/>
  <c r="FH170" i="1"/>
  <c r="FJ170" i="1" s="1"/>
  <c r="FI172" i="1"/>
  <c r="BQ172" i="1"/>
  <c r="BR172" i="1" s="1"/>
  <c r="FH172" i="1" s="1"/>
  <c r="FI173" i="1"/>
  <c r="AS173" i="1"/>
  <c r="AT173" i="1" s="1"/>
  <c r="FH173" i="1" s="1"/>
  <c r="FJ173" i="1" s="1"/>
  <c r="FI174" i="1"/>
  <c r="AS174" i="1"/>
  <c r="AT174" i="1" s="1"/>
  <c r="FH174" i="1" s="1"/>
  <c r="FI176" i="1"/>
  <c r="FH176" i="1"/>
  <c r="FJ176" i="1" s="1"/>
  <c r="FI177" i="1"/>
  <c r="FH177" i="1"/>
  <c r="FI179" i="1"/>
  <c r="FH179" i="1"/>
  <c r="FJ179" i="1" s="1"/>
  <c r="FI181" i="1"/>
  <c r="FH181" i="1"/>
  <c r="FI189" i="1"/>
  <c r="FH189" i="1"/>
  <c r="FJ189" i="1" s="1"/>
  <c r="FI192" i="1"/>
  <c r="FH192" i="1"/>
  <c r="FI193" i="1"/>
  <c r="FH193" i="1"/>
  <c r="FJ193" i="1" s="1"/>
  <c r="FI195" i="1"/>
  <c r="FH195" i="1"/>
  <c r="FI196" i="1"/>
  <c r="FH196" i="1"/>
  <c r="FJ196" i="1" s="1"/>
  <c r="FI197" i="1"/>
  <c r="FH197" i="1"/>
  <c r="FI198" i="1"/>
  <c r="FH198" i="1"/>
  <c r="FJ198" i="1" s="1"/>
  <c r="FI199" i="1"/>
  <c r="FH199" i="1"/>
  <c r="FI200" i="1"/>
  <c r="FH200" i="1"/>
  <c r="FJ200" i="1" s="1"/>
  <c r="FI201" i="1"/>
  <c r="FH201" i="1"/>
  <c r="FI202" i="1"/>
  <c r="FH202" i="1"/>
  <c r="FJ202" i="1" s="1"/>
  <c r="FI203" i="1"/>
  <c r="FH203" i="1"/>
  <c r="FI206" i="1"/>
  <c r="FH206" i="1"/>
  <c r="FJ206" i="1" s="1"/>
  <c r="FI207" i="1"/>
  <c r="FH207" i="1"/>
  <c r="FI208" i="1"/>
  <c r="FH208" i="1"/>
  <c r="FJ208" i="1" s="1"/>
  <c r="FI209" i="1"/>
  <c r="FH209" i="1"/>
  <c r="FI213" i="1"/>
  <c r="FH213" i="1"/>
  <c r="FJ213" i="1" s="1"/>
  <c r="FI214" i="1"/>
  <c r="BW214" i="1"/>
  <c r="BX214" i="1" s="1"/>
  <c r="CI214" i="1"/>
  <c r="CJ214" i="1" s="1"/>
  <c r="FI216" i="1"/>
  <c r="BW216" i="1"/>
  <c r="BX216" i="1" s="1"/>
  <c r="FH216" i="1" s="1"/>
  <c r="FI217" i="1"/>
  <c r="FH217" i="1"/>
  <c r="FI218" i="1"/>
  <c r="FH218" i="1"/>
  <c r="FI219" i="1"/>
  <c r="FH219" i="1"/>
  <c r="FI220" i="1"/>
  <c r="FH220" i="1"/>
  <c r="FI221" i="1"/>
  <c r="FH221" i="1"/>
  <c r="FJ221" i="1" s="1"/>
  <c r="FI223" i="1"/>
  <c r="FH223" i="1"/>
  <c r="FI224" i="1"/>
  <c r="FH224" i="1"/>
  <c r="FJ224" i="1" s="1"/>
  <c r="FI226" i="1"/>
  <c r="AS226" i="1"/>
  <c r="AT226" i="1" s="1"/>
  <c r="FH226" i="1" s="1"/>
  <c r="FI227" i="1"/>
  <c r="FH227" i="1"/>
  <c r="FJ227" i="1" s="1"/>
  <c r="FI228" i="1"/>
  <c r="AS228" i="1"/>
  <c r="AT228" i="1" s="1"/>
  <c r="FH228" i="1" s="1"/>
  <c r="FI229" i="1"/>
  <c r="FH229" i="1"/>
  <c r="FJ229" i="1" s="1"/>
  <c r="FI230" i="1"/>
  <c r="AS230" i="1"/>
  <c r="AT230" i="1" s="1"/>
  <c r="FH230" i="1" s="1"/>
  <c r="FI231" i="1"/>
  <c r="FH231" i="1"/>
  <c r="FJ231" i="1" s="1"/>
  <c r="FI232" i="1"/>
  <c r="AM232" i="1"/>
  <c r="AN232" i="1" s="1"/>
  <c r="AS232" i="1"/>
  <c r="AT232" i="1" s="1"/>
  <c r="FI233" i="1"/>
  <c r="FH233" i="1"/>
  <c r="FJ233" i="1" s="1"/>
  <c r="FI234" i="1"/>
  <c r="FH234" i="1"/>
  <c r="FI235" i="1"/>
  <c r="FH235" i="1"/>
  <c r="FJ235" i="1" s="1"/>
  <c r="FI236" i="1"/>
  <c r="FH236" i="1"/>
  <c r="FI237" i="1"/>
  <c r="FH237" i="1"/>
  <c r="FJ237" i="1" s="1"/>
  <c r="FI238" i="1"/>
  <c r="BW238" i="1"/>
  <c r="BX238" i="1" s="1"/>
  <c r="CI238" i="1"/>
  <c r="CJ238" i="1" s="1"/>
  <c r="FI239" i="1"/>
  <c r="FH239" i="1"/>
  <c r="FI240" i="1"/>
  <c r="FH240" i="1"/>
  <c r="FJ240" i="1" s="1"/>
  <c r="FI241" i="1"/>
  <c r="FH241" i="1"/>
  <c r="FI244" i="1"/>
  <c r="FH244" i="1"/>
  <c r="FJ244" i="1" s="1"/>
  <c r="FI246" i="1"/>
  <c r="FH246" i="1"/>
  <c r="FI247" i="1"/>
  <c r="FH247" i="1"/>
  <c r="FJ247" i="1" s="1"/>
  <c r="FI248" i="1"/>
  <c r="AS248" i="1"/>
  <c r="AT248" i="1" s="1"/>
  <c r="FH248" i="1" s="1"/>
  <c r="FI249" i="1"/>
  <c r="FH249" i="1"/>
  <c r="FJ249" i="1" s="1"/>
  <c r="FI250" i="1"/>
  <c r="FH250" i="1"/>
  <c r="FI251" i="1"/>
  <c r="FH251" i="1"/>
  <c r="FJ251" i="1" s="1"/>
  <c r="FI252" i="1"/>
  <c r="FH252" i="1"/>
  <c r="FI256" i="1"/>
  <c r="FH256" i="1"/>
  <c r="FJ256" i="1" s="1"/>
  <c r="FI257" i="1"/>
  <c r="FH257" i="1"/>
  <c r="FI258" i="1"/>
  <c r="FH258" i="1"/>
  <c r="FJ258" i="1" s="1"/>
  <c r="FI260" i="1"/>
  <c r="FH260" i="1"/>
  <c r="FI262" i="1"/>
  <c r="FH262" i="1"/>
  <c r="FJ262" i="1" s="1"/>
  <c r="FI263" i="1"/>
  <c r="FH263" i="1"/>
  <c r="FI264" i="1"/>
  <c r="FH264" i="1"/>
  <c r="FJ264" i="1" s="1"/>
  <c r="FI265" i="1"/>
  <c r="FH265" i="1"/>
  <c r="FI266" i="1"/>
  <c r="FH266" i="1"/>
  <c r="FJ266" i="1" s="1"/>
  <c r="FI267" i="1"/>
  <c r="FH267" i="1"/>
  <c r="FI268" i="1"/>
  <c r="BQ268" i="1"/>
  <c r="BR268" i="1" s="1"/>
  <c r="FH268" i="1" s="1"/>
  <c r="FJ268" i="1" s="1"/>
  <c r="FI270" i="1"/>
  <c r="AS270" i="1"/>
  <c r="AT270" i="1" s="1"/>
  <c r="FH270" i="1" s="1"/>
  <c r="FI272" i="1"/>
  <c r="AM272" i="1"/>
  <c r="AN272" i="1" s="1"/>
  <c r="FH272" i="1" s="1"/>
  <c r="FJ272" i="1" s="1"/>
  <c r="FI273" i="1"/>
  <c r="FH273" i="1"/>
  <c r="FI274" i="1"/>
  <c r="FH274" i="1"/>
  <c r="FJ274" i="1" s="1"/>
  <c r="FI277" i="1"/>
  <c r="FH277" i="1"/>
  <c r="FI278" i="1"/>
  <c r="FH278" i="1"/>
  <c r="FJ278" i="1" s="1"/>
  <c r="FI280" i="1"/>
  <c r="FH280" i="1"/>
  <c r="FI288" i="1"/>
  <c r="FH288" i="1"/>
  <c r="FJ288" i="1" s="1"/>
  <c r="FI289" i="1"/>
  <c r="FH289" i="1"/>
  <c r="FI292" i="1"/>
  <c r="FH292" i="1"/>
  <c r="FJ292" i="1" s="1"/>
  <c r="FI293" i="1"/>
  <c r="FH293" i="1"/>
  <c r="FI294" i="1"/>
  <c r="U294" i="1"/>
  <c r="V294" i="1" s="1"/>
  <c r="BW294" i="1"/>
  <c r="BX294" i="1" s="1"/>
  <c r="FI297" i="1"/>
  <c r="FH297" i="1"/>
  <c r="FI303" i="1"/>
  <c r="FH303" i="1"/>
  <c r="FJ303" i="1" s="1"/>
  <c r="FI304" i="1"/>
  <c r="FH304" i="1"/>
  <c r="FI305" i="1"/>
  <c r="AY305" i="1"/>
  <c r="AZ305" i="1" s="1"/>
  <c r="FH305" i="1" s="1"/>
  <c r="FJ305" i="1" s="1"/>
  <c r="FI306" i="1"/>
  <c r="FH306" i="1"/>
  <c r="FI308" i="1"/>
  <c r="FH308" i="1"/>
  <c r="FJ308" i="1" s="1"/>
  <c r="FI310" i="1"/>
  <c r="FH310" i="1"/>
  <c r="FI311" i="1"/>
  <c r="FH311" i="1"/>
  <c r="FJ311" i="1" s="1"/>
  <c r="FI312" i="1"/>
  <c r="FH312" i="1"/>
  <c r="FI313" i="1"/>
  <c r="FH313" i="1"/>
  <c r="FJ313" i="1" s="1"/>
  <c r="FI315" i="1"/>
  <c r="FH315" i="1"/>
  <c r="FI316" i="1"/>
  <c r="FH316" i="1"/>
  <c r="FJ316" i="1" s="1"/>
  <c r="FI317" i="1"/>
  <c r="AS317" i="1"/>
  <c r="AT317" i="1" s="1"/>
  <c r="FH317" i="1" s="1"/>
  <c r="FI318" i="1"/>
  <c r="FH318" i="1"/>
  <c r="FJ318" i="1" s="1"/>
  <c r="FI319" i="1"/>
  <c r="FH319" i="1"/>
  <c r="FI322" i="1"/>
  <c r="AS322" i="1"/>
  <c r="AT322" i="1" s="1"/>
  <c r="FH322" i="1" s="1"/>
  <c r="FJ322" i="1" s="1"/>
  <c r="FI323" i="1"/>
  <c r="AS323" i="1"/>
  <c r="AT323" i="1" s="1"/>
  <c r="FH323" i="1" s="1"/>
  <c r="FI326" i="1"/>
  <c r="FH326" i="1"/>
  <c r="FJ326" i="1" s="1"/>
  <c r="FI328" i="1"/>
  <c r="FH328" i="1"/>
  <c r="FI330" i="1"/>
  <c r="FH330" i="1"/>
  <c r="FJ330" i="1" s="1"/>
  <c r="FI331" i="1"/>
  <c r="FH331" i="1"/>
  <c r="FI332" i="1"/>
  <c r="AS332" i="1"/>
  <c r="AT332" i="1" s="1"/>
  <c r="FH332" i="1" s="1"/>
  <c r="FJ332" i="1" s="1"/>
  <c r="FI333" i="1"/>
  <c r="FH333" i="1"/>
  <c r="FI339" i="1"/>
  <c r="FH339" i="1"/>
  <c r="FJ339" i="1" s="1"/>
  <c r="FI340" i="1"/>
  <c r="FH340" i="1"/>
  <c r="FI342" i="1"/>
  <c r="FH342" i="1"/>
  <c r="FJ342" i="1" s="1"/>
  <c r="FI343" i="1"/>
  <c r="FH343" i="1"/>
  <c r="FI344" i="1"/>
  <c r="FH344" i="1"/>
  <c r="FJ344" i="1" s="1"/>
  <c r="FI346" i="1"/>
  <c r="FH346" i="1"/>
  <c r="FI347" i="1"/>
  <c r="FH347" i="1"/>
  <c r="FJ347" i="1" s="1"/>
  <c r="FI348" i="1"/>
  <c r="FH348" i="1"/>
  <c r="FI349" i="1"/>
  <c r="AM349" i="1"/>
  <c r="AN349" i="1" s="1"/>
  <c r="FH349" i="1" s="1"/>
  <c r="FJ349" i="1" s="1"/>
  <c r="FI350" i="1"/>
  <c r="AS350" i="1"/>
  <c r="AT350" i="1" s="1"/>
  <c r="FH350" i="1" s="1"/>
  <c r="FI351" i="1"/>
  <c r="FH351" i="1"/>
  <c r="FJ351" i="1" s="1"/>
  <c r="FI352" i="1"/>
  <c r="BQ352" i="1"/>
  <c r="BR352" i="1" s="1"/>
  <c r="FH352" i="1" s="1"/>
  <c r="FI358" i="1"/>
  <c r="FH358" i="1"/>
  <c r="FJ358" i="1" s="1"/>
  <c r="FI363" i="1"/>
  <c r="FH363" i="1"/>
  <c r="FI365" i="1"/>
  <c r="FH365" i="1"/>
  <c r="FJ365" i="1" s="1"/>
  <c r="FI366" i="1"/>
  <c r="FH366" i="1"/>
  <c r="FI368" i="1"/>
  <c r="FH368" i="1"/>
  <c r="FJ368" i="1" s="1"/>
  <c r="FI374" i="1"/>
  <c r="FH374" i="1"/>
  <c r="FI378" i="1"/>
  <c r="FH378" i="1"/>
  <c r="FJ378" i="1" s="1"/>
  <c r="FI379" i="1"/>
  <c r="FH379" i="1"/>
  <c r="FI380" i="1"/>
  <c r="FH380" i="1"/>
  <c r="FJ380" i="1" s="1"/>
  <c r="FI382" i="1"/>
  <c r="FH382" i="1"/>
  <c r="FI386" i="1"/>
  <c r="FH386" i="1"/>
  <c r="FJ386" i="1" s="1"/>
  <c r="FI387" i="1"/>
  <c r="FH387" i="1"/>
  <c r="FI390" i="1"/>
  <c r="FH390" i="1"/>
  <c r="FJ390" i="1" s="1"/>
  <c r="FI391" i="1"/>
  <c r="FH391" i="1"/>
  <c r="FI393" i="1"/>
  <c r="FH393" i="1"/>
  <c r="FJ393" i="1" s="1"/>
  <c r="FI396" i="1"/>
  <c r="FH396" i="1"/>
  <c r="FI399" i="1"/>
  <c r="FH399" i="1"/>
  <c r="FJ399" i="1" s="1"/>
  <c r="FI400" i="1"/>
  <c r="AS400" i="1"/>
  <c r="AT400" i="1" s="1"/>
  <c r="AY400" i="1"/>
  <c r="AZ400" i="1" s="1"/>
  <c r="FI401" i="1"/>
  <c r="FH401" i="1"/>
  <c r="FI402" i="1"/>
  <c r="AS402" i="1"/>
  <c r="AT402" i="1" s="1"/>
  <c r="FH402" i="1" s="1"/>
  <c r="FI406" i="1"/>
  <c r="FH406" i="1"/>
  <c r="FI407" i="1"/>
  <c r="FH407" i="1"/>
  <c r="FI409" i="1"/>
  <c r="FH409" i="1"/>
  <c r="FI410" i="1"/>
  <c r="AM410" i="1"/>
  <c r="AN410" i="1" s="1"/>
  <c r="AS410" i="1"/>
  <c r="AT410" i="1" s="1"/>
  <c r="FI411" i="1"/>
  <c r="FH411" i="1"/>
  <c r="FI412" i="1"/>
  <c r="FH412" i="1"/>
  <c r="FJ412" i="1" s="1"/>
  <c r="FI413" i="1"/>
  <c r="FH413" i="1"/>
  <c r="FI414" i="1"/>
  <c r="BW414" i="1"/>
  <c r="BX414" i="1" s="1"/>
  <c r="CI414" i="1"/>
  <c r="CJ414" i="1" s="1"/>
  <c r="FI416" i="1"/>
  <c r="BW416" i="1"/>
  <c r="BX416" i="1" s="1"/>
  <c r="FH416" i="1" s="1"/>
  <c r="FI418" i="1"/>
  <c r="FH418" i="1"/>
  <c r="FI421" i="1"/>
  <c r="FH421" i="1"/>
  <c r="FI422" i="1"/>
  <c r="FH422" i="1"/>
  <c r="FI423" i="1"/>
  <c r="AS423" i="1"/>
  <c r="AT423" i="1" s="1"/>
  <c r="FH423" i="1" s="1"/>
  <c r="FI424" i="1"/>
  <c r="FH424" i="1"/>
  <c r="FI426" i="1"/>
  <c r="BW426" i="1"/>
  <c r="BX426" i="1" s="1"/>
  <c r="FH426" i="1" s="1"/>
  <c r="FJ426" i="1" s="1"/>
  <c r="FI428" i="1"/>
  <c r="FH428" i="1"/>
  <c r="FI429" i="1"/>
  <c r="AS429" i="1"/>
  <c r="AT429" i="1" s="1"/>
  <c r="BW429" i="1"/>
  <c r="BX429" i="1" s="1"/>
  <c r="CI429" i="1"/>
  <c r="CJ429" i="1" s="1"/>
  <c r="FI432" i="1"/>
  <c r="AS432" i="1"/>
  <c r="AT432" i="1" s="1"/>
  <c r="BW432" i="1"/>
  <c r="BX432" i="1" s="1"/>
  <c r="CI432" i="1"/>
  <c r="CJ432" i="1" s="1"/>
  <c r="FI444" i="1"/>
  <c r="BW444" i="1"/>
  <c r="BX444" i="1" s="1"/>
  <c r="CI444" i="1"/>
  <c r="CJ444" i="1" s="1"/>
  <c r="FI446" i="1"/>
  <c r="BW446" i="1"/>
  <c r="BX446" i="1" s="1"/>
  <c r="CI446" i="1"/>
  <c r="CJ446" i="1" s="1"/>
  <c r="FI447" i="1"/>
  <c r="BW447" i="1"/>
  <c r="BX447" i="1" s="1"/>
  <c r="CI447" i="1"/>
  <c r="CJ447" i="1" s="1"/>
  <c r="FI448" i="1"/>
  <c r="BW448" i="1"/>
  <c r="BX448" i="1" s="1"/>
  <c r="CI448" i="1"/>
  <c r="CJ448" i="1" s="1"/>
  <c r="FI449" i="1"/>
  <c r="BW449" i="1"/>
  <c r="BX449" i="1" s="1"/>
  <c r="CI449" i="1"/>
  <c r="CJ449" i="1" s="1"/>
  <c r="FI450" i="1"/>
  <c r="BW450" i="1"/>
  <c r="BX450" i="1" s="1"/>
  <c r="CI450" i="1"/>
  <c r="CJ450" i="1" s="1"/>
  <c r="FI451" i="1"/>
  <c r="BW451" i="1"/>
  <c r="BX451" i="1" s="1"/>
  <c r="CI451" i="1"/>
  <c r="CJ451" i="1" s="1"/>
  <c r="FI468" i="1"/>
  <c r="FH468" i="1"/>
  <c r="FJ468" i="1" s="1"/>
  <c r="FI480" i="1"/>
  <c r="FH480" i="1"/>
  <c r="FI481" i="1"/>
  <c r="FH481" i="1"/>
  <c r="FJ481" i="1" s="1"/>
  <c r="FI482" i="1"/>
  <c r="FH482" i="1"/>
  <c r="FI483" i="1"/>
  <c r="FH483" i="1"/>
  <c r="FJ483" i="1" s="1"/>
  <c r="FI484" i="1"/>
  <c r="FH484" i="1"/>
  <c r="FI485" i="1"/>
  <c r="FH485" i="1"/>
  <c r="FJ485" i="1" s="1"/>
  <c r="FI486" i="1"/>
  <c r="FH486" i="1"/>
  <c r="FI487" i="1"/>
  <c r="FH487" i="1"/>
  <c r="FJ487" i="1" s="1"/>
  <c r="FI488" i="1"/>
  <c r="FH488" i="1"/>
  <c r="FI489" i="1"/>
  <c r="FH489" i="1"/>
  <c r="FJ489" i="1" s="1"/>
  <c r="FI490" i="1"/>
  <c r="FH490" i="1"/>
  <c r="FI491" i="1"/>
  <c r="FH491" i="1"/>
  <c r="FJ491" i="1" s="1"/>
  <c r="FI492" i="1"/>
  <c r="FH492" i="1"/>
  <c r="FI493" i="1"/>
  <c r="FH493" i="1"/>
  <c r="FJ493" i="1" s="1"/>
  <c r="FI494" i="1"/>
  <c r="FH494" i="1"/>
  <c r="FI495" i="1"/>
  <c r="FH495" i="1"/>
  <c r="FJ495" i="1" s="1"/>
  <c r="FI496" i="1"/>
  <c r="FH496" i="1"/>
  <c r="FI501" i="1"/>
  <c r="FH501" i="1"/>
  <c r="FJ501" i="1" s="1"/>
  <c r="BF4" i="4"/>
  <c r="BF3" i="4"/>
  <c r="ED3" i="2"/>
  <c r="EF3" i="2" s="1"/>
  <c r="ED4" i="2"/>
  <c r="EF4" i="2" s="1"/>
  <c r="EE5" i="2"/>
  <c r="ED5" i="2"/>
  <c r="EF5" i="2" s="1"/>
  <c r="EE6" i="2"/>
  <c r="ED6" i="2"/>
  <c r="EF6" i="2" s="1"/>
  <c r="EE7" i="2"/>
  <c r="ED7" i="2"/>
  <c r="EF7" i="2" s="1"/>
  <c r="EE8" i="2"/>
  <c r="ED8" i="2"/>
  <c r="EF8" i="2" s="1"/>
  <c r="EE9" i="2"/>
  <c r="ED9" i="2"/>
  <c r="EF9" i="2" s="1"/>
  <c r="EE10" i="2"/>
  <c r="ED10" i="2"/>
  <c r="EF10" i="2" s="1"/>
  <c r="EE11" i="2"/>
  <c r="ED11" i="2"/>
  <c r="EF11" i="2" s="1"/>
  <c r="EE12" i="2"/>
  <c r="ED12" i="2"/>
  <c r="EF12" i="2" s="1"/>
  <c r="EE13" i="2"/>
  <c r="ED13" i="2"/>
  <c r="EF13" i="2" s="1"/>
  <c r="EE14" i="2"/>
  <c r="ED14" i="2"/>
  <c r="EF14" i="2" s="1"/>
  <c r="EE17" i="2"/>
  <c r="ED17" i="2"/>
  <c r="EF17" i="2" s="1"/>
  <c r="EE18" i="2"/>
  <c r="ED18" i="2"/>
  <c r="EF18" i="2" s="1"/>
  <c r="EE19" i="2"/>
  <c r="BK19" i="2"/>
  <c r="BL19" i="2" s="1"/>
  <c r="EE21" i="2"/>
  <c r="BK21" i="2"/>
  <c r="BL21" i="2" s="1"/>
  <c r="ED21" i="2" s="1"/>
  <c r="EF21" i="2" s="1"/>
  <c r="EE22" i="2"/>
  <c r="ED22" i="2"/>
  <c r="EF22" i="2" s="1"/>
  <c r="EE23" i="2"/>
  <c r="BK23" i="2"/>
  <c r="BL23" i="2" s="1"/>
  <c r="BW23" i="2"/>
  <c r="BX23" i="2" s="1"/>
  <c r="EE24" i="2"/>
  <c r="ED24" i="2"/>
  <c r="EE25" i="2"/>
  <c r="ED25" i="2"/>
  <c r="EF25" i="2" s="1"/>
  <c r="EE26" i="2"/>
  <c r="ED26" i="2"/>
  <c r="EE27" i="2"/>
  <c r="ED27" i="2"/>
  <c r="EF27" i="2" s="1"/>
  <c r="EE32" i="2"/>
  <c r="ED32" i="2"/>
  <c r="EE33" i="2"/>
  <c r="ED33" i="2"/>
  <c r="EF33" i="2" s="1"/>
  <c r="EE37" i="2"/>
  <c r="ED37" i="2"/>
  <c r="EE38" i="2"/>
  <c r="ED38" i="2"/>
  <c r="EF38" i="2" s="1"/>
  <c r="EE43" i="2"/>
  <c r="ED43" i="2"/>
  <c r="EE44" i="2"/>
  <c r="ED44" i="2"/>
  <c r="EF44" i="2" s="1"/>
  <c r="EE45" i="2"/>
  <c r="ED45" i="2"/>
  <c r="EE46" i="2"/>
  <c r="ED46" i="2"/>
  <c r="EF46" i="2" s="1"/>
  <c r="EE47" i="2"/>
  <c r="ED47" i="2"/>
  <c r="EE54" i="2"/>
  <c r="ED54" i="2"/>
  <c r="EF54" i="2" s="1"/>
  <c r="EE55" i="2"/>
  <c r="ED55" i="2"/>
  <c r="EE56" i="2"/>
  <c r="AM56" i="2"/>
  <c r="AN56" i="2" s="1"/>
  <c r="BK56" i="2"/>
  <c r="BL56" i="2" s="1"/>
  <c r="EE57" i="2"/>
  <c r="ED57" i="2"/>
  <c r="EF57" i="2" s="1"/>
  <c r="EE58" i="2"/>
  <c r="ED58" i="2"/>
  <c r="EF58" i="2" s="1"/>
  <c r="EE59" i="2"/>
  <c r="AM59" i="2"/>
  <c r="AN59" i="2" s="1"/>
  <c r="ED59" i="2" s="1"/>
  <c r="EF59" i="2" s="1"/>
  <c r="EE60" i="2"/>
  <c r="AM60" i="2"/>
  <c r="AN60" i="2" s="1"/>
  <c r="ED60" i="2" s="1"/>
  <c r="EF60" i="2" s="1"/>
  <c r="EE61" i="2"/>
  <c r="AM61" i="2"/>
  <c r="AN61" i="2" s="1"/>
  <c r="ED61" i="2" s="1"/>
  <c r="EF61" i="2" s="1"/>
  <c r="EE62" i="2"/>
  <c r="ED62" i="2"/>
  <c r="EF62" i="2" s="1"/>
  <c r="EE63" i="2"/>
  <c r="ED63" i="2"/>
  <c r="EF63" i="2" s="1"/>
  <c r="EE64" i="2"/>
  <c r="ED64" i="2"/>
  <c r="EF64" i="2" s="1"/>
  <c r="EE65" i="2"/>
  <c r="ED65" i="2"/>
  <c r="EF65" i="2" s="1"/>
  <c r="EE66" i="2"/>
  <c r="ED66" i="2"/>
  <c r="EF66" i="2" s="1"/>
  <c r="EE69" i="2"/>
  <c r="ED69" i="2"/>
  <c r="EF69" i="2" s="1"/>
  <c r="EE70" i="2"/>
  <c r="ED70" i="2"/>
  <c r="EF70" i="2" s="1"/>
  <c r="EE71" i="2"/>
  <c r="ED71" i="2"/>
  <c r="EF71" i="2" s="1"/>
  <c r="EE72" i="2"/>
  <c r="ED72" i="2"/>
  <c r="EF72" i="2" s="1"/>
  <c r="EE73" i="2"/>
  <c r="ED73" i="2"/>
  <c r="EF73" i="2" s="1"/>
  <c r="EE74" i="2"/>
  <c r="ED74" i="2"/>
  <c r="EF74" i="2" s="1"/>
  <c r="EE75" i="2"/>
  <c r="ED75" i="2"/>
  <c r="EF75" i="2" s="1"/>
  <c r="EE79" i="2"/>
  <c r="ED79" i="2"/>
  <c r="EF79" i="2" s="1"/>
  <c r="EE80" i="2"/>
  <c r="ED80" i="2"/>
  <c r="EF80" i="2" s="1"/>
  <c r="EE82" i="2"/>
  <c r="ED82" i="2"/>
  <c r="EF82" i="2" s="1"/>
  <c r="EE86" i="2"/>
  <c r="ED86" i="2"/>
  <c r="EF86" i="2" s="1"/>
  <c r="EE87" i="2"/>
  <c r="ED87" i="2"/>
  <c r="EF87" i="2" s="1"/>
  <c r="EE88" i="2"/>
  <c r="ED88" i="2"/>
  <c r="EF88" i="2" s="1"/>
  <c r="EE89" i="2"/>
  <c r="BQ89" i="2"/>
  <c r="BR89" i="2" s="1"/>
  <c r="EE93" i="2"/>
  <c r="ED93" i="2"/>
  <c r="EF93" i="2" s="1"/>
  <c r="EE102" i="2"/>
  <c r="ED102" i="2"/>
  <c r="EF102" i="2" s="1"/>
  <c r="EE103" i="2"/>
  <c r="ED103" i="2"/>
  <c r="EF103" i="2" s="1"/>
  <c r="EE104" i="2"/>
  <c r="ED104" i="2"/>
  <c r="EF104" i="2" s="1"/>
  <c r="EE105" i="2"/>
  <c r="ED105" i="2"/>
  <c r="EF105" i="2" s="1"/>
  <c r="EE107" i="2"/>
  <c r="ED107" i="2"/>
  <c r="EF107" i="2" s="1"/>
  <c r="EE109" i="2"/>
  <c r="ED109" i="2"/>
  <c r="EF109" i="2" s="1"/>
  <c r="EE110" i="2"/>
  <c r="ED110" i="2"/>
  <c r="EF110" i="2" s="1"/>
  <c r="EE111" i="2"/>
  <c r="ED111" i="2"/>
  <c r="EF111" i="2" s="1"/>
  <c r="EE112" i="2"/>
  <c r="ED112" i="2"/>
  <c r="EF112" i="2" s="1"/>
  <c r="EE113" i="2"/>
  <c r="ED113" i="2"/>
  <c r="EF113" i="2" s="1"/>
  <c r="EE114" i="2"/>
  <c r="ED114" i="2"/>
  <c r="EF114" i="2" s="1"/>
  <c r="EE115" i="2"/>
  <c r="ED115" i="2"/>
  <c r="EF115" i="2" s="1"/>
  <c r="EE116" i="2"/>
  <c r="ED116" i="2"/>
  <c r="EF116" i="2" s="1"/>
  <c r="EE117" i="2"/>
  <c r="ED117" i="2"/>
  <c r="EF117" i="2" s="1"/>
  <c r="EE118" i="2"/>
  <c r="ED118" i="2"/>
  <c r="EF118" i="2" s="1"/>
  <c r="EE119" i="2"/>
  <c r="ED119" i="2"/>
  <c r="EF119" i="2" s="1"/>
  <c r="EE120" i="2"/>
  <c r="ED120" i="2"/>
  <c r="EF120" i="2" s="1"/>
  <c r="EE121" i="2"/>
  <c r="ED121" i="2"/>
  <c r="EF121" i="2" s="1"/>
  <c r="EE122" i="2"/>
  <c r="ED122" i="2"/>
  <c r="EF122" i="2" s="1"/>
  <c r="EE129" i="2"/>
  <c r="ED129" i="2"/>
  <c r="EF129" i="2" s="1"/>
  <c r="EE131" i="2"/>
  <c r="ED131" i="2"/>
  <c r="EF131" i="2" s="1"/>
  <c r="EE132" i="2"/>
  <c r="ED132" i="2"/>
  <c r="EF132" i="2" s="1"/>
  <c r="EE133" i="2"/>
  <c r="U133" i="2"/>
  <c r="V133" i="2" s="1"/>
  <c r="EE134" i="2"/>
  <c r="U134" i="2"/>
  <c r="V134" i="2" s="1"/>
  <c r="ED134" i="2" s="1"/>
  <c r="EF134" i="2" s="1"/>
  <c r="EE135" i="2"/>
  <c r="U135" i="2"/>
  <c r="V135" i="2" s="1"/>
  <c r="ED135" i="2" s="1"/>
  <c r="EF135" i="2" s="1"/>
  <c r="EE136" i="2"/>
  <c r="U136" i="2"/>
  <c r="V136" i="2" s="1"/>
  <c r="ED136" i="2" s="1"/>
  <c r="EF136" i="2" s="1"/>
  <c r="EE137" i="2"/>
  <c r="U137" i="2"/>
  <c r="V137" i="2" s="1"/>
  <c r="ED137" i="2" s="1"/>
  <c r="EF137" i="2" s="1"/>
  <c r="EE140" i="2"/>
  <c r="ED140" i="2"/>
  <c r="EF140" i="2" s="1"/>
  <c r="EE141" i="2"/>
  <c r="ED141" i="2"/>
  <c r="EF141" i="2" s="1"/>
  <c r="EE142" i="2"/>
  <c r="ED142" i="2"/>
  <c r="EF142" i="2" s="1"/>
  <c r="EE143" i="2"/>
  <c r="ED143" i="2"/>
  <c r="EF143" i="2" s="1"/>
  <c r="EE144" i="2"/>
  <c r="ED144" i="2"/>
  <c r="EF144" i="2" s="1"/>
  <c r="EE145" i="2"/>
  <c r="ED145" i="2"/>
  <c r="EF145" i="2" s="1"/>
  <c r="EE146" i="2"/>
  <c r="ED146" i="2"/>
  <c r="EF146" i="2" s="1"/>
  <c r="EE147" i="2"/>
  <c r="ED147" i="2"/>
  <c r="EF147" i="2" s="1"/>
  <c r="EE148" i="2"/>
  <c r="ED148" i="2"/>
  <c r="EF148" i="2" s="1"/>
  <c r="EE149" i="2"/>
  <c r="ED149" i="2"/>
  <c r="EF149" i="2" s="1"/>
  <c r="EE150" i="2"/>
  <c r="ED150" i="2"/>
  <c r="EF150" i="2" s="1"/>
  <c r="EE154" i="2"/>
  <c r="ED154" i="2"/>
  <c r="EF154" i="2" s="1"/>
  <c r="EE155" i="2"/>
  <c r="ED155" i="2"/>
  <c r="EF155" i="2" s="1"/>
  <c r="EE158" i="2"/>
  <c r="ED158" i="2"/>
  <c r="EF158" i="2" s="1"/>
  <c r="EE159" i="2"/>
  <c r="ED159" i="2"/>
  <c r="EF159" i="2" s="1"/>
  <c r="EE160" i="2"/>
  <c r="AY160" i="2"/>
  <c r="AZ160" i="2" s="1"/>
  <c r="EE162" i="2"/>
  <c r="AA162" i="2"/>
  <c r="AB162" i="2" s="1"/>
  <c r="BE162" i="2"/>
  <c r="BF162" i="2" s="1"/>
  <c r="BK162" i="2"/>
  <c r="BL162" i="2" s="1"/>
  <c r="EE163" i="2"/>
  <c r="ED163" i="2"/>
  <c r="EF163" i="2" s="1"/>
  <c r="EE164" i="2"/>
  <c r="ED164" i="2"/>
  <c r="EF164" i="2" s="1"/>
  <c r="EE165" i="2"/>
  <c r="BK165" i="2"/>
  <c r="BL165" i="2" s="1"/>
  <c r="BW165" i="2"/>
  <c r="BX165" i="2" s="1"/>
  <c r="EE166" i="2"/>
  <c r="BK166" i="2"/>
  <c r="BL166" i="2" s="1"/>
  <c r="BW166" i="2"/>
  <c r="BX166" i="2" s="1"/>
  <c r="EE167" i="2"/>
  <c r="BW167" i="2"/>
  <c r="BX167" i="2" s="1"/>
  <c r="ED167" i="2" s="1"/>
  <c r="EF167" i="2" s="1"/>
  <c r="EE168" i="2"/>
  <c r="BE168" i="2"/>
  <c r="BF168" i="2" s="1"/>
  <c r="ED168" i="2" s="1"/>
  <c r="EF168" i="2" s="1"/>
  <c r="EE169" i="2"/>
  <c r="BE169" i="2"/>
  <c r="BF169" i="2" s="1"/>
  <c r="ED169" i="2" s="1"/>
  <c r="EF169" i="2" s="1"/>
  <c r="EE170" i="2"/>
  <c r="AA170" i="2"/>
  <c r="AB170" i="2" s="1"/>
  <c r="BE170" i="2"/>
  <c r="BF170" i="2" s="1"/>
  <c r="BK170" i="2"/>
  <c r="BL170" i="2" s="1"/>
  <c r="EE171" i="2"/>
  <c r="ED171" i="2"/>
  <c r="EF171" i="2" s="1"/>
  <c r="EE172" i="2"/>
  <c r="ED172" i="2"/>
  <c r="EF172" i="2" s="1"/>
  <c r="EE173" i="2"/>
  <c r="ED173" i="2"/>
  <c r="EF173" i="2" s="1"/>
  <c r="EE174" i="2"/>
  <c r="ED174" i="2"/>
  <c r="EF174" i="2" s="1"/>
  <c r="EE175" i="2"/>
  <c r="ED175" i="2"/>
  <c r="EF175" i="2" s="1"/>
  <c r="EE176" i="2"/>
  <c r="ED176" i="2"/>
  <c r="EF176" i="2" s="1"/>
  <c r="EE177" i="2"/>
  <c r="ED177" i="2"/>
  <c r="EF177" i="2" s="1"/>
  <c r="EE178" i="2"/>
  <c r="ED178" i="2"/>
  <c r="EF178" i="2" s="1"/>
  <c r="EE179" i="2"/>
  <c r="ED179" i="2"/>
  <c r="EF179" i="2" s="1"/>
  <c r="EE180" i="2"/>
  <c r="ED180" i="2"/>
  <c r="EF180" i="2" s="1"/>
  <c r="EE181" i="2"/>
  <c r="ED181" i="2"/>
  <c r="EF181" i="2" s="1"/>
  <c r="EE182" i="2"/>
  <c r="ED182" i="2"/>
  <c r="EF182" i="2" s="1"/>
  <c r="EE183" i="2"/>
  <c r="ED183" i="2"/>
  <c r="EF183" i="2" s="1"/>
  <c r="EE187" i="2"/>
  <c r="ED187" i="2"/>
  <c r="EF187" i="2" s="1"/>
  <c r="EE188" i="2"/>
  <c r="ED188" i="2"/>
  <c r="EF188" i="2" s="1"/>
  <c r="EE189" i="2"/>
  <c r="ED189" i="2"/>
  <c r="EF189" i="2" s="1"/>
  <c r="EE190" i="2"/>
  <c r="ED190" i="2"/>
  <c r="EF190" i="2" s="1"/>
  <c r="EE192" i="2"/>
  <c r="ED192" i="2"/>
  <c r="EF192" i="2" s="1"/>
  <c r="EE193" i="2"/>
  <c r="ED193" i="2"/>
  <c r="EF193" i="2" s="1"/>
  <c r="EE195" i="2"/>
  <c r="ED195" i="2"/>
  <c r="EF195" i="2" s="1"/>
  <c r="EE196" i="2"/>
  <c r="ED196" i="2"/>
  <c r="EF196" i="2" s="1"/>
  <c r="EE202" i="2"/>
  <c r="ED202" i="2"/>
  <c r="EF202" i="2" s="1"/>
  <c r="EE203" i="2"/>
  <c r="ED203" i="2"/>
  <c r="EF203" i="2" s="1"/>
  <c r="EE204" i="2"/>
  <c r="ED204" i="2"/>
  <c r="EF204" i="2" s="1"/>
  <c r="EE205" i="2"/>
  <c r="ED205" i="2"/>
  <c r="EF205" i="2" s="1"/>
  <c r="EE206" i="2"/>
  <c r="BK206" i="2"/>
  <c r="BL206" i="2" s="1"/>
  <c r="BW206" i="2"/>
  <c r="BX206" i="2" s="1"/>
  <c r="EE207" i="2"/>
  <c r="ED207" i="2"/>
  <c r="EF207" i="2" s="1"/>
  <c r="EE208" i="2"/>
  <c r="ED208" i="2"/>
  <c r="EE209" i="2"/>
  <c r="ED209" i="2"/>
  <c r="EF209" i="2" s="1"/>
  <c r="EE212" i="2"/>
  <c r="ED212" i="2"/>
  <c r="EE213" i="2"/>
  <c r="ED213" i="2"/>
  <c r="EF213" i="2" s="1"/>
  <c r="EE217" i="2"/>
  <c r="ED217" i="2"/>
  <c r="EE218" i="2"/>
  <c r="AA218" i="2"/>
  <c r="AB218" i="2" s="1"/>
  <c r="BE218" i="2"/>
  <c r="BF218" i="2" s="1"/>
  <c r="EE219" i="2"/>
  <c r="AA219" i="2"/>
  <c r="AB219" i="2" s="1"/>
  <c r="BE219" i="2"/>
  <c r="BF219" i="2" s="1"/>
  <c r="EE220" i="2"/>
  <c r="ED220" i="2"/>
  <c r="EE222" i="2"/>
  <c r="BK222" i="2"/>
  <c r="BL222" i="2" s="1"/>
  <c r="BW222" i="2"/>
  <c r="BX222" i="2" s="1"/>
  <c r="EE223" i="2"/>
  <c r="ED223" i="2"/>
  <c r="EF223" i="2" s="1"/>
  <c r="EE224" i="2"/>
  <c r="ED224" i="2"/>
  <c r="EF224" i="2" s="1"/>
  <c r="EE225" i="2"/>
  <c r="ED225" i="2"/>
  <c r="EF225" i="2" s="1"/>
  <c r="EE228" i="2"/>
  <c r="ED228" i="2"/>
  <c r="EF228" i="2" s="1"/>
  <c r="EE236" i="2"/>
  <c r="BK236" i="2"/>
  <c r="BL236" i="2" s="1"/>
  <c r="ED236" i="2" s="1"/>
  <c r="EF236" i="2" s="1"/>
  <c r="EE237" i="2"/>
  <c r="BK237" i="2"/>
  <c r="BL237" i="2" s="1"/>
  <c r="BW237" i="2"/>
  <c r="BX237" i="2" s="1"/>
  <c r="EE239" i="2"/>
  <c r="ED239" i="2"/>
  <c r="EF239" i="2" s="1"/>
  <c r="EE240" i="2"/>
  <c r="ED240" i="2"/>
  <c r="EE241" i="2"/>
  <c r="ED241" i="2"/>
  <c r="EF241" i="2" s="1"/>
  <c r="EE242" i="2"/>
  <c r="BQ242" i="2"/>
  <c r="BR242" i="2" s="1"/>
  <c r="ED242" i="2" s="1"/>
  <c r="EE243" i="2"/>
  <c r="ED243" i="2"/>
  <c r="EF243" i="2" s="1"/>
  <c r="EE244" i="2"/>
  <c r="ED244" i="2"/>
  <c r="EE247" i="2"/>
  <c r="ED247" i="2"/>
  <c r="EF247" i="2" s="1"/>
  <c r="EE248" i="2"/>
  <c r="BK248" i="2"/>
  <c r="BL248" i="2" s="1"/>
  <c r="BW248" i="2"/>
  <c r="BX248" i="2" s="1"/>
  <c r="EE251" i="2"/>
  <c r="ED251" i="2"/>
  <c r="EF251" i="2" s="1"/>
  <c r="EE253" i="2"/>
  <c r="ED253" i="2"/>
  <c r="EF253" i="2" s="1"/>
  <c r="EE254" i="2"/>
  <c r="ED254" i="2"/>
  <c r="EF254" i="2" s="1"/>
  <c r="EE255" i="2"/>
  <c r="ED255" i="2"/>
  <c r="EF255" i="2" s="1"/>
  <c r="EE256" i="2"/>
  <c r="U256" i="2"/>
  <c r="V256" i="2" s="1"/>
  <c r="ED256" i="2" s="1"/>
  <c r="EF256" i="2" s="1"/>
  <c r="EE258" i="2"/>
  <c r="ED258" i="2"/>
  <c r="EF258" i="2" s="1"/>
  <c r="EE259" i="2"/>
  <c r="ED259" i="2"/>
  <c r="EF259" i="2" s="1"/>
  <c r="EE263" i="2"/>
  <c r="ED263" i="2"/>
  <c r="EF263" i="2" s="1"/>
  <c r="EE264" i="2"/>
  <c r="ED264" i="2"/>
  <c r="EF264" i="2" s="1"/>
  <c r="EE265" i="2"/>
  <c r="ED265" i="2"/>
  <c r="EF265" i="2" s="1"/>
  <c r="EE266" i="2"/>
  <c r="ED266" i="2"/>
  <c r="EF266" i="2" s="1"/>
  <c r="EE267" i="2"/>
  <c r="ED267" i="2"/>
  <c r="EF267" i="2" s="1"/>
  <c r="EE271" i="2"/>
  <c r="ED271" i="2"/>
  <c r="EF271" i="2" s="1"/>
  <c r="EE272" i="2"/>
  <c r="ED272" i="2"/>
  <c r="EF272" i="2" s="1"/>
  <c r="EE273" i="2"/>
  <c r="ED273" i="2"/>
  <c r="EF273" i="2" s="1"/>
  <c r="EE274" i="2"/>
  <c r="ED274" i="2"/>
  <c r="EF274" i="2" s="1"/>
  <c r="EE275" i="2"/>
  <c r="ED275" i="2"/>
  <c r="EF275" i="2" s="1"/>
  <c r="EE276" i="2"/>
  <c r="ED276" i="2"/>
  <c r="EF276" i="2" s="1"/>
  <c r="EE278" i="2"/>
  <c r="ED278" i="2"/>
  <c r="EF278" i="2" s="1"/>
  <c r="EE279" i="2"/>
  <c r="ED279" i="2"/>
  <c r="EF279" i="2" s="1"/>
  <c r="EE282" i="2"/>
  <c r="ED282" i="2"/>
  <c r="EF282" i="2" s="1"/>
  <c r="EE283" i="2"/>
  <c r="ED283" i="2"/>
  <c r="EF283" i="2" s="1"/>
  <c r="EE284" i="2"/>
  <c r="ED284" i="2"/>
  <c r="EF284" i="2" s="1"/>
  <c r="EE285" i="2"/>
  <c r="ED285" i="2"/>
  <c r="EF285" i="2" s="1"/>
  <c r="EE286" i="2"/>
  <c r="ED286" i="2"/>
  <c r="EF286" i="2" s="1"/>
  <c r="EE287" i="2"/>
  <c r="ED287" i="2"/>
  <c r="EF287" i="2" s="1"/>
  <c r="EE288" i="2"/>
  <c r="ED288" i="2"/>
  <c r="EF288" i="2" s="1"/>
  <c r="EE289" i="2"/>
  <c r="ED289" i="2"/>
  <c r="EF289" i="2" s="1"/>
  <c r="EE290" i="2"/>
  <c r="ED290" i="2"/>
  <c r="EF290" i="2" s="1"/>
  <c r="EE292" i="2"/>
  <c r="ED292" i="2"/>
  <c r="EF292" i="2" s="1"/>
  <c r="EE299" i="2"/>
  <c r="ED299" i="2"/>
  <c r="EF299" i="2" s="1"/>
  <c r="EE300" i="2"/>
  <c r="ED300" i="2"/>
  <c r="EF300" i="2" s="1"/>
  <c r="EE303" i="2"/>
  <c r="ED303" i="2"/>
  <c r="EF303" i="2" s="1"/>
  <c r="EE304" i="2"/>
  <c r="ED304" i="2"/>
  <c r="EF304" i="2" s="1"/>
  <c r="EE306" i="2"/>
  <c r="ED306" i="2"/>
  <c r="EF306" i="2" s="1"/>
  <c r="EE307" i="2"/>
  <c r="ED307" i="2"/>
  <c r="EF307" i="2" s="1"/>
  <c r="EE308" i="2"/>
  <c r="ED308" i="2"/>
  <c r="EF308" i="2" s="1"/>
  <c r="EE312" i="2"/>
  <c r="ED312" i="2"/>
  <c r="EF312" i="2" s="1"/>
  <c r="EE313" i="2"/>
  <c r="ED313" i="2"/>
  <c r="EF313" i="2" s="1"/>
  <c r="EE314" i="2"/>
  <c r="ED314" i="2"/>
  <c r="EF314" i="2" s="1"/>
  <c r="EE315" i="2"/>
  <c r="ED315" i="2"/>
  <c r="EF315" i="2" s="1"/>
  <c r="EE317" i="2"/>
  <c r="ED317" i="2"/>
  <c r="EF317" i="2" s="1"/>
  <c r="EE320" i="2"/>
  <c r="ED320" i="2"/>
  <c r="EF320" i="2" s="1"/>
  <c r="EE321" i="2"/>
  <c r="ED321" i="2"/>
  <c r="EF321" i="2" s="1"/>
  <c r="EE322" i="2"/>
  <c r="ED322" i="2"/>
  <c r="EF322" i="2" s="1"/>
  <c r="EE323" i="2"/>
  <c r="ED323" i="2"/>
  <c r="EF323" i="2" s="1"/>
  <c r="EE324" i="2"/>
  <c r="BK324" i="2"/>
  <c r="BL324" i="2" s="1"/>
  <c r="BW324" i="2"/>
  <c r="BX324" i="2" s="1"/>
  <c r="EE325" i="2"/>
  <c r="BK325" i="2"/>
  <c r="BL325" i="2" s="1"/>
  <c r="BW325" i="2"/>
  <c r="BX325" i="2" s="1"/>
  <c r="EE326" i="2"/>
  <c r="ED326" i="2"/>
  <c r="EF326" i="2" s="1"/>
  <c r="EE327" i="2"/>
  <c r="ED327" i="2"/>
  <c r="EF327" i="2" s="1"/>
  <c r="EE328" i="2"/>
  <c r="ED328" i="2"/>
  <c r="EF328" i="2" s="1"/>
  <c r="EE329" i="2"/>
  <c r="ED329" i="2"/>
  <c r="EF329" i="2" s="1"/>
  <c r="EE330" i="2"/>
  <c r="ED330" i="2"/>
  <c r="EF330" i="2" s="1"/>
  <c r="EE331" i="2"/>
  <c r="ED331" i="2"/>
  <c r="EF331" i="2" s="1"/>
  <c r="EE332" i="2"/>
  <c r="ED332" i="2"/>
  <c r="EF332" i="2" s="1"/>
  <c r="EE333" i="2"/>
  <c r="ED333" i="2"/>
  <c r="EF333" i="2" s="1"/>
  <c r="EE335" i="2"/>
  <c r="ED335" i="2"/>
  <c r="EF335" i="2" s="1"/>
  <c r="EE336" i="2"/>
  <c r="BK336" i="2"/>
  <c r="BL336" i="2" s="1"/>
  <c r="BW336" i="2"/>
  <c r="BX336" i="2" s="1"/>
  <c r="EE337" i="2"/>
  <c r="ED337" i="2"/>
  <c r="EF337" i="2" s="1"/>
  <c r="EE338" i="2"/>
  <c r="BK338" i="2"/>
  <c r="BL338" i="2" s="1"/>
  <c r="ED338" i="2" s="1"/>
  <c r="EE339" i="2"/>
  <c r="U339" i="2"/>
  <c r="V339" i="2" s="1"/>
  <c r="ED339" i="2" s="1"/>
  <c r="EF339" i="2" s="1"/>
  <c r="EE340" i="2"/>
  <c r="BK340" i="2"/>
  <c r="BL340" i="2" s="1"/>
  <c r="ED340" i="2" s="1"/>
  <c r="EE341" i="2"/>
  <c r="ED341" i="2"/>
  <c r="EF341" i="2" s="1"/>
  <c r="EE342" i="2"/>
  <c r="ED342" i="2"/>
  <c r="EE344" i="2"/>
  <c r="ED344" i="2"/>
  <c r="EF344" i="2" s="1"/>
  <c r="EE346" i="2"/>
  <c r="ED346" i="2"/>
  <c r="EE348" i="2"/>
  <c r="ED348" i="2"/>
  <c r="EF348" i="2" s="1"/>
  <c r="EE352" i="2"/>
  <c r="ED352" i="2"/>
  <c r="EE353" i="2"/>
  <c r="ED353" i="2"/>
  <c r="EF353" i="2" s="1"/>
  <c r="EE355" i="2"/>
  <c r="AM355" i="2"/>
  <c r="AN355" i="2" s="1"/>
  <c r="ED355" i="2" s="1"/>
  <c r="EE356" i="2"/>
  <c r="ED356" i="2"/>
  <c r="EF356" i="2" s="1"/>
  <c r="EE357" i="2"/>
  <c r="ED357" i="2"/>
  <c r="EE358" i="2"/>
  <c r="ED358" i="2"/>
  <c r="EF358" i="2" s="1"/>
  <c r="EE359" i="2"/>
  <c r="ED359" i="2"/>
  <c r="EE360" i="2"/>
  <c r="ED360" i="2"/>
  <c r="EF360" i="2" s="1"/>
  <c r="EE361" i="2"/>
  <c r="ED361" i="2"/>
  <c r="EE362" i="2"/>
  <c r="ED362" i="2"/>
  <c r="EF362" i="2" s="1"/>
  <c r="EE363" i="2"/>
  <c r="BE363" i="2"/>
  <c r="BF363" i="2" s="1"/>
  <c r="ED363" i="2" s="1"/>
  <c r="EE365" i="2"/>
  <c r="ED365" i="2"/>
  <c r="EF365" i="2" s="1"/>
  <c r="EE367" i="2"/>
  <c r="ED367" i="2"/>
  <c r="EE370" i="2"/>
  <c r="ED370" i="2"/>
  <c r="EF370" i="2" s="1"/>
  <c r="EE371" i="2"/>
  <c r="ED371" i="2"/>
  <c r="EE372" i="2"/>
  <c r="ED372" i="2"/>
  <c r="EF372" i="2" s="1"/>
  <c r="EE373" i="2"/>
  <c r="ED373" i="2"/>
  <c r="EE374" i="2"/>
  <c r="ED374" i="2"/>
  <c r="EF374" i="2" s="1"/>
  <c r="EE378" i="2"/>
  <c r="ED378" i="2"/>
  <c r="EE379" i="2"/>
  <c r="ED379" i="2"/>
  <c r="EF379" i="2" s="1"/>
  <c r="EE380" i="2"/>
  <c r="ED380" i="2"/>
  <c r="EE381" i="2"/>
  <c r="ED381" i="2"/>
  <c r="EF381" i="2" s="1"/>
  <c r="EE382" i="2"/>
  <c r="ED382" i="2"/>
  <c r="EE383" i="2"/>
  <c r="ED383" i="2"/>
  <c r="EF383" i="2" s="1"/>
  <c r="EE385" i="2"/>
  <c r="ED385" i="2"/>
  <c r="EE386" i="2"/>
  <c r="ED386" i="2"/>
  <c r="EF386" i="2" s="1"/>
  <c r="EE389" i="2"/>
  <c r="ED389" i="2"/>
  <c r="EE390" i="2"/>
  <c r="ED390" i="2"/>
  <c r="EF390" i="2" s="1"/>
  <c r="EE391" i="2"/>
  <c r="ED391" i="2"/>
  <c r="EE392" i="2"/>
  <c r="ED392" i="2"/>
  <c r="EF392" i="2" s="1"/>
  <c r="EE394" i="2"/>
  <c r="ED394" i="2"/>
  <c r="EE395" i="2"/>
  <c r="ED395" i="2"/>
  <c r="EF395" i="2" s="1"/>
  <c r="EE396" i="2"/>
  <c r="ED396" i="2"/>
  <c r="EE397" i="2"/>
  <c r="ED397" i="2"/>
  <c r="EF397" i="2" s="1"/>
  <c r="EE398" i="2"/>
  <c r="BE398" i="2"/>
  <c r="BF398" i="2" s="1"/>
  <c r="ED398" i="2" s="1"/>
  <c r="EE399" i="2"/>
  <c r="ED399" i="2"/>
  <c r="EF399" i="2" s="1"/>
  <c r="EE400" i="2"/>
  <c r="ED400" i="2"/>
  <c r="EE401" i="2"/>
  <c r="ED401" i="2"/>
  <c r="EF401" i="2" s="1"/>
  <c r="EE403" i="2"/>
  <c r="ED403" i="2"/>
  <c r="EE404" i="2"/>
  <c r="ED404" i="2"/>
  <c r="EF404" i="2" s="1"/>
  <c r="EE408" i="2"/>
  <c r="ED408" i="2"/>
  <c r="EE409" i="2"/>
  <c r="ED409" i="2"/>
  <c r="EF409" i="2" s="1"/>
  <c r="EE410" i="2"/>
  <c r="ED410" i="2"/>
  <c r="EE411" i="2"/>
  <c r="ED411" i="2"/>
  <c r="EF411" i="2" s="1"/>
  <c r="EE415" i="2"/>
  <c r="ED415" i="2"/>
  <c r="EE419" i="2"/>
  <c r="ED419" i="2"/>
  <c r="EF419" i="2" s="1"/>
  <c r="EE420" i="2"/>
  <c r="ED420" i="2"/>
  <c r="EE421" i="2"/>
  <c r="ED421" i="2"/>
  <c r="EF421" i="2" s="1"/>
  <c r="EE422" i="2"/>
  <c r="ED422" i="2"/>
  <c r="EE423" i="2"/>
  <c r="ED423" i="2"/>
  <c r="EF423" i="2" s="1"/>
  <c r="EE424" i="2"/>
  <c r="ED424" i="2"/>
  <c r="EE425" i="2"/>
  <c r="ED425" i="2"/>
  <c r="EF425" i="2" s="1"/>
  <c r="EE426" i="2"/>
  <c r="U426" i="2"/>
  <c r="V426" i="2" s="1"/>
  <c r="ED426" i="2" s="1"/>
  <c r="EE427" i="2"/>
  <c r="ED427" i="2"/>
  <c r="EF427" i="2" s="1"/>
  <c r="EE428" i="2"/>
  <c r="ED428" i="2"/>
  <c r="EE429" i="2"/>
  <c r="ED429" i="2"/>
  <c r="EF429" i="2" s="1"/>
  <c r="EE430" i="2"/>
  <c r="ED430" i="2"/>
  <c r="EE431" i="2"/>
  <c r="U431" i="2"/>
  <c r="V431" i="2" s="1"/>
  <c r="ED431" i="2" s="1"/>
  <c r="EF431" i="2" s="1"/>
  <c r="EE432" i="2"/>
  <c r="ED432" i="2"/>
  <c r="EE433" i="2"/>
  <c r="ED433" i="2"/>
  <c r="EF433" i="2" s="1"/>
  <c r="EE434" i="2"/>
  <c r="ED434" i="2"/>
  <c r="EE435" i="2"/>
  <c r="ED435" i="2"/>
  <c r="EF435" i="2" s="1"/>
  <c r="EE436" i="2"/>
  <c r="ED436" i="2"/>
  <c r="EE437" i="2"/>
  <c r="ED437" i="2"/>
  <c r="EF437" i="2" s="1"/>
  <c r="EE439" i="2"/>
  <c r="ED439" i="2"/>
  <c r="EE441" i="2"/>
  <c r="ED441" i="2"/>
  <c r="EF441" i="2" s="1"/>
  <c r="EE442" i="2"/>
  <c r="ED442" i="2"/>
  <c r="EE443" i="2"/>
  <c r="ED443" i="2"/>
  <c r="EF443" i="2" s="1"/>
  <c r="EE444" i="2"/>
  <c r="ED444" i="2"/>
  <c r="EE445" i="2"/>
  <c r="ED445" i="2"/>
  <c r="EF445" i="2" s="1"/>
  <c r="EE446" i="2"/>
  <c r="ED446" i="2"/>
  <c r="EE447" i="2"/>
  <c r="ED447" i="2"/>
  <c r="EF447" i="2" s="1"/>
  <c r="EE448" i="2"/>
  <c r="EH448" i="2"/>
  <c r="BL448" i="2"/>
  <c r="ED448" i="2" s="1"/>
  <c r="EE449" i="2"/>
  <c r="ED449" i="2"/>
  <c r="EF449" i="2" s="1"/>
  <c r="EE450" i="2"/>
  <c r="ED450" i="2"/>
  <c r="EF450" i="2" s="1"/>
  <c r="EE452" i="2"/>
  <c r="BK452" i="2"/>
  <c r="BL452" i="2" s="1"/>
  <c r="BW452" i="2"/>
  <c r="BX452" i="2" s="1"/>
  <c r="EE453" i="2"/>
  <c r="ED453" i="2"/>
  <c r="EF453" i="2" s="1"/>
  <c r="EE455" i="2"/>
  <c r="ED455" i="2"/>
  <c r="EE456" i="2"/>
  <c r="BK456" i="2"/>
  <c r="BL456" i="2" s="1"/>
  <c r="ED456" i="2" s="1"/>
  <c r="EF456" i="2" s="1"/>
  <c r="EE457" i="2"/>
  <c r="BK457" i="2"/>
  <c r="BL457" i="2" s="1"/>
  <c r="ED457" i="2" s="1"/>
  <c r="EE459" i="2"/>
  <c r="ED459" i="2"/>
  <c r="EF459" i="2" s="1"/>
  <c r="EE460" i="2"/>
  <c r="ED460" i="2"/>
  <c r="EE461" i="2"/>
  <c r="ED461" i="2"/>
  <c r="EF461" i="2" s="1"/>
  <c r="EE462" i="2"/>
  <c r="ED462" i="2"/>
  <c r="EE463" i="2"/>
  <c r="ED463" i="2"/>
  <c r="EF463" i="2" s="1"/>
  <c r="EE464" i="2"/>
  <c r="ED464" i="2"/>
  <c r="EE466" i="2"/>
  <c r="BK466" i="2"/>
  <c r="BL466" i="2" s="1"/>
  <c r="BW466" i="2"/>
  <c r="BX466" i="2" s="1"/>
  <c r="EE467" i="2"/>
  <c r="BK467" i="2"/>
  <c r="BL467" i="2" s="1"/>
  <c r="ED467" i="2" s="1"/>
  <c r="EF467" i="2" s="1"/>
  <c r="EE470" i="2"/>
  <c r="BK470" i="2"/>
  <c r="BL470" i="2" s="1"/>
  <c r="BW470" i="2"/>
  <c r="BX470" i="2" s="1"/>
  <c r="EE472" i="2"/>
  <c r="ED472" i="2"/>
  <c r="EF472" i="2" s="1"/>
  <c r="EE476" i="2"/>
  <c r="ED476" i="2"/>
  <c r="EE477" i="2"/>
  <c r="ED477" i="2"/>
  <c r="EF477" i="2" s="1"/>
  <c r="EE478" i="2"/>
  <c r="BQ478" i="2"/>
  <c r="BR478" i="2" s="1"/>
  <c r="ED478" i="2" s="1"/>
  <c r="EE479" i="2"/>
  <c r="ED479" i="2"/>
  <c r="EF479" i="2" s="1"/>
  <c r="EE480" i="2"/>
  <c r="ED480" i="2"/>
  <c r="EE482" i="2"/>
  <c r="ED482" i="2"/>
  <c r="EF482" i="2" s="1"/>
  <c r="EE485" i="2"/>
  <c r="ED485" i="2"/>
  <c r="EE487" i="2"/>
  <c r="ED487" i="2"/>
  <c r="EF487" i="2" s="1"/>
  <c r="EE488" i="2"/>
  <c r="ED488" i="2"/>
  <c r="EE489" i="2"/>
  <c r="ED489" i="2"/>
  <c r="EF489" i="2" s="1"/>
  <c r="EE491" i="2"/>
  <c r="ED491" i="2"/>
  <c r="EE493" i="2"/>
  <c r="ED493" i="2"/>
  <c r="EF493" i="2" s="1"/>
  <c r="EE494" i="2"/>
  <c r="ED494" i="2"/>
  <c r="EE495" i="2"/>
  <c r="ED495" i="2"/>
  <c r="EF495" i="2" s="1"/>
  <c r="EE496" i="2"/>
  <c r="ED496" i="2"/>
  <c r="EE497" i="2"/>
  <c r="ED497" i="2"/>
  <c r="EF497" i="2" s="1"/>
  <c r="EE498" i="2"/>
  <c r="ED498" i="2"/>
  <c r="EE499" i="2"/>
  <c r="ED499" i="2"/>
  <c r="EF499" i="2" s="1"/>
  <c r="EE500" i="2"/>
  <c r="ED500" i="2"/>
  <c r="EE501" i="2"/>
  <c r="U501" i="2"/>
  <c r="V501" i="2" s="1"/>
  <c r="ED501" i="2" s="1"/>
  <c r="EF501" i="2" s="1"/>
  <c r="EE502" i="2"/>
  <c r="AA502" i="2"/>
  <c r="AB502" i="2" s="1"/>
  <c r="ED502" i="2" s="1"/>
  <c r="EE503" i="2"/>
  <c r="U503" i="2"/>
  <c r="V503" i="2" s="1"/>
  <c r="ED503" i="2" s="1"/>
  <c r="EF503" i="2" s="1"/>
  <c r="EE504" i="2"/>
  <c r="AA504" i="2"/>
  <c r="AB504" i="2" s="1"/>
  <c r="ED504" i="2" s="1"/>
  <c r="EE506" i="2"/>
  <c r="BK506" i="2"/>
  <c r="BL506" i="2" s="1"/>
  <c r="BW506" i="2"/>
  <c r="BX506" i="2" s="1"/>
  <c r="EE507" i="2"/>
  <c r="BK507" i="2"/>
  <c r="BL507" i="2" s="1"/>
  <c r="BW507" i="2"/>
  <c r="BX507" i="2" s="1"/>
  <c r="EE508" i="2"/>
  <c r="ED508" i="2"/>
  <c r="EE509" i="2"/>
  <c r="BK509" i="2"/>
  <c r="BL509" i="2" s="1"/>
  <c r="BW509" i="2"/>
  <c r="BX509" i="2" s="1"/>
  <c r="EE510" i="2"/>
  <c r="ED510" i="2"/>
  <c r="EF510" i="2" s="1"/>
  <c r="EE511" i="2"/>
  <c r="ED511" i="2"/>
  <c r="EF511" i="2" s="1"/>
  <c r="EE513" i="2"/>
  <c r="U513" i="2"/>
  <c r="V513" i="2" s="1"/>
  <c r="ED513" i="2" s="1"/>
  <c r="EF513" i="2" s="1"/>
  <c r="EE514" i="2"/>
  <c r="ED514" i="2"/>
  <c r="EF514" i="2" s="1"/>
  <c r="EE515" i="2"/>
  <c r="ED515" i="2"/>
  <c r="EF515" i="2" s="1"/>
  <c r="EE516" i="2"/>
  <c r="ED516" i="2"/>
  <c r="EF516" i="2" s="1"/>
  <c r="EE517" i="2"/>
  <c r="ED517" i="2"/>
  <c r="EF517" i="2" s="1"/>
  <c r="EE519" i="2"/>
  <c r="ED519" i="2"/>
  <c r="EF519" i="2" s="1"/>
  <c r="EE520" i="2"/>
  <c r="BE520" i="2"/>
  <c r="BF520" i="2" s="1"/>
  <c r="ED520" i="2" s="1"/>
  <c r="EF520" i="2" s="1"/>
  <c r="EE523" i="2"/>
  <c r="AA523" i="2"/>
  <c r="AB523" i="2" s="1"/>
  <c r="ED523" i="2" s="1"/>
  <c r="EF523" i="2" s="1"/>
  <c r="EE524" i="2"/>
  <c r="AA524" i="2"/>
  <c r="AB524" i="2" s="1"/>
  <c r="BE524" i="2"/>
  <c r="BF524" i="2" s="1"/>
  <c r="EE525" i="2"/>
  <c r="ED525" i="2"/>
  <c r="EE528" i="2"/>
  <c r="AA528" i="2"/>
  <c r="AB528" i="2" s="1"/>
  <c r="BE528" i="2"/>
  <c r="BF528" i="2" s="1"/>
  <c r="EE529" i="2"/>
  <c r="ED529" i="2"/>
  <c r="EF529" i="2" s="1"/>
  <c r="EE531" i="2"/>
  <c r="ED531" i="2"/>
  <c r="EF531" i="2" s="1"/>
  <c r="EE532" i="2"/>
  <c r="U532" i="2"/>
  <c r="V532" i="2" s="1"/>
  <c r="ED532" i="2" s="1"/>
  <c r="EF532" i="2" s="1"/>
  <c r="EE533" i="2"/>
  <c r="ED533" i="2"/>
  <c r="EF533" i="2" s="1"/>
  <c r="EE535" i="2"/>
  <c r="ED535" i="2"/>
  <c r="EF535" i="2" s="1"/>
  <c r="EE536" i="2"/>
  <c r="ED536" i="2"/>
  <c r="EF536" i="2" s="1"/>
  <c r="EE537" i="2"/>
  <c r="ED537" i="2"/>
  <c r="EF537" i="2" s="1"/>
  <c r="EE538" i="2"/>
  <c r="ED538" i="2"/>
  <c r="EF538" i="2" s="1"/>
  <c r="EE539" i="2"/>
  <c r="ED539" i="2"/>
  <c r="EF539" i="2" s="1"/>
  <c r="EE540" i="2"/>
  <c r="ED540" i="2"/>
  <c r="EF540" i="2" s="1"/>
  <c r="EE541" i="2"/>
  <c r="ED541" i="2"/>
  <c r="EF541" i="2" s="1"/>
  <c r="EE542" i="2"/>
  <c r="ED542" i="2"/>
  <c r="EF542" i="2" s="1"/>
  <c r="EE544" i="2"/>
  <c r="AA544" i="2"/>
  <c r="AB544" i="2" s="1"/>
  <c r="ED544" i="2" s="1"/>
  <c r="EF544" i="2" s="1"/>
  <c r="EE545" i="2"/>
  <c r="BK545" i="2"/>
  <c r="BL545" i="2" s="1"/>
  <c r="ED545" i="2" s="1"/>
  <c r="EF545" i="2" s="1"/>
  <c r="EE547" i="2"/>
  <c r="ED547" i="2"/>
  <c r="EF547" i="2" s="1"/>
  <c r="EE548" i="2"/>
  <c r="ED548" i="2"/>
  <c r="EF548" i="2" s="1"/>
  <c r="EE549" i="2"/>
  <c r="BK549" i="2"/>
  <c r="BL549" i="2" s="1"/>
  <c r="BW549" i="2"/>
  <c r="BX549" i="2" s="1"/>
  <c r="EE550" i="2"/>
  <c r="BK550" i="2"/>
  <c r="BL550" i="2" s="1"/>
  <c r="BW550" i="2"/>
  <c r="BX550" i="2" s="1"/>
  <c r="EE551" i="2"/>
  <c r="BK551" i="2"/>
  <c r="BL551" i="2" s="1"/>
  <c r="BW551" i="2"/>
  <c r="BX551" i="2" s="1"/>
  <c r="EE564" i="2"/>
  <c r="BK564" i="2"/>
  <c r="BL564" i="2" s="1"/>
  <c r="BW564" i="2"/>
  <c r="BX564" i="2" s="1"/>
  <c r="EE567" i="2"/>
  <c r="BQ567" i="2"/>
  <c r="BR567" i="2" s="1"/>
  <c r="ED567" i="2" s="1"/>
  <c r="EF567" i="2" s="1"/>
  <c r="BM4" i="5"/>
  <c r="BM3" i="5"/>
  <c r="EF448" i="2" l="1"/>
  <c r="EF525" i="2"/>
  <c r="EF508" i="2"/>
  <c r="EF504" i="2"/>
  <c r="EF502" i="2"/>
  <c r="EF500" i="2"/>
  <c r="EF498" i="2"/>
  <c r="EF496" i="2"/>
  <c r="EF494" i="2"/>
  <c r="EF491" i="2"/>
  <c r="EF488" i="2"/>
  <c r="EF485" i="2"/>
  <c r="EF480" i="2"/>
  <c r="EF478" i="2"/>
  <c r="EF476" i="2"/>
  <c r="EF464" i="2"/>
  <c r="EF462" i="2"/>
  <c r="EF460" i="2"/>
  <c r="EF457" i="2"/>
  <c r="EF455" i="2"/>
  <c r="EF446" i="2"/>
  <c r="EF444" i="2"/>
  <c r="EF442" i="2"/>
  <c r="EF439" i="2"/>
  <c r="EF436" i="2"/>
  <c r="EF434" i="2"/>
  <c r="EF432" i="2"/>
  <c r="EF430" i="2"/>
  <c r="EF428" i="2"/>
  <c r="EF426" i="2"/>
  <c r="EF424" i="2"/>
  <c r="EF422" i="2"/>
  <c r="EF420" i="2"/>
  <c r="EF415" i="2"/>
  <c r="EF410" i="2"/>
  <c r="EF408" i="2"/>
  <c r="EF403" i="2"/>
  <c r="EF400" i="2"/>
  <c r="EF398" i="2"/>
  <c r="EF396" i="2"/>
  <c r="EF394" i="2"/>
  <c r="EF391" i="2"/>
  <c r="EF389" i="2"/>
  <c r="EF385" i="2"/>
  <c r="EF382" i="2"/>
  <c r="EF380" i="2"/>
  <c r="EF378" i="2"/>
  <c r="EF373" i="2"/>
  <c r="EF371" i="2"/>
  <c r="EF367" i="2"/>
  <c r="EF363" i="2"/>
  <c r="EF361" i="2"/>
  <c r="EF359" i="2"/>
  <c r="EF357" i="2"/>
  <c r="EF355" i="2"/>
  <c r="EF352" i="2"/>
  <c r="EF346" i="2"/>
  <c r="EF342" i="2"/>
  <c r="EF340" i="2"/>
  <c r="EF338" i="2"/>
  <c r="EF244" i="2"/>
  <c r="EF242" i="2"/>
  <c r="EF240" i="2"/>
  <c r="EF220" i="2"/>
  <c r="EF217" i="2"/>
  <c r="EF212" i="2"/>
  <c r="EF208" i="2"/>
  <c r="EF55" i="2"/>
  <c r="EF47" i="2"/>
  <c r="EF45" i="2"/>
  <c r="EF43" i="2"/>
  <c r="EF37" i="2"/>
  <c r="EF32" i="2"/>
  <c r="EF26" i="2"/>
  <c r="EF24" i="2"/>
  <c r="FJ423" i="1"/>
  <c r="FJ421" i="1"/>
  <c r="FJ416" i="1"/>
  <c r="FJ407" i="1"/>
  <c r="FJ402" i="1"/>
  <c r="FJ219" i="1"/>
  <c r="FJ217" i="1"/>
  <c r="FJ79" i="1"/>
  <c r="FJ496" i="1"/>
  <c r="FJ494" i="1"/>
  <c r="FJ492" i="1"/>
  <c r="FJ490" i="1"/>
  <c r="FJ488" i="1"/>
  <c r="FJ486" i="1"/>
  <c r="FJ484" i="1"/>
  <c r="FJ482" i="1"/>
  <c r="FJ480" i="1"/>
  <c r="FJ413" i="1"/>
  <c r="FJ411" i="1"/>
  <c r="FJ396" i="1"/>
  <c r="FJ391" i="1"/>
  <c r="FJ387" i="1"/>
  <c r="FJ382" i="1"/>
  <c r="FJ379" i="1"/>
  <c r="FJ374" i="1"/>
  <c r="FJ366" i="1"/>
  <c r="FJ363" i="1"/>
  <c r="FJ352" i="1"/>
  <c r="FJ350" i="1"/>
  <c r="FJ348" i="1"/>
  <c r="FJ346" i="1"/>
  <c r="FJ343" i="1"/>
  <c r="FJ340" i="1"/>
  <c r="FJ333" i="1"/>
  <c r="FJ331" i="1"/>
  <c r="FJ328" i="1"/>
  <c r="FJ323" i="1"/>
  <c r="FJ319" i="1"/>
  <c r="FJ317" i="1"/>
  <c r="FJ315" i="1"/>
  <c r="FJ312" i="1"/>
  <c r="FJ310" i="1"/>
  <c r="FJ306" i="1"/>
  <c r="FJ304" i="1"/>
  <c r="FJ297" i="1"/>
  <c r="FJ236" i="1"/>
  <c r="FJ234" i="1"/>
  <c r="FJ209" i="1"/>
  <c r="FJ207" i="1"/>
  <c r="FJ203" i="1"/>
  <c r="FJ201" i="1"/>
  <c r="FJ199" i="1"/>
  <c r="FJ197" i="1"/>
  <c r="FJ195" i="1"/>
  <c r="FJ192" i="1"/>
  <c r="FJ181" i="1"/>
  <c r="FJ177" i="1"/>
  <c r="FJ174" i="1"/>
  <c r="FJ172" i="1"/>
  <c r="FJ168" i="1"/>
  <c r="FJ164" i="1"/>
  <c r="FJ161" i="1"/>
  <c r="FJ44" i="1"/>
  <c r="FJ42" i="1"/>
  <c r="FJ38" i="1"/>
  <c r="FJ31" i="1"/>
  <c r="FJ28" i="1"/>
  <c r="FJ5" i="1"/>
  <c r="FJ428" i="1"/>
  <c r="FJ424" i="1"/>
  <c r="FJ422" i="1"/>
  <c r="FJ418" i="1"/>
  <c r="FJ409" i="1"/>
  <c r="FJ406" i="1"/>
  <c r="FJ401" i="1"/>
  <c r="FJ293" i="1"/>
  <c r="FJ289" i="1"/>
  <c r="FJ280" i="1"/>
  <c r="FJ277" i="1"/>
  <c r="FJ273" i="1"/>
  <c r="FJ270" i="1"/>
  <c r="FJ267" i="1"/>
  <c r="FJ265" i="1"/>
  <c r="FJ263" i="1"/>
  <c r="FJ260" i="1"/>
  <c r="FJ257" i="1"/>
  <c r="FJ252" i="1"/>
  <c r="FJ250" i="1"/>
  <c r="FJ248" i="1"/>
  <c r="FJ246" i="1"/>
  <c r="FJ241" i="1"/>
  <c r="FJ239" i="1"/>
  <c r="FJ230" i="1"/>
  <c r="FJ228" i="1"/>
  <c r="FJ226" i="1"/>
  <c r="FJ223" i="1"/>
  <c r="FJ220" i="1"/>
  <c r="FJ218" i="1"/>
  <c r="FJ216" i="1"/>
  <c r="FJ158" i="1"/>
  <c r="FJ155" i="1"/>
  <c r="FJ153" i="1"/>
  <c r="FJ151" i="1"/>
  <c r="FJ148" i="1"/>
  <c r="FJ145" i="1"/>
  <c r="FJ143" i="1"/>
  <c r="FJ140" i="1"/>
  <c r="FJ136" i="1"/>
  <c r="FJ131" i="1"/>
  <c r="FJ123" i="1"/>
  <c r="FJ121" i="1"/>
  <c r="FJ117" i="1"/>
  <c r="FJ113" i="1"/>
  <c r="FJ110" i="1"/>
  <c r="FJ108" i="1"/>
  <c r="FJ105" i="1"/>
  <c r="FJ102" i="1"/>
  <c r="FJ96" i="1"/>
  <c r="FJ92" i="1"/>
  <c r="FJ88" i="1"/>
  <c r="FJ84" i="1"/>
  <c r="FJ81" i="1"/>
  <c r="FJ77" i="1"/>
  <c r="FJ66" i="1"/>
  <c r="FJ63" i="1"/>
  <c r="FJ61" i="1"/>
  <c r="FJ59" i="1"/>
  <c r="FJ55" i="1"/>
  <c r="FJ53" i="1"/>
  <c r="FJ51" i="1"/>
  <c r="FJ25" i="1"/>
  <c r="FJ22" i="1"/>
  <c r="FJ20" i="1"/>
  <c r="FJ14" i="1"/>
  <c r="FJ8" i="1"/>
  <c r="BM5" i="5"/>
  <c r="BN3" i="5" s="1"/>
  <c r="ED564" i="2"/>
  <c r="EF564" i="2" s="1"/>
  <c r="ED551" i="2"/>
  <c r="EF551" i="2" s="1"/>
  <c r="ED550" i="2"/>
  <c r="EF550" i="2" s="1"/>
  <c r="ED549" i="2"/>
  <c r="EF549" i="2" s="1"/>
  <c r="ED528" i="2"/>
  <c r="EF528" i="2" s="1"/>
  <c r="ED524" i="2"/>
  <c r="EF524" i="2" s="1"/>
  <c r="ED509" i="2"/>
  <c r="EF509" i="2" s="1"/>
  <c r="ED507" i="2"/>
  <c r="EF507" i="2" s="1"/>
  <c r="ED506" i="2"/>
  <c r="EF506" i="2" s="1"/>
  <c r="ED470" i="2"/>
  <c r="EF470" i="2" s="1"/>
  <c r="ED466" i="2"/>
  <c r="EF466" i="2" s="1"/>
  <c r="ED452" i="2"/>
  <c r="EF452" i="2" s="1"/>
  <c r="ED336" i="2"/>
  <c r="EF336" i="2" s="1"/>
  <c r="ED325" i="2"/>
  <c r="EF325" i="2" s="1"/>
  <c r="ED324" i="2"/>
  <c r="EF324" i="2" s="1"/>
  <c r="ED248" i="2"/>
  <c r="EF248" i="2" s="1"/>
  <c r="ED237" i="2"/>
  <c r="EF237" i="2" s="1"/>
  <c r="ED222" i="2"/>
  <c r="EF222" i="2" s="1"/>
  <c r="ED219" i="2"/>
  <c r="EF219" i="2" s="1"/>
  <c r="ED218" i="2"/>
  <c r="EF218" i="2" s="1"/>
  <c r="ED206" i="2"/>
  <c r="EF206" i="2" s="1"/>
  <c r="ED170" i="2"/>
  <c r="EF170" i="2" s="1"/>
  <c r="ED166" i="2"/>
  <c r="EF166" i="2" s="1"/>
  <c r="ED165" i="2"/>
  <c r="EF165" i="2" s="1"/>
  <c r="BF569" i="2"/>
  <c r="AB569" i="2"/>
  <c r="ED162" i="2"/>
  <c r="EF162" i="2" s="1"/>
  <c r="AZ569" i="2"/>
  <c r="ED160" i="2"/>
  <c r="EF160" i="2" s="1"/>
  <c r="V569" i="2"/>
  <c r="ED133" i="2"/>
  <c r="EF133" i="2" s="1"/>
  <c r="BR569" i="2"/>
  <c r="ED89" i="2"/>
  <c r="EF89" i="2" s="1"/>
  <c r="AN569" i="2"/>
  <c r="ED56" i="2"/>
  <c r="EF56" i="2" s="1"/>
  <c r="BX569" i="2"/>
  <c r="ED23" i="2"/>
  <c r="EF23" i="2" s="1"/>
  <c r="BL569" i="2"/>
  <c r="ED19" i="2"/>
  <c r="EF19" i="2" s="1"/>
  <c r="C9" i="7"/>
  <c r="D9" i="7" s="1"/>
  <c r="C8" i="7"/>
  <c r="C7" i="7"/>
  <c r="BF5" i="4"/>
  <c r="BG3" i="4" s="1"/>
  <c r="FH451" i="1"/>
  <c r="FJ451" i="1" s="1"/>
  <c r="FH450" i="1"/>
  <c r="FJ450" i="1" s="1"/>
  <c r="FH449" i="1"/>
  <c r="FJ449" i="1" s="1"/>
  <c r="FH448" i="1"/>
  <c r="FJ448" i="1" s="1"/>
  <c r="FH447" i="1"/>
  <c r="FJ447" i="1" s="1"/>
  <c r="FH446" i="1"/>
  <c r="FJ446" i="1" s="1"/>
  <c r="FH444" i="1"/>
  <c r="FJ444" i="1" s="1"/>
  <c r="FH432" i="1"/>
  <c r="FJ432" i="1" s="1"/>
  <c r="FH429" i="1"/>
  <c r="FJ429" i="1" s="1"/>
  <c r="FH414" i="1"/>
  <c r="FJ414" i="1" s="1"/>
  <c r="FH410" i="1"/>
  <c r="FJ410" i="1" s="1"/>
  <c r="FH400" i="1"/>
  <c r="FJ400" i="1" s="1"/>
  <c r="FH294" i="1"/>
  <c r="FJ294" i="1" s="1"/>
  <c r="V502" i="1"/>
  <c r="FH238" i="1"/>
  <c r="FJ238" i="1" s="1"/>
  <c r="FH232" i="1"/>
  <c r="FJ232" i="1" s="1"/>
  <c r="CJ502" i="1"/>
  <c r="BX502" i="1"/>
  <c r="FH214" i="1"/>
  <c r="FJ214" i="1" s="1"/>
  <c r="FH160" i="1"/>
  <c r="FJ160" i="1" s="1"/>
  <c r="AZ502" i="1"/>
  <c r="FH56" i="1"/>
  <c r="FJ56" i="1" s="1"/>
  <c r="BR502" i="1"/>
  <c r="FH49" i="1"/>
  <c r="FJ49" i="1" s="1"/>
  <c r="FH45" i="1"/>
  <c r="FJ45" i="1" s="1"/>
  <c r="FH27" i="1"/>
  <c r="FJ27" i="1" s="1"/>
  <c r="AT502" i="1"/>
  <c r="FH12" i="1"/>
  <c r="FJ12" i="1" s="1"/>
  <c r="AN502" i="1"/>
  <c r="FH7" i="1"/>
  <c r="FJ7" i="1" s="1"/>
  <c r="G9" i="7"/>
  <c r="H9" i="7" s="1"/>
  <c r="G8" i="7"/>
  <c r="G7" i="7"/>
  <c r="BG4" i="4" l="1"/>
  <c r="BN4" i="5"/>
  <c r="H7" i="7"/>
  <c r="G10" i="7"/>
  <c r="H10" i="7" s="1"/>
  <c r="H8" i="7"/>
  <c r="D7" i="7"/>
  <c r="C10" i="7"/>
  <c r="D10" i="7" s="1"/>
  <c r="D8" i="7"/>
  <c r="G11" i="7" l="1"/>
  <c r="G12" i="7" s="1"/>
  <c r="C11" i="7"/>
  <c r="C12" i="7" s="1"/>
  <c r="D11" i="7"/>
  <c r="H1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ICA LNDV</author>
  </authors>
  <commentList>
    <comment ref="BP268" authorId="0" shapeId="0" xr:uid="{00000000-0006-0000-0000-000001000000}">
      <text>
        <r>
          <rPr>
            <b/>
            <sz val="9"/>
            <color indexed="81"/>
            <rFont val="Tahoma"/>
            <family val="2"/>
          </rPr>
          <t>ICA LNDV:</t>
        </r>
        <r>
          <rPr>
            <sz val="9"/>
            <color indexed="81"/>
            <rFont val="Tahoma"/>
            <family val="2"/>
          </rPr>
          <t xml:space="preserve">
Se multiplica x 4</t>
        </r>
      </text>
    </comment>
    <comment ref="BP352" authorId="0" shapeId="0" xr:uid="{00000000-0006-0000-0000-000002000000}">
      <text>
        <r>
          <rPr>
            <b/>
            <sz val="9"/>
            <color indexed="81"/>
            <rFont val="Tahoma"/>
            <family val="2"/>
          </rPr>
          <t>ICA LNDV:</t>
        </r>
        <r>
          <rPr>
            <sz val="9"/>
            <color indexed="81"/>
            <rFont val="Tahoma"/>
            <family val="2"/>
          </rPr>
          <t xml:space="preserve">
Se multiplica x 5 de acuerdo a la presentación presentada por el oferente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ICA LNDV</author>
    <author>tc={C3AD06A5-8B85-49C0-A5EC-2D7D083912EC}</author>
  </authors>
  <commentList>
    <comment ref="D226" authorId="0" shapeId="0" xr:uid="{00000000-0006-0000-0100-000001000000}">
      <text>
        <r>
          <rPr>
            <b/>
            <sz val="9"/>
            <color indexed="81"/>
            <rFont val="Tahoma"/>
            <family val="2"/>
          </rPr>
          <t>ICA LNDV:</t>
        </r>
        <r>
          <rPr>
            <sz val="9"/>
            <color indexed="81"/>
            <rFont val="Tahoma"/>
            <family val="2"/>
          </rPr>
          <t xml:space="preserve">
Cotizado x 100gr</t>
        </r>
      </text>
    </comment>
    <comment ref="D242" authorId="0" shapeId="0" xr:uid="{00000000-0006-0000-0100-000002000000}">
      <text>
        <r>
          <rPr>
            <b/>
            <sz val="9"/>
            <color indexed="81"/>
            <rFont val="Tahoma"/>
            <family val="2"/>
          </rPr>
          <t>ICA LNDV:</t>
        </r>
        <r>
          <rPr>
            <sz val="9"/>
            <color indexed="81"/>
            <rFont val="Tahoma"/>
            <family val="2"/>
          </rPr>
          <t xml:space="preserve">
Cotizado en liquido</t>
        </r>
      </text>
    </comment>
    <comment ref="D302" authorId="0" shapeId="0" xr:uid="{00000000-0006-0000-0100-000003000000}">
      <text>
        <r>
          <rPr>
            <b/>
            <sz val="9"/>
            <color indexed="81"/>
            <rFont val="Tahoma"/>
            <family val="2"/>
          </rPr>
          <t>ICA LNDV:</t>
        </r>
        <r>
          <rPr>
            <sz val="9"/>
            <color indexed="81"/>
            <rFont val="Tahoma"/>
            <family val="2"/>
          </rPr>
          <t xml:space="preserve">
Fue cotizado en gramos y solicitan liquido revisar antes de solicitarlo.</t>
        </r>
      </text>
    </comment>
    <comment ref="D327" authorId="0" shapeId="0" xr:uid="{00000000-0006-0000-0100-000004000000}">
      <text>
        <r>
          <rPr>
            <b/>
            <sz val="9"/>
            <color indexed="81"/>
            <rFont val="Tahoma"/>
            <family val="2"/>
          </rPr>
          <t>ICA LNDV:</t>
        </r>
        <r>
          <rPr>
            <sz val="9"/>
            <color indexed="81"/>
            <rFont val="Tahoma"/>
            <family val="2"/>
          </rPr>
          <t xml:space="preserve">
cotizado en MU
</t>
        </r>
      </text>
    </comment>
    <comment ref="D341" authorId="0" shapeId="0" xr:uid="{00000000-0006-0000-0100-000005000000}">
      <text>
        <r>
          <rPr>
            <b/>
            <sz val="9"/>
            <color indexed="81"/>
            <rFont val="Tahoma"/>
            <family val="2"/>
          </rPr>
          <t>ICA LNDV:</t>
        </r>
        <r>
          <rPr>
            <sz val="9"/>
            <color indexed="81"/>
            <rFont val="Tahoma"/>
            <family val="2"/>
          </rPr>
          <t xml:space="preserve">
Cotizado en estado sólido</t>
        </r>
      </text>
    </comment>
    <comment ref="B360" authorId="1" shapeId="0" xr:uid="{00000000-0006-0000-0100-000006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Este ítem requiere ser contestado por el Coordinador de la Red LDV en cuanto a la adición de la marca OXOID y la concentración del antibiótico.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ICA LNDV</author>
  </authors>
  <commentList>
    <comment ref="BD162" authorId="0" shapeId="0" xr:uid="{00000000-0006-0000-0200-000001000000}">
      <text>
        <r>
          <rPr>
            <b/>
            <sz val="9"/>
            <color indexed="81"/>
            <rFont val="Tahoma"/>
            <family val="2"/>
          </rPr>
          <t>ICA LNDV:</t>
        </r>
        <r>
          <rPr>
            <sz val="9"/>
            <color indexed="81"/>
            <rFont val="Tahoma"/>
            <family val="2"/>
          </rPr>
          <t xml:space="preserve">
Multiplicar x 24
</t>
        </r>
      </text>
    </comment>
    <comment ref="BV352" authorId="0" shapeId="0" xr:uid="{00000000-0006-0000-0200-000002000000}">
      <text>
        <r>
          <rPr>
            <b/>
            <sz val="9"/>
            <color indexed="81"/>
            <rFont val="Tahoma"/>
            <family val="2"/>
          </rPr>
          <t>ICA LNDV:</t>
        </r>
        <r>
          <rPr>
            <sz val="9"/>
            <color indexed="81"/>
            <rFont val="Tahoma"/>
            <family val="2"/>
          </rPr>
          <t xml:space="preserve">
El rollo que dimensiones tiene?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tc={DD532F58-0116-45E0-910D-9CC39B16B23D}</author>
    <author>ICA LNDV</author>
  </authors>
  <commentList>
    <comment ref="B130" authorId="0" shapeId="0" xr:uid="{00000000-0006-0000-0300-00000100000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Para dar respuesta al requerimiento del oferente, el Coordinador del LNDV anexará la foto del cepillo requerido. </t>
      </text>
    </comment>
    <comment ref="D145" authorId="1" shapeId="0" xr:uid="{00000000-0006-0000-0300-000002000000}">
      <text>
        <r>
          <rPr>
            <b/>
            <sz val="9"/>
            <color indexed="81"/>
            <rFont val="Tahoma"/>
            <family val="2"/>
          </rPr>
          <t>ICA LNDV:</t>
        </r>
        <r>
          <rPr>
            <sz val="9"/>
            <color indexed="81"/>
            <rFont val="Tahoma"/>
            <family val="2"/>
          </rPr>
          <t xml:space="preserve">
La presentación debería ser revisada</t>
        </r>
      </text>
    </comment>
    <comment ref="D146" authorId="1" shapeId="0" xr:uid="{00000000-0006-0000-0300-000003000000}">
      <text>
        <r>
          <rPr>
            <b/>
            <sz val="9"/>
            <color indexed="81"/>
            <rFont val="Tahoma"/>
            <family val="2"/>
          </rPr>
          <t>ICA LNDV:</t>
        </r>
        <r>
          <rPr>
            <sz val="9"/>
            <color indexed="81"/>
            <rFont val="Tahoma"/>
            <family val="2"/>
          </rPr>
          <t xml:space="preserve">
La presentación debería ser revisada</t>
        </r>
      </text>
    </comment>
  </commentList>
</comments>
</file>

<file path=xl/sharedStrings.xml><?xml version="1.0" encoding="utf-8"?>
<sst xmlns="http://schemas.openxmlformats.org/spreadsheetml/2006/main" count="18861" uniqueCount="2852">
  <si>
    <t>Ítem</t>
  </si>
  <si>
    <t>Descripción técnica</t>
  </si>
  <si>
    <t>Marca</t>
  </si>
  <si>
    <t>Presentación</t>
  </si>
  <si>
    <t>Información 2018</t>
  </si>
  <si>
    <t>Información 2019</t>
  </si>
  <si>
    <t>Información 2020</t>
  </si>
  <si>
    <t>PROMEDIO 2018 - 2020 + IPC</t>
  </si>
  <si>
    <t>Quimicos y Reactivos S.A.S</t>
  </si>
  <si>
    <t>ARC ANÁLISIS</t>
  </si>
  <si>
    <t>LMV S.A.S</t>
  </si>
  <si>
    <t>DISPROQUILAB LIMITADA</t>
  </si>
  <si>
    <t>Elementos Quimicos</t>
  </si>
  <si>
    <t>Clinicos Isla S.A.S</t>
  </si>
  <si>
    <t>LABBRANDS</t>
  </si>
  <si>
    <t>QUIMIOLAB</t>
  </si>
  <si>
    <t>DISTRIBUIDORA Y COMERCIALIZADORA DIZAR LTDA</t>
  </si>
  <si>
    <t>SANITAS S.A.S</t>
  </si>
  <si>
    <t xml:space="preserve">AVANTIKA COLOMBIA SAS </t>
  </si>
  <si>
    <t>Inversiones Jimsa Ltda</t>
  </si>
  <si>
    <t>MYC LAB S.A.S</t>
  </si>
  <si>
    <t>INSOLAB</t>
  </si>
  <si>
    <t>QUIMITRÓNICA</t>
  </si>
  <si>
    <t>Purificación y Análisis PAF</t>
  </si>
  <si>
    <t>Exogena Ltda</t>
  </si>
  <si>
    <t>ARC ANÁLISIS 2</t>
  </si>
  <si>
    <t>EXOGENA LTDA 2</t>
  </si>
  <si>
    <t>BD</t>
  </si>
  <si>
    <t>ADN</t>
  </si>
  <si>
    <t>CATVER</t>
  </si>
  <si>
    <t>TECNOLOGÍAS OROZCO TORRES</t>
  </si>
  <si>
    <t>SUMA TOTAL</t>
  </si>
  <si>
    <t>Cantidad de cotizaciones</t>
  </si>
  <si>
    <t>PROMEDIO</t>
  </si>
  <si>
    <t>Cantidad TOTAL</t>
  </si>
  <si>
    <t>Valor unitario con IVA</t>
  </si>
  <si>
    <t>ADJUDICACIÓN VR. UNIT.</t>
  </si>
  <si>
    <t>Valor unitario promedio</t>
  </si>
  <si>
    <t>Vlr. Unitario Sin IVA</t>
  </si>
  <si>
    <t>IVA</t>
  </si>
  <si>
    <t>Observaciones</t>
  </si>
  <si>
    <t>Frasco x 25g</t>
  </si>
  <si>
    <t>Santa Cruz Biotechnology</t>
  </si>
  <si>
    <t>frasco x 2 gr</t>
  </si>
  <si>
    <t>SIGMA</t>
  </si>
  <si>
    <t>frasco x 25und</t>
  </si>
  <si>
    <t>Frasco x 100 ml</t>
  </si>
  <si>
    <t>frasco x 250 ml</t>
  </si>
  <si>
    <t>ENTHOS</t>
  </si>
  <si>
    <t>Frasco x 100 ml.</t>
  </si>
  <si>
    <t>CARLO ERBA</t>
  </si>
  <si>
    <t>Frasco x 100ml</t>
  </si>
  <si>
    <t>PANREAC</t>
  </si>
  <si>
    <t>Panreac</t>
  </si>
  <si>
    <t>frasco x 100 ml</t>
  </si>
  <si>
    <t>BIOQUIGEN</t>
  </si>
  <si>
    <t>Frasco x 1 litro</t>
  </si>
  <si>
    <t>CHEMI</t>
  </si>
  <si>
    <t>Frasco x 5 ml</t>
  </si>
  <si>
    <t>frasco x 50 ml</t>
  </si>
  <si>
    <t>JULIAO</t>
  </si>
  <si>
    <t>Frasco x 100g</t>
  </si>
  <si>
    <t>sc-203818</t>
  </si>
  <si>
    <t>frasco x 100 gr</t>
  </si>
  <si>
    <t>100g</t>
  </si>
  <si>
    <t>Merck</t>
  </si>
  <si>
    <t>73594100GF</t>
  </si>
  <si>
    <t>frasco x 1 litro</t>
  </si>
  <si>
    <t xml:space="preserve">JT BAKER </t>
  </si>
  <si>
    <t>1 LT</t>
  </si>
  <si>
    <t>CTRM1008681000</t>
  </si>
  <si>
    <t>Frasco x 4 litros</t>
  </si>
  <si>
    <t>JT Baker</t>
  </si>
  <si>
    <t>frasco x 4 litros</t>
  </si>
  <si>
    <t>ACROS ORGANICS</t>
  </si>
  <si>
    <t>4 LT</t>
  </si>
  <si>
    <t>CTR1096234000</t>
  </si>
  <si>
    <t>Frasco x 500g</t>
  </si>
  <si>
    <t>frasco x 500 gr</t>
  </si>
  <si>
    <t xml:space="preserve">PANREAC </t>
  </si>
  <si>
    <t xml:space="preserve">500g </t>
  </si>
  <si>
    <t>P236497500G</t>
  </si>
  <si>
    <t>Frasco x 250g</t>
  </si>
  <si>
    <t>JT BAKER</t>
  </si>
  <si>
    <t>frasco x 250 gr</t>
  </si>
  <si>
    <t>250 G</t>
  </si>
  <si>
    <t>Frasco x 5 litro</t>
  </si>
  <si>
    <t>4LT</t>
  </si>
  <si>
    <t>CTRM1000144000</t>
  </si>
  <si>
    <t>Frasco x 4 litro</t>
  </si>
  <si>
    <t>4 Lts</t>
  </si>
  <si>
    <t>CTRM1000204000</t>
  </si>
  <si>
    <t>frasco x 2.5 litros</t>
  </si>
  <si>
    <t>MERCK</t>
  </si>
  <si>
    <t>2.5 L</t>
  </si>
  <si>
    <t>Frasco x 2,5 litro</t>
  </si>
  <si>
    <t>Frasco x 2,5 litros</t>
  </si>
  <si>
    <t>Frasco x 1Kg</t>
  </si>
  <si>
    <t>frasco x 1kg</t>
  </si>
  <si>
    <t>Frasco x 1kg</t>
  </si>
  <si>
    <t>1 Kg</t>
  </si>
  <si>
    <t>2.5 l</t>
  </si>
  <si>
    <t>CTR1003172500</t>
  </si>
  <si>
    <t>Frasco x  2,5 litros</t>
  </si>
  <si>
    <t>frasco 50 ml</t>
  </si>
  <si>
    <t>frasco x 25 gr</t>
  </si>
  <si>
    <t>BOTELLA/25g</t>
  </si>
  <si>
    <t>frasco x 25gr</t>
  </si>
  <si>
    <t xml:space="preserve"> PANREAC  </t>
  </si>
  <si>
    <t>Frasco x 2.5  litros</t>
  </si>
  <si>
    <t>frasco x 2.5  litros</t>
  </si>
  <si>
    <t>MACRON</t>
  </si>
  <si>
    <t>2.5 LTS.</t>
  </si>
  <si>
    <t>CTRM1120802500</t>
  </si>
  <si>
    <t>pack x 2 kwik stik</t>
  </si>
  <si>
    <t>MICROBIOLOGICS</t>
  </si>
  <si>
    <t>LIOFILCHEM</t>
  </si>
  <si>
    <t>SCHARLAU</t>
  </si>
  <si>
    <t>Frasco x 500 Gr</t>
  </si>
  <si>
    <t>OXOID</t>
  </si>
  <si>
    <t>Frasco 500g</t>
  </si>
  <si>
    <t>1 KG</t>
  </si>
  <si>
    <t>500 GR</t>
  </si>
  <si>
    <t>Frasco x 500 g</t>
  </si>
  <si>
    <t>GENEON Ref. CE169</t>
  </si>
  <si>
    <t>Yeast extract powder (Molecular Biology Grade)  500 g</t>
  </si>
  <si>
    <t xml:space="preserve"> MERCK  </t>
  </si>
  <si>
    <t>Presentación ofrecida superior a la requerida</t>
  </si>
  <si>
    <t>Bolsa x 500g</t>
  </si>
  <si>
    <t>Invitrogen</t>
  </si>
  <si>
    <t>MP Biomedicals</t>
  </si>
  <si>
    <t>GENEON ref. 604-005</t>
  </si>
  <si>
    <t>Agarose Standard 50bp - 50.000 bp   1x500g</t>
  </si>
  <si>
    <t>500 G</t>
  </si>
  <si>
    <t>US1121853500GM</t>
  </si>
  <si>
    <t>kit x 100rxn</t>
  </si>
  <si>
    <t>Ambion</t>
  </si>
  <si>
    <t>kit x 200rxn</t>
  </si>
  <si>
    <t>New England Biolabs</t>
  </si>
  <si>
    <t>Applied Biosystems</t>
  </si>
  <si>
    <t>Unidad</t>
  </si>
  <si>
    <t>botella x 500ml</t>
  </si>
  <si>
    <t>MOL LABS</t>
  </si>
  <si>
    <t xml:space="preserve"> PANREAC </t>
  </si>
  <si>
    <t>Frasco x 500 ml</t>
  </si>
  <si>
    <t>Frasco x 1000 ml</t>
  </si>
  <si>
    <r>
      <t xml:space="preserve">HYCLONE ref. SH30538.03 </t>
    </r>
    <r>
      <rPr>
        <b/>
        <sz val="8"/>
        <color theme="0"/>
        <rFont val="Arial Narrow"/>
        <family val="2"/>
      </rPr>
      <t>COTIZAR LA DE 500 ML  SH30538.02</t>
    </r>
  </si>
  <si>
    <t>Water, Molecular Biology Grade, DNase, RNase, Protease free (no activity within assay detectability limits), Deionized, Distilled, 0.1 µm Sterile Filtered-1000 mL</t>
  </si>
  <si>
    <t>frasco x 500 ml</t>
  </si>
  <si>
    <t>GROWCELLS</t>
  </si>
  <si>
    <t>Frasco x 700ml</t>
  </si>
  <si>
    <t>OSA</t>
  </si>
  <si>
    <t>frasco x 700 o 750 ml</t>
  </si>
  <si>
    <t>NACIONAL</t>
  </si>
  <si>
    <t xml:space="preserve">100g </t>
  </si>
  <si>
    <t>Gibco</t>
  </si>
  <si>
    <t>CTRM1054281000</t>
  </si>
  <si>
    <t>Frasco x 5g</t>
  </si>
  <si>
    <t>frasco x 5 gr</t>
  </si>
  <si>
    <t xml:space="preserve"> SIGMA  </t>
  </si>
  <si>
    <t>5 g</t>
  </si>
  <si>
    <t>Sigma aldrich</t>
  </si>
  <si>
    <t>A95185G</t>
  </si>
  <si>
    <t>Caja x 10 Sobres</t>
  </si>
  <si>
    <t>Ofrecen otra marca</t>
  </si>
  <si>
    <t>caja x 10</t>
  </si>
  <si>
    <t>PAQUETE/10</t>
  </si>
  <si>
    <t>Ofrecen otra marca/ Presentación superior</t>
  </si>
  <si>
    <t>caja x 5</t>
  </si>
  <si>
    <t>25 TESTS</t>
  </si>
  <si>
    <t>Caja x 100 Sobres</t>
  </si>
  <si>
    <t>N/A</t>
  </si>
  <si>
    <t>CAJA/50</t>
  </si>
  <si>
    <t>Frasco x 20ml</t>
  </si>
  <si>
    <t>Frasco x 50ml</t>
  </si>
  <si>
    <t>HYCLONE Ref. SV30078.01</t>
  </si>
  <si>
    <t>Amphotericin B (Fungizone) Solution, 250 µg/mL-50 mL</t>
  </si>
  <si>
    <t xml:space="preserve"> SIGMA </t>
  </si>
  <si>
    <t>100 Mg</t>
  </si>
  <si>
    <t>US1171375100MG</t>
  </si>
  <si>
    <t>100ML</t>
  </si>
  <si>
    <t>A5955100ML</t>
  </si>
  <si>
    <t>5 gramos</t>
  </si>
  <si>
    <t>N88785G</t>
  </si>
  <si>
    <t>Frasco x 100mg</t>
  </si>
  <si>
    <t>frasco x 25 mg</t>
  </si>
  <si>
    <t>Frasco x 500mg</t>
  </si>
  <si>
    <t>frasco x 500 mg o 1mu</t>
  </si>
  <si>
    <t>P49321MU</t>
  </si>
  <si>
    <t>frascos x 1 ml</t>
  </si>
  <si>
    <t>Frasco x 100ml / 40000 rxn</t>
  </si>
  <si>
    <t>ID VET</t>
  </si>
  <si>
    <t>Kit x 20 Pruebas</t>
  </si>
  <si>
    <t>REMEL</t>
  </si>
  <si>
    <t>Incluye reactivos reveladores, Se ofertan 2 Kits teniendo en cuenta que la presentacion es de 20 pruebas</t>
  </si>
  <si>
    <t>caja x 25 galerías</t>
  </si>
  <si>
    <t xml:space="preserve">BIOMERIEUX </t>
  </si>
  <si>
    <t>kit x 250 ul</t>
  </si>
  <si>
    <t>Asuragen</t>
  </si>
  <si>
    <t>bolsa x 25 lbs</t>
  </si>
  <si>
    <t>INCAUCA</t>
  </si>
  <si>
    <t xml:space="preserve">5g </t>
  </si>
  <si>
    <t xml:space="preserve">Frasco x 25g </t>
  </si>
  <si>
    <t>Macron</t>
  </si>
  <si>
    <t>Frasco x 1000ml</t>
  </si>
  <si>
    <t>Albor</t>
  </si>
  <si>
    <t xml:space="preserve">BIOQUIGEN </t>
  </si>
  <si>
    <t/>
  </si>
  <si>
    <t>ALFA AESAR</t>
  </si>
  <si>
    <t>Otra marca</t>
  </si>
  <si>
    <t>DIFCO</t>
  </si>
  <si>
    <t>escala 200nM</t>
  </si>
  <si>
    <t>200nM</t>
  </si>
  <si>
    <t>MACROGEN</t>
  </si>
  <si>
    <t>Incluye reactivos reveladores</t>
  </si>
  <si>
    <t>kit x 20 pruebas</t>
  </si>
  <si>
    <t xml:space="preserve">BD </t>
  </si>
  <si>
    <t>caja x 20</t>
  </si>
  <si>
    <t>10 KU</t>
  </si>
  <si>
    <t>frasco x 10 ml </t>
  </si>
  <si>
    <t>Frasco x 50g</t>
  </si>
  <si>
    <t>frasco x 1 kl</t>
  </si>
  <si>
    <t>MERK</t>
  </si>
  <si>
    <t>Cell Signaling</t>
  </si>
  <si>
    <t>Frasco x 50 g</t>
  </si>
  <si>
    <t>GENEON ref. CE100</t>
  </si>
  <si>
    <t>Albumin fraction V (pH7,0)  (Molecular Biology Grade) 50 g</t>
  </si>
  <si>
    <t>50 gr</t>
  </si>
  <si>
    <t>SIGMA ALDRICH</t>
  </si>
  <si>
    <t>set x 5 x 1ml</t>
  </si>
  <si>
    <t>Frasco x 4 ml</t>
  </si>
  <si>
    <t>set x 5 x 1 ml</t>
  </si>
  <si>
    <t>GENEON ref. 306-205</t>
  </si>
  <si>
    <t>DNA Loading (6X) Buffer for Agarose and Acrylamide Gels 5x1 ml</t>
  </si>
  <si>
    <t>set x 5 viales x 1 ml</t>
  </si>
  <si>
    <t>LONZA</t>
  </si>
  <si>
    <t>Frasco x 500ml</t>
  </si>
  <si>
    <t>frasco x  1 litro</t>
  </si>
  <si>
    <t>1 LITRO</t>
  </si>
  <si>
    <t>PROMEGA ref. V4251</t>
  </si>
  <si>
    <t>TBE Buffer, 10X Molecular Biology Grade, 1000ml</t>
  </si>
  <si>
    <t>40 litros</t>
  </si>
  <si>
    <t>AMRESCO</t>
  </si>
  <si>
    <t>BBL</t>
  </si>
  <si>
    <t>No informa</t>
  </si>
  <si>
    <t>Incluye suplemento</t>
  </si>
  <si>
    <t>frasco x  500 gr</t>
  </si>
  <si>
    <t>frasco x 1 kg</t>
  </si>
  <si>
    <t>5 Loops</t>
  </si>
  <si>
    <t>paquete de 2 kwik-stik ™</t>
  </si>
  <si>
    <t xml:space="preserve">MICROBIOLOGIC </t>
  </si>
  <si>
    <t>vial</t>
  </si>
  <si>
    <t>SIGMA-ALDRICH</t>
  </si>
  <si>
    <t>Frasco x 1g</t>
  </si>
  <si>
    <t>frasco x 5gr</t>
  </si>
  <si>
    <t>CTRM1024454000</t>
  </si>
  <si>
    <t>500 M</t>
  </si>
  <si>
    <t>CTRMC2432500ML</t>
  </si>
  <si>
    <t>250 g</t>
  </si>
  <si>
    <t>CTR1023820250</t>
  </si>
  <si>
    <t>250 GR</t>
  </si>
  <si>
    <t>Frasco x 2kg</t>
  </si>
  <si>
    <t>Frasco x 250ml</t>
  </si>
  <si>
    <t xml:space="preserve"> 6x5 ml</t>
  </si>
  <si>
    <t xml:space="preserve">caja x 6 x 3 ml </t>
  </si>
  <si>
    <t>HARDY DIAGNOSTICS</t>
  </si>
  <si>
    <t>ALBOR</t>
  </si>
  <si>
    <t>Frasco 1 litro</t>
  </si>
  <si>
    <t>2x5ml</t>
  </si>
  <si>
    <t>IDVET</t>
  </si>
  <si>
    <t>Frasco x 5ml</t>
  </si>
  <si>
    <t>Abcam</t>
  </si>
  <si>
    <t>2 frascos x 5 ml</t>
  </si>
  <si>
    <t>Frasco x 1mg</t>
  </si>
  <si>
    <t>frasco x 1 ml</t>
  </si>
  <si>
    <t>frasco x 50 gr</t>
  </si>
  <si>
    <t>Frasco x 250mg</t>
  </si>
  <si>
    <t>MERKC</t>
  </si>
  <si>
    <t>S1876500G</t>
  </si>
  <si>
    <t>X3877100G</t>
  </si>
  <si>
    <t>Frasco x 250 g</t>
  </si>
  <si>
    <t>GENEON ref. CE135</t>
  </si>
  <si>
    <t>EDTA - Dinatriumsalz - Dihydrat  (Molecular Biology Grade) 250 g</t>
  </si>
  <si>
    <t>Frasco x 475ml</t>
  </si>
  <si>
    <t>Thermo</t>
  </si>
  <si>
    <t>1000 units</t>
  </si>
  <si>
    <t>Frasco 25g</t>
  </si>
  <si>
    <t>Frasco x 10mg</t>
  </si>
  <si>
    <t>100 mg</t>
  </si>
  <si>
    <t>DR EHRENSTORFER</t>
  </si>
  <si>
    <t xml:space="preserve">100 ml </t>
  </si>
  <si>
    <t>100 ml</t>
  </si>
  <si>
    <t>100mL</t>
  </si>
  <si>
    <t>ACCUSTAND</t>
  </si>
  <si>
    <t>25 mg</t>
  </si>
  <si>
    <t>DR EHRENSTOFER</t>
  </si>
  <si>
    <t>250 mg</t>
  </si>
  <si>
    <t>Frasco x 5mg</t>
  </si>
  <si>
    <t>10 mg</t>
  </si>
  <si>
    <t>Frasco x 10g</t>
  </si>
  <si>
    <t>10 x 0.5 gr</t>
  </si>
  <si>
    <t>USP</t>
  </si>
  <si>
    <t>500 mg</t>
  </si>
  <si>
    <t>LGC</t>
  </si>
  <si>
    <t>50 mg</t>
  </si>
  <si>
    <t>250 gr</t>
  </si>
  <si>
    <t>4 litros</t>
  </si>
  <si>
    <t>2.5-l</t>
  </si>
  <si>
    <t>1 litro</t>
  </si>
  <si>
    <t>20 ml</t>
  </si>
  <si>
    <t>BIOQUIP PRODUCTS INC</t>
  </si>
  <si>
    <t>2,5 litros</t>
  </si>
  <si>
    <t>Frasco x 5 litros</t>
  </si>
  <si>
    <t>5 litros</t>
  </si>
  <si>
    <t>5 L</t>
  </si>
  <si>
    <t>400 ml</t>
  </si>
  <si>
    <t>VWR</t>
  </si>
  <si>
    <t>100 gr</t>
  </si>
  <si>
    <t>SUPELCO</t>
  </si>
  <si>
    <t>500 gr</t>
  </si>
  <si>
    <t xml:space="preserve"> 500 gr </t>
  </si>
  <si>
    <t xml:space="preserve"> MERCK </t>
  </si>
  <si>
    <t>10 gr</t>
  </si>
  <si>
    <t>25 gr</t>
  </si>
  <si>
    <t>1000 cc</t>
  </si>
  <si>
    <t>10ml</t>
  </si>
  <si>
    <t>250cc</t>
  </si>
  <si>
    <t>PANREAAC</t>
  </si>
  <si>
    <t>CTRM1043744000</t>
  </si>
  <si>
    <t>1 kg</t>
  </si>
  <si>
    <t>CTRM1091411000</t>
  </si>
  <si>
    <t>1kg</t>
  </si>
  <si>
    <t>CTRM1064621000</t>
  </si>
  <si>
    <t>Galón</t>
  </si>
  <si>
    <t>100Rxn</t>
  </si>
  <si>
    <t xml:space="preserve"> 100 rxn </t>
  </si>
  <si>
    <t xml:space="preserve"> ID VET </t>
  </si>
  <si>
    <t>caja 100</t>
  </si>
  <si>
    <t>3M</t>
  </si>
  <si>
    <t>500 ml</t>
  </si>
  <si>
    <t>3,78 litros</t>
  </si>
  <si>
    <t>Frasco x 200ml</t>
  </si>
  <si>
    <t>4 componentes</t>
  </si>
  <si>
    <t>250 ml</t>
  </si>
  <si>
    <t>Kit x 96</t>
  </si>
  <si>
    <t>CYTIVA ref. 29506009</t>
  </si>
  <si>
    <t xml:space="preserve"> Sera-Xtracta Virus/Pathogen Kit x 96</t>
  </si>
  <si>
    <t>Kit x 4 x 96</t>
  </si>
  <si>
    <t>Applied Biosytems</t>
  </si>
  <si>
    <t>und</t>
  </si>
  <si>
    <t>FISHER - ACROS</t>
  </si>
  <si>
    <t>ALFA (USA)</t>
  </si>
  <si>
    <t>Frasco  1 litro</t>
  </si>
  <si>
    <t>10 ml</t>
  </si>
  <si>
    <t>DRRR</t>
  </si>
  <si>
    <t>GENEON ref. CE182</t>
  </si>
  <si>
    <t>LB-Medium - Powder according to Lennox  (Molecular Biology Grade) 500 g</t>
  </si>
  <si>
    <t xml:space="preserve">500G </t>
  </si>
  <si>
    <t>caja x 100 ampollas</t>
  </si>
  <si>
    <t>BIOMERIEUX</t>
  </si>
  <si>
    <t>50 unidades</t>
  </si>
  <si>
    <t>COPAN DIAGNOSTICS</t>
  </si>
  <si>
    <t>HYCLONE ref. SH30243.01</t>
  </si>
  <si>
    <t>DMEM with High Glucose, with 4.0 mM L-Glutamine, with Sodium Pyruvate-500 mL</t>
  </si>
  <si>
    <t>Caja 20 frascos x 100ml</t>
  </si>
  <si>
    <t>Gibco/invitrogen</t>
  </si>
  <si>
    <t xml:space="preserve">20 X 100 ml </t>
  </si>
  <si>
    <t xml:space="preserve"> GIBCO/INVITROGEN </t>
  </si>
  <si>
    <t>2.5 litros</t>
  </si>
  <si>
    <t>2.5L</t>
  </si>
  <si>
    <t>CTRM1060352500</t>
  </si>
  <si>
    <t>4 L</t>
  </si>
  <si>
    <t>CTRM1060184000</t>
  </si>
  <si>
    <t>5 ml</t>
  </si>
  <si>
    <t>NVSL</t>
  </si>
  <si>
    <t>unidad</t>
  </si>
  <si>
    <t>5 gr</t>
  </si>
  <si>
    <t>Frasco x 1 kg</t>
  </si>
  <si>
    <t>CTRI1050631000</t>
  </si>
  <si>
    <t>500g</t>
  </si>
  <si>
    <t>CTRI1065370500</t>
  </si>
  <si>
    <t>25 tabletas</t>
  </si>
  <si>
    <t>x 2 ml</t>
  </si>
  <si>
    <t>3 ml</t>
  </si>
  <si>
    <t>2 ml</t>
  </si>
  <si>
    <t>100 tabletas</t>
  </si>
  <si>
    <t>1 kl</t>
  </si>
  <si>
    <t>THERMO SCIENTIFIC</t>
  </si>
  <si>
    <t>10 x 500ml</t>
  </si>
  <si>
    <t>10 x 1 l</t>
  </si>
  <si>
    <t>DR. EHRENSTORFER</t>
  </si>
  <si>
    <t>100 g</t>
  </si>
  <si>
    <t>Sigma</t>
  </si>
  <si>
    <t>Frasco x 1MU</t>
  </si>
  <si>
    <t>1 L</t>
  </si>
  <si>
    <t>1 mu</t>
  </si>
  <si>
    <t>500 g</t>
  </si>
  <si>
    <t>Fasco x 1 litro</t>
  </si>
  <si>
    <t>Frasco x 2ml</t>
  </si>
  <si>
    <t>NEW ENGLAND BIOLABS</t>
  </si>
  <si>
    <t>GENEON ref. 405-001</t>
  </si>
  <si>
    <t>Proteinase K (Bestseller) Activity:  &gt; 30 units/mg protein (hemoglobin, pH 7.5, 37°C) 5x1ml (20 mg/ml)</t>
  </si>
  <si>
    <t>CYTIVA ref. 27955701</t>
  </si>
  <si>
    <t>PURETAQ RTG PCR 0.2ML-MWP 96RX</t>
  </si>
  <si>
    <t>GE HEALTHCARE BIO-SCIENCES</t>
  </si>
  <si>
    <t>1 gr</t>
  </si>
  <si>
    <t>475 ml</t>
  </si>
  <si>
    <t>MBP</t>
  </si>
  <si>
    <r>
      <t>40U/µ</t>
    </r>
    <r>
      <rPr>
        <sz val="6.8"/>
        <color theme="1"/>
        <rFont val="Arial Narrow"/>
        <family val="2"/>
      </rPr>
      <t xml:space="preserve"> vial</t>
    </r>
  </si>
  <si>
    <t>Invitrogen - Ambion</t>
  </si>
  <si>
    <t>3000 units</t>
  </si>
  <si>
    <t>10000 unidades</t>
  </si>
  <si>
    <t>INVITROGEN</t>
  </si>
  <si>
    <t>Frasco x 10ml</t>
  </si>
  <si>
    <t>Frasco x 1ml</t>
  </si>
  <si>
    <t>GENEON ref. 409-050</t>
  </si>
  <si>
    <t>RNase A (MBG) 50 mg</t>
  </si>
  <si>
    <t>25GM</t>
  </si>
  <si>
    <t>VWR INTERNACIONAL</t>
  </si>
  <si>
    <t>25G</t>
  </si>
  <si>
    <t>Frasco x 50mg</t>
  </si>
  <si>
    <t>CYTIVA ref. 17131301</t>
  </si>
  <si>
    <t>SDS 100 G</t>
  </si>
  <si>
    <t xml:space="preserve">SIGMA </t>
  </si>
  <si>
    <t>Caja x 5 tubos x 50 discos</t>
  </si>
  <si>
    <t>Caja x 50 discos</t>
  </si>
  <si>
    <t>15 ampollas</t>
  </si>
  <si>
    <t xml:space="preserve">CAJA 15 </t>
  </si>
  <si>
    <t>Frasco x 2,5mg</t>
  </si>
  <si>
    <t>EKI CHEM (USA)</t>
  </si>
  <si>
    <t>Biowest</t>
  </si>
  <si>
    <t>4 ml</t>
  </si>
  <si>
    <t>0.6 ml</t>
  </si>
  <si>
    <t>NSVL</t>
  </si>
  <si>
    <t>SIGMA - ALDRICH</t>
  </si>
  <si>
    <t>HYCLONE ref. SH30910.03IR</t>
  </si>
  <si>
    <t>FETAL BOVINE SERUM  500 mL  IRRADIATED-500 mL</t>
  </si>
  <si>
    <t>Vial x 1ml</t>
  </si>
  <si>
    <t>1 ml</t>
  </si>
  <si>
    <t>IDT</t>
  </si>
  <si>
    <t>0.05 ml</t>
  </si>
  <si>
    <t>Thermo Scientific</t>
  </si>
  <si>
    <t>200 rxns</t>
  </si>
  <si>
    <t>Kit</t>
  </si>
  <si>
    <t>AGILENT ref. 600882</t>
  </si>
  <si>
    <t>SYBR Green PCR Master Mix® marca Agilent  600882  Brilliant III Ultra-Fast SYBR QPCR MM.</t>
  </si>
  <si>
    <r>
      <t xml:space="preserve">Vial 400 </t>
    </r>
    <r>
      <rPr>
        <sz val="8"/>
        <color theme="1"/>
        <rFont val="Arial"/>
        <family val="2"/>
      </rPr>
      <t>µ</t>
    </r>
    <r>
      <rPr>
        <sz val="6.8"/>
        <color theme="1"/>
        <rFont val="Arial Narrow"/>
        <family val="2"/>
      </rPr>
      <t>l</t>
    </r>
  </si>
  <si>
    <t>ACTGene</t>
  </si>
  <si>
    <t>Vial</t>
  </si>
  <si>
    <t>GENEON ref.  S420</t>
  </si>
  <si>
    <t>GelRED(TM) for Agarose or Page Gels (10000X in water) 0,5 ml</t>
  </si>
  <si>
    <t>kit x 200 rxn</t>
  </si>
  <si>
    <t>25 g</t>
  </si>
  <si>
    <t>50 Test</t>
  </si>
  <si>
    <t>50 test</t>
  </si>
  <si>
    <t>PAQUETE/50</t>
  </si>
  <si>
    <t>100 x 5 g</t>
  </si>
  <si>
    <t>Frasco x 1 Kg</t>
  </si>
  <si>
    <t>GENEON ref. CE236</t>
  </si>
  <si>
    <t>Tris - Hydrochloride  (Molecular Biology Grade)  1 kg</t>
  </si>
  <si>
    <t>GENEON ref. CE237</t>
  </si>
  <si>
    <t>Tris  (Molecular Biology Grade)  500 g</t>
  </si>
  <si>
    <t>Frasco x 1 L</t>
  </si>
  <si>
    <t>GENEON ref. CE242</t>
  </si>
  <si>
    <t>Tween® 20  (Molecular Biology Grade)  1 l</t>
  </si>
  <si>
    <t>P1379100ML</t>
  </si>
  <si>
    <t>500 ML</t>
  </si>
  <si>
    <t>Frasco x1kg</t>
  </si>
  <si>
    <t>CYTIVA ref. 17131901</t>
  </si>
  <si>
    <t>UREA_ 500 G</t>
  </si>
  <si>
    <t>Frasco 5 Galones</t>
  </si>
  <si>
    <t>5 kg</t>
  </si>
  <si>
    <t>VIRKONS</t>
  </si>
  <si>
    <t>5 lb</t>
  </si>
  <si>
    <t>5 libras</t>
  </si>
  <si>
    <t>MP BIOMEDICALS</t>
  </si>
  <si>
    <t>6 libras</t>
  </si>
  <si>
    <t xml:space="preserve"> 2 ml</t>
  </si>
  <si>
    <t>2 kwik stick</t>
  </si>
  <si>
    <t>MBL</t>
  </si>
  <si>
    <t>DR. ERHENSTORFER</t>
  </si>
  <si>
    <t>frasco x 10 mg</t>
  </si>
  <si>
    <t>ALCOHOL ISOPROPILICO (2- PROPANOL) 99.5%. 'SNE'</t>
  </si>
  <si>
    <t>MICROKIT</t>
  </si>
  <si>
    <t xml:space="preserve"> Merck</t>
  </si>
  <si>
    <t xml:space="preserve">OXOID </t>
  </si>
  <si>
    <t>200 mg</t>
  </si>
  <si>
    <t>Kit x 5 placas</t>
  </si>
  <si>
    <t>Ingenasa</t>
  </si>
  <si>
    <t>KIT x 25 PRUEBAS</t>
  </si>
  <si>
    <t>Proponente No.  1. AVANTIKA COLOMBIA SAS</t>
  </si>
  <si>
    <t>Proponente No.  2 CATVER SAS</t>
  </si>
  <si>
    <t xml:space="preserve">Proponente No.  3 CYMA </t>
  </si>
  <si>
    <t>Proponente No.  4 ELEMENTOS QUIMICOS</t>
  </si>
  <si>
    <t>Proponente No.  8 YEQUIM SA</t>
  </si>
  <si>
    <t>Ficha del producto</t>
  </si>
  <si>
    <t>Especificaciones minimas tecnicas</t>
  </si>
  <si>
    <t>Certificación Distribución Autorizada</t>
  </si>
  <si>
    <t>Registro ICA, como importador de biológico veterinarios</t>
  </si>
  <si>
    <t xml:space="preserve">Experiencia especifica </t>
  </si>
  <si>
    <t>Certifcado de carencia de informes por trafico de estupefacientes</t>
  </si>
  <si>
    <t>Garantía adicional</t>
  </si>
  <si>
    <t>Apoyo industria  nacional</t>
  </si>
  <si>
    <t>Total Puntaje</t>
  </si>
  <si>
    <t>Habilitado</t>
  </si>
  <si>
    <t>Certificado de Carencia de Informes por Tráfico de Estupefacientes</t>
  </si>
  <si>
    <t>Cantidad habilitada</t>
  </si>
  <si>
    <t>2-Nitrobenzaldehido</t>
  </si>
  <si>
    <t>Sigma N10802</t>
  </si>
  <si>
    <t>Frasco x 2g</t>
  </si>
  <si>
    <t>Cumple</t>
  </si>
  <si>
    <t>No Aplica</t>
  </si>
  <si>
    <t xml:space="preserve">Habilitados </t>
  </si>
  <si>
    <t>5-Bromo-4-chloro-3-indolyl phosphate p-toluidine salt (BCIP)-  Tabletas</t>
  </si>
  <si>
    <t>Sigma B 0274</t>
  </si>
  <si>
    <t>Frasco x 25und</t>
  </si>
  <si>
    <t>Desiertos</t>
  </si>
  <si>
    <t>Aceite de clavo</t>
  </si>
  <si>
    <t>Cualquier marca</t>
  </si>
  <si>
    <t>No Cumple</t>
  </si>
  <si>
    <t>No habilitado</t>
  </si>
  <si>
    <t>La presentación de 5ml no es la requerida. N o allega certificación de distribución</t>
  </si>
  <si>
    <t>Total de ítems elementos</t>
  </si>
  <si>
    <t>Aceite de inmersión</t>
  </si>
  <si>
    <t>Aceite mineral</t>
  </si>
  <si>
    <t>Se acepta la presentación de 1L ofrecida por el proponente, siempre y cuando no se exceda el presupuesto definido para el item</t>
  </si>
  <si>
    <t>Acetato de amonio grado masas</t>
  </si>
  <si>
    <t>LiChropur (número en catálogo Millipore-Sigma 73594)</t>
  </si>
  <si>
    <t>Acetato de etilo grado masas</t>
  </si>
  <si>
    <t>Sigma Aldrich / Merck / JT Baker o equivalente</t>
  </si>
  <si>
    <t>Acetato de etilo para análisis de residuos</t>
  </si>
  <si>
    <t>Acetato de potasio</t>
  </si>
  <si>
    <t xml:space="preserve">Merck </t>
  </si>
  <si>
    <t>Frasco x 500 o 1Kg</t>
  </si>
  <si>
    <t>Acetato de sodio anhidro</t>
  </si>
  <si>
    <t>Ácetato de zinc di hidratado</t>
  </si>
  <si>
    <t>Cumple con especificaciones minimas técnicas requeridas excepto la presentación, por lo que el item se habilita siempre y cuando el oferente garantice que se entregaran los 4 frascos en las cantidades iguales o superriores a los 250g solicitados sin exceder el presupuesto oficial definido para este item</t>
  </si>
  <si>
    <t>Acetona grado reactivo</t>
  </si>
  <si>
    <t>Merck, JT Baker, Mallinckrodt, Scharlau</t>
  </si>
  <si>
    <t>Acetona HPLC con certificado de analisis y ficha de seguridad.</t>
  </si>
  <si>
    <t>Merck, JT Baker, Mallinckrodt, Scharlau o equivalente</t>
  </si>
  <si>
    <t>No cumple con la presentación requerida por el ICA
Se acepta la presentación ofertada siempre y cuando no se supere la oferta económica y se cumpla con la cantidad requerida por la Institución</t>
  </si>
  <si>
    <t>Acetonitrilo grado HPLC con certificado de analisis y ficha de seguridad.</t>
  </si>
  <si>
    <t>Acetonitrilo grado reactivo con certificado de analisis  y ficha de seguridad.</t>
  </si>
  <si>
    <t xml:space="preserve">Merck o JT Baker </t>
  </si>
  <si>
    <t>Acetonitrilo LC/MS con certificado de analisis  y ficha de seguridad.</t>
  </si>
  <si>
    <t>Merck o JT Baker o equivalente</t>
  </si>
  <si>
    <t>Frasco x 2.5 litros</t>
  </si>
  <si>
    <t xml:space="preserve">La ficha del Item no corresponde a la solicitada en el pliego de condiciones (Acetonitrilo LC/MS) 2. </t>
  </si>
  <si>
    <t>Ácido acético glacial 96% PA con certificado y ficha de seguridad</t>
  </si>
  <si>
    <t>Falta ficha de seguridad. Se acepta la presentación de 4L ofrecida por el proponente, siempre y cuando no se exceda el presupuesto definido para el item</t>
  </si>
  <si>
    <t> </t>
  </si>
  <si>
    <t>Ácido bórico</t>
  </si>
  <si>
    <t>Cualquier  marca    (Panreac, Merck,  JT Baker o equivalente.</t>
  </si>
  <si>
    <t>Ácido cítrico monohidratado</t>
  </si>
  <si>
    <t>Merck, Carlo Erba, Scharlau, JT Baker</t>
  </si>
  <si>
    <t>Ácido clorhídrico 37 - 38%</t>
  </si>
  <si>
    <t>Merck,  JT Baker, Scharlau o equivalente.</t>
  </si>
  <si>
    <t>Ácido fórmico 98-100 % pureza, con certificado de análisis y ficha de seguridad</t>
  </si>
  <si>
    <t>Acido formico para LC-MS certificado de análisis y ficha de seguridad</t>
  </si>
  <si>
    <t>Frasco 50 mL</t>
  </si>
  <si>
    <t>Ácido fosfomolibdico solución 2%</t>
  </si>
  <si>
    <t>Sigma Aldrich / Merck / JT Baker</t>
  </si>
  <si>
    <t>Ácido fosfotúngstico</t>
  </si>
  <si>
    <t>Ácido láctico Cas 79-33-4</t>
  </si>
  <si>
    <t>Aeros/JT Baker</t>
  </si>
  <si>
    <t>Frasco X 250ml</t>
  </si>
  <si>
    <t>Ácido nítrico ACS 69-70% certificado de análisis y ficha de seguridad</t>
  </si>
  <si>
    <t>Falta la ficha se seguridad</t>
  </si>
  <si>
    <t xml:space="preserve">
Se reporta en certificado del prodcuto ofertado un esnayo de 69,0% - 72,0% y se requiere de 69-70%</t>
  </si>
  <si>
    <t>Acido Oxálico Grado reactivo con certificado de análisis y fecha de vencimiento no inferior a un año a partir de la fecha de entrega. Cas 144-62-7</t>
  </si>
  <si>
    <t>Merck, JT Baker, Scharlau o equivalente</t>
  </si>
  <si>
    <t>Acido perclórico, reactivo analítico</t>
  </si>
  <si>
    <t>Merck,  JT Baker, Scharlau, Panreac o equivalente.</t>
  </si>
  <si>
    <t>Ácido peryódico</t>
  </si>
  <si>
    <t>Merck / JT Baker</t>
  </si>
  <si>
    <t>Acido Pícrico</t>
  </si>
  <si>
    <t>Frasco X 25g</t>
  </si>
  <si>
    <t>Ácido sulfúrico 97-98% analítico  con certificado de análisis y ficha de seguridad</t>
  </si>
  <si>
    <t>no presenta ficha de seguridad</t>
  </si>
  <si>
    <t>cumple</t>
  </si>
  <si>
    <t>Acido tricloroacético, Con certificado de análisis e incertidumbre. Fecha de vencimiento no inferior a 2 años</t>
  </si>
  <si>
    <t>NO presenta certificado de incertidumbre</t>
  </si>
  <si>
    <t>Actinobacillus pleuropneumoniae (Shope) Pohl et al. (ATCC® 27088D™)</t>
  </si>
  <si>
    <t>ATCC</t>
  </si>
  <si>
    <t>Agar  Medio  de cultivo Glucosa OF Medium</t>
  </si>
  <si>
    <t>Pronadisa o  equivalente</t>
  </si>
  <si>
    <t>Agar agar</t>
  </si>
  <si>
    <t xml:space="preserve">Merck, Oxoid, BBL, Difco, Acumedia, Scharlau, Sigma-Aldrich </t>
  </si>
  <si>
    <t>Se acepta la presentación de 250 g X la cantidad total solicitada en presentación de 500 g sin exceder el precio del item</t>
  </si>
  <si>
    <t>Agar casman</t>
  </si>
  <si>
    <t>BBL BD 211106</t>
  </si>
  <si>
    <t xml:space="preserve">Agar Extracto de levadura </t>
  </si>
  <si>
    <t>No Habilitado</t>
  </si>
  <si>
    <t>Se requiere la Marca Sigma Aldrich
No se adjunta La carta de Distribución de la Marca Condalab</t>
  </si>
  <si>
    <t>Agar Hugh- Leifson (OF)</t>
  </si>
  <si>
    <t>No presenta certificacion de deistribucion autorizada</t>
  </si>
  <si>
    <t xml:space="preserve">Agar MacConkey  </t>
  </si>
  <si>
    <t>FRASCO x 500g</t>
  </si>
  <si>
    <t>Agar Mueller Hinton II (Cation-Adjusted)</t>
  </si>
  <si>
    <t>BBL 211438</t>
  </si>
  <si>
    <t>Agar Sabouraud dextrosa al 4%</t>
  </si>
  <si>
    <t>BD o equivalente</t>
  </si>
  <si>
    <t>No oferto lo solicitado</t>
  </si>
  <si>
    <t>Agar triple azúcar hierro (TSI)</t>
  </si>
  <si>
    <t>Scharlau, Dibico, Sigma-Aldrich</t>
  </si>
  <si>
    <t>No oferta la marca solicitada por la entidad, no presenta certufucado de distribucion</t>
  </si>
  <si>
    <t>Agarosa grado biología molecular Cas 9012-36-6</t>
  </si>
  <si>
    <t>Merck, Acumedia, BBL, Sharlau, Sigma</t>
  </si>
  <si>
    <t>AgPath-ID(TM) One-step RT-PCR Kit; (100 rxn);</t>
  </si>
  <si>
    <t>Applied Biosystem Ref. AM1005</t>
  </si>
  <si>
    <t>Kit x 100 rxn</t>
  </si>
  <si>
    <t>Agua oxigenada Concentracion 3.5 %</t>
  </si>
  <si>
    <t>JGB</t>
  </si>
  <si>
    <t>Botella x 500ml</t>
  </si>
  <si>
    <t>Agua peptonada buferada</t>
  </si>
  <si>
    <t>Agua ultrapura destilada para uso en Biología Molecular con certificado de libre de RNAsas y DNAsas</t>
  </si>
  <si>
    <t>Gibco o equivalente</t>
  </si>
  <si>
    <t>Alcohol ácido Ziehl Neelsen</t>
  </si>
  <si>
    <t>Alcohol antiséptico al 70%</t>
  </si>
  <si>
    <t>Frasco x 700 o 750 ml</t>
  </si>
  <si>
    <t>Alcohol Etilico grado técnico al 96 %</t>
  </si>
  <si>
    <t>No APlica</t>
  </si>
  <si>
    <t>Alcohol industrial para mechero</t>
  </si>
  <si>
    <t>No se adjuntó la carta de distribución de Insuquimica</t>
  </si>
  <si>
    <t>El proponente no anexo ficha del reactivo solicitado</t>
  </si>
  <si>
    <t>Alcohol isoamilico</t>
  </si>
  <si>
    <t xml:space="preserve">Alcohol polivinílico </t>
  </si>
  <si>
    <t>Frasco x 100 g</t>
  </si>
  <si>
    <t>Almidón soluble para análisis con certificado de análisis trazable por lote y descargable mediante el website del fabricante</t>
  </si>
  <si>
    <t xml:space="preserve">Se debe  presentar certificado trazable por lote y descargable desde website
</t>
  </si>
  <si>
    <t>Aminoácidos NO esenciales</t>
  </si>
  <si>
    <t>Gibco 11140-050</t>
  </si>
  <si>
    <t>Amoniaco 25 % para análisis   con certificado de análisis y ficha de seguridad</t>
  </si>
  <si>
    <t>Ampicilina</t>
  </si>
  <si>
    <t>Sigma A9518-5G</t>
  </si>
  <si>
    <t>Frasco x 5 g</t>
  </si>
  <si>
    <t>Anaerocult A</t>
  </si>
  <si>
    <t>Caja x 10</t>
  </si>
  <si>
    <t xml:space="preserve">Anaerocult C </t>
  </si>
  <si>
    <t>Merck 16275</t>
  </si>
  <si>
    <t>Caja x 5</t>
  </si>
  <si>
    <t>Anaerotest indicador anaerobiosis</t>
  </si>
  <si>
    <t>Frasco x 50 tiras</t>
  </si>
  <si>
    <t>Anfotericina B solución para cultivo celular</t>
  </si>
  <si>
    <t>Frasco x 50 ml</t>
  </si>
  <si>
    <t>Antibiotic Antimycotic Solution (100×), Stabilized . with 10,000 units penicillin, 10 mg streptomycin and 25 μg amphotericin B per mL, sterile-filtered, BioReagent, suitable for cell culture</t>
  </si>
  <si>
    <t>Sigma A5955; Gibco 15240062</t>
  </si>
  <si>
    <t>Antibiótico ácido Nalidíxico Cas 389-08-2  N8878. 5g</t>
  </si>
  <si>
    <t>Santa cruz o Sigma</t>
  </si>
  <si>
    <t>Antibiótico natamicina=Piramicina  Cas 7681-93-8</t>
  </si>
  <si>
    <t>Frasco x 25 mg</t>
  </si>
  <si>
    <t>Antibiotico polimixina B Cas 1405-20-5 P4932-1MU</t>
  </si>
  <si>
    <t>Frasco x 500 mg o 1MU</t>
  </si>
  <si>
    <t>Anti-Bovine IgG (whole molecule)−Peroxidase antibody produced in rabbit</t>
  </si>
  <si>
    <t>SIGMA A8917</t>
  </si>
  <si>
    <t>Frascos x 1 ml</t>
  </si>
  <si>
    <t>Antigeno Brucelosis para el test de FC 100 ml</t>
  </si>
  <si>
    <t>Frasco  X 40000 reacciones</t>
  </si>
  <si>
    <t>Antigeno H5N9 Influenza Aviar</t>
  </si>
  <si>
    <t>INSTITUTO ZOOPROFILACTICO DE VENEZIA</t>
  </si>
  <si>
    <t>Frasco liofilizado  x 1 ml</t>
  </si>
  <si>
    <t>Antigeno H6N2  Influenza Aviar</t>
  </si>
  <si>
    <t>Antigeno H7N3  Influenza Aviar</t>
  </si>
  <si>
    <t>Antigeno H9N2  Influenza Aviar</t>
  </si>
  <si>
    <t>Antiserum Fimbrex F4 (k88)</t>
  </si>
  <si>
    <t>Lesniak PA0263 VLA</t>
  </si>
  <si>
    <t xml:space="preserve">Kit </t>
  </si>
  <si>
    <t>Antiserum Fimbrex F41</t>
  </si>
  <si>
    <t>Lesniak PA0262 VLA</t>
  </si>
  <si>
    <t>Antiserum Fimbrex F5 (k99)</t>
  </si>
  <si>
    <t>Lesniak PA0261 VLA</t>
  </si>
  <si>
    <t>API 20 E con reactivos reveladores (James, TDA, VP1,VP2, Solución salina 0,85%)</t>
  </si>
  <si>
    <t>Biomerieux</t>
  </si>
  <si>
    <t>Caja x 25 galerías</t>
  </si>
  <si>
    <t>Armored RNA Enterovirus x 250 ult Asuragen. Ref 42050</t>
  </si>
  <si>
    <t>Asuragen Ref 42050</t>
  </si>
  <si>
    <t>kit x 250ul</t>
  </si>
  <si>
    <t>Azúcar</t>
  </si>
  <si>
    <t>Bolsa x 25 Lbs</t>
  </si>
  <si>
    <t>Azul de Algodón</t>
  </si>
  <si>
    <t>Azul de anilina soluble en agua, de alta pureza, C32H25N3Na2O9S3  F.W.737.72 [28631-66-5]</t>
  </si>
  <si>
    <t>Azul de bromotimol</t>
  </si>
  <si>
    <t>Azul de lactofenol  con certificado de análisis y ficha de seguridad</t>
  </si>
  <si>
    <t>Azul de Metileno</t>
  </si>
  <si>
    <t>Frasco X 25 g</t>
  </si>
  <si>
    <t>Azul de metileno Ziehl Neelsen</t>
  </si>
  <si>
    <t>Azul de nilo</t>
  </si>
  <si>
    <t>Azure II eosin</t>
  </si>
  <si>
    <t xml:space="preserve">Bacitracina </t>
  </si>
  <si>
    <t>Bacto peptona</t>
  </si>
  <si>
    <t>Difco 21677</t>
  </si>
  <si>
    <t>No es la que solicita</t>
  </si>
  <si>
    <t>Bálsamo de Canadá (Reactivo para entomología). Resina espesa derivada del Abeto, con índice de refracción 90% admisible con el vidrio usado en  microscopia para el montaje permanente y observación de estructuras de moscas de la fruta y de insectos en general</t>
  </si>
  <si>
    <t>Biopack o equivalente</t>
  </si>
  <si>
    <t>Base para Primers 200mM</t>
  </si>
  <si>
    <t>Base</t>
  </si>
  <si>
    <t>BBL Crystal ANR</t>
  </si>
  <si>
    <t>245010 BBL</t>
  </si>
  <si>
    <t>Kit x 20 pruebas</t>
  </si>
  <si>
    <t xml:space="preserve">BBL Crystal Entericos / No Fermentadores  </t>
  </si>
  <si>
    <t>BD 245000</t>
  </si>
  <si>
    <t>Caja x 20</t>
  </si>
  <si>
    <t>BBL Crystal gram positivos</t>
  </si>
  <si>
    <t>245140 BBL</t>
  </si>
  <si>
    <t>Beta - glucoronidasa tipo HP-2s de helix Pomatia, Type HP-2S, aqueous solution, ≥100,000 units/ml con fecha de vencimiento no menor a Diciembre de 2021</t>
  </si>
  <si>
    <t>Sigma G7770</t>
  </si>
  <si>
    <t xml:space="preserve">Frasco x 10 ml </t>
  </si>
  <si>
    <t>Betaína</t>
  </si>
  <si>
    <t>Bicarbonato de sodio anhidro con certificado de análisis</t>
  </si>
  <si>
    <t>Merck 106329,1000</t>
  </si>
  <si>
    <t>Frasco x 1 k</t>
  </si>
  <si>
    <t>Bolsa para sangría  con anticoagulante  EDTA</t>
  </si>
  <si>
    <t>Baxter o similar</t>
  </si>
  <si>
    <t>Caja x 64</t>
  </si>
  <si>
    <t>Bondesil C18 bulk sorbent, 40 μm, 100 g Ref.
12213012</t>
  </si>
  <si>
    <t>Agilent o equivalente</t>
  </si>
  <si>
    <t xml:space="preserve"> Frasco 100 g</t>
  </si>
  <si>
    <t>Bondesil-PSA, 40 µm</t>
  </si>
  <si>
    <t>Agilent / Merck o equivalente</t>
  </si>
  <si>
    <t>Brucella abortus FPA control serum 612-IHC</t>
  </si>
  <si>
    <t>Vial x 1 ml</t>
  </si>
  <si>
    <t>Brucella control serum- Brucella suis negative control serum 712 N</t>
  </si>
  <si>
    <t>BSA</t>
  </si>
  <si>
    <t xml:space="preserve">Fracción de albúmina, bovina V 99%  Frasco  50 gramos  </t>
  </si>
  <si>
    <t xml:space="preserve">Buffer de Carga "6X DNA Loading Dye" con 2 Colorantes Azul de Bromo fenol y Xilencianol </t>
  </si>
  <si>
    <t xml:space="preserve">Thermo Scientific o equivalente </t>
  </si>
  <si>
    <t xml:space="preserve">Set x 5 viales x 1 ml o superior </t>
  </si>
  <si>
    <t xml:space="preserve">Buffer pH 10 con fecha vencimiento no menor a 2 años con certificado trazables a NIST valorado por norma DIN 19268 </t>
  </si>
  <si>
    <t>Merck o equivalente</t>
  </si>
  <si>
    <t>Frasco x  1 litro</t>
  </si>
  <si>
    <t>No se evidencia en el certificado de analisis que puede verificar trazabilidad a NIST valorado por norma DIN 19268</t>
  </si>
  <si>
    <t xml:space="preserve">Buffer pH 2 con vigencia superior a 2 años con certificado de análisis trazable  NIST valorado por norma DIN 19268 </t>
  </si>
  <si>
    <t>No se puede verificar trazabilidad a NIST valorado por norma DIN 19268</t>
  </si>
  <si>
    <t xml:space="preserve">Buffer pH 4 con fecha vencimiento no menor a 2 años con certificado trazables a NIST valorado por norma DIN 19268 </t>
  </si>
  <si>
    <t xml:space="preserve">No se puede verificar trazabilidad a NIST valorado por norma DIN 19268, vida util de 2 años, tendria que proveer lotes recientemente fabricado </t>
  </si>
  <si>
    <t xml:space="preserve">Buffer pH 7 con fecha vencimiento no menor a 2 años con certificado trazables a NIST valorado por norma DIN 19268 </t>
  </si>
  <si>
    <t>No se puede verificar trazabilidad a NIST valorado por norma DIN 19268 y producto ofrecido garantiza 2 años de vida util, tendria que proveer lotes recientemente fabricados</t>
  </si>
  <si>
    <t xml:space="preserve">Buffer TBE Tampon 10X (Tris– Borato -EDTA) para Electroforesis </t>
  </si>
  <si>
    <t xml:space="preserve">Amresco 0478-L40 </t>
  </si>
  <si>
    <t>Caldo Brucella</t>
  </si>
  <si>
    <t>Difco/BD o equivalentes</t>
  </si>
  <si>
    <t xml:space="preserve">Frasco x 500 g </t>
  </si>
  <si>
    <t>Caldo Czapek Dox x 500greferencia C1551</t>
  </si>
  <si>
    <t>Sigma, Merck</t>
  </si>
  <si>
    <t>Frasco X 250 g</t>
  </si>
  <si>
    <t xml:space="preserve">Caldo Muller Hinton ajustado con cationes </t>
  </si>
  <si>
    <t>BD 212322</t>
  </si>
  <si>
    <t>Caldo Rojo de metilo Vogues Proskauver</t>
  </si>
  <si>
    <t>Merck 5712</t>
  </si>
  <si>
    <t>Caldo tioglicolato + extracto de carne. Fecha de vencimiento no inferior a 2 años</t>
  </si>
  <si>
    <t>Caldo Trichomonas</t>
  </si>
  <si>
    <t>Caldo urea</t>
  </si>
  <si>
    <t>Scharlau, Dibico o equivante</t>
  </si>
  <si>
    <t>Carbón activado para análisis granular</t>
  </si>
  <si>
    <t>Merck, JT Baker, Sigma</t>
  </si>
  <si>
    <t>Carbonato de Calcio (CaCO3) para analisis</t>
  </si>
  <si>
    <t>Se acepta el cambio de presentación 2 frascos X500g</t>
  </si>
  <si>
    <t>Se acepta el item siempre y cuando entreguen la cantidad requerida. Se debe mantener el valor del item</t>
  </si>
  <si>
    <t>Carbonato de sodio anhidro (Na2CO3)</t>
  </si>
  <si>
    <t>Merck 1.06393.1000</t>
  </si>
  <si>
    <t>Cartuchos de extracción de 6 ml, Octadecyl C18, 40µm, 60A°  entre 500 y 100o mg</t>
  </si>
  <si>
    <t>J.T Baker / Avantor o equivalente</t>
  </si>
  <si>
    <t>Caja x 30 cartuchos</t>
  </si>
  <si>
    <t>La ficha técnica del Item no tiene la presentación (cajax30 unidades), se acepta la presentación ofrecida por el proponente, siempre y cuando no se exceda el presupuesto definido para el item</t>
  </si>
  <si>
    <t>Casamino Acids</t>
  </si>
  <si>
    <t xml:space="preserve">Cellulose microcrystaline diseñada para formar columnas de separación y purificación en procesos de extracción de ácidos nucléicos (RNA, DNA) </t>
  </si>
  <si>
    <t>Merck 1.023310.500</t>
  </si>
  <si>
    <t>D-(+)Celobiosa cas 528-50-7</t>
  </si>
  <si>
    <t xml:space="preserve">Cepa Burkholderia andropogonis ATCC 23061 </t>
  </si>
  <si>
    <t>ATCC o homologa que cumpla con la ISO 17034</t>
  </si>
  <si>
    <t>Unidad vial</t>
  </si>
  <si>
    <t>Cepa Burkholderia caryophylli ATCC 25418</t>
  </si>
  <si>
    <t>Cepa E. coli ATCC 35218</t>
  </si>
  <si>
    <t>ATCC o Equivalente</t>
  </si>
  <si>
    <t>Culti loop</t>
  </si>
  <si>
    <t>Cepa E. coli  ATCC 25922  con certificado  de acreditación con 17034</t>
  </si>
  <si>
    <t>Vial Liofilizado/ Criovial</t>
  </si>
  <si>
    <t>Cepa Ralstonia solanacearum ATCC BAA-1114</t>
  </si>
  <si>
    <t xml:space="preserve">Cepa Salmonella ATCC 14028  Fecha  de vencimiento  no  inferior  a 2022 y  con certificado  de acreditación con 17034 primer pase de la colección </t>
  </si>
  <si>
    <t xml:space="preserve">Vial Liofilizado </t>
  </si>
  <si>
    <r>
      <t xml:space="preserve">Cepa </t>
    </r>
    <r>
      <rPr>
        <i/>
        <sz val="8"/>
        <rFont val="Arial Narrow"/>
        <family val="2"/>
      </rPr>
      <t xml:space="preserve">Staphylococcus aureus </t>
    </r>
  </si>
  <si>
    <t>ATCC 6538</t>
  </si>
  <si>
    <t>Cephalexine hidratada CAS 1820673-23-1</t>
  </si>
  <si>
    <t xml:space="preserve">Chemizorb polvo adsorbente para derrame de sustancias químicas, con certificado de análisis y ficha de seguridad. </t>
  </si>
  <si>
    <t>Frasco x 500 gr</t>
  </si>
  <si>
    <t>Cicloheximida CAS 66-81-9</t>
  </si>
  <si>
    <t xml:space="preserve">Citrato de amonio (C6H8O7.2NH3), reactivo analítico </t>
  </si>
  <si>
    <t>Merck (referencia 1011540500) o similar</t>
  </si>
  <si>
    <t>Citrato de sodio con certificado de análisis y ficha de seguridad</t>
  </si>
  <si>
    <t>Merck (Ref. 1064481000)</t>
  </si>
  <si>
    <t>Frasco x 1 g</t>
  </si>
  <si>
    <t>Cloranfenicol</t>
  </si>
  <si>
    <t>Amresco Gentech 0230 o equivalente</t>
  </si>
  <si>
    <t>Frasco x 25 g</t>
  </si>
  <si>
    <t>Cloroformo grado reactivo</t>
  </si>
  <si>
    <t>JT Baker / Merck</t>
  </si>
  <si>
    <t>Cloroformo 99% Grado Biología Molecular</t>
  </si>
  <si>
    <t>Sigma C2432-500</t>
  </si>
  <si>
    <t>Clorpirifos deuterado  con certificado de análisis y ficha de seguridad.Fecha  de vencimiento  no  inferior  a 6 meses.</t>
  </si>
  <si>
    <t>Sigma Aldrich, Dr Erhenstorfer o similares</t>
  </si>
  <si>
    <t>Frasco x 25mg</t>
  </si>
  <si>
    <t>Cloruro de 2,3,5 Trifenil tetrazolio</t>
  </si>
  <si>
    <t>Cloruro de amonio NH4Cl ACS Para análisis con certificado de análisis trazable por lote</t>
  </si>
  <si>
    <t>Cualquier marca , panreac, Merck</t>
  </si>
  <si>
    <t>Cloruro de calcio dihidratado PA con certificado de análisis trazable por lote</t>
  </si>
  <si>
    <t xml:space="preserve">Frasco x 250 g </t>
  </si>
  <si>
    <t>se acepta en una presentación diferente desde que no se supere la oferta económica y se cumpla con la cantidad total requerida por la Institución</t>
  </si>
  <si>
    <t>Cloruro de estaño  dihidratado CAS 10025-89-1</t>
  </si>
  <si>
    <t>Merck o equvalentes</t>
  </si>
  <si>
    <t>El número CAS es erróneo en la descripción técnica. Se aprueba con el número CAS 10025-69-1</t>
  </si>
  <si>
    <t>Cloruro de Litio (LiCl) grado biología molecular</t>
  </si>
  <si>
    <t>Cloruro de magnesio 6-hidratado (MgCl2.6H2O) con certificado de análisis trazable por lote</t>
  </si>
  <si>
    <t>JT Baker, Merck o equivalente</t>
  </si>
  <si>
    <t>Cloruro de potasio (KCl)  con certificado de análisis y ficha de seguridad</t>
  </si>
  <si>
    <t>Merck  o equivalente</t>
  </si>
  <si>
    <t>Cloruro de Potasio 3M para electrodos, Con certificado de análisis e incertidumbre. Fecha de vencimiento no inferior a 2 años</t>
  </si>
  <si>
    <t>Frasco x 250 mL</t>
  </si>
  <si>
    <t>Cloruro de sodio (NaCl)</t>
  </si>
  <si>
    <t>Merck, Sigma, Sharlau,JT Baker o equivalentes</t>
  </si>
  <si>
    <t>Se acepta la presentación ofertada siempre y cuando no se supere el presupuesto definido para el iíem y se cumpla con la cantidad de 1Kg para cada laboratorio que lo requiera</t>
  </si>
  <si>
    <t>CoaguStaph™, Coagulasa plasma de conejo con EDTA , Test de coagulasa para Staphylococcus aureus</t>
  </si>
  <si>
    <t>Hardy diagnostics</t>
  </si>
  <si>
    <t xml:space="preserve">Caja x 6 x 3 ml </t>
  </si>
  <si>
    <t>Colorante fuschina fenicada Ziehl Neelsen</t>
  </si>
  <si>
    <t>Albor o equivalente</t>
  </si>
  <si>
    <t>Colorante Giemsa</t>
  </si>
  <si>
    <t>Colorante violeta de gram</t>
  </si>
  <si>
    <t>Complemento Guinea Pig Complement.</t>
  </si>
  <si>
    <t>ID Vet  CPLT</t>
  </si>
  <si>
    <t>2 Frascos x 5 ml</t>
  </si>
  <si>
    <t xml:space="preserve">Conjugado - antiguinea pig Ig G whole molecule </t>
  </si>
  <si>
    <t>Sigma A7289</t>
  </si>
  <si>
    <t>Frasco x 1 ml</t>
  </si>
  <si>
    <t>Cristal Violeta</t>
  </si>
  <si>
    <t>CTAB (Bromuro de hexadeciltrimetilamonio o Bromuro de cetiltrimetilamonio)</t>
  </si>
  <si>
    <t>DEPC Diethyl pyrocarbonate (DEPC)</t>
  </si>
  <si>
    <t>sigma, merck</t>
  </si>
  <si>
    <t>FRASCO X 100 gr</t>
  </si>
  <si>
    <t>Desinfectante bactericida a base de yodo</t>
  </si>
  <si>
    <t>Frasco x 3.78 litros</t>
  </si>
  <si>
    <t>D-Fructosa CAS 57-48-7</t>
  </si>
  <si>
    <t>D-Galactosa CAS 59-23-4</t>
  </si>
  <si>
    <t xml:space="preserve">D-Glucosa (Dextrosa) </t>
  </si>
  <si>
    <t>Diciclohexil ftalato  con certificado de análisis y ficha de seguridad</t>
  </si>
  <si>
    <t>cualquier marca</t>
  </si>
  <si>
    <t xml:space="preserve">Difenilftalato </t>
  </si>
  <si>
    <t>Frasco x 500 mL</t>
  </si>
  <si>
    <t>La ficha técnica no corresponde al compuesto solicitado por el ICA. Se solicita difenilftalato y la ficha es del compuesto diethyl ftalato</t>
  </si>
  <si>
    <t>Dimetilsulfóxido</t>
  </si>
  <si>
    <t xml:space="preserve">Di-sodio hidrogenocitrato 1,5-hidrato </t>
  </si>
  <si>
    <t>Sigma Aldrich o equivalente</t>
  </si>
  <si>
    <t>D-Manitol microbiología ,≥98%</t>
  </si>
  <si>
    <t>Sigma/Merck</t>
  </si>
  <si>
    <t>D-Sacarosa</t>
  </si>
  <si>
    <t>Merck 1.07687.0250</t>
  </si>
  <si>
    <t>D-sorbitol</t>
  </si>
  <si>
    <t>Sigma-Aldrich S1876</t>
  </si>
  <si>
    <t>Dulcitol</t>
  </si>
  <si>
    <t>D-Xilosa</t>
  </si>
  <si>
    <t>Merck A1.08689.0100</t>
  </si>
  <si>
    <t>D-XylosaX3877-25G (sigma)</t>
  </si>
  <si>
    <t>Sigma-Aldrich</t>
  </si>
  <si>
    <t>EDTA  CAS 6381-92-6</t>
  </si>
  <si>
    <t>Merck o equivalentes</t>
  </si>
  <si>
    <t>EDTA sal disódica dihidrato</t>
  </si>
  <si>
    <t>Sigma o equivalente</t>
  </si>
  <si>
    <t xml:space="preserve">Electrode solution storage-para almacenar o guardar electrodos de pH </t>
  </si>
  <si>
    <t>Orion</t>
  </si>
  <si>
    <t>Eliminador de nucleasas</t>
  </si>
  <si>
    <t>Varios</t>
  </si>
  <si>
    <t>Spray x 500 mL</t>
  </si>
  <si>
    <t>EMJH enriquecimiento</t>
  </si>
  <si>
    <t xml:space="preserve">Difco </t>
  </si>
  <si>
    <t>Caja x 6 frascos x 100 ml</t>
  </si>
  <si>
    <t>Entellan</t>
  </si>
  <si>
    <t>Enzima Sau. Thermo Ref. ERO191</t>
  </si>
  <si>
    <t>Thermo Ref. ERO191</t>
  </si>
  <si>
    <t>Eosina CAS 17372-87-1</t>
  </si>
  <si>
    <t>Eosina Y</t>
  </si>
  <si>
    <t>Escala de Mac Farland Completa</t>
  </si>
  <si>
    <t>Tubos escala 0,5 a 10</t>
  </si>
  <si>
    <t>Esmalte Transparente para Uñas</t>
  </si>
  <si>
    <t>Checo</t>
  </si>
  <si>
    <t>Estándar de  2-NP-AHD trazable, con certificado con método de análisis e incertidumbre, vigencia no menor a Diciembre de 2022</t>
  </si>
  <si>
    <t>Dr Ehrenstorfer C15654450 o equivalente</t>
  </si>
  <si>
    <t>Frasco x 10 mg</t>
  </si>
  <si>
    <t>Estándar de  2-NP-AMOZ trazable, con certificado con método de análisis e incertidumbre, vigencia no menor a Diciembre de 2022</t>
  </si>
  <si>
    <t>Dr Ehrenstorfer C15654480 o equivalente</t>
  </si>
  <si>
    <t>Estándar de  2-NP-AOZ trazable, con certificado con método de análisis e incertidumbre, vigencia no menor a Diciembre de 2022</t>
  </si>
  <si>
    <t>Dr Ehrenstorfer C15654500 o equivalente</t>
  </si>
  <si>
    <t>Estándar de  2-NP-SCA trazable, con certificado con método de análisis e incertidumbre, vigencia no menor a Diciembre de 2022</t>
  </si>
  <si>
    <t>Dr Ehrenstorfer C15654520 o equivalente</t>
  </si>
  <si>
    <t>Estándar de  2-Thiouracil trazable, con certificado con método de análisis e incertidumbre, vigencia no menor a Diciembre de 2022</t>
  </si>
  <si>
    <t>Dr Ehrenstorfer C17561500</t>
  </si>
  <si>
    <t>Frasco x 250 mg</t>
  </si>
  <si>
    <t>Estándar de  6-Methyl-2-thiouracil trazable, con certificado con método de análisis e incertidumbre, vigencia no menor a Diciembre de 2022</t>
  </si>
  <si>
    <t>Dr Ehrenstorfer C15144300</t>
  </si>
  <si>
    <t>Frasco x 100 mg</t>
  </si>
  <si>
    <t>Estándar de  Boldenona CAS 846-48-0 trazable. Con certificado de análisis e incertidumbre. Fecha de vencimiento no inferior a 2 años</t>
  </si>
  <si>
    <t>Dr Ehrenstorfer C10662000</t>
  </si>
  <si>
    <t>Frasco x  100mg</t>
  </si>
  <si>
    <t>Estándar de  Clenbuterol Clorhidrato trazable, con certificado con método de análisis e incertidumbre, vigencia no menor a Diciembre de 2022</t>
  </si>
  <si>
    <t>Dr Ehrenstorfer o equivalente</t>
  </si>
  <si>
    <t>Estándar de  SEMICARBAZIDE. HCl trazable, con certificado con método de análisis e incertidumbre, vigencia no menor a Diciembre de 2022</t>
  </si>
  <si>
    <t>Dr Ehenstorfer. DRE-C16933500</t>
  </si>
  <si>
    <t>Frasco  x 100 mg</t>
  </si>
  <si>
    <t>Estándar de  zinc 1000 mg/l certificada con trazabilidad e incertidumbre y fecha de vencimiento no inferior a 2 años</t>
  </si>
  <si>
    <t>Merck (referencia 1198060100) o equivalente</t>
  </si>
  <si>
    <t>Cumple con especificaciones minimas técnicas requeridas excepto la presentación, por lo que el item se habilita siempre y cuando el oferente garantice que se entregara los 2 frascos en las cantidades iguales o superriores a los 100 ml solicitados sin exceder el presupuesto oficial definido para este item</t>
  </si>
  <si>
    <t>Estándar de cadmio de 1000 mg/L solución certificada con trazabilidad e incertidumbre y con Fecha de vencimiento no inferior a 2 años</t>
  </si>
  <si>
    <t>Merck (referencia 1197770100) o equivalente</t>
  </si>
  <si>
    <t>Cumple con especificaciones minimas técnicas requeridas excepto la presentación, por lo que el item se habilita siempre y cuando el oferente garantice que se entregara el frasco en la cantidad igual o superrior a los 100 ml solicitados sin exceder el presupuesto oficial definido para este item</t>
  </si>
  <si>
    <t>Estándar de calcio 1000 mg/L solución certificada con trazabilidad e incertidumbre y con fecha de vencimiento no anterior a noviembre de 2022</t>
  </si>
  <si>
    <t>Merck (referencia 1197780100) o equivalente</t>
  </si>
  <si>
    <t>Estándar de cobalto 1000 mg/L solución certificada con trazabilidad e incertidumbre y fecha de vencimiento no inferior a 2 años</t>
  </si>
  <si>
    <t>No se adjuntó el certificado del análisis que permita evidenciar el cumplimiento a las especificaciones.</t>
  </si>
  <si>
    <t>Estándar de cobre 1000 mg/L solución trazable a SRM de NIST certificada con trazabilidad e incertidumbre y fecha de vencimiento no inferior a 2 años</t>
  </si>
  <si>
    <t>Merck (referencia 1197860100) o equivalente</t>
  </si>
  <si>
    <t>Estandar de dienestrol trazable, con certificado con método de análisis e incertidumbre, vigencia no menor a Diciembre de 2022</t>
  </si>
  <si>
    <t xml:space="preserve">Dr Ehrenstorfer 
 REF:
DRE‐C12598000 </t>
  </si>
  <si>
    <t>Frasco  x 25 mg</t>
  </si>
  <si>
    <t>Estandar de Dietilestilbestrol trazable, con certificado con método de análisis e incertidumbre, vigencia no menor a Diciembre de 2022</t>
  </si>
  <si>
    <t xml:space="preserve">        Dr Ehrenstorfer  REF:
DRE‐C12607000 </t>
  </si>
  <si>
    <t>Estándar de Dimetridazole 250 mg. Trazable, con certificado con método de análisis e incertidumbre, vigencia no menor a Diciembre de 2022</t>
  </si>
  <si>
    <t>DRE‐C12772000</t>
  </si>
  <si>
    <t>Estándar de Dimetridazole D3 10 mg. Trazable, con certificado con método de análisis e incertidumbre, vigencia no menor a Diciembre de 2022</t>
  </si>
  <si>
    <t>DRE‐C12772010</t>
  </si>
  <si>
    <t>Estándar de Dimetridazole‐2‐hydroxy . Trazable, con certificado con método de análisis e incertidumbre, vigencia no menor a Diciembre de 2022</t>
  </si>
  <si>
    <t>DRE‐C12772050</t>
  </si>
  <si>
    <t>Estándar de Dimetridazole‐2‐hydroxy D3. Trazable, con certificado con método de análisis e incertidumbre, vigencia no menor a Diciembre de 2022</t>
  </si>
  <si>
    <t xml:space="preserve">DRE‐C12772051 </t>
  </si>
  <si>
    <t>Estándar de fósforo 1000 mg/L trazable a SRM de NIST H3PO4 en H2O , solución  con certificado</t>
  </si>
  <si>
    <t>Merck (referencia 1703400100) o equivalente</t>
  </si>
  <si>
    <t>Estandar de Hexestrol trazable, con certificado con método de análisis e incertidumbre, vigencia no menor a Diciembre de 2022</t>
  </si>
  <si>
    <t>Dr Ehrenstorfer 
 REF:
DRE‐14202800</t>
  </si>
  <si>
    <t>Estándar de magnesio 1000 mg/L solución certificada con trazabilidad e incertidumbre y fecha de vencimiento no anterior a noviembre de 2022</t>
  </si>
  <si>
    <t>Merck (referencia 1197880100) o equivalente</t>
  </si>
  <si>
    <t>No se adjunta el certificado de análisis que presente incertidumbre, fecha de vencimiento, y su equivalente a la referencia Merck.</t>
  </si>
  <si>
    <t xml:space="preserve">Estándar de Manganeso 1000 mg/l Mn en solución, trazable a SRM de NIST </t>
  </si>
  <si>
    <t>Merck (referencia 1197890100) o equivalente</t>
  </si>
  <si>
    <t>Estándar de methimazol ( Tapazol)</t>
  </si>
  <si>
    <t>DrDr Ehrenstorfer.  DRE-C15020200</t>
  </si>
  <si>
    <t>Estándar de penicilina G benzatínica o Penicilina G procaínica o Penicilina G potásica</t>
  </si>
  <si>
    <t xml:space="preserve"> Dr Ehrenstorfer</t>
  </si>
  <si>
    <t>Estándar de Ractopamina HCl CAS 90-274-24-1 trazable, con certificado de análisis e incertidumbre, fecha de vencimiento no inferior a 2 años</t>
  </si>
  <si>
    <t>Dr Ehrenstorfer C16805000</t>
  </si>
  <si>
    <t>Estandar de Ronidazol. Trazable, con certificado con método de análisis e incertidumbre, vigencia no menor a Diciembre de 2022</t>
  </si>
  <si>
    <t>Dr Ehrenstorfer. 
DRE‐C16815500</t>
  </si>
  <si>
    <t>Estandar de Ronidazole D3. Trazable, con certificado con método de análisis e incertidumbre, vigencia no menor a Diciembre de 2022</t>
  </si>
  <si>
    <t>Dr Ehrenstorfer. DRE‐C16815501</t>
  </si>
  <si>
    <t>Estándar de Thiamphenicol 100 mg.Trazable, con certificado con método de análisis e incertidumbre, vigencia no menor a Diciembre de 2022</t>
  </si>
  <si>
    <t>Dr Ehrenstorfer DRE‐C17457000</t>
  </si>
  <si>
    <t>Estándar de Vitamina A trazable, con certificado de método de análisis e incertidumbre, fecha de vencimiento no menor a 2 años</t>
  </si>
  <si>
    <t>USP 1716002, Dr. Ehrenstorfer, Sigma</t>
  </si>
  <si>
    <t>Caja x 10 Ampollas, frascoX100mg</t>
  </si>
  <si>
    <t>Estándar de Vitamina E Trazable, con certificado de método de análisis e incertidumbre y con fecha vigencia no menor a 2 años</t>
  </si>
  <si>
    <t>USP 1667701 o Dr. Ehrenstorfer, o Sigma</t>
  </si>
  <si>
    <t>Estandar deFlorfenicol 250 mg. Trazable, con certificado con método de análisis e incertidumbre, vigencia no menor a Diciembre de 2022</t>
  </si>
  <si>
    <t>Dr Ehrenstorfer. DRE‐C13665000</t>
  </si>
  <si>
    <t>Estándar Ipronidazole 50 mg. Trazable, con certificado con método de análisis e incertidumbre, vigencia no menor a Diciembre de 2022</t>
  </si>
  <si>
    <t>Dr Ehrenstorfer DRE‐C14370700</t>
  </si>
  <si>
    <t>Frasco x 50 mg</t>
  </si>
  <si>
    <t>Estandar Oxytetracycline Hydrochloride fecha de vigencia no menor a 2 años</t>
  </si>
  <si>
    <t>USP, Dr. Ehrenstorfer, Sigma Aldrich</t>
  </si>
  <si>
    <t>mínimo 200 mg</t>
  </si>
  <si>
    <t>Etanol absoluto  anhidro</t>
  </si>
  <si>
    <t>JT Baker, Merck, Mallinkrodt</t>
  </si>
  <si>
    <t>Etanol al 99.5% para biología molecular</t>
  </si>
  <si>
    <t>Panreac A8075.1000PE</t>
  </si>
  <si>
    <t>Etanol cetona gram</t>
  </si>
  <si>
    <t xml:space="preserve">Eter de petroleo  para análisis </t>
  </si>
  <si>
    <t>Merck, JT Baker, Sigma o equivalente</t>
  </si>
  <si>
    <t xml:space="preserve">Se acepta la presentación ofertada (especificamente la de mayor cantidad) siempre y cuando no supere la oferta económica y se cumpla con la cantidad requerida por la institución. </t>
  </si>
  <si>
    <t>Euparal mounting medium</t>
  </si>
  <si>
    <t>Enthos o equivalente</t>
  </si>
  <si>
    <t>Frasco de 100 a 500 ml</t>
  </si>
  <si>
    <t>No allegan carta de ese distribuirdor BioQuip</t>
  </si>
  <si>
    <t xml:space="preserve">Extran libre de fosfatos </t>
  </si>
  <si>
    <t>Merck 1400002500 o equivalente.</t>
  </si>
  <si>
    <t>Se acepta la presentación de 4L ofrecida por el proponente, siempre y cuando no se exceda el presupuesto definido para el item</t>
  </si>
  <si>
    <t>Extran neutro</t>
  </si>
  <si>
    <t>Merck 1.07553.5000 o equivalente</t>
  </si>
  <si>
    <t>La Ficha técnica no cumple con requerimientos especificados por la entidad</t>
  </si>
  <si>
    <t>Fenol-cloroformo-alcohol isoamilico 25:24:1.</t>
  </si>
  <si>
    <t>Merck, JT. Baker o equivalente</t>
  </si>
  <si>
    <t>Frasco x 400 ml o superior</t>
  </si>
  <si>
    <t>Formiato de amonio grado masas</t>
  </si>
  <si>
    <t>Sigma aldrich o equivalente</t>
  </si>
  <si>
    <t>Frasco x 25 a 100 g</t>
  </si>
  <si>
    <t>Fosfato bibásico de sodio anhidro</t>
  </si>
  <si>
    <t>Fosfato de Amonio (NH4H2PO4) o amonio dihidrogeno fosfato</t>
  </si>
  <si>
    <t>Panreac, Sigma-Aldrich, merck(1011260500) o equivalente</t>
  </si>
  <si>
    <t>Se acepta la presentación de 1 kg ofrecida por el proponente, siempre y cuando no se exceda el presupuesto definido para el item</t>
  </si>
  <si>
    <r>
      <t>Fosfato de di-sodio 2-hidrato (Na</t>
    </r>
    <r>
      <rPr>
        <vertAlign val="subscript"/>
        <sz val="8"/>
        <rFont val="Arial Narrow"/>
        <family val="2"/>
      </rPr>
      <t>2</t>
    </r>
    <r>
      <rPr>
        <sz val="8"/>
        <rFont val="Arial Narrow"/>
        <family val="2"/>
      </rPr>
      <t>HPO</t>
    </r>
    <r>
      <rPr>
        <vertAlign val="subscript"/>
        <sz val="8"/>
        <rFont val="Arial Narrow"/>
        <family val="2"/>
      </rPr>
      <t>4.</t>
    </r>
    <r>
      <rPr>
        <sz val="8"/>
        <rFont val="Arial Narrow"/>
        <family val="2"/>
      </rPr>
      <t>2H</t>
    </r>
    <r>
      <rPr>
        <vertAlign val="subscript"/>
        <sz val="8"/>
        <rFont val="Arial Narrow"/>
        <family val="2"/>
      </rPr>
      <t>2</t>
    </r>
    <r>
      <rPr>
        <sz val="8"/>
        <rFont val="Arial Narrow"/>
        <family val="2"/>
      </rPr>
      <t>O) para análisis</t>
    </r>
  </si>
  <si>
    <r>
      <t>Fosfato de sodio (Na</t>
    </r>
    <r>
      <rPr>
        <vertAlign val="subscript"/>
        <sz val="8"/>
        <rFont val="Arial Narrow"/>
        <family val="2"/>
      </rPr>
      <t>3</t>
    </r>
    <r>
      <rPr>
        <sz val="8"/>
        <rFont val="Arial Narrow"/>
        <family val="2"/>
      </rPr>
      <t>PO</t>
    </r>
    <r>
      <rPr>
        <vertAlign val="subscript"/>
        <sz val="8"/>
        <rFont val="Arial Narrow"/>
        <family val="2"/>
      </rPr>
      <t>4</t>
    </r>
    <r>
      <rPr>
        <sz val="8"/>
        <rFont val="Arial Narrow"/>
        <family val="2"/>
      </rPr>
      <t>)</t>
    </r>
  </si>
  <si>
    <t>Scharlau</t>
  </si>
  <si>
    <t>Fosfato dibásico de potasio (k2HPO4)</t>
  </si>
  <si>
    <t>Fosfato monobásico de potasio (kH2PO4)</t>
  </si>
  <si>
    <t>Merck 1048730250 o equivalente</t>
  </si>
  <si>
    <t xml:space="preserve">Fosfato monobásico de sodio con certificado de análisis trazable por lote </t>
  </si>
  <si>
    <t>Fucsina de gram</t>
  </si>
  <si>
    <t>Fucsina de Ziehl Neelsen</t>
  </si>
  <si>
    <t>Fuschina ácida en polvo</t>
  </si>
  <si>
    <t>Fisher</t>
  </si>
  <si>
    <t>Fuschina Basica</t>
  </si>
  <si>
    <t>Merck, JT. Baker, sigma o equivalente</t>
  </si>
  <si>
    <t>Gel antibacterial para manos</t>
  </si>
  <si>
    <t>Gelatin, Powder</t>
  </si>
  <si>
    <t>Gelatina</t>
  </si>
  <si>
    <t>Gentamicina en solución 50 mg/ml</t>
  </si>
  <si>
    <t>Frasco x 10 ml</t>
  </si>
  <si>
    <t>Germen de trigo</t>
  </si>
  <si>
    <t>Bolsa x 300 g</t>
  </si>
  <si>
    <t>Se acepta la presentación siempre y cuando ésta no sobrepase el presupuesto otorgado a este item
No se adjuntó la carta de distribución de LA ESTAMPA</t>
  </si>
  <si>
    <t>Glicerina al 87 a 99%  o superior</t>
  </si>
  <si>
    <t>Glicerol al 99% puro</t>
  </si>
  <si>
    <t xml:space="preserve">Fisher, JT Baker, Scharlau  </t>
  </si>
  <si>
    <t xml:space="preserve">Graphitized Carbon Black (GCB) </t>
  </si>
  <si>
    <t>Shalau, Agilent, Waters o equivalentes</t>
  </si>
  <si>
    <t>Hematoxilina</t>
  </si>
  <si>
    <t>Hexano para análisis de residuos</t>
  </si>
  <si>
    <t>Merck, Supelco, PanReac o similares</t>
  </si>
  <si>
    <t>Hidroquinona (pyrocatechol)</t>
  </si>
  <si>
    <t>Hidróxido de amonio del 25% con certificado de análisis trazable por lote y descargable mediante el website del fabricante</t>
  </si>
  <si>
    <t>El producto ofertado corresponde amonicaco (sal) y el producto requerido es Hidróxido de amonio (base).</t>
  </si>
  <si>
    <t>Hidróxido de potasio 85- 99%</t>
  </si>
  <si>
    <t>Hidróxido de Sodio 0,1 mol</t>
  </si>
  <si>
    <t>Hidróxido de sodio anhidro 99% en lentejas</t>
  </si>
  <si>
    <t>Hipoclorito de sodio al 5.25%, con certificado de análisis y ficha de seguridad</t>
  </si>
  <si>
    <t>Frasco x 5 L</t>
  </si>
  <si>
    <t>ID Gene™ Brucella spp triplex</t>
  </si>
  <si>
    <t>ID VET. IDBRU-100</t>
  </si>
  <si>
    <t>Kit x 100</t>
  </si>
  <si>
    <t>ID Gene™ Mycobacterium tuberculosis complex Duplex</t>
  </si>
  <si>
    <t>ID VET. IDTUB-100</t>
  </si>
  <si>
    <t>Indicador biológico para esterilización a vapor</t>
  </si>
  <si>
    <t>Caja x 100 viales</t>
  </si>
  <si>
    <t>No presenta certificado de distribución</t>
  </si>
  <si>
    <t>Ipronidazole‐hydroxy. Trazable, con certificado con método de análisis e incertidumbre, vigencia no menor a Diciembre de 2021</t>
  </si>
  <si>
    <t>Dr Ehrenstorfer DRE‐C14370720</t>
  </si>
  <si>
    <t xml:space="preserve"> Frasco x10 mg</t>
  </si>
  <si>
    <t xml:space="preserve">Isooctano PA de residuos (vencimiento mayor 14 meses) con certificado de análisis y ficha de seguridad </t>
  </si>
  <si>
    <t>Merck, Supelco, J.T. Baker o equivalente</t>
  </si>
  <si>
    <t>Frasco x 2,5 L</t>
  </si>
  <si>
    <t xml:space="preserve">Isopropanol grado espectrometria de masas con certificado de análisis y ficha de seguridad </t>
  </si>
  <si>
    <t>Frasco x 4 L</t>
  </si>
  <si>
    <t>La ficha especificación de producto no indica inequívocamente que es grado masas</t>
  </si>
  <si>
    <t>No cumple con el certificado de carencia solicitado</t>
  </si>
  <si>
    <t>Isopropanol Grado biología molecular</t>
  </si>
  <si>
    <t>Frasco x 1 Litro</t>
  </si>
  <si>
    <t xml:space="preserve">Isopropanol grado HPLC </t>
  </si>
  <si>
    <t xml:space="preserve"> Adjuntaron ficha técnica de isoproppanol grado HPLC</t>
  </si>
  <si>
    <t>Jabón líquido bactericida, viricida y fungicida</t>
  </si>
  <si>
    <t>Frasco x 3.78 L</t>
  </si>
  <si>
    <t>No allega carta de distrubución de la marca Integrox</t>
  </si>
  <si>
    <t>Jabón líquido para manos</t>
  </si>
  <si>
    <t>kanamicina</t>
  </si>
  <si>
    <t>Thermo Fisher</t>
  </si>
  <si>
    <t>No presenta ficha tecnica</t>
  </si>
  <si>
    <t xml:space="preserve">Kit Bactec MGIT 960 suplemento  </t>
  </si>
  <si>
    <t>Caja x 100</t>
  </si>
  <si>
    <t>Kit coloración de Gram (fuscina de gram, cristal violeta, lugol de gram y alcohol acetona de gram)</t>
  </si>
  <si>
    <t>BBL, Fisher o equivalente</t>
  </si>
  <si>
    <t>Kit compuesto por: BU030001 Buffer solución PH 4,00 / BU030002 Buffer solución PH 7,00 / BU030003 Buffer solución PH10,00 / IS030908 Potasio cloruro 3,0 Molar, con certificado</t>
  </si>
  <si>
    <t>Kit x 4 botellas x 100 ml</t>
  </si>
  <si>
    <t>MagMAX-96 AI/ND Viral RNA Isolation Kit, 4x96; (384 rxn);Ref AM1835</t>
  </si>
  <si>
    <t>Applied Biosystem. Ref AM1835</t>
  </si>
  <si>
    <t>Kit 4 x 96</t>
  </si>
  <si>
    <t>Kit para detección de antigenos de la rabia en cultivo y en tejidos cerebrales y submaxilares de animales infectados. Cantidad 5ml, marca Millipore.                    Catálogo: 5100.                                   Laboratorio: LNDV</t>
  </si>
  <si>
    <t xml:space="preserve">Millipore Catálogo: 5100.    </t>
  </si>
  <si>
    <t>Lactofenol según Amann</t>
  </si>
  <si>
    <t>Quimer Diagnóstica</t>
  </si>
  <si>
    <t>Frasco X 1 L</t>
  </si>
  <si>
    <t>Lactosa</t>
  </si>
  <si>
    <t>Sigma 17814</t>
  </si>
  <si>
    <t>L-Arabinosa</t>
  </si>
  <si>
    <t>L-Arginina</t>
  </si>
  <si>
    <t xml:space="preserve">L-Asparagina monohidratada </t>
  </si>
  <si>
    <t>L-hidrocloruro cisteinaC1276-10G</t>
  </si>
  <si>
    <t>Frasco x 10 g</t>
  </si>
  <si>
    <t>Light Green</t>
  </si>
  <si>
    <t>L-tirosina</t>
  </si>
  <si>
    <t>L-Triptofano reactivo analítico</t>
  </si>
  <si>
    <t>L-Tyrosine análitico, ≥99.0% </t>
  </si>
  <si>
    <t>Frasco de 25 g</t>
  </si>
  <si>
    <t>Lugol de gram</t>
  </si>
  <si>
    <t xml:space="preserve">Cumple </t>
  </si>
  <si>
    <t>D(+)Manosa CAS 3458-28-4</t>
  </si>
  <si>
    <t>Merck/VWR</t>
  </si>
  <si>
    <t>Material  de referencia certificado  para  conteo de enterobacterias. Fecha  de vencimiento  no  inferior  a 2022 y  con certificado  de ISO  17043</t>
  </si>
  <si>
    <t xml:space="preserve">Material de Referencia Poultry Feed. Con certificado de análisis e incertidumbre. </t>
  </si>
  <si>
    <t>LGC 7173</t>
  </si>
  <si>
    <t xml:space="preserve">Frasco x 45 g </t>
  </si>
  <si>
    <t>May-Grunwald Stain</t>
  </si>
  <si>
    <t>Medio de cultivo LB Fecha de vencimiento no inferior a dos años</t>
  </si>
  <si>
    <t>Medio de cultivo PDA Fecha de vencimiento no inferior a dos años</t>
  </si>
  <si>
    <t>Medio de Kligler</t>
  </si>
  <si>
    <t>Merck o cualquier marca</t>
  </si>
  <si>
    <t xml:space="preserve">Medio de suspensión para API </t>
  </si>
  <si>
    <t>Biomerieux 20150</t>
  </si>
  <si>
    <t>Caja x ampollas de 5ml</t>
  </si>
  <si>
    <t>Medio de transporte Stuart</t>
  </si>
  <si>
    <t>Kit x 50 tubos</t>
  </si>
  <si>
    <t>No presenta ficha tecnica, no presenta carta de distribucion autorizada</t>
  </si>
  <si>
    <t>Medio Dulbecco´s MEM</t>
  </si>
  <si>
    <t xml:space="preserve">Gibco, Sigma-Aldrich </t>
  </si>
  <si>
    <t>Extracto de carne Fecha de vencimiento no inferior a dos año</t>
  </si>
  <si>
    <t>No carta de distribución</t>
  </si>
  <si>
    <t>Medio King B</t>
  </si>
  <si>
    <t>Medio Simmons Citrato</t>
  </si>
  <si>
    <t>No allega carta de distribución</t>
  </si>
  <si>
    <t>MEM Non-Essential Amino Acids Solution (100X)</t>
  </si>
  <si>
    <t>Gibco 11140076</t>
  </si>
  <si>
    <t>D(+) Mercaptoetanol &gt;= 99.0% (Peligroso)</t>
  </si>
  <si>
    <t>Sigma-Aldrich M-6250</t>
  </si>
  <si>
    <t xml:space="preserve">Metanol grado espectrometría de masas Lichrosolv hipergrade LC/MS con certificado de análisis y ficha de seguridad </t>
  </si>
  <si>
    <t>Merck Lichrosolv hipergrade LC/MS o equivalente</t>
  </si>
  <si>
    <t xml:space="preserve">Frasco x 2.5 litros </t>
  </si>
  <si>
    <t xml:space="preserve">Metanol HPLC con certificado de análisis y ficha de seguridad </t>
  </si>
  <si>
    <t>Mycobacterium - Mycobacterium
avium ssp. Paratuberculosis
(Johne's) fecal sample</t>
  </si>
  <si>
    <t>NVSL. MAP-POS</t>
  </si>
  <si>
    <t>NVSL de USA no da certificado de distribución para sus productos</t>
  </si>
  <si>
    <t>Mycobacterium bovis direct PCR
control, positive, bovine tissue with
BCG</t>
  </si>
  <si>
    <t>NVSL. MBD-POS</t>
  </si>
  <si>
    <t>Mycobacterium bovis direct PCR
control, positive, bovine tissue with
Mtb H37a</t>
  </si>
  <si>
    <t>NVSL. TBD-POS</t>
  </si>
  <si>
    <t>Mycobacterium species DNA</t>
  </si>
  <si>
    <t>NVSL. MYC-DNA</t>
  </si>
  <si>
    <t>Negro de Clorazol</t>
  </si>
  <si>
    <t>Sigma o equivalentes</t>
  </si>
  <si>
    <t>Frasco de 25 gramos o de 30 ml</t>
  </si>
  <si>
    <t>Negro de eriocromo T</t>
  </si>
  <si>
    <t>Frasco X  25 g</t>
  </si>
  <si>
    <t xml:space="preserve">N-Hexano RA </t>
  </si>
  <si>
    <t>Merck, JT Baker, Mallinckrodt</t>
  </si>
  <si>
    <t>Se acepta la presentación ofertada (especificamente la de mayor cantidad) siempre y cuando no supera la oferta económica y se cumpla con la cantidad requerida por la institución.</t>
  </si>
  <si>
    <t>Nitrato de Plata</t>
  </si>
  <si>
    <t>Nitrato de Potasio (kNO3)</t>
  </si>
  <si>
    <t>Merck 1050631000</t>
  </si>
  <si>
    <t>Frasco x 1000 g</t>
  </si>
  <si>
    <t>Nitrato de Potasio (KNO3) ultrapuro</t>
  </si>
  <si>
    <t>Nitrato de sodio (NaNO3)</t>
  </si>
  <si>
    <t>Panreac, Merck(1065370500) o equivalente</t>
  </si>
  <si>
    <t>Nitro blue tretrazolium (NBT) Tabletas</t>
  </si>
  <si>
    <t>Sigma N5514</t>
  </si>
  <si>
    <t>frasco x 25 u</t>
  </si>
  <si>
    <t xml:space="preserve">N-lauroyl sarcosin sal sódica </t>
  </si>
  <si>
    <t>Nystatin suspensión 10,000 units/ml nystatin en DPBS, aseptically processed, BioReagent, para cultivo celular</t>
  </si>
  <si>
    <t>O Antiserum Salmonella Poly A-I and VI</t>
  </si>
  <si>
    <t>Bacto 2264-47-2, Difco 222641 o equivalente</t>
  </si>
  <si>
    <t>Frasco x 3 ml</t>
  </si>
  <si>
    <t xml:space="preserve">O Antisuero Salmonella somático Factor 5 </t>
  </si>
  <si>
    <t>O-Phenylene diamine 5 mg (Peligroso)</t>
  </si>
  <si>
    <t>Sigma P3804-100</t>
  </si>
  <si>
    <t>Caja x 100 tabletas</t>
  </si>
  <si>
    <t>O-Phenylene diaminehydrochloride 10 mg (Peligroso)</t>
  </si>
  <si>
    <t>Sigma P8287-100</t>
  </si>
  <si>
    <t>O-Phenylene diaminehydrochloride 5 mg (Peligroso)</t>
  </si>
  <si>
    <t>Orseina CAS 1400-62-0</t>
  </si>
  <si>
    <t>Ovoalbúmina Grado II</t>
  </si>
  <si>
    <t>Sigma  A5253</t>
  </si>
  <si>
    <t>Ovoalbúmina Grado V</t>
  </si>
  <si>
    <t>Sigma  A5503</t>
  </si>
  <si>
    <t>diamonio oxalato monohidrato, reactivo analítico</t>
  </si>
  <si>
    <t>JTBaker, merck o similares</t>
  </si>
  <si>
    <t>Oxgall referencia 212820</t>
  </si>
  <si>
    <t>Difco</t>
  </si>
  <si>
    <t>Parafina</t>
  </si>
  <si>
    <t>No adjuntó la Carta de distribución de la Marca Protokimica</t>
  </si>
  <si>
    <t>PBS pH 7,4 1x líquido</t>
  </si>
  <si>
    <t>Gibco, Sigma-Aldrich</t>
  </si>
  <si>
    <t>Caja x 10 (500 ml)</t>
  </si>
  <si>
    <t>PCB 103</t>
  </si>
  <si>
    <t>Dr. Ehrenstorfer o equivalente</t>
  </si>
  <si>
    <t>PCB 52</t>
  </si>
  <si>
    <t>PCNB AL 94 %</t>
  </si>
  <si>
    <t>Sigma Aldrich</t>
  </si>
  <si>
    <t>Penicilina cristalina 1.000.000 U</t>
  </si>
  <si>
    <t xml:space="preserve">Frasco x 5 ml </t>
  </si>
  <si>
    <t>Peróxido de hidrógeno 30%</t>
  </si>
  <si>
    <t>Fenol Cristal</t>
  </si>
  <si>
    <r>
      <t>Piruvato de sodio (C</t>
    </r>
    <r>
      <rPr>
        <vertAlign val="subscript"/>
        <sz val="8"/>
        <rFont val="Arial Narrow"/>
        <family val="2"/>
      </rPr>
      <t>3</t>
    </r>
    <r>
      <rPr>
        <sz val="8"/>
        <rFont val="Arial Narrow"/>
        <family val="2"/>
      </rPr>
      <t>H</t>
    </r>
    <r>
      <rPr>
        <vertAlign val="subscript"/>
        <sz val="8"/>
        <rFont val="Arial Narrow"/>
        <family val="2"/>
      </rPr>
      <t>3</t>
    </r>
    <r>
      <rPr>
        <sz val="8"/>
        <rFont val="Arial Narrow"/>
        <family val="2"/>
      </rPr>
      <t>NaO</t>
    </r>
    <r>
      <rPr>
        <vertAlign val="subscript"/>
        <sz val="8"/>
        <rFont val="Arial Narrow"/>
        <family val="2"/>
      </rPr>
      <t>3</t>
    </r>
    <r>
      <rPr>
        <sz val="8"/>
        <rFont val="Arial Narrow"/>
        <family val="2"/>
      </rPr>
      <t>) para microbiología</t>
    </r>
  </si>
  <si>
    <t>Sigma, o cualquier marca</t>
  </si>
  <si>
    <t>Frasco</t>
  </si>
  <si>
    <t>PolimixinaB-sulfato</t>
  </si>
  <si>
    <t>Sigma P-1004</t>
  </si>
  <si>
    <t>Frascox 1000000Units</t>
  </si>
  <si>
    <t>Polipectato de sodio (sal sódica del ácido poligalacturónico)</t>
  </si>
  <si>
    <t>Polivinilpirrolidona (PVP) 40</t>
  </si>
  <si>
    <t xml:space="preserve">No cumple con las especificaciones técnicas requeridas por la entidad en cuanto el indice K requerido que es de 40. </t>
  </si>
  <si>
    <t>Se acepta la presentación de 250g ofrecida por el proponente, siempre y cuando no se exceda el presupuesto definido para el item</t>
  </si>
  <si>
    <t>Polvo Extracto de Carne 1039790500</t>
  </si>
  <si>
    <t>Potasio cloruro en solución (nominal 111 mS/cm)</t>
  </si>
  <si>
    <t>Potasio cloruro en solución (nominal 12,8 mS/cm)</t>
  </si>
  <si>
    <t>Se acepta la presentación ofrecida por el proponente (250ml), siempre y cuando no se exceda el presupuesto definido para el Item, se debe ofrecer 500ml. La presentación solicitada en el pliego de condiciones es (500ml)</t>
  </si>
  <si>
    <t>Propilenglicol grado industrial USP</t>
  </si>
  <si>
    <t>Merck o  equivalentes</t>
  </si>
  <si>
    <t>Garrafa 2 gl</t>
  </si>
  <si>
    <t>Proteinase K, lista para usar</t>
  </si>
  <si>
    <t>S3020 Merck (124568) o equivalentes</t>
  </si>
  <si>
    <t>unidad o 100 mg</t>
  </si>
  <si>
    <t>Puretaq ready to go PCR beads. Premezcla para optimizar amplificaciones de PCR</t>
  </si>
  <si>
    <t xml:space="preserve">General Electric  27-9559-01 </t>
  </si>
  <si>
    <t>Rafinosa</t>
  </si>
  <si>
    <t>Reactivo alfa-naftol para  prueba de VP</t>
  </si>
  <si>
    <t>Merck o  equivalente</t>
  </si>
  <si>
    <t>Frasco x 250 ml</t>
  </si>
  <si>
    <t>Reactivo de kovacs para revelación de indol</t>
  </si>
  <si>
    <t>Merck 1092930100, Sigma-Aldrich o equivalente</t>
  </si>
  <si>
    <t>Rifamycin SV sodium salt</t>
  </si>
  <si>
    <t>Frasco X 1 g</t>
  </si>
  <si>
    <t xml:space="preserve">RNase AWAY en Spray solucion para descontaminar material de laboratorio como mesas y micropipetas de RNAsas. </t>
  </si>
  <si>
    <t>Frasco x 475 ml</t>
  </si>
  <si>
    <t>RNase Inhibitor. Proteína recombinante con inhibidor de rnasa neutro, 40U/µl</t>
  </si>
  <si>
    <t>Invitrogen AM 2684</t>
  </si>
  <si>
    <t>RNaseA (SigmaAldrich Cat #R4642) (20mg/ml)</t>
  </si>
  <si>
    <t>SigmaAldrich Cat #R4642</t>
  </si>
  <si>
    <t>frasco X 10mg</t>
  </si>
  <si>
    <t>Rojo de metilo</t>
  </si>
  <si>
    <t>Rojo Fenol</t>
  </si>
  <si>
    <t>Merck, Sigma o equivalente</t>
  </si>
  <si>
    <t>Safranina</t>
  </si>
  <si>
    <t>Salbutamol free base 100 mg. Trazable, con certificado con método de análisis e incertidumbre, vigencia no menor a Diciembre de 2021</t>
  </si>
  <si>
    <t xml:space="preserve"> Dr Ehrenstorfer 
DRE‐C16903000</t>
  </si>
  <si>
    <r>
      <rPr>
        <i/>
        <sz val="8"/>
        <rFont val="Arial Narrow"/>
        <family val="2"/>
      </rPr>
      <t>Salmonella</t>
    </r>
    <r>
      <rPr>
        <sz val="8"/>
        <rFont val="Arial Narrow"/>
        <family val="2"/>
      </rPr>
      <t xml:space="preserve"> O Antiserum Poly A-I &amp; Vi</t>
    </r>
  </si>
  <si>
    <t>Difco  REF 222641</t>
  </si>
  <si>
    <t>vial  x 3 ml</t>
  </si>
  <si>
    <t xml:space="preserve">SDS </t>
  </si>
  <si>
    <t>Sigma-Aldrich L5750</t>
  </si>
  <si>
    <t>Sensidiscos de ácido nalidíxico</t>
  </si>
  <si>
    <t>BBL, BD</t>
  </si>
  <si>
    <t xml:space="preserve">Sensidiscos de amikacina </t>
  </si>
  <si>
    <t>Sensidiscos de Amoxycillin 2ug</t>
  </si>
  <si>
    <t>Sensidiscos de ampicilina</t>
  </si>
  <si>
    <t>Sensidiscos de Ampicillin/sulbactam 2:1</t>
  </si>
  <si>
    <t>Sensidiscos de bacitracina 0.04 ug</t>
  </si>
  <si>
    <t>Tubo x 50 discos</t>
  </si>
  <si>
    <t>Sensidiscos de colistin</t>
  </si>
  <si>
    <t>Difco 230749</t>
  </si>
  <si>
    <t>Sensidiscos de estreptomicina</t>
  </si>
  <si>
    <t>Sensidiscos de linezolid</t>
  </si>
  <si>
    <t>Difco 231761</t>
  </si>
  <si>
    <t>Sensidiscos de Penicilina/novobiocina 10unidades/30 ug</t>
  </si>
  <si>
    <t>Sensidiscos de Rifampicina</t>
  </si>
  <si>
    <t>Caja x 5 tubos x 5 ug</t>
  </si>
  <si>
    <t>Sensidiscos de Sulfametoxasol 15 ug</t>
  </si>
  <si>
    <t>Sensidiscos de tetraciclina</t>
  </si>
  <si>
    <t xml:space="preserve">Sodio citrato tribasico dihidratado </t>
  </si>
  <si>
    <t>Merck, Emsure o similares</t>
  </si>
  <si>
    <t>Frasco X 500g</t>
  </si>
  <si>
    <t>Se acepta la presentación de 1kg ofrecida por el proponente, siempre y cuando no se exceda el presupuesto definido para este Item</t>
  </si>
  <si>
    <t>Solución Patrón de Arsénico 1000 mg As/L</t>
  </si>
  <si>
    <t>Merck (1197730100) o equivalente</t>
  </si>
  <si>
    <t>Solución patron de boro 1000 mg/L B trazable  a SMR  de NIST con vigencia superior a 2años</t>
  </si>
  <si>
    <t>Merck (1195000500) o equivalente</t>
  </si>
  <si>
    <t>Solución Patrón de Cromo 1000 mg Cr/L</t>
  </si>
  <si>
    <t>Merck (1197790100) o equivalente</t>
  </si>
  <si>
    <t>No se se adjunta una nueva ficha tecnica para asi evaluar las especificaciones minimas tecnicas.</t>
  </si>
  <si>
    <t>Solución Patrón de Hierro 1000 mg Fe/L</t>
  </si>
  <si>
    <t>Merck (1197810100) o equivalente</t>
  </si>
  <si>
    <t>Solución Patrón de Mercurio 1000 mg Hg/L</t>
  </si>
  <si>
    <t>Merck (1702260100) o equivalente</t>
  </si>
  <si>
    <t xml:space="preserve">Solución Patrón de Níquel 1000 mg Ni/L </t>
  </si>
  <si>
    <t>Merck (1197920100) o equivalente</t>
  </si>
  <si>
    <t>Solución Patrón de Plomo 1000 mg Pb/L</t>
  </si>
  <si>
    <t>Merck (1197760100) o equivalente</t>
  </si>
  <si>
    <t>Solución Patrón de Potasio 1000 mg K/L</t>
  </si>
  <si>
    <t>Merck (1702300100) o equivalente</t>
  </si>
  <si>
    <t xml:space="preserve">Sonda Taqman de Marcaje dual purificada.  Longitud: Hasta 30 bases. Escala de síntesis:  25nmol a 100nmol . Marcada con FAM/ VIC/ TET/ HEX/NED como reportero y TAMRA como atenuador. </t>
  </si>
  <si>
    <t>Sterikon plus bioindicador</t>
  </si>
  <si>
    <t>Caja x 15 ampollas</t>
  </si>
  <si>
    <t>Streptavidina - HRP</t>
  </si>
  <si>
    <t>Vial 6 ul - 600ul</t>
  </si>
  <si>
    <t>Suero bovino adulto esteril</t>
  </si>
  <si>
    <t>Sigma B9433</t>
  </si>
  <si>
    <t>Brucella abortus control serum - Brucella abortus complement fixation(CF) high positive control serum 12-H</t>
  </si>
  <si>
    <t>Vial x 2ml</t>
  </si>
  <si>
    <t>Brucella abortus control serum - Brucella abortus complement fixation (CF) negative control serum 12-N</t>
  </si>
  <si>
    <t>Vial x 2 ml</t>
  </si>
  <si>
    <t xml:space="preserve">Suero de referencia negativo AIID Inmunodifusion Influenza Aviar </t>
  </si>
  <si>
    <t>NVSL AMES</t>
  </si>
  <si>
    <t>Frasco liofilizado  x 0,6 ml</t>
  </si>
  <si>
    <t>Suero de Referencia Negativo para Leucosis Enzoótica Bovina</t>
  </si>
  <si>
    <t>Suero de Referencia Negativo para Mycobacterium paratuberculoso</t>
  </si>
  <si>
    <t>Suero de Referencia Negativo para Rinotraqueitis Infecciosa Bovina</t>
  </si>
  <si>
    <t>La ficha técinica refiere un suero positivo. Se necesita es un suero de referencia NEGATIVO</t>
  </si>
  <si>
    <t xml:space="preserve">Suero de referencia positivo debil AIID Inmunodifusion Influenza Aviar </t>
  </si>
  <si>
    <t xml:space="preserve">Suero de referencia positivo fuerte AIID Inmunodifusion Influenza Aviar </t>
  </si>
  <si>
    <t>Frasco liofilizado x 0,6 ml</t>
  </si>
  <si>
    <t>Suero de Referencia Positivo para Diarrea Viral Bovina (antígeno) tipo 2 Ref: 546 BDV</t>
  </si>
  <si>
    <t>NVSL Ref 546 BDV</t>
  </si>
  <si>
    <t>Suero de Referencia Positivo Fuerte para Leucosis Enzoótica Bovina</t>
  </si>
  <si>
    <t>Suero de Referencia Positivo para Mycobacterium paratuberculoso</t>
  </si>
  <si>
    <t>Suero de Referencia Positivo para Rinotraqueitis Infecciosa Bovina</t>
  </si>
  <si>
    <t>Suero Equino Estéril</t>
  </si>
  <si>
    <t>Suero fetal bovino gamma irradiado número de referencia 12103C-500mll</t>
  </si>
  <si>
    <t>Suero negativo para Brucelosis para FC</t>
  </si>
  <si>
    <t>Suero positivo para Brucelosis para FC</t>
  </si>
  <si>
    <t>El proponente no presenta Anexo 7</t>
  </si>
  <si>
    <t>Sulfato de amonio, pureza ≥99,5%, trazable a NIST</t>
  </si>
  <si>
    <t>Sigma Flujka 59845</t>
  </si>
  <si>
    <t>Sulfato de magnesio anhidro</t>
  </si>
  <si>
    <t xml:space="preserve">
Se acepta la presentación ofertada (marca CDH) preferiblemente la de menor cantidad, siempre y cuando  no supere la oferta económica y adicionalmente se cumpla con la cantidad requerida por la institución</t>
  </si>
  <si>
    <t>Sulfato de magnesio heptahidratado (MgSO4.7H2O) &gt; 99%</t>
  </si>
  <si>
    <t>Cualquier marca Panreac, sigma Aldrich o equivalente</t>
  </si>
  <si>
    <t>Sulfato de manganeso II R.A. &gt;= 99%</t>
  </si>
  <si>
    <t>Panreac, Sigma-Aldrich</t>
  </si>
  <si>
    <t xml:space="preserve">Sulfato de Potasio </t>
  </si>
  <si>
    <t xml:space="preserve">
Se acepta la presentación ofertada (marca equivalente - marca CDH) preferiblemente la de menor cantidad, siempre y cuando no supere la oferta económica y se cumpla con la cantidad requerida por la institución</t>
  </si>
  <si>
    <t>Sulfato de sodio anhidro granulado PA con certificado de análisis trazable por lote y descargable mediante el website del fabricante</t>
  </si>
  <si>
    <t>Sulfito de sodio (Na2SO3)</t>
  </si>
  <si>
    <t>Swine influenza 2009 H1N1 positive
control RNA for N1 PCR</t>
  </si>
  <si>
    <t>NVSL. 305-IDV</t>
  </si>
  <si>
    <t>SYBR Green PCR Master Mix®</t>
  </si>
  <si>
    <t>Apply Biosystems No. Cat. 4309155</t>
  </si>
  <si>
    <t xml:space="preserve">1 vial x 5 ml. </t>
  </si>
  <si>
    <t>SYBR Safe para tinción de geles de agarosa (10.000X)</t>
  </si>
  <si>
    <t xml:space="preserve">Vial x 400 µl </t>
  </si>
  <si>
    <t>Tego 51</t>
  </si>
  <si>
    <t>Test de inmunodifusión en Gel de Agar para la detección de anticuerpos contra el virus de Anemia Infecciosa Equina</t>
  </si>
  <si>
    <t>200 reacciones</t>
  </si>
  <si>
    <t>Tetraborato de sodio reactivo analítico</t>
  </si>
  <si>
    <t>Tetrahidrofurano para análisis</t>
  </si>
  <si>
    <t>Timolftaleína</t>
  </si>
  <si>
    <t>Merck, Código del reactivo 1081750025</t>
  </si>
  <si>
    <t>Timsen</t>
  </si>
  <si>
    <t>Se acepta la oferta siempre y cuando suministren la presentación solicitada</t>
  </si>
  <si>
    <t xml:space="preserve">Tiosulfato de sodio pentahidratado PA con certificado de análisis trazable por lote </t>
  </si>
  <si>
    <t>Tiras para prueba de oxidasa</t>
  </si>
  <si>
    <t xml:space="preserve">Frasco x 50 tiras </t>
  </si>
  <si>
    <t>Trehalosa</t>
  </si>
  <si>
    <t>Triphenyl Phosphate (Trifenilo fosfato) para síntesis, pureza ≥ 99%,  CAS 115-86-6</t>
  </si>
  <si>
    <t>Sigma -Aldrich/ Merck Colombia</t>
  </si>
  <si>
    <t>Frasco de vidrio x 50g/ Frasco plástico X 100g</t>
  </si>
  <si>
    <t>Triptona</t>
  </si>
  <si>
    <t>Tris - HCL (Listo para usar en Polvo)</t>
  </si>
  <si>
    <t>Amresco o equivalente</t>
  </si>
  <si>
    <t>Frasco X 1 Kg</t>
  </si>
  <si>
    <t>El Producto ofertado no es TRIS -HCL
No se entregó nueva ficha técncia</t>
  </si>
  <si>
    <t xml:space="preserve">Tris base. Grado ACS </t>
  </si>
  <si>
    <t>Trizol LS Reagent  Ref 10296028</t>
  </si>
  <si>
    <t>Ambion Ref 10296028</t>
  </si>
  <si>
    <t>Frasco x 200mL</t>
  </si>
  <si>
    <t>Trizol Reagent  Ref 15596018</t>
  </si>
  <si>
    <t>Ambion o Invitrogen 15596018</t>
  </si>
  <si>
    <t>Tween 20</t>
  </si>
  <si>
    <t>Sigma P-1379</t>
  </si>
  <si>
    <t>Tween 80</t>
  </si>
  <si>
    <t>Merck, Sigma-Aldrich</t>
  </si>
  <si>
    <t>Urea</t>
  </si>
  <si>
    <t>J.T Baker, panreac o equivalente</t>
  </si>
  <si>
    <t>Varsol</t>
  </si>
  <si>
    <t>Bioequipos</t>
  </si>
  <si>
    <t>e acepta la presentación de 100g siempre y cuando no exceda el valor del item</t>
  </si>
  <si>
    <t>Vaselina</t>
  </si>
  <si>
    <t>Verde malaquita oxalato</t>
  </si>
  <si>
    <t xml:space="preserve">Vermiculita </t>
  </si>
  <si>
    <t>Bulto x 30 Kg</t>
  </si>
  <si>
    <t>Virkons</t>
  </si>
  <si>
    <t>Lanxess</t>
  </si>
  <si>
    <t>Tarro x 5 kg</t>
  </si>
  <si>
    <t>Xylenes (Xilol)</t>
  </si>
  <si>
    <t>JT baker o equivalente</t>
  </si>
  <si>
    <t>El producto de la ficha tecnica no corresponde con Yeast Torula se esta ofreciendo Ribonucleic Yeast Torula pero lo que se requeire es la levadura de torula como aditivo de alimentos</t>
  </si>
  <si>
    <t>Yeast hydrolysate enzymatic</t>
  </si>
  <si>
    <t xml:space="preserve">MP Biomedicals </t>
  </si>
  <si>
    <t>Caneca x 5 libras</t>
  </si>
  <si>
    <t xml:space="preserve">Yeast Torula </t>
  </si>
  <si>
    <t>Yodo con certificado de análisis del lote, ficha de seguridad y fecha de vencimiento no inferior a 3 años</t>
  </si>
  <si>
    <t>Cumple con especificaciones mínimas técnicas requeridas excepto la presentación, por lo que el item se habilita siempre y cuando el oferente garantice que se entregaran 4 frascos en las cantidades igual o superior a los 25 g solicitados sin exceder el presupuesto oficial definido para este item</t>
  </si>
  <si>
    <t>Diamonio hidrogeno fosfato (NH₄)₂HPO₄</t>
  </si>
  <si>
    <t xml:space="preserve">Panreac, Sigma-Aldrich, merck(1012070500) </t>
  </si>
  <si>
    <t>Antisuero Salmonella  somático O  Factor 9</t>
  </si>
  <si>
    <t xml:space="preserve">3 ml </t>
  </si>
  <si>
    <t xml:space="preserve">Antisuero Salmonella  somático  O Grupo  B ( Factor 4) </t>
  </si>
  <si>
    <t>ESCHERICHIA COLI DERIVADA DE ATCC® 700728™</t>
  </si>
  <si>
    <t>Microbiologics o equivalente</t>
  </si>
  <si>
    <t>KWIK-STIK x 2</t>
  </si>
  <si>
    <t>Dicromato de potasio reactivo analítico con certificado de análisis. Estandar primario</t>
  </si>
  <si>
    <t>Atrazina D5, estandar deuterado con certificado de análisis y fecha de vencimiento superior a 6 meses
CAS 16316-75-1</t>
  </si>
  <si>
    <t xml:space="preserve">Dr Ehrenstorfer, HPC Standars, Sigma o equivalentes </t>
  </si>
  <si>
    <t>Estandar PCB 28 con certificado de análisis y fecha de vencimiento inferior a 6 meses</t>
  </si>
  <si>
    <t>Estandar PCB 101 con certificado de análisis y fecha de vencimiento inferior a 6 meses</t>
  </si>
  <si>
    <t>Estandar PCB 138 con certificado de análisis y fecha de vencimiento inferior a 6 meses</t>
  </si>
  <si>
    <t>Estandar PCB 153 con certificado de análisis y fecha de vencimiento inferior a 6 meses</t>
  </si>
  <si>
    <t>Estandar PCB 180 con certificado de análisis y fecha de vencimiento inferior a 6 meses</t>
  </si>
  <si>
    <t>Recuperando datos. Espere unos segundos e intente cortar o copiar de nuevo.</t>
  </si>
  <si>
    <t>Estandar Dieldrin con certificado de análisis y fecha de vencimiento inferior a 6 meses</t>
  </si>
  <si>
    <t>El oferente ofrece una presentación distinta a la indicada (10 mg). Sin embargo, se acepta ya que cumple con la cantidad total solicitada.</t>
  </si>
  <si>
    <t>Estandar Heptaclor con certificado de análisis y fecha de vencimiento inferior a 6 meses</t>
  </si>
  <si>
    <t>Se acepta la presentación de 100 mg ofrecida por el oferente, siempre y cuando no se exeda el presupuesto definido para este item</t>
  </si>
  <si>
    <t>Estandar Endrin con certificado de análisis y fecha de vencimiento inferior a 6 meses</t>
  </si>
  <si>
    <t>Estandar Hexacloro benceno con certificado de análisis y fecha de vencimiento inferior a 6 meses</t>
  </si>
  <si>
    <t>Estandar Mirex con certificado de análisis y fecha de vencimiento inferior a 6 meses</t>
  </si>
  <si>
    <t>Estandar 4,4-DDT con certificado de análisis y fecha de vencimiento inferior a 6 meses</t>
  </si>
  <si>
    <t>Estandar 4,4-DDD con certificado de análisis y fecha de vencimiento inferior a 6 meses</t>
  </si>
  <si>
    <t>Estandar 4,4-DDE con certificado de análisis y fecha de vencimiento inferior a 6 meses</t>
  </si>
  <si>
    <t>ANTISUERO DE TIPIFICACION SALMONELLA Y SHIGELLA, SALMONELLA O GRUPO B.FACT.1,4,5,12 LIOFILIZADO</t>
  </si>
  <si>
    <t>FRASCO X 3 ML</t>
  </si>
  <si>
    <t>VIAL SALMONELLA H ANTISERUM SINGLE FACTOR 5,3 ML</t>
  </si>
  <si>
    <t>VIAL SALMONELLA H ANTISERUM G COMPLEX</t>
  </si>
  <si>
    <t>ANTISUERO SALMONELLA FACTOR D (H)</t>
  </si>
  <si>
    <t>FRASCO X 2 ML</t>
  </si>
  <si>
    <t>ANTISUERO SALMONELLA FACTOR 12 (O)</t>
  </si>
  <si>
    <t>ANTISUERO SALMONELLA FACTOR 7 (H)</t>
  </si>
  <si>
    <t>Isopropanol Grado reactivo</t>
  </si>
  <si>
    <t>Merck / JT Baker o equivalente</t>
  </si>
  <si>
    <t>Agar Baird Parker</t>
  </si>
  <si>
    <t>No presenta certificado de distribución y tampoco oferta la marca solicitad por la entidad</t>
  </si>
  <si>
    <t>Emulsion Yema de Huevo Con Telurito x 100 ml</t>
  </si>
  <si>
    <t>Frasco X 100 ml</t>
  </si>
  <si>
    <t>agar enterocococel</t>
  </si>
  <si>
    <t>BD o equivalentes</t>
  </si>
  <si>
    <t xml:space="preserve">Agar EMB </t>
  </si>
  <si>
    <t>Agar Manitol</t>
  </si>
  <si>
    <t>Agar Muller Hinton</t>
  </si>
  <si>
    <t>MERCK o equivalentes</t>
  </si>
  <si>
    <t>Skim Milk</t>
  </si>
  <si>
    <t>Agar Caso o Tripticasa de Soya</t>
  </si>
  <si>
    <t>Caldo Caso o Tripticasa de Soya</t>
  </si>
  <si>
    <t xml:space="preserve">Adjunta ficha técnica. No cumple con la experiencia.
específica
</t>
  </si>
  <si>
    <t>Agar TSN</t>
  </si>
  <si>
    <t>Oxoid  Merck</t>
  </si>
  <si>
    <t>Agar VRB G</t>
  </si>
  <si>
    <t>No cumple con la marca solicitada</t>
  </si>
  <si>
    <t>Agar YGC</t>
  </si>
  <si>
    <t xml:space="preserve">Agar VRB </t>
  </si>
  <si>
    <t>La marca  del producto reportada en la ficha tecnica no es la solicitada por la entidad</t>
  </si>
  <si>
    <t>No presenta el anexo No.7</t>
  </si>
  <si>
    <t>Caldo Brila</t>
  </si>
  <si>
    <t>Caldo Tertrationate</t>
  </si>
  <si>
    <t xml:space="preserve">Caldo Rappaport </t>
  </si>
  <si>
    <t xml:space="preserve">Oxoid  CM 0669,Merck </t>
  </si>
  <si>
    <t>Caldo tripticasa soya  modificado E.coli O:157</t>
  </si>
  <si>
    <t xml:space="preserve">Oxoid  </t>
  </si>
  <si>
    <t>Agar BHI-Presentación:Frasco x 500 g-</t>
  </si>
  <si>
    <t>Marca:Oxoid</t>
  </si>
  <si>
    <t>Caldo tioglicolato --Marca:Oxoid</t>
  </si>
  <si>
    <t>Caldo triptosa fosfato -Marca:Oxoid</t>
  </si>
  <si>
    <t xml:space="preserve">Estandar Ivermectin </t>
  </si>
  <si>
    <t xml:space="preserve">
Dr. Ehrenstorfer
Sigma Aldrich (Estándar Secundario Farmacéutico)</t>
  </si>
  <si>
    <t>La presentación depende del proveedor (Cantidad requerida: 200 mg)</t>
  </si>
  <si>
    <t xml:space="preserve">GA 3500s, Conditioning Reagent; (Bolsa 1 Unds); </t>
  </si>
  <si>
    <t xml:space="preserve">Unidad   </t>
  </si>
  <si>
    <t>GA 3500s, Cathode Buffer Container (CBC); (Caja 4 Unds)</t>
  </si>
  <si>
    <t>SuperScript™ III One-Step RT-PCR System with Platinum™ Taq High Fidelity DNA Polymerase. 12574035</t>
  </si>
  <si>
    <t>Unidad </t>
  </si>
  <si>
    <t xml:space="preserve">Kit Transcripción Reversa MMLV  Marca:Invitrogen 28025013 </t>
  </si>
  <si>
    <t>Sonda para PCR en tiempo real de rango 15-35pb en escala de 200nM marcación dual Marca:18064071</t>
  </si>
  <si>
    <t xml:space="preserve">AGUA tratada con DEPC, para uso con RNA, es Incubada con 0.1% de DEPC, autoclavada y luego filtrada. Caja x 4 Frascos de 100ml. Ref 750024 </t>
  </si>
  <si>
    <t>DNase I (RNase-free) x 2000Und.  Ref AM2222</t>
  </si>
  <si>
    <t xml:space="preserve">DNA Ladder 1 Kb Plus X 1000 ug Ref 10787026 </t>
  </si>
  <si>
    <t>SYBR Green PCR Master Mix. Set 2x5 mL. Ref 4364344</t>
  </si>
  <si>
    <t>Base de primers desalados en escala 50nM sintetizado por. Ref 10629012</t>
  </si>
  <si>
    <t>No se encuentra la ficha técnica del ítem</t>
  </si>
  <si>
    <t xml:space="preserve">Sonda Custom TaqMan Probe, diseñada por usted mismo purificacada con HPLC
X20,000 pmol (20nm), marcada con 6FAM/ VIC/ TET/ NED como reportero y MGBNFQ como atenuador. NO Incluye primers Ref 4316033 </t>
  </si>
  <si>
    <t>Applied Biosystem</t>
  </si>
  <si>
    <t xml:space="preserve">RNase A, en concentración 20mg/ml. Frasco x10 ml. Ref 12091021 </t>
  </si>
  <si>
    <t xml:space="preserve">Random Primers 1.5mM, [~297ug/100ul].
Kit 100ul. Ref 48190011 </t>
  </si>
  <si>
    <t xml:space="preserve">RNase OUT. Kit x 5.000Und. INVITROGEN Es un potente inhibibor de ribonucleasas
de tipo pancreático tales como la Rnase A, RNasa B, Rnasa C Ref 10777019 </t>
  </si>
  <si>
    <t xml:space="preserve">SYBR Safe (10.000X), para tinción de ácidos nucleicos en gel. Vial x400µl. Ref S33102 </t>
  </si>
  <si>
    <t>TRIS (base) UltraPuro, libre de RNasas, DNasas y proteasas, pureza =99.9%. X 1Kg Ref 15504020</t>
  </si>
  <si>
    <t xml:space="preserve">Oligo (dt) 12-18 PRIMER. Esta listo para usar como un primer en la sintesis de cDNA con transcriptasa reversa. Vial
x25ug. Ref 18418012 </t>
  </si>
  <si>
    <t>Tube Bacte MGIT 7ML</t>
  </si>
  <si>
    <t>BD 245122</t>
  </si>
  <si>
    <t>CAJA X 100</t>
  </si>
  <si>
    <t>Tube Lowenstein- Jensen Gruft 100EA</t>
  </si>
  <si>
    <t>BD 297653</t>
  </si>
  <si>
    <t>Kit Mycoprep 75 ML</t>
  </si>
  <si>
    <t>BD 240862</t>
  </si>
  <si>
    <t>CAJA X 10</t>
  </si>
  <si>
    <t>Kit ELISA por  5 placas INGEZIM  CORONA DIFERENCIAL 2.0 </t>
  </si>
  <si>
    <t>(INGENASA)</t>
  </si>
  <si>
    <t>REVEAL FOR RUMINANT IN FEED REF 8100</t>
  </si>
  <si>
    <t>Feed</t>
  </si>
  <si>
    <t>KIT x 25 Pruebas</t>
  </si>
  <si>
    <t>No presenta certificado de distribucion</t>
  </si>
  <si>
    <t>ELEMENTOS QUIMICOS</t>
  </si>
  <si>
    <t>SUMINISTROS CLÍNICOS ISLA S.A.S.</t>
  </si>
  <si>
    <t>PURIFICACIÓN Y ANÁLISIS</t>
  </si>
  <si>
    <t>SADIREP</t>
  </si>
  <si>
    <t>CASA CIENTIFICA BLANCO Y COMPAÑÍA S.A.S</t>
  </si>
  <si>
    <t>Consosorcio CC</t>
  </si>
  <si>
    <t xml:space="preserve">Bioplast </t>
  </si>
  <si>
    <t>100 each</t>
  </si>
  <si>
    <t xml:space="preserve">100 por bolsas </t>
  </si>
  <si>
    <t xml:space="preserve">MP BIOMEDICALS </t>
  </si>
  <si>
    <t>RACK X 50</t>
  </si>
  <si>
    <t>BIOLOGIX</t>
  </si>
  <si>
    <t>1 bag</t>
  </si>
  <si>
    <t>Bolsa x 50</t>
  </si>
  <si>
    <t>Bolsa x 100</t>
  </si>
  <si>
    <t>Kasvi</t>
  </si>
  <si>
    <t>WHATMAN REF. 7704-0001</t>
  </si>
  <si>
    <t>UNISEAL CPE COLD FILM 100/PK</t>
  </si>
  <si>
    <t>paq x 100</t>
  </si>
  <si>
    <t xml:space="preserve">GE </t>
  </si>
  <si>
    <t>caja x 100</t>
  </si>
  <si>
    <t xml:space="preserve">unidad </t>
  </si>
  <si>
    <t>HOSPITAL</t>
  </si>
  <si>
    <t xml:space="preserve">paq  x 100  </t>
  </si>
  <si>
    <t xml:space="preserve">BIOLOGIKA </t>
  </si>
  <si>
    <t>paq  x 1000</t>
  </si>
  <si>
    <t xml:space="preserve">HIGIETEX </t>
  </si>
  <si>
    <t>rollo 500 g</t>
  </si>
  <si>
    <t>MK</t>
  </si>
  <si>
    <t>Bolsa x 10</t>
  </si>
  <si>
    <t>DWK</t>
  </si>
  <si>
    <t>paq  x 10</t>
  </si>
  <si>
    <t xml:space="preserve">BRAND </t>
  </si>
  <si>
    <t>SIMPORT SCIENTIFIC</t>
  </si>
  <si>
    <t xml:space="preserve">GOOD CARE </t>
  </si>
  <si>
    <t>PRODEMA</t>
  </si>
  <si>
    <t>UNIDAD</t>
  </si>
  <si>
    <t xml:space="preserve">UNITED </t>
  </si>
  <si>
    <t>PAQX20</t>
  </si>
  <si>
    <t>KARTELL</t>
  </si>
  <si>
    <t>YSI</t>
  </si>
  <si>
    <t>Caja x 40 x 25 und</t>
  </si>
  <si>
    <t>paq x 500</t>
  </si>
  <si>
    <t>LMS (ALE)</t>
  </si>
  <si>
    <t xml:space="preserve">NACIONAL </t>
  </si>
  <si>
    <t>BOECO</t>
  </si>
  <si>
    <t>paq x 200</t>
  </si>
  <si>
    <t>Caja x 500</t>
  </si>
  <si>
    <t>Nasco.</t>
  </si>
  <si>
    <t>paq x 400</t>
  </si>
  <si>
    <t>CAJA/500</t>
  </si>
  <si>
    <t xml:space="preserve">Bolsa x 100 </t>
  </si>
  <si>
    <t>NASCO</t>
  </si>
  <si>
    <t>Caja x 500 und</t>
  </si>
  <si>
    <t>BULBTRONICS</t>
  </si>
  <si>
    <t xml:space="preserve">VWR </t>
  </si>
  <si>
    <t xml:space="preserve">MILL-ROSE </t>
  </si>
  <si>
    <t>Caja x 480 und</t>
  </si>
  <si>
    <t>PETRIQ</t>
  </si>
  <si>
    <t xml:space="preserve">ESTRA </t>
  </si>
  <si>
    <t xml:space="preserve">HOME COLLETION </t>
  </si>
  <si>
    <t>Biologix</t>
  </si>
  <si>
    <t xml:space="preserve">ENTHOS </t>
  </si>
  <si>
    <t>RECCO</t>
  </si>
  <si>
    <t>UND</t>
  </si>
  <si>
    <t>MILLIQ</t>
  </si>
  <si>
    <t>ESTRA</t>
  </si>
  <si>
    <t>paq x 1</t>
  </si>
  <si>
    <t xml:space="preserve">3 M </t>
  </si>
  <si>
    <t xml:space="preserve">NORTH SAFETY </t>
  </si>
  <si>
    <t>GP</t>
  </si>
  <si>
    <t>RUBBERMAID</t>
  </si>
  <si>
    <t>CITOPLUS</t>
  </si>
  <si>
    <t>COLGEL</t>
  </si>
  <si>
    <t>PAQ X 16</t>
  </si>
  <si>
    <t xml:space="preserve">Paquete x 5 </t>
  </si>
  <si>
    <t>BRIXCO</t>
  </si>
  <si>
    <t>caja x 24</t>
  </si>
  <si>
    <t>Rollo</t>
  </si>
  <si>
    <t>PAQ X 100</t>
  </si>
  <si>
    <t>WHATMAN</t>
  </si>
  <si>
    <t>MILLIPORE</t>
  </si>
  <si>
    <t>TOPEX</t>
  </si>
  <si>
    <t>ILKO</t>
  </si>
  <si>
    <t>Paquete x 2 unidades</t>
  </si>
  <si>
    <t>Simport</t>
  </si>
  <si>
    <t>T328-96</t>
  </si>
  <si>
    <t>BRAND</t>
  </si>
  <si>
    <t>90-9009</t>
  </si>
  <si>
    <t>CAPP ref. 5042010C</t>
  </si>
  <si>
    <t>Plastic cryobox, 130 x 130 x 50 mm, grid 10 x 10 for 2,0mL cryovials</t>
  </si>
  <si>
    <t>caja x 36</t>
  </si>
  <si>
    <t>SHARPIE</t>
  </si>
  <si>
    <t>caja x 12</t>
  </si>
  <si>
    <t>Paquete x 100</t>
  </si>
  <si>
    <t>CAPP  ref. 5041000C</t>
  </si>
  <si>
    <t>Expell cryo tube 1,0mL, pre-sterile, bag, x 100 pcs</t>
  </si>
  <si>
    <t>paq x 1000</t>
  </si>
  <si>
    <t>Caja x 1000</t>
  </si>
  <si>
    <t>CAPP ref. 5042000C</t>
  </si>
  <si>
    <t>Expell cryo tube 2,0mL, pre-sterile, bag, x 100 pcs</t>
  </si>
  <si>
    <t>Usa Scientific</t>
  </si>
  <si>
    <t>CAPP ref. 5045000C</t>
  </si>
  <si>
    <t>Expell cryo tube 5,0mL, pre-sterile, bag, 5x100 pcs</t>
  </si>
  <si>
    <t>JIPO (ALE)</t>
  </si>
  <si>
    <t>Caja  x 100</t>
  </si>
  <si>
    <t>caja x 300</t>
  </si>
  <si>
    <t>PARAMAOUNT</t>
  </si>
  <si>
    <t>CEM</t>
  </si>
  <si>
    <t>LABGILLS (ESP)</t>
  </si>
  <si>
    <t>CAPP ref. CF10-1</t>
  </si>
  <si>
    <t>Dispensador  de 1-10 mL, volumen variable, graduación de 1 mL, exactitud +/- 0,5%, reproducibilidad ≤0,1%; vidrio borosilicato. Cerámica, platino-iridio, ETFE, FEP, PFA, YPP (caperuza de cierre de la canula);  apto para bases, acidos, soluciones acuosas y solventes organicos. Marca CAPP CF10-1  Capp bottle top dispenser, 1-10mL.</t>
  </si>
  <si>
    <t>CAPP ref. CF50-1</t>
  </si>
  <si>
    <t xml:space="preserve">Dispensador  de 5-50 mL, volumen variable, graduación de 1 mL, exactitud +/- 0,5%, reproducibilidad ≤0,1%; vidrio borosilicato. Cerámica, platino-iridio, ETFE, FEP, PFA, YPP (caperuza de cierre de la canula);  apto para bases, acidos, soluciones acuosas y solventes organicos. Marca CAPP CF50-1  Capp bottle top dispenser, 5-50mL. </t>
  </si>
  <si>
    <t>KIMAX</t>
  </si>
  <si>
    <t>paq x 300</t>
  </si>
  <si>
    <t>paq x 2</t>
  </si>
  <si>
    <t>SCIENCEWARE  BEL-ART</t>
  </si>
  <si>
    <t>SPECTRONIC</t>
  </si>
  <si>
    <t>LABSCIENT</t>
  </si>
  <si>
    <t>CAJA/100</t>
  </si>
  <si>
    <t>MIÇ</t>
  </si>
  <si>
    <t>Caja x 30</t>
  </si>
  <si>
    <t>Paquete x 45</t>
  </si>
  <si>
    <t>CYTIVA ref. 9913-2502</t>
  </si>
  <si>
    <t>Whatman Uniflo 25mm 0.22 PVDF S 45/PK</t>
  </si>
  <si>
    <t>Caja x 75</t>
  </si>
  <si>
    <t>CYTIVA 9913-2504</t>
  </si>
  <si>
    <t>Whatman Uniflo 25mm 0.45 PVDF S 45/PK</t>
  </si>
  <si>
    <t xml:space="preserve">paq X 50 </t>
  </si>
  <si>
    <t>paq X 100</t>
  </si>
  <si>
    <t>CORNING</t>
  </si>
  <si>
    <t>paq X  6</t>
  </si>
  <si>
    <t>paq X 25</t>
  </si>
  <si>
    <t>FL-MEDICAL</t>
  </si>
  <si>
    <t>paq x 50</t>
  </si>
  <si>
    <t>PUTH</t>
  </si>
  <si>
    <t>VACUTAINER</t>
  </si>
  <si>
    <t>SAFETY &amp; INDUSTRIAL SUPPLES</t>
  </si>
  <si>
    <t>CREWS</t>
  </si>
  <si>
    <t>rollo 100 yardas</t>
  </si>
  <si>
    <t>KRAMER</t>
  </si>
  <si>
    <t>300 gr / caja 50</t>
  </si>
  <si>
    <t>400 gr / caja 50</t>
  </si>
  <si>
    <t>CAP MEDICAL</t>
  </si>
  <si>
    <t>PAQ x 5</t>
  </si>
  <si>
    <t>POBEL (ESP)</t>
  </si>
  <si>
    <t>BEL-ART</t>
  </si>
  <si>
    <t>Kartell</t>
  </si>
  <si>
    <t>paq x 5</t>
  </si>
  <si>
    <t>MICROFLEX</t>
  </si>
  <si>
    <t>Par</t>
  </si>
  <si>
    <t>ETERNA</t>
  </si>
  <si>
    <t>WELL LEMONT</t>
  </si>
  <si>
    <t>TRAMOTINA</t>
  </si>
  <si>
    <t>NIPRO</t>
  </si>
  <si>
    <t>caja 80</t>
  </si>
  <si>
    <t xml:space="preserve">Caja x 50 </t>
  </si>
  <si>
    <t>importado</t>
  </si>
  <si>
    <t>Importado</t>
  </si>
  <si>
    <t>Fasco x 200 g</t>
  </si>
  <si>
    <t>MP biomedicals</t>
  </si>
  <si>
    <t>200 gr</t>
  </si>
  <si>
    <t>4.5 ml</t>
  </si>
  <si>
    <t>DIMEDA</t>
  </si>
  <si>
    <t xml:space="preserve">5 Metros </t>
  </si>
  <si>
    <t>RDV</t>
  </si>
  <si>
    <t>Caja x 12</t>
  </si>
  <si>
    <t>Nacional</t>
  </si>
  <si>
    <t>M.F.S</t>
  </si>
  <si>
    <t>Boeco</t>
  </si>
  <si>
    <t>CAPP ref. C10000-1</t>
  </si>
  <si>
    <t>Micropipeta de 1000-10000 ul con certificado de calibración y trazabilidad expedida por laboratorio acreditado ante el ONAC. Marca CAPP C10000-1 Capp Aero Ecopipette, variable vol. 100-10000 µl, ecopipette</t>
  </si>
  <si>
    <t>CAPP ref. C1000-1</t>
  </si>
  <si>
    <t>Micropipeta de 1000-1000 ul con certificado de calibración y trazabilidad expedida por laboratorio acreditado ante el ONAC. Marca CAPP C1000-1 Capp Ecopipette, variable vol. 100-1000 µl, ecopipette</t>
  </si>
  <si>
    <t>CAPP ref. C100-1</t>
  </si>
  <si>
    <t>Micropipeta de 10-100 ul con certificado de calibración y trazabilidad expedida por laboratorio acreditado ante el ONAC. Marca CAPP C100-1 Capp Ecopipette, variable vol. 10-100 µl, ecopipette</t>
  </si>
  <si>
    <t>CAPP ref. C10-1</t>
  </si>
  <si>
    <t>Micropipeta de 1-10 ul con certificado de calibración y trazabilidad expedida por laboratorio acreditado ante el ONAC. Marca CAPP C10-1 Capp Ecopipette, variable vol. 1-10 µl, ecopipette</t>
  </si>
  <si>
    <t>CAPP ref. C5000-1</t>
  </si>
  <si>
    <t>Micropipeta de 1-5 ml con certificado de calibración y trazabilidad expedida por laboratorio acreditado ante el ONAC. Marca CAPP C5000-1 Capp Aero Ecopipette, variable vol. 1-5 ml, ecopipette</t>
  </si>
  <si>
    <t>CAPP ref. C20-1</t>
  </si>
  <si>
    <t>Micropipeta de 2-20 ul con certificado de calibración y trazabilidad expedida por laboratorio acreditado ante el ONAC. Marca CAPP C20-1 Capp Ecopipette, variable vol. 2-20 µl, ecopipette</t>
  </si>
  <si>
    <t>CAPP ref. C200-1</t>
  </si>
  <si>
    <t>Micropipeta de 20-200 ul con certificado de calibración y trazabilidad expedida por laboratorio acreditado ante el ONAC. Marca CAPP C200-1 Capp Ecopipette, variable vol. 20-200 µl, ecopipette</t>
  </si>
  <si>
    <t>Micropipeta de 1-10 ul con certificado de calibración y trazabilidad expedida por laboratorio acreditado ante el ONAC. Marca CAPP C10-1 Capp Ecopipette, variable vol. 1-10 µl, ecopipette incluye paquete x 1000 puntas</t>
  </si>
  <si>
    <t>CAPP ref. C50-12</t>
  </si>
  <si>
    <t>Micropipeta Multicanal 12 canales 5-50 ul con certificado de calibración y trazabilidad expedida por laboratorio acreditado ante el ONAC. Marca CAPP C50-12  Capp mµlti pipettes, 12-channel, 5-50 µl.</t>
  </si>
  <si>
    <t>Caja x 50</t>
  </si>
  <si>
    <t>Ref 2623</t>
  </si>
  <si>
    <t>paq x 60</t>
  </si>
  <si>
    <t>NUNC INC</t>
  </si>
  <si>
    <t>BIORAD</t>
  </si>
  <si>
    <t>BIOLOGIKA</t>
  </si>
  <si>
    <t>JIPO</t>
  </si>
  <si>
    <t>paq x 120</t>
  </si>
  <si>
    <t>BAUKER</t>
  </si>
  <si>
    <t>STREAMLIGHT</t>
  </si>
  <si>
    <t>paq x 4</t>
  </si>
  <si>
    <t>NALGENE</t>
  </si>
  <si>
    <t>rollo</t>
  </si>
  <si>
    <t>paq x 280</t>
  </si>
  <si>
    <t>KIMBERLY-CLARK</t>
  </si>
  <si>
    <t>CAJA/25</t>
  </si>
  <si>
    <t>AHLSTROM</t>
  </si>
  <si>
    <t>Paquete x 12 libros x 50 hojas</t>
  </si>
  <si>
    <t>WHATMAN ref. 1001-185</t>
  </si>
  <si>
    <t>Papel de filtro No. 1. Ø = 185 mm. Marca Whatman GE 1001-185  GR 1 18.5CM 100/PK.</t>
  </si>
  <si>
    <t>WHATMAN ref. 1001-090</t>
  </si>
  <si>
    <t>Papel de filtro No. 1. Ø = 90 mm. Marca Whatman GE 1001-090  GR 1 9.0CM 100/PK.</t>
  </si>
  <si>
    <t>WHATMAN ref. 1002-110</t>
  </si>
  <si>
    <t>Papel de filtro No. 2 Ø = 110 mm. MARCA Whatman GE 1002-110  GR 2 11.0CM 100/PK.</t>
  </si>
  <si>
    <t>WHATMAN ref. 1442-110</t>
  </si>
  <si>
    <t>Papel de filtro No. 42 Ø = 110 mm. Marca Whatman GE 1442-110  GR 42 11CM 100/PK.</t>
  </si>
  <si>
    <t>WHATMAN ref. 1001-150</t>
  </si>
  <si>
    <t>Papel de filtro Whatman No. 1 qualitative. Ø = 150 mm. Marca Whatman GE 1001-150  GR 1 15.0CM 100/PK.</t>
  </si>
  <si>
    <t>WHATMAN ref. 10342594</t>
  </si>
  <si>
    <t>Papel de germinación de semillas No. 76 (12" x 18") marca Whatman GE 10342594  3645 110x170MM 1000/PK.</t>
  </si>
  <si>
    <t>Cja x 1000</t>
  </si>
  <si>
    <t>ARCHOR</t>
  </si>
  <si>
    <t>WHATMAN ref. 99-192-125</t>
  </si>
  <si>
    <t>Papel Filtro blanco 12 cm cualitativo marca Whatman GE 99-192-125  DR EXP QUAL 12.5CM 100/PK MED.</t>
  </si>
  <si>
    <t>Rollox 50 cm de ancho x 200 M largo</t>
  </si>
  <si>
    <t>Rollo x 38 m</t>
  </si>
  <si>
    <t>bolsa x 1000</t>
  </si>
  <si>
    <t>SCIENTIFIC INDUSTRIES</t>
  </si>
  <si>
    <t>ENERGIZER</t>
  </si>
  <si>
    <t>par</t>
  </si>
  <si>
    <t>GIOTO</t>
  </si>
  <si>
    <t>HUMBOLDT MANUFACTURING</t>
  </si>
  <si>
    <t>PAQ x 500</t>
  </si>
  <si>
    <t>Caja x 200</t>
  </si>
  <si>
    <t>CAPP ref. SP-10-C</t>
  </si>
  <si>
    <t>Pipeta plástica poliestireno graduada para 10 ml, estériles y en empaque individual marca CAPP SP-10-C Serological pipette 10mL, orange, 200 pcs. Empacadas individual.</t>
  </si>
  <si>
    <t>Caja x 150</t>
  </si>
  <si>
    <t>CAPP ref. SP-25-C</t>
  </si>
  <si>
    <t>Pipeta plástica poliestireno graduada para 25 ml, estériles y en empaque individual marca CAPP SP-25-C  Serological pipette 25mL, red, 150 pcs. Empacadas individual.</t>
  </si>
  <si>
    <t>CAPP ref. SP-5-C</t>
  </si>
  <si>
    <t>Pipeta plástica poliestireno graduada para 5 ml, estériles y en empaque individual marca CAPP SP-5-C  Serological pipette 5mL, blue, 200 pcs.</t>
  </si>
  <si>
    <t>caja x 24 und</t>
  </si>
  <si>
    <t>Caja x 10 x 96</t>
  </si>
  <si>
    <t>Caja x 10 racks x 96</t>
  </si>
  <si>
    <t>LABSELECT ref. FT-10L-R-S</t>
  </si>
  <si>
    <t>FT-10L-R-S 10μl Long Filter Tips, Sterile, RNase-/DNase-free, rack pack (10 racks x 96 tips) marca LABGIC - LABSELECT</t>
  </si>
  <si>
    <t>caja x  10 racks x 96</t>
  </si>
  <si>
    <t>LABSELECT ref. FT-20-R-S</t>
  </si>
  <si>
    <t>FT-20-R-S 20μl Filter Tips, Sterile, RNase-/DNase-free, rack pack (96pcs/rack, 10racks/unit, 5units/case) marca LABGIC - LABSELECT</t>
  </si>
  <si>
    <t>PAQ X 1000</t>
  </si>
  <si>
    <t>Bolsa x 200</t>
  </si>
  <si>
    <t>Paquete x 1000</t>
  </si>
  <si>
    <t>CAPP ref. 5130010C</t>
  </si>
  <si>
    <t xml:space="preserve">Punta 10 µl blanca marca CAPP 5130010C  Expell 10µl, clear, bag, x 1000 pcs. </t>
  </si>
  <si>
    <t>Bolsa X 2000</t>
  </si>
  <si>
    <t xml:space="preserve">Caja x 40 </t>
  </si>
  <si>
    <t>Bolsa X 1000</t>
  </si>
  <si>
    <t>PAQ X 96</t>
  </si>
  <si>
    <t>LABSELECT ref. FT-1000-R-S</t>
  </si>
  <si>
    <t>FT-1000-R-S 1000μl Filter Tips, Sterile, RNase-/DNase-free, rack pack (96pcs/rack, 10racks/unit, 5units/case) marca LABGIC - LABSELECT</t>
  </si>
  <si>
    <t>LABSELECT ref. FT-100-R-S</t>
  </si>
  <si>
    <t>FT-100-R-S 100μl Filter Tips, Sterile, RNase-/DNase-free, rack pack (96pcs/rack, 10racks/unit, 5units/case) marca LABGIC - LABSELECT</t>
  </si>
  <si>
    <t xml:space="preserve">Caja x 10 racks x 384 </t>
  </si>
  <si>
    <t>CAPP ref. 4130075C</t>
  </si>
  <si>
    <t xml:space="preserve">Punta 200 µl amarilla para micropipetas Socorex , axygen, capp bravo resistentes a autoclavado. Marca 4130075C  Expell 200µl, yellow, bag, x 1000 pcs. </t>
  </si>
  <si>
    <t>Bolsa x 1000</t>
  </si>
  <si>
    <t>LABSELECT ref. FT-200-R-S</t>
  </si>
  <si>
    <t>FT-200-R-S 200μl Filter Tips, Sterile, RNase-/DNase-free, rack pack (96pcs/rack, 10racks/unit, 5units/case) marca LABGIC - LABSELECT</t>
  </si>
  <si>
    <t>CAPP ref.4130135C</t>
  </si>
  <si>
    <t xml:space="preserve">Punta 50-1000 µl azul sin esterilizar libre de Dnasas y Rnasas marca CAPP 4130135C Expell 1000µl (1250µl), blue, bag, x 1000 pcs. </t>
  </si>
  <si>
    <t>Caja x  5 racks x 96</t>
  </si>
  <si>
    <t>paq x 480</t>
  </si>
  <si>
    <t>Bolsa x 1000 puntas</t>
  </si>
  <si>
    <t>Caja x 10 Rack x 96 und</t>
  </si>
  <si>
    <t xml:space="preserve">Paq X 2000 </t>
  </si>
  <si>
    <t xml:space="preserve">Paq X 1000 </t>
  </si>
  <si>
    <t>pk/10</t>
  </si>
  <si>
    <t>CHEMGLASS</t>
  </si>
  <si>
    <t>RN COLLECTOR</t>
  </si>
  <si>
    <t>DICOPLAST</t>
  </si>
  <si>
    <t>Paq x 100</t>
  </si>
  <si>
    <t>MOLDEX</t>
  </si>
  <si>
    <t>paq x 900</t>
  </si>
  <si>
    <t>BIOWEB</t>
  </si>
  <si>
    <t>E&amp;Q</t>
  </si>
  <si>
    <t xml:space="preserve">Bolsa  x 100 tapas </t>
  </si>
  <si>
    <t>RYMCO</t>
  </si>
  <si>
    <t>EXTECH</t>
  </si>
  <si>
    <t>TRAMONTINA</t>
  </si>
  <si>
    <t>3 CLAVELES</t>
  </si>
  <si>
    <t>BRADY</t>
  </si>
  <si>
    <t>rollo 120 unidades</t>
  </si>
  <si>
    <t>FAMILIA</t>
  </si>
  <si>
    <t>Caja x 24 paquetes</t>
  </si>
  <si>
    <t>Paq x 1000</t>
  </si>
  <si>
    <t>CAPP ref. 5102001C</t>
  </si>
  <si>
    <t>Tubo 2.0 ml fondo cónico marca 5102001C  Expell Secure microcentrifuge tubes 2.0 mL, bag, x500 pcs.  </t>
  </si>
  <si>
    <t>Bolsa X 500</t>
  </si>
  <si>
    <t>AXYGEN</t>
  </si>
  <si>
    <t>Rack x 50</t>
  </si>
  <si>
    <t>CAPP ref. 5100015C</t>
  </si>
  <si>
    <t>Tubo de centrífuga de 15 ml en polipropileno, estéril, tapa rosca, fondo cónico, velocidad de centrífugación 12000 RPM, autoclavable (sin la tapa), rango de temperatura de -40 a +80º C, con graduación impresa. Marca CAPP 5100015C  BluCapp centrifuge tubes 15mL, bulk, pre-sterile, 20 x 25 pcs.</t>
  </si>
  <si>
    <t>CAPP ref. 5100060C</t>
  </si>
  <si>
    <t>Tubo de centrífuga de 50 ml en polipropileno con tapa rosca, Stand up. Marca CAPP 5100060C  BluCapp centrifuge tubes 50mL, self-standing, pre-sterile, 20x25pcs.</t>
  </si>
  <si>
    <t>Rack x 25</t>
  </si>
  <si>
    <t xml:space="preserve">CAPP ref. 5100050C  </t>
  </si>
  <si>
    <t>Tubo de centrífuga de 50 ml en polipropileno con tapa y sello de tapón, fondo cónico, estéril, graduado, velocidad de centrífugación 12000 RPM, autoclavable (sin la tapa), rango de temperatura de -40 a +80º C, con graduación impresa. Marca CAPP 5100050C  BluCapp centrifuge tubes 50mL, bulk, pre-sterile,20  x 25 pcs.</t>
  </si>
  <si>
    <t xml:space="preserve">Bolsa  X 10 </t>
  </si>
  <si>
    <t>1000 unidades</t>
  </si>
  <si>
    <t>GLOBA SCIENTIFIC</t>
  </si>
  <si>
    <t>576 unidades</t>
  </si>
  <si>
    <t>960 unidades</t>
  </si>
  <si>
    <t>WVR</t>
  </si>
  <si>
    <t>paq x 144</t>
  </si>
  <si>
    <t>paq x 10</t>
  </si>
  <si>
    <t>paq x 12</t>
  </si>
  <si>
    <t>PYREX</t>
  </si>
  <si>
    <t>CAPP ref. 5102005C</t>
  </si>
  <si>
    <t>Tubo Eppendorf de 2 ml, tapa plana de borde largo, libres de Rnasas, Dnasa y pirógenos, color Natural, Ultra Transparentes, rótulo esmerilado, graduados. Marca CAPP 5102000C  Expell Secure microcentrifuge tubes 2.0 mL, bag, x500 pcs.    </t>
  </si>
  <si>
    <t>VITRAX</t>
  </si>
  <si>
    <t>Bolsa  x 500</t>
  </si>
  <si>
    <t xml:space="preserve">CAPP ref. 5102005C </t>
  </si>
  <si>
    <t>2 Paquetes x 1000</t>
  </si>
  <si>
    <t>AHN ref. A22203</t>
  </si>
  <si>
    <t>Tubo para PCR 0.2 ml con tapa plana libres de Dnasas y RNAsas marca AHN A22203  PCR-Tubes 0,2 ml flat cap (transparent, thin walled, free of PCR-inhibitors) 2x1000 pcs.</t>
  </si>
  <si>
    <t xml:space="preserve">paq x 100 </t>
  </si>
  <si>
    <t>Paq x 200</t>
  </si>
  <si>
    <t>Tubo plástico tapa rosca 2 ml marca CAPP 5042000C  Expell cryo tube 2,0mL, pre-sterile, bag, x 100 pcs.</t>
  </si>
  <si>
    <t>1000 Tubos</t>
  </si>
  <si>
    <t>CAPP ref. 5100500C</t>
  </si>
  <si>
    <t>Tubo tipo Eppendorf 0,5ml  en polipropileno grado médico, libre de RNasas y DNasas, estériles. Resistentes fuerza centrífuga hasta x  30000g autoclavables, libres de pirógenos, resistentes a temperaturas de -80 hasta 121 °C. Marca CAPP 5100500C Expell microcentrifuge tubes 0.5 mL, bag, x1000 pcs.</t>
  </si>
  <si>
    <t>bolsa x 500</t>
  </si>
  <si>
    <t>EPPENDORF</t>
  </si>
  <si>
    <t>Paquete x 500</t>
  </si>
  <si>
    <t>CAPP ref. 5001500C</t>
  </si>
  <si>
    <t>Tubo tipo Eppendorf de 1,5 ml en polipropileno grado médico, libre de RNasas y DNasas, estériles. Resistentes fuerza centrífuga hasta x  30000g autoclavables, libres de pirógenos, resistentes a temperaturas de -80 hasta 121 °C. Marca CAPP 5001500C  ExpellPlus microcentrifuge tubes 1.5 mL, bag, x 500 pcs. (low retention), sterile.</t>
  </si>
  <si>
    <t>EPPENDOR</t>
  </si>
  <si>
    <t>bolsa x 100</t>
  </si>
  <si>
    <t>IMPROVE</t>
  </si>
  <si>
    <t>paquete x 100</t>
  </si>
  <si>
    <t>Paq x 30</t>
  </si>
  <si>
    <t xml:space="preserve">WHATMAN ref. 9912-2502 </t>
  </si>
  <si>
    <t>Unidades de Filtración para jeringa 0.22 µm estériles. (Ø=25mm). Marca Whatman GE  9912-2502  Whatman Uniflo 25mm 0.22 PES 500/PK.</t>
  </si>
  <si>
    <t xml:space="preserve">Unidad </t>
  </si>
  <si>
    <t>paq x 6</t>
  </si>
  <si>
    <t>WARING</t>
  </si>
  <si>
    <t>Paq x 500</t>
  </si>
  <si>
    <t>WHEATON</t>
  </si>
  <si>
    <t xml:space="preserve">paq x 288 </t>
  </si>
  <si>
    <t>rollo x 300 m</t>
  </si>
  <si>
    <t>pq x 400</t>
  </si>
  <si>
    <t>pq x 200</t>
  </si>
  <si>
    <t xml:space="preserve">paq x 6 </t>
  </si>
  <si>
    <t>SOLOMARK</t>
  </si>
  <si>
    <t xml:space="preserve"> Proponente No. 1 AVANTIKA COLOMBIA S.A.S</t>
  </si>
  <si>
    <t xml:space="preserve"> Proponente No. 4 Elementos Quimicos</t>
  </si>
  <si>
    <t>Proponente No. 5 INVERSIONES JIMSA LTDA</t>
  </si>
  <si>
    <t>Proponente No. 6 MYCLAB SAS</t>
  </si>
  <si>
    <t>Proponente No. 7 NORQUIMICOS</t>
  </si>
  <si>
    <t>Proponente No. 8 YEQUIM SAS</t>
  </si>
  <si>
    <t xml:space="preserve">Cantidad </t>
  </si>
  <si>
    <t>Ficha del Producto</t>
  </si>
  <si>
    <t>1/4" CERAMIC SPHERE (esferas de ceramica)</t>
  </si>
  <si>
    <t>MP BIOMEDICALS ref 116540424</t>
  </si>
  <si>
    <t>15ml Conical Tubes(50)</t>
  </si>
  <si>
    <t>MP BIOMEDICALS  116930000</t>
  </si>
  <si>
    <t>Adhesivos para microplacas</t>
  </si>
  <si>
    <t>Whatman 7704-0001 o equivalente</t>
  </si>
  <si>
    <t xml:space="preserve">Caja X 100 </t>
  </si>
  <si>
    <t>Aguja desechable 16 G x 1½" (tribicelada)</t>
  </si>
  <si>
    <t>BD, Vacutest o equivalente</t>
  </si>
  <si>
    <t>Aguja desechable 20 G X 1½" (tribicelada)</t>
  </si>
  <si>
    <t xml:space="preserve">Caja x 100 </t>
  </si>
  <si>
    <t>Aguja desechable para toma de muestras sanguíneas para tubo al vacío 21 G x 1½" (tribicelada)</t>
  </si>
  <si>
    <t>Aguja para disección con mango metálico con punta curva</t>
  </si>
  <si>
    <t>Aguja para disección con mango metálico con punta recta</t>
  </si>
  <si>
    <t>Alfiler entomológico No. 000 (en acero inoxidable)</t>
  </si>
  <si>
    <t xml:space="preserve">Paquete x 100 </t>
  </si>
  <si>
    <t>Alfiler entomológico No. 1 (en acero inoxidable)</t>
  </si>
  <si>
    <t>Alfiler entomológico No. 2 (en acero inoxidable)</t>
  </si>
  <si>
    <t xml:space="preserve">Algodón dental </t>
  </si>
  <si>
    <t xml:space="preserve">Bolsa de 1000 tacos, 50  paquetes /de 20 Unidades  o 20 paquetes/de 50 Unidades </t>
  </si>
  <si>
    <t>Algodón quirúrgico 100% Natural (Con fecha de vencimiento superior a un año)</t>
  </si>
  <si>
    <t>Rollo x 454 gramos</t>
  </si>
  <si>
    <t>Anillo de hierro para soporte universal Diametro de 75 milímetros</t>
  </si>
  <si>
    <t>Anillo de vertido azul tapa GL 32</t>
  </si>
  <si>
    <t>Paquete x 10</t>
  </si>
  <si>
    <t>Anillo de vertido azul tapa GL 45</t>
  </si>
  <si>
    <t>Anillo plástico para inclusión de parafina</t>
  </si>
  <si>
    <t>Aplicadores en empaque individual  independiente estériles</t>
  </si>
  <si>
    <t>Aplicadores sin punta de algodón</t>
  </si>
  <si>
    <t>No allega ficha técnica</t>
  </si>
  <si>
    <t>Asa bacteriológica curva en ferroniquel</t>
  </si>
  <si>
    <t>La ficha tecnica no tiene descripción de item y la foto no corresponde al mismo, Se requiere marca y Carta de distribución.</t>
  </si>
  <si>
    <t>No se especifica la marca en la ficha técnica y tampoco se sabe cual es la carta de distribución</t>
  </si>
  <si>
    <t>Asa bacteriológica estéril desechable de 10 µl con asa de siembra en un extremo y aguja en el otro</t>
  </si>
  <si>
    <t>Paquete x 20 ó Paquete x 50</t>
  </si>
  <si>
    <t>No cumple</t>
  </si>
  <si>
    <t>No cumple con la especificaciones tecnica con referencia al material solicitado</t>
  </si>
  <si>
    <t>Asa bacteriológica recta en niquel-cromo</t>
  </si>
  <si>
    <t>No aplica</t>
  </si>
  <si>
    <t>No se adjunto la ficha técnica</t>
  </si>
  <si>
    <t>Asa bacteriológica redonda en acero inoxidable</t>
  </si>
  <si>
    <t>Asa desechables de 1µl</t>
  </si>
  <si>
    <t>Marienfield o equivalente</t>
  </si>
  <si>
    <t xml:space="preserve">Caja x 1000 </t>
  </si>
  <si>
    <t>Asa o espatula en forma de L (Drigalski) desechable.</t>
  </si>
  <si>
    <t>VWR o equivalente</t>
  </si>
  <si>
    <t>Atomizador plástico (PP) con dispersión tipo spray de 250 ml</t>
  </si>
  <si>
    <t>Atomizador plástico (PP) con dispersión tipo Spray de 400 - 500 ml</t>
  </si>
  <si>
    <t>Balón aforado de 10 ml clase A Antiactínico, con certificado de fábrica (calidad y rastreabilidad), borosilicato 3.3 que cumpla con los estándares DIN en ISO 1042, impresión en cerámica que cumpla con la norma ISO 12 600. Control y garantía de calidad NCA menor o igual a 0,4 y certificación del fabricante que resiste temperaturas hasta de 250°C sin perder la volumetria.</t>
  </si>
  <si>
    <t>Brand, Pyrex, Corning, Kymax o equivalente</t>
  </si>
  <si>
    <t>La ficha técnica entregada por el oferente no evidencia si el producto tiene una impresión cerámica que cumpla con la ISO 12 600</t>
  </si>
  <si>
    <t>Balón aforado de 100 ml clase A, con tapa esmerilada, certificado de fábrica (calidad y rastreabilidad), borosilicato 3.3 que cumpla con los estándares DIN en ISO 1042, impresión en cerámica que cumpla con la norma ISO 12 600. Control y garantía de calidad NCA menor o igual a 0,4 y certificación del fabricante que resiste temperaturas hasta de 250°C sin perder la volumetria. Normatividad ASTM E-438 certificado por Unidad.</t>
  </si>
  <si>
    <t>Balon aforado de 1000 ml clase B en vidrio con tapa, normatividad ASTM E-438 ó DIN EN ISO 1042 Certificado por lote</t>
  </si>
  <si>
    <t>Balon aforado de 200 ml clase B en vidrio con tapa, normatividad ASTM E-438 o DIN EN ISO 1042 Certificado por lote.</t>
  </si>
  <si>
    <t>Balón aforado de 25 ml clase A Antiactínico, borosilicato 3.3 que cumpla con los estándares DIN en ISO 1042, impresión en cerámica que cumpla con la norma ISO4796-1:2000. NCA menor o igual a 0,4 y certificación del fabricante que resiste temperaturas hasta de 250°C sin perder la volumetria.</t>
  </si>
  <si>
    <t>Balón aforado de 5 ml clase A Antiactínico, borosilicato 3.3 que cumpla con los estándares DIN en ISO 1042, impresión en cerámica que cumpla con la norma ISO4796-1:2000. NCA menor o igual a 0,4 y certificación del fabricante que resiste temperaturas hasta de 250°C sin perder la volumetria.</t>
  </si>
  <si>
    <t>Balón aforado de 50 ml clase A, con certificado de fábrica (calidad y rastreabilidad), borosilicato 3.3 que cumpla con los estándares DIN en ISO 1042, impresión en cerámica que cumpla con la norma ISO 12 600. Control y garantía de calidad NCA menor o igual a 0.4 y certificación del fabricante que resiste temperaturas hasta de 250°C sin perder la volumetria. Normatividad ASTM E-438 certificado por Unidad.</t>
  </si>
  <si>
    <t>La ficha técnica del Item no cumple con la ISO 12600 ni con la norma ATM E-438</t>
  </si>
  <si>
    <t>Balon aforado de 50 ml clase B en vidrio con tapa, normatividad ASTM E-438 DIN en ISO 1042 Y Certificado por lote</t>
  </si>
  <si>
    <t>Balon aforado de 500 ml clase B en vidrio con tapa, normatividad ASTM E-438  o DIN EN ISO 1042 Certificado por lote.</t>
  </si>
  <si>
    <t>Balones de fondo redondo de 250 mL con cabeza de vidrio esmerilado boca 24/40</t>
  </si>
  <si>
    <t>Bandeja en acero inoxidable, resistente a ácidos y bases 26 a  28 (largo) x 17  a 19 (ancho) x 5 a 6 cm (profundidad)</t>
  </si>
  <si>
    <t>Bandeja en acero inoxidable, resistente a ácidos y bases 48 a 52 (largo) x 38 a 42 (ancho) x 18 a 22 cm (profundidad)</t>
  </si>
  <si>
    <t>Bandeja Plastica de polipropileno  31 a 33 (Largo) x 46 a 48 (Ancho)  x 6 a 8 cm (Profundidad)</t>
  </si>
  <si>
    <t>Vaniplast o Equvalente</t>
  </si>
  <si>
    <t>El proponente no presentó ficha técnica</t>
  </si>
  <si>
    <t>No cumple con la especificaciones tecnica con referencia a la descripción solicitada</t>
  </si>
  <si>
    <t>Barra agitadora magnética forma cilíndrica con anillo central 20 mm x 6 mm (longitud x diámetro) medidas aproximadas</t>
  </si>
  <si>
    <t>Fischer Scientific o equivalente</t>
  </si>
  <si>
    <t>Barra agitadora magnética forma cilíndrica con anillo central 40 mm x 8mm (longitud x diámetro) medidas aproximadas</t>
  </si>
  <si>
    <t>Barra agitadora magnética forma cilíndrica con anillo central 70- 80 mm x 8.5- 9 mm (longitud x diámetro) medidas aproximadas</t>
  </si>
  <si>
    <t>No cumple con el diametro requerido</t>
  </si>
  <si>
    <t>Barra magnética para agitación de 1 cm de longitud cubierta de teflon</t>
  </si>
  <si>
    <t>No cumple con la longitud requerida</t>
  </si>
  <si>
    <t>Barra magnética para agitación de 3 cm de longitud cubierta de teflon</t>
  </si>
  <si>
    <t>Batas de laboratorio antifluidos con puño resortado, manga larga  y botones a presión o tipo snaps. Largas hasta rodillas.  Talla L</t>
  </si>
  <si>
    <t>Cualquier Marca</t>
  </si>
  <si>
    <t>Batas de laboratorio antifluidos con puño resortado, manga larga y botones a presión o tipo snaps. Largas hasta rodillas.  Talla M</t>
  </si>
  <si>
    <t>La ficha técnica aportada no tiene información, por lo que no es posible verificar las especificaciones técnicas del ítem</t>
  </si>
  <si>
    <t>Batas desechables con cremallera o botones  desechables en tela quirúrgica color azul. Talla M.</t>
  </si>
  <si>
    <t>La ficha técnica aportada no permite su visualización, por lo que no es posible verificar las especificaciones técnicas del ítem</t>
  </si>
  <si>
    <t>Batas desechables con cremallera o botones desechables en tela quirúrgica color azul. Talla L.</t>
  </si>
  <si>
    <t>Bidones de 20 galones doble tapa (tapón y rosca) plástico alta densidad opaco para residuos</t>
  </si>
  <si>
    <t>Unidades</t>
  </si>
  <si>
    <t>La ficha tecnica ajustada no corresponde a lo solicitado</t>
  </si>
  <si>
    <t>Bisturí industrial para trabajo pesado con 5 cuchillas de acero SK4</t>
  </si>
  <si>
    <t>Bolsa   de cierre hermetico 30*45 cm</t>
  </si>
  <si>
    <t>ziploc o marca equivalente</t>
  </si>
  <si>
    <t>Bolsa autoclavable roja con logo de riesgo biológico 14 X 19" (36 x 48 cm)</t>
  </si>
  <si>
    <t>Fisher 01-828B o equivalente</t>
  </si>
  <si>
    <t xml:space="preserve">Caja x 200 </t>
  </si>
  <si>
    <t>Bolsa autoclavable roja con logo de riesgo biológico 8 x 12" (20x30 cm)</t>
  </si>
  <si>
    <t>Fisher 01-828A o equivalente</t>
  </si>
  <si>
    <t>Se avala el ítem en la presentación ofertada mientras no exceda el presupuesto definido por el ICA para el mismo</t>
  </si>
  <si>
    <t>Bolsa autoclavable roja en polipropileno de  37 a 38 x 48" (94 x 122 cm)</t>
  </si>
  <si>
    <t>Fisher 01-828E o equivalente</t>
  </si>
  <si>
    <t>Bolsa autoclavable roja en polipropileno tamaño 19 x 23" (48 x 58 cm)</t>
  </si>
  <si>
    <t>Fisher 01-814B o equivalente</t>
  </si>
  <si>
    <t xml:space="preserve">Bolsa Hermética de 18x20 Cm </t>
  </si>
  <si>
    <t>Bolsa plástica cierre hermético 14 cm x 10 cm</t>
  </si>
  <si>
    <t>Bolsa plástica cierre hermético 17 X 22 cm Calibre 2</t>
  </si>
  <si>
    <t>Paquete x 30</t>
  </si>
  <si>
    <t>Bolsa plástica cierre hermético 20 cm x 20 cm</t>
  </si>
  <si>
    <t>Bolsa plástica cierre hermético 22 cm x 18 cm</t>
  </si>
  <si>
    <t xml:space="preserve">Paquete x 50 </t>
  </si>
  <si>
    <t>Bolsa plástica cierre hermético 40 cm x 40 cm</t>
  </si>
  <si>
    <t>Bolsa plástica cierre hermético 40 cm x 48 cm</t>
  </si>
  <si>
    <t>Bolsa plástica cierre hermético 5 cm x 5 cm</t>
  </si>
  <si>
    <t>Bolsa plástica de 1 Kg en polipropileno de 5" X 10 calibre 2</t>
  </si>
  <si>
    <t xml:space="preserve">Paquete x 1000 </t>
  </si>
  <si>
    <t xml:space="preserve">Se solicita polipropileno y la ficha indica que es en polietileno de baja densidad.
El oferente en el proceso de subsanación envía una ficha en donde se indica que se cumple con el material, lo que implica que mejora la oferta. Por lo tanto no se habilita. </t>
  </si>
  <si>
    <t>Bolsa Plastica de 2kg. Fondo cuadrado o base fija.</t>
  </si>
  <si>
    <t>Bolsa Whirl-Pak Nasco stand up white write-on strip 12,7 x 30,5 cm; capacidad 27 oz (798 ml)</t>
  </si>
  <si>
    <t>BO1448WA o equivalente</t>
  </si>
  <si>
    <t>Caja X 250</t>
  </si>
  <si>
    <t>Bolsa Whirl-Pak Nasco stand up white write-on strip 15 x 23 cm; capacidad 24 oz (710 ml)</t>
  </si>
  <si>
    <t>BO1401WA o equivalente</t>
  </si>
  <si>
    <t>Caja X 500</t>
  </si>
  <si>
    <t>Bolsa Whirl-Pak Nasco stand up white write-on strip 7.5X18.5 cm; capacidad 4 oz (118 ml aproximadamente)</t>
  </si>
  <si>
    <t>Nasco o equivalente</t>
  </si>
  <si>
    <t>Bolsa Whirl-Pak Nasco write-on strip 11,5 X 23 cm; capacidad 18 oz (532 ml)</t>
  </si>
  <si>
    <t>BO1065WA o equivalente</t>
  </si>
  <si>
    <t xml:space="preserve">Caja x 500 </t>
  </si>
  <si>
    <t>Bolsa Whirl-Pak Nasco write-on strip 9.5 x 18 cm; capacidad 7 oz (207 ml), estéril</t>
  </si>
  <si>
    <t>BO1489WA o equivalente</t>
  </si>
  <si>
    <t>Bolsas de cierre hermético  27*28 cm</t>
  </si>
  <si>
    <t>Caja 25 Unidades</t>
  </si>
  <si>
    <t>Bolsas plasticas con cierre hermetico de 300 mm x 400 mm</t>
  </si>
  <si>
    <t>Caja x 20 Unidades</t>
  </si>
  <si>
    <t>Bombillo EKE halógeno para lámpara de Luz Fría Nikon NI-150 150W, 21V.</t>
  </si>
  <si>
    <t>Nikon/ OSRAM</t>
  </si>
  <si>
    <t>Bombillo halógeno tipo lanceta 6V 20W</t>
  </si>
  <si>
    <t>Osram, philips</t>
  </si>
  <si>
    <t>Bombillo ovoscopio 8V - 20W</t>
  </si>
  <si>
    <t>No se adjunto la ficha técnica, no subsanable</t>
  </si>
  <si>
    <t>Botellón en policarbonato dosificador capacidad de 10 litros</t>
  </si>
  <si>
    <t>Brocha diámetro 16 mm Long 11,4 cm</t>
  </si>
  <si>
    <t>VWR 17210-008 o equivalente</t>
  </si>
  <si>
    <t xml:space="preserve">Brocha largo 21 cm y ancho 2.5 cm </t>
  </si>
  <si>
    <t>Bulbos de caucho/latex para pipetas Pasteur de  2mL</t>
  </si>
  <si>
    <t>Fisherbrand 50-999-150 o equivalente</t>
  </si>
  <si>
    <t xml:space="preserve">Caja de aluminio (para contenido humedad) </t>
  </si>
  <si>
    <t>Caja de Petri  desechable estéril 150 x 25 mm</t>
  </si>
  <si>
    <t>Caja de Petri desechable estéril 35 x 10  - 35 x 15 mm</t>
  </si>
  <si>
    <t>Costar 3035 o equivalente</t>
  </si>
  <si>
    <t>Paquete x 20</t>
  </si>
  <si>
    <t>Caja de Petri desechable estéril 60 x 15 mm</t>
  </si>
  <si>
    <t xml:space="preserve">Caja X 500 </t>
  </si>
  <si>
    <t>Caja de Petri desechable estéril 90 x 15 mm – 100 x 15 mm</t>
  </si>
  <si>
    <t>Se acepta la especificación siempre y cuando se entregue la cantidad solicitada</t>
  </si>
  <si>
    <t>Caja de Petri en vidrio 100 mm x 15 mm</t>
  </si>
  <si>
    <t>Caja x 72</t>
  </si>
  <si>
    <t>Cumplir con la cantidad equivalente para una caja de 72 und. (dos cajas) sin exceder el valor prespuestado para este ítem</t>
  </si>
  <si>
    <t xml:space="preserve">Caja de Petri en vidrio 9 mm </t>
  </si>
  <si>
    <t>Caja X 20</t>
  </si>
  <si>
    <t>El Item no cumple conlas dimensiones solicitadas, de 9 mm.</t>
  </si>
  <si>
    <t>Las dimensiones allegadas en la ficha técnica, no correponden a la solicitada</t>
  </si>
  <si>
    <t>Caja de Petri en vidrio de 150x30 mm o 150x20 mm</t>
  </si>
  <si>
    <t>Pyrex o equivalente</t>
  </si>
  <si>
    <t>Caja Entomológica-Caja en madera para almacenamiento y organización de insectos debidamente preservados. Ajuste perfecto de la tapa, cierre hermético, la tapa es en vidrio transparente, para facilitar la observación del interior sin necesidad de abrirla continuamente. Dimensiones: Internas: 39 x 45 x 6 cm  //  Externas : 42 x 48 x 7.3 cm. El entrepaño de la caja debe facilitar la inserción de alfileres.</t>
  </si>
  <si>
    <t>Ethos o equivalente</t>
  </si>
  <si>
    <t>Las dimensiones internas no son acordes a las solicitadas</t>
  </si>
  <si>
    <t>Caja Germinación Acrílico largo, ancho, alto: 25x16x8</t>
  </si>
  <si>
    <t>No presenta Certificación Distribución Autorizada</t>
  </si>
  <si>
    <t>Caja organizadora 3 niveles (3 en 1) 26X16,8X6 cm</t>
  </si>
  <si>
    <t>Caja organizadora de plástico con tapa y cierre hermetico 47-49 x 31-37x 21-62 cm</t>
  </si>
  <si>
    <t>Caja plastica organizadora largo 44 a 46 X 29 a 31 X 16 a 18 cm</t>
  </si>
  <si>
    <t>Estra o equivalente</t>
  </si>
  <si>
    <t>Caja plastica organizadora largo 60 a 62 X46 a 48 X 30 a 32 cm.</t>
  </si>
  <si>
    <t xml:space="preserve">Caja para almacenamiento de tubos 0,5 ml </t>
  </si>
  <si>
    <t>el oferente allega una ficha técnica diferente a la inicial y allega una nueva de lo requerido por la institución por lo que se considera que es una mejora de la oferta y no puede ser habilitado</t>
  </si>
  <si>
    <t>Caja para almacenamiento de puntas de 10 ml Tip box</t>
  </si>
  <si>
    <t>Brand Ref 7026 08 o equivalente</t>
  </si>
  <si>
    <t xml:space="preserve">La cajas ofertadas  no corresponden  para las puntas de  volumen de 10 ml </t>
  </si>
  <si>
    <t>Se deben entregar las unidades requeridas para cada laboratorio</t>
  </si>
  <si>
    <t xml:space="preserve">Caja para almacenamiento de puntas de 100 ul (pipeta Brand) con plataforma, vacía </t>
  </si>
  <si>
    <t>Brand o equivalente</t>
  </si>
  <si>
    <t>El proponente no presenta ficha técnica del producto</t>
  </si>
  <si>
    <t xml:space="preserve">Caja para almacenamiento de puntas de 1000 ul (pipeta Brand) con plataforma, vacía </t>
  </si>
  <si>
    <t>Caja para almacenamiento de puntas de 5 ml Tip box</t>
  </si>
  <si>
    <t>Brand Ref 7026 05 o equivalente</t>
  </si>
  <si>
    <t>Caja plástica 59-60 cm de largo x 37-40 cm de ancho x 11-13 cm de alto, color gris, para uso de alta resistencia</t>
  </si>
  <si>
    <t>Caja plástica con tapa con empaque y cierre a presión de 30 x 12 cm</t>
  </si>
  <si>
    <t>Caja porta láminas para micropreparados, capacidad 100 láminas</t>
  </si>
  <si>
    <t>Enthos, Bioequipos, Heathrow Scientific</t>
  </si>
  <si>
    <t>Caja porta láminas para micropreparados, capacidad 50 láminas</t>
  </si>
  <si>
    <t>Calentador de Ambiente, con mínimo dos niveles de Calefacción y ventilador para usar sin resistencia de calentamiento. Termostato Ajustable: Para elegir la temperatura ideal. 1000W o 1600W de potencia. 2 años de garantía. Función de ventilación. Filtro lavable.  110 - 120 V</t>
  </si>
  <si>
    <t>Clark o equivalente</t>
  </si>
  <si>
    <t xml:space="preserve">Cámara Mac Master para recuento de huevos de nemátodos </t>
  </si>
  <si>
    <t>Cualquiera</t>
  </si>
  <si>
    <t>No se evidencia en la ficha técnica la marca del item para verificar la carta de distribución</t>
  </si>
  <si>
    <t>Cámara Newbauer. Cámara de recuento sin pinzas, fabricada en una sola pieza de vidrio óptico, con 2 cubreobjetos para cámara de recuento, doble retícula con color verde iluminado que facilitan la lectura. Con lámina de cuarzo y estuche plástico. Profundidad: 0.100mm, volumen 1mm2: 0,1 Ml. Bordes redondeados anticorte, textura esmerilada, evita desplazamiento al manipularla.</t>
  </si>
  <si>
    <t>Boeco o equivalente</t>
  </si>
  <si>
    <t>Canastilla de 25 x 15 x 15cm en acero inxidable</t>
  </si>
  <si>
    <t>Caneca de bioseguridad con tapa pedal médica pedal para 10 litros blanca para vidrio</t>
  </si>
  <si>
    <t>Caneca de bioseguridad con tapa pedal médica pedal para 10 litros roja riesgo biològico</t>
  </si>
  <si>
    <t>Caneca de bioseguridad con tapa pedal médica pedal para 20 litros roja riesgo biològico</t>
  </si>
  <si>
    <t>Careta de pieza facial de media cara en silicona</t>
  </si>
  <si>
    <t>3M 7502</t>
  </si>
  <si>
    <t xml:space="preserve">Careta para protección de salpicaduras de liquidos en laboratorio, en policarbonato, largo 21,6cm. </t>
  </si>
  <si>
    <t>FisherBrand 18-999-4542 o equivalente</t>
  </si>
  <si>
    <t>No se adjunto la ficha técnica. No subsanable</t>
  </si>
  <si>
    <t>Cargador pilas AA y AAA</t>
  </si>
  <si>
    <t>Carro de Servicio Abierto Tres Estantes (300 Libras) Negro Dimensiones: 103 a 105 x 50 a 52 x 95 a 96 cm</t>
  </si>
  <si>
    <t>Rubbermaid FG409100BLA o equivalente</t>
  </si>
  <si>
    <t>La ficha técnica no  cumple con  las dimensiones solicitadas</t>
  </si>
  <si>
    <t>Cartucho filtro agua 2.5 pulgadas x  10 pulgadas de largo, 10 micras</t>
  </si>
  <si>
    <t>Millipore o equivalente</t>
  </si>
  <si>
    <t>Cartucho filtro agua 2.5 pulgadas x  10 pulgadas de largo, 5 micras</t>
  </si>
  <si>
    <t>Cartucho filtro de carbón activado 2.5" de diametro, 20 pulgadas largo 5 micras</t>
  </si>
  <si>
    <t>Cartucho químico contra gases ácidos plástico de forma circular (cinta blanca) debe estar certificado por NIOSH 42CFR84, colocación tipo bayoneta sin guías 100 % libre de PVC y metales</t>
  </si>
  <si>
    <t>Moldex 7200</t>
  </si>
  <si>
    <t>Bolsa x 2</t>
  </si>
  <si>
    <t>Cartucho químico contra vapores orgánicos y gases ácidos plástico  de forma circular (cinta amarilla), con certificado que cumpla norma NIOSH 42CFR84, colocación tipo bayoneta sin guias 100% libre de PVC y metales</t>
  </si>
  <si>
    <t>Moldex 7300</t>
  </si>
  <si>
    <t>Casette de inclusión para histología con tapa desmontable</t>
  </si>
  <si>
    <t>Citoplus o equivalente</t>
  </si>
  <si>
    <t>Cava de icopor 15 Litros para envio de muestras, para entregar en las 32 seccionales del ICA</t>
  </si>
  <si>
    <t>Cava de icopor 5 Litros para envio de muestras, para entregar en las 32 seccionales del ICA</t>
  </si>
  <si>
    <t>Cava de icopor de 10 litros  para envio de muestras, para entregar en las 32 seccionales del ICA</t>
  </si>
  <si>
    <t>Cava de icopor de 3 litros  para envio de muestras, para entregar en las 32 seccionales del ICA</t>
  </si>
  <si>
    <t>Cava de icopor de 40 litros  para envio de muestras, para entregar en las 32 seccionales del ICA</t>
  </si>
  <si>
    <t xml:space="preserve">Cava de icopor de 60 litros  para envio de muestras, para entregar en las 32 seccionales del ICA </t>
  </si>
  <si>
    <t xml:space="preserve">Celdas de quarzo  de 10 mm x 10 mm </t>
  </si>
  <si>
    <t xml:space="preserve">Cepillo  mango plastico </t>
  </si>
  <si>
    <t>Cepillo de mango flexible para frascos volumétricos de 250 ml</t>
  </si>
  <si>
    <t>Fisher Scientific 03-570A o equivalente</t>
  </si>
  <si>
    <t>Churrusco con mechón extremo largo de 15 cms</t>
  </si>
  <si>
    <t>Churrusco con mechón extremo largo de 20 cms</t>
  </si>
  <si>
    <t>Churrusco para lavar erlenmeyer cabeza 10 cm, longitud 40.6 cm</t>
  </si>
  <si>
    <t>VWR 17155-001</t>
  </si>
  <si>
    <t>Churrusco para limpiar pipetas de 5mL - 25mL</t>
  </si>
  <si>
    <t>Churrusco para material de vidrio 25-30cm</t>
  </si>
  <si>
    <t>Fisherbrand, Cole Palmer 03-565, RZ-84550-89 o equivalente</t>
  </si>
  <si>
    <t>Churrusco pequeños para lavado de viales de 2 ml de medidas aproximadas de 10 cm de longitud por 1cm de diametro</t>
  </si>
  <si>
    <t>Cincel madera 25mm mango recto antideslizante</t>
  </si>
  <si>
    <t xml:space="preserve">Cinta aislante 48Mn X55 M x 14 Mil metalizado </t>
  </si>
  <si>
    <t xml:space="preserve">Rollo </t>
  </si>
  <si>
    <t>Cinta de colores para etiquetar 13mm, resistente al agua, al ácido y al aceite</t>
  </si>
  <si>
    <t>Fisherbrand 15-901R o equivalente</t>
  </si>
  <si>
    <t xml:space="preserve">Caja x 24 </t>
  </si>
  <si>
    <t>Cinta de enmascarar de 1 cm</t>
  </si>
  <si>
    <t>Las especificaciones tecnicas son con las solicitadas para el Item ya que se oferta una cinta de 18 mm y se requiere de 10</t>
  </si>
  <si>
    <t>Cinta de enmascarar de 2 cm</t>
  </si>
  <si>
    <t>Rollo x 25 M</t>
  </si>
  <si>
    <t>Cinta de enmascarar de 5 cm</t>
  </si>
  <si>
    <t>Cinta indicadora de esterilidad</t>
  </si>
  <si>
    <t>Cinta indicadora de pH 0-14</t>
  </si>
  <si>
    <t>Rollo o tira</t>
  </si>
  <si>
    <t>Cinta indicadora de pH 6.4 - 8.0</t>
  </si>
  <si>
    <t>Cinta Teflon</t>
  </si>
  <si>
    <t>No se adjuntó la carta de distribución de la Marca Topex</t>
  </si>
  <si>
    <t>cinta transparente 5 cm</t>
  </si>
  <si>
    <t>Unidad x 300 yardas</t>
  </si>
  <si>
    <t>El producto ofertado no cumple las especificaciones técnicas en longitud, ya que oferta  por 200 m en tanto que 300 yardas equivalen a 274 m</t>
  </si>
  <si>
    <t>Cinta transparente mágica 12,7 x 32,9 m</t>
  </si>
  <si>
    <t>3M 301 o equivalente</t>
  </si>
  <si>
    <t>Coladera pequeña Coladera de malla plástica ; Descripción : Diámetro de 8-10 cm</t>
  </si>
  <si>
    <t>Colador grande diámetro &gt;25 cm</t>
  </si>
  <si>
    <t>Colador plástico mediano diámetro aproximado 15 cm</t>
  </si>
  <si>
    <t>NO cumple especificaion mínima de diámetro de 15 cm</t>
  </si>
  <si>
    <t>Columna SAX (100 mm x 4,6 x 5 µ)</t>
  </si>
  <si>
    <t xml:space="preserve">Columna SPE Lichrolut RP 18 (40-63 um) 500 mg, 6ml standard PP-tubes. Merck 2023 </t>
  </si>
  <si>
    <t xml:space="preserve">Merck  REF: Referencia A1.19687.0001 </t>
  </si>
  <si>
    <t>Caja x 30 Unidades</t>
  </si>
  <si>
    <t>Columnas C18  para extracción en fase sólida,  adsorbente octadecyl, 100 mg end capped sorbent. De capacidad de 1 ml.</t>
  </si>
  <si>
    <t>RIDA C18 REF R002  o equivalente</t>
  </si>
  <si>
    <t>Columnas C8 (150 mm x 4,6 x 5 µ)</t>
  </si>
  <si>
    <t>Columnas capilares (5% fenilo/ 95% dimetilpolisiloxano) Dimensiones: 30 metros de longitud - 0,25 mm de Diámetro interno y (0,22 um a 0,25um) de grosor de fase estacionaria o film.  Soporte de 5 pulgadas</t>
  </si>
  <si>
    <t>Restek, Phenomenex, Agilent, Thermo o equivalentes</t>
  </si>
  <si>
    <t>Cooler para tubos de 1.5 a 2.0 mL -20 °C para 12 tubos</t>
  </si>
  <si>
    <t>Cooler para tubos de 1.5 a 2.0 mL -20 °C para 32 tubos</t>
  </si>
  <si>
    <t>Coolers con tapa para tubos de PCR de 0,2 ml de 96 pozos</t>
  </si>
  <si>
    <t>Criocaja para almacenamiento de tubos de 0.2 ml</t>
  </si>
  <si>
    <t>Nalgene  o equivalente</t>
  </si>
  <si>
    <t>Las cajas ofertadas no son equivalente al manterial de las de la marca la marca Nalgene</t>
  </si>
  <si>
    <t>No cumple con el volumen requerido</t>
  </si>
  <si>
    <t>Criocaja para crioviales de 2 ml, color natural. Numero de lugares para colocar tubos: 100. Es una caja durable, fabricada en polipropileno que son diseñadas para almacenar en congeladores de –80°C (–112°F)— y no absorben agua. Se pueden colocar 100 tubos de capacidades entre 1.5 y 2.0mL. viene con marcación en la tapa alfa numérica para fácil identificación de las muestras. Son Autoclavables a 121°C (249.8°F). Dimensiones: 142Lx142Wx55Hmm.</t>
  </si>
  <si>
    <t>No cumple con el material solicitado por la entidad</t>
  </si>
  <si>
    <t>El material de la caja no es PP</t>
  </si>
  <si>
    <t>Criomarcador indeleble punta fina color azul oscuro</t>
  </si>
  <si>
    <t xml:space="preserve">Criomarcador indeleble punta fina color negro </t>
  </si>
  <si>
    <t xml:space="preserve">Paquete x 10 </t>
  </si>
  <si>
    <t>Criomarcador indeleble punta gruesa color azul</t>
  </si>
  <si>
    <t xml:space="preserve">Paquete x 4 </t>
  </si>
  <si>
    <t>Criomarcador indeleble punta gruesa color negro</t>
  </si>
  <si>
    <t xml:space="preserve">Criomarcador indeleble punta ultra fina color negro </t>
  </si>
  <si>
    <t>Criovial 1 -1,2ml cónico estéril tapa rosca con base plana. Rosca interna, fondo redondo con base, libres de tóxicos y de pirógenos</t>
  </si>
  <si>
    <t>Fisher o equivalente</t>
  </si>
  <si>
    <t>Criovial 2 ml estéril, tapa rosca en polipropileno base plana. Rosca interna, fondo redondo con base, estériles de 12.5 x 49 mm libres de tóxicos y de pirógenos</t>
  </si>
  <si>
    <t>Fisher 12-567-501 o equivalente</t>
  </si>
  <si>
    <t>Criovial 5 ml estéril, tapa rosca en polipropileno base plana. Medidas 12.5 a 13.5 x 90 a 92 mm. Rosca interna, fondo redondo con base, estériles de 12.5 a 13.5 x 90 a 92 mm libres de tóxicos y de pirógenos</t>
  </si>
  <si>
    <t xml:space="preserve">Caja x 250 </t>
  </si>
  <si>
    <t>Crisoles en porcelana para ceniza de 30mL</t>
  </si>
  <si>
    <t>Cubeta plastica rectangular  de laboratorio  534X634X140 mm</t>
  </si>
  <si>
    <t>Cubetas plásticas para 30 huevos</t>
  </si>
  <si>
    <t xml:space="preserve">Cubreplacas (X-pierce film) </t>
  </si>
  <si>
    <t>Bolsa X 100</t>
  </si>
  <si>
    <t>Cuchilla minora con platino para uso con navaja de barbero</t>
  </si>
  <si>
    <t>Carton x 60 Unidades (Caja x 5 Unidades)</t>
  </si>
  <si>
    <t>Cuchilla para bisturí quirúrgico desechable y estéril No. 15</t>
  </si>
  <si>
    <t>Cuchilla para bisturí quirúrgico desechable y estéril No. 21</t>
  </si>
  <si>
    <t>Cuchilla para bisturí quirúrgico desechable y estéril No. 22</t>
  </si>
  <si>
    <t>Cuchilla para bisturí quirúrgico desechable y estéril No. 24</t>
  </si>
  <si>
    <t>Cuchillas desechables para micrótomo High Profile</t>
  </si>
  <si>
    <t>Macroedge 818 High Profile o equivalente</t>
  </si>
  <si>
    <t>Cuchillo para disección cacha blanca en polipropileno en acero inoxidable de 12"</t>
  </si>
  <si>
    <t>Tramontina o equivalente</t>
  </si>
  <si>
    <t>La longitud especificada en la ficha técnica presentada es diferente a la solicitada</t>
  </si>
  <si>
    <t>Cuchillo para disección con cacha blanca en polipropileno en acero inoxidable de 10"</t>
  </si>
  <si>
    <t>Cuchillo pequeño (130 mm) cacha de plástico</t>
  </si>
  <si>
    <t>DATALOGGER DE TEMPERATURA Rango de medición: -40 a 70 °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CON CALIBRACION DATALOGGER DE TEMPERATURA EN 3 PUNTOS por laboratorio acreditado</t>
  </si>
  <si>
    <t>No aparece la resolución en la ficha técnica y hace parte de los caracteristicas mínimas ténicas.
No cuenta con la certificación de distribución de CEM</t>
  </si>
  <si>
    <t>Dispensador  de 1-10 mL, volumen variable, graduación de 1 mL, exactitud +/- 0,5%, reproducibilidad ≤0,1%; referencia 4600-140, analogo, marca dispensette-Brand. debe ser calibrado y certifcado por una laboratorio acreditado por el ONAC</t>
  </si>
  <si>
    <t>Brand 4700 161 o equivalente</t>
  </si>
  <si>
    <t xml:space="preserve">Dispensador  de 5-50 mL, volumen variable, graduación de 1 mL, exactitud +/- 0,5%, reproducibilidad ≤0,1%; vidrio borosilicato. Cerámica, platino-iridio, ETFE, FEP, PFA, YPP (caperuza de cierre de la canula);  apto para bases, acidos, soluciones acuosas y solventes organicos. </t>
  </si>
  <si>
    <t>Doble nuez para aro soporte universal Metálica</t>
  </si>
  <si>
    <t>Electrodo de medición de pH ACCUMET</t>
  </si>
  <si>
    <t>Accumet 13-620-285 serie 8267113P</t>
  </si>
  <si>
    <t>Embudo de polipropileno. Diámetro externo 80 mm.</t>
  </si>
  <si>
    <t>Nalgene®, Iso-Lab, Brand 1482 25</t>
  </si>
  <si>
    <t>Embudo de vidrio de boricilicato 3.3, con superficies lisas angulo de 60°. Diámetro externo 100 mm</t>
  </si>
  <si>
    <t>Pyrex , Corning, Kymax, Brand, Duran.</t>
  </si>
  <si>
    <t xml:space="preserve">Boeco no es una marca solicitada </t>
  </si>
  <si>
    <t xml:space="preserve">Embudo de vidrio por 10 cm X 0.6 cm </t>
  </si>
  <si>
    <t>La ficha técnica no evidencia las medidas solicitadas</t>
  </si>
  <si>
    <t>No se evidencia en la ficha técncia el diametro de 0.6 cm</t>
  </si>
  <si>
    <t>Embudo de vidrio superficie interior lisa. Diametro externo 55, longitud rama 55 mm</t>
  </si>
  <si>
    <t>Embudo de vidrio. Diámetro externo 70 mm</t>
  </si>
  <si>
    <t>Embudo en Polipropileno diametro exterior 45 mm</t>
  </si>
  <si>
    <t xml:space="preserve">Erlenmeyer cuello ancho de 250 ml, con tapa de rosca en PP </t>
  </si>
  <si>
    <t>Nalgene®, Iso-Lab, Brand 931 75</t>
  </si>
  <si>
    <t>Erlenmeyer cuello ancho de 300 ml. Diámetro externo cuello 50 mm. Borosilicato 3.3, impresión en cerámica, DIN12331:1998/ISO3819:1985 e ISO12 600 o ASTM E1404 tipo I y ASTM E438 Tipo I.</t>
  </si>
  <si>
    <t>No allega certificado de distribución</t>
  </si>
  <si>
    <t>La marca ofertada no hace parte de las marcas solicitadas, por lo cual el item no es habilitado.</t>
  </si>
  <si>
    <t>Erlenmeyer cuello estrecho con reborde y graduación para 1000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</si>
  <si>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Pyrex , Corning, Kymax, Brand, Duran. o equivalente</t>
  </si>
  <si>
    <t>Erlenmeyer cuello estrecho con reborde y graduación para 125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</si>
  <si>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Pyrex , Corning, Kymax, Brand, Duran, o equivalentes.</t>
  </si>
  <si>
    <t>En la ficha técnica no especifíca las normas necesarias que exige el producto ni especifíca la resistencia a las temperatura de 250°C.</t>
  </si>
  <si>
    <t>Erlenmeyer cuello estrecho con reborde y graduación para 2000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</si>
  <si>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En la ficha técnica no especifíca las normas necesarias que exige el producto</t>
  </si>
  <si>
    <t>Erlenmeyer cuello estrecho con reborde y graduación para 250 ml en vidrio.Con certificado de fábrica (Calidad y rastreabilidad). Borosilicato 3.3 que cumpla con los estándares DIN en ISO 1773, impresión en cerámica que cumpla con la norma ISO 12 600  o ASTM E1404, tipo I y ASTM ASTM E438 Tipo . Control y garantía de calidad NCA menor o igual a 0,4 y certificación del fabricante que resiste temperaturas hasta de 250°C sin perder la volumetria.</t>
  </si>
  <si>
    <t>Erlenmeyer cuello estrecho con reborde y graduación para 500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</si>
  <si>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Erlenmeyer en vidrio boca angosta 25ml</t>
  </si>
  <si>
    <t>Duran o su equivalente</t>
  </si>
  <si>
    <t>Escalera de tres pasos en tubo plegable pintada en blanco, altura 61 cm, capacidad 100 kilogramos, con protección del paso en caucho</t>
  </si>
  <si>
    <t>life products inc modelo SA-00802 o equivalente</t>
  </si>
  <si>
    <t>Espátula acanalada, cuchara plana, en acero inoxidable AISI 304.  Largo total: 190 mm aproximadamente, para extraer sustancias residuales en frascos y botellas</t>
  </si>
  <si>
    <t>La longitud ofrecida es 150 mm y la solicitada 190 mm</t>
  </si>
  <si>
    <t>Espatula azul autoclavable de polipropileno resistente para diluir ácidos y bases y 210 mm  longitud y 7 mm ancho en la cuchara</t>
  </si>
  <si>
    <t>VWR catologo 231-0103 o equivalente</t>
  </si>
  <si>
    <t>Bolsa x 300</t>
  </si>
  <si>
    <t>Espátula doble cuchara en acero inoxidable de 21 cm aproximadamente</t>
  </si>
  <si>
    <t xml:space="preserve">No se adjuntó la carta de distribución </t>
  </si>
  <si>
    <t>Espátula en acero inoxidable mango plástico, hoja de 10 cm x 2 cm</t>
  </si>
  <si>
    <t xml:space="preserve">Espátula en acero inoxidable mango plástico, longitud 20 cm </t>
  </si>
  <si>
    <t>Espátula en acero inoxidable, Glazed finish, al final de la espátula micro cuchara aguda con 0,35 cm (1/8”) de ancho, y 16,8 cm (6 5/8”) de longitud</t>
  </si>
  <si>
    <t xml:space="preserve">No se adjuntó la carta de distribución 
</t>
  </si>
  <si>
    <t>Espátula estéril para pesaje con canal en forma de V de 15,24 cm (6 in), estériles</t>
  </si>
  <si>
    <t>Fischer Scientific, Bel Art 8339N110/369300000 o equivalente</t>
  </si>
  <si>
    <t>Esponja de Celulosa</t>
  </si>
  <si>
    <t>Paquete X 4 Unidades</t>
  </si>
  <si>
    <t>Etiqueta térmica 1" 0,375 Serie TLS220</t>
  </si>
  <si>
    <t>Brady 98499</t>
  </si>
  <si>
    <t>Rollo X 500</t>
  </si>
  <si>
    <t>Etiquetas para identificar viales.  PLT-30-499</t>
  </si>
  <si>
    <t>Brady PLT-30-499</t>
  </si>
  <si>
    <t>Rollo x 250</t>
  </si>
  <si>
    <t>Etiquetas termicas freezer para impresora Zebra GC4201 2 X 1,5 mm Rollo x 3 etiquetas por fila</t>
  </si>
  <si>
    <t>Zebra</t>
  </si>
  <si>
    <t>Rollo x 10000</t>
  </si>
  <si>
    <t>Etiquetas termicas freezer para impresora Zebra GC4201 32 X 15 mm Rollo x 3 etiquetas por fila</t>
  </si>
  <si>
    <t>Etiquetas termicas freezer para impresora Zebra GC4201 50 X 20 mm Rollo x 2 etiquetas por fila</t>
  </si>
  <si>
    <t>Filtro de membrana millipore tipo durapore hidrofílica, 0,22 micras de tamaño de poro, 47 mm de diámetro</t>
  </si>
  <si>
    <t>Merck, sigma, CNW o equivalentes</t>
  </si>
  <si>
    <t>El proponente no presentó ficha técnica del Item</t>
  </si>
  <si>
    <t>Filtro para jeringa 0.22 µm estéril (Ø=25mm) PVDF Hidrofílica</t>
  </si>
  <si>
    <t>Merck, sigma o equivalentes</t>
  </si>
  <si>
    <t>Filtro para jeringa 0.45 µm estéril (Ø=33mm) PVDF</t>
  </si>
  <si>
    <t>Millipore SLHV033RS</t>
  </si>
  <si>
    <t>Filtro para material particulado N95</t>
  </si>
  <si>
    <t>5N11</t>
  </si>
  <si>
    <t>Frasco boca ancha con rosca para tapa plástica con ajuste hermético. Capacidad 30 ml</t>
  </si>
  <si>
    <t xml:space="preserve">ED2625BR140C/ED2625BL38-400 </t>
  </si>
  <si>
    <t>Caja x 140</t>
  </si>
  <si>
    <t>Frasco de cuello ancho PP de 500 ml de capacidad</t>
  </si>
  <si>
    <t>Frasco de cultivo celular con tapas ventiladas que incorporen filtro, plug seal,  estéril, cuello inclinado  y no pirogénica de 75 cm²</t>
  </si>
  <si>
    <t>Corning, Costar, Falcon o equivalente</t>
  </si>
  <si>
    <t>No cumple espicificación técnica de tapa ventilladas que incorporen filtro</t>
  </si>
  <si>
    <t>Frasco de vidrio ámbar de 100 ml tapa rosca con graduación, resistente a esterilización con autoclave y anillo de vertido en PP. Vidrio borosilicato 3.3, impresión en cerámica, que cumpla con las normas DIN12331:1998/ISO 3819:1985 e ISO4796-1:2000</t>
  </si>
  <si>
    <t xml:space="preserve">Pyrex , Corning, Kymax, Brand, Duran, Schott o equivalente </t>
  </si>
  <si>
    <t xml:space="preserve">Frasco de vidrio ambar de 1000 ml tapa rosca con graduación, resistente a esterilización con autoclave y anillo de vertido en PP. </t>
  </si>
  <si>
    <t>Frasco de vidrio ámbar de 25 ml tapa rosca con graduación,  resistente a esterilización con autoclave y anillo de vertido en PP. Vidrio borosilicato 3.3, impresión en cerámica, que cumpla con las normas DIN12331:1998/ISO 3819:1985 e ISO4796-1:2000 o USP Tipo I y ASTM E438, Tipo I.</t>
  </si>
  <si>
    <t>Frasco de vidrio ámbar de 500 ml tapa rosca con graduación, resistente a esterilización con autoclave y anillo de vertido en PP. Vidrio borosilicato 3.3, impresión en cerámica, que cumpla con las normas DIN12331:1998/ISO 3819:1985 e ISO4796-1:2000 o USP Tipo I y ASTM E438, Tipo I.</t>
  </si>
  <si>
    <t>Frasco de vidrio borosilicato ambar  tapa rosca 2000mL</t>
  </si>
  <si>
    <t>Frasco de vidrio transparente de 100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</si>
  <si>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1000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</si>
  <si>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</si>
  <si>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25 ml tapa rosca con graduación, resistente a esterilización con autoclave y anillo de vertido en PP. Vidrio borosilicato 3.3, impresión en cerámica, que cumpla con las normas  ISO4796-1:2000 Retrace Code o USP Tipo I y ASTM E438, Tipo I.</t>
  </si>
  <si>
    <t>La carta de distribución es a titulo personal</t>
  </si>
  <si>
    <t>Frasco de vidrio transparente de 250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</si>
  <si>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50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</si>
  <si>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500 ml tapa rosca con graduación, resistente a esterilización con autoclave y anillo de vertido en PP. Vidrio borosilicato 3.3, impresión en cerámica, que cumpla con las normas DIN12331:1998/ISO 3819:1985 e ISO4796-1:2000  o USP Tipo I y ASTM E438, Tipo I.</t>
  </si>
  <si>
    <t>Frasco lavador de cuello ancho de 500 ml de capacidad (Para pruebas de Elisa)</t>
  </si>
  <si>
    <t>Paquete x 5</t>
  </si>
  <si>
    <t xml:space="preserve">Frasco lavador de polietileno de boca ancha de 1000ml para lavador de microplacas de ELISA </t>
  </si>
  <si>
    <t>Frasco lavador en polietileno para ojos. Capacidad 500 ml, con cloruro de sodio al 0.9%</t>
  </si>
  <si>
    <t>Frasco plástico con tapa de cierre hermético para toma de muestra de orina estéril 50 – 60 ml.</t>
  </si>
  <si>
    <t>Frasco plástico de 250 ml en polipropileno, con tapa rosca de cierre hermético. Diametro 60 ± 5 mm, altura 141 ± 5 mm, diametro del cuello interior 34 ±5 mm Boca de 32 ±5 mm</t>
  </si>
  <si>
    <t>Brand 1286 48 o equivalente</t>
  </si>
  <si>
    <t>Paquete X 10</t>
  </si>
  <si>
    <t>Frasco plástico para muestras boca ancha PS  o PP con tapa  rosca x 120mL (68x53mm)</t>
  </si>
  <si>
    <t>El material del producto indicado en la ficha técnica no corresponde con el solicitado en las especificaciones técnicas</t>
  </si>
  <si>
    <t>Frasco tipo inyectable para agrafe de 20mm de 50 ml</t>
  </si>
  <si>
    <t>Moulded injection vial 20-2710 crimp clear 50 cc ED2139BA847 o equivalente</t>
  </si>
  <si>
    <t xml:space="preserve">Caja x 84 </t>
  </si>
  <si>
    <t>Funda para vacutainer</t>
  </si>
  <si>
    <t>Vacutest-169018 o equivalente</t>
  </si>
  <si>
    <t>Gafas con protección lateral con protección a agentes biológicos</t>
  </si>
  <si>
    <t>3M, Arseg o equivalente</t>
  </si>
  <si>
    <t>Gafas con sello facial, canales con ventilación que minimicen el empañamiento y mantengan fuera las partículas. Tratamiento antiempañante y antiralladuras.  Banda elástica ajustable. Lentes claros de policarbonato que absorba el 99,9% UV. Cumplimiento normativo explícito en el producto:   CSA Z94.3-2007 y los requisitos de alto impacto de la norma ANSI Z87.1-2003.</t>
  </si>
  <si>
    <t>FisherBrand 19-181-502 o marca equivalente.</t>
  </si>
  <si>
    <t>Gancho carnicero con mango plástico antibacteriano 15 cm de largo</t>
  </si>
  <si>
    <t>Gasa tipo hospitalario</t>
  </si>
  <si>
    <t>Rollo x 100 yardas</t>
  </si>
  <si>
    <t>Gel refrigerante de 250 g. Durabilidad 24 horas, para ser entregado en las 32 seccionales</t>
  </si>
  <si>
    <t>Caja x 48</t>
  </si>
  <si>
    <t>No se presenta  ficha técnica del ítem ofertado.</t>
  </si>
  <si>
    <t xml:space="preserve">No se adjuntó ficha técncia. No presento subsanación </t>
  </si>
  <si>
    <t>Gel refrigerante en pilas de 250gr.
para ser entregado en las 32 seccionales</t>
  </si>
  <si>
    <t>Caja x 100 und</t>
  </si>
  <si>
    <t>No se presenta  ficha técnica del ítem ofertado</t>
  </si>
  <si>
    <t>Glass wool washed qp</t>
  </si>
  <si>
    <t>frasco x 100gr</t>
  </si>
  <si>
    <t>Gorro para cabello de polipropileno color blanco con banda elástica,diámetro 61 cm</t>
  </si>
  <si>
    <t xml:space="preserve">Goteros pláticos para colorantes de Gram de un volumen de 120ml. </t>
  </si>
  <si>
    <t>Gradilla Compact PCR Tube Rack para 96 tubos de 0,2 ml.</t>
  </si>
  <si>
    <t xml:space="preserve">Empaque x 5 unds.   </t>
  </si>
  <si>
    <t>Gradilla para 24  o 25 tubos de 50 ml, fabricada en polipropileno o policetona en formato 3x8 o 5x5</t>
  </si>
  <si>
    <t xml:space="preserve">No cumple con las dimensiones
requeridss para los tubos de 
50 ml que se tienen en el laboratorio. </t>
  </si>
  <si>
    <t>Cumple si se acepta el material de fabricación que es Polioximetileno reforzado con fibra de vidrio</t>
  </si>
  <si>
    <t>Gradilla para 60 tubos de ensayo de 16 mm de diámetro formato 5x12 color blanco ó azul. Medidas aprox. 110 x 250 x 70</t>
  </si>
  <si>
    <t xml:space="preserve">Gradilla para 80 viales de 1.5 - 2.0 ml en polipropileno, autoclavable </t>
  </si>
  <si>
    <t>Se acepta el cambio de presentación de 4 PAQ X 5, siempre y cuando se entregue la cantidad total solicitada y no se afecte el valor del item</t>
  </si>
  <si>
    <t>Gradilla para 9 tubos de 50 ml Ø=32 mm. Medidas: 110 x 110 x 85mm (L x W x H)</t>
  </si>
  <si>
    <t>Gradilla para 96 tubos de  0.5 ml, 1.7 ml, 2.0 ml. Autoclavable y congelable</t>
  </si>
  <si>
    <t xml:space="preserve">Gradilla para pipeta de vidrio </t>
  </si>
  <si>
    <t xml:space="preserve">Gradilla plástica de polipropileno capacidad para 50 tubos de 15 ml formato 10x5 </t>
  </si>
  <si>
    <t>Gradillas de 2x2 cm</t>
  </si>
  <si>
    <t>Grasa lubricante para micropipetas Frasco de 20 Grs</t>
  </si>
  <si>
    <t>Eppendorf</t>
  </si>
  <si>
    <t>Guantes de examen de latex natural, sin talco, con borde enrrollado, longitud según norma EN 455-2 de 240 mm no estéril. Fuerza de rotura mediana 6 K  Talla S</t>
  </si>
  <si>
    <t>Dermagrip o equivalente</t>
  </si>
  <si>
    <t>Guantes de examen de latex natural, sin talco, con borde enrrollado, longitud según norma EN 455-2 de 240 mm no estéril. Fuerza de rotura mediana 6 K  TallaM</t>
  </si>
  <si>
    <t>Guantes desechable en nitrilo, revestimiento completo, borde con ribete, longitud mínima de 19 pulgadas, espesor mínimo 22 milésimas de pulgada. Debe cumplir norma EN374-2-2003; EN374-3-2003 Talla L</t>
  </si>
  <si>
    <t>Guantes desechable en nitrilo, revestimiento completo, borde con ribete, longitud mínima de 19 pulgadas, espesor mínimo 22 milésimas de pulgada. Debe cumplir norma EN374-2-2003; EN374-3-2003 Talla M</t>
  </si>
  <si>
    <t>Cajas x 100</t>
  </si>
  <si>
    <t>Guantes desechable en nitrilo, revestimiento completo, borde con ribete, longitud mínima de 19 pulgadas, espesor mínimo 22 milésimas de pulgada. Debe cumplir norma EN374-2-2003; EN374-3-2003 Talla S</t>
  </si>
  <si>
    <t>Guantes desechables de nitrilo y neopreno de 3 capas de seguridad. Que cumplan las normas EN 420, 388 &amp; 374 Categoría III. Talla L</t>
  </si>
  <si>
    <t>Microflex 93-262</t>
  </si>
  <si>
    <t>cajax100</t>
  </si>
  <si>
    <t xml:space="preserve">Guantes desechables de nitrilo y neopreno. Que cumplan las normas EN 420, 388 &amp; 374 Categoría III. Talla M
</t>
  </si>
  <si>
    <t>Microflex 93-261</t>
  </si>
  <si>
    <t xml:space="preserve">Guantes desechables de nitrilo y neopreno. Que cumplan las normas EN 420, 388 &amp; 374 Categoría III. Talla S
</t>
  </si>
  <si>
    <t>Microflex 93-260</t>
  </si>
  <si>
    <t>Guantes industrial calibre 35 talla 7 1/2</t>
  </si>
  <si>
    <t>Guantes industrial calibre 35 talla 9</t>
  </si>
  <si>
    <t>Guantes Libres de Talco Para usar en Espectrometría de Masas debe cumpluir con CE89/686/CEE cat I Talla 8</t>
  </si>
  <si>
    <t>Fisher 191301597C o equivalente</t>
  </si>
  <si>
    <t>Guantes resistentes al calor (Guantes Industriales en Carnaza y tela • Cosido con Kevlar®) tallas M y L</t>
  </si>
  <si>
    <t>Hachuela inoxidable. Mango ergonómico de polietileno. Hoja ancha de forma rectangular. Tamaño total 16 cm</t>
  </si>
  <si>
    <t>Hisopo estéril de dacrón, rayón o poliéster con palillo plástico</t>
  </si>
  <si>
    <t>Daigger 22116D o equivalente que cumpla estrictamente con la descripción técnica</t>
  </si>
  <si>
    <t>Hisopo estéril de rayón o de algodón estéril</t>
  </si>
  <si>
    <t>Hisopo punta de algodón de 15 cm de longitud (Estériles)</t>
  </si>
  <si>
    <t>Hisopo Quick Swab para muestreo de superficies (Cabina)</t>
  </si>
  <si>
    <t>Inserto para vial de cromatografía  300 µL, polypropylene, polymer feet.   Insert size: 5.6 x 30 mm aproximadamente</t>
  </si>
  <si>
    <t xml:space="preserve">Jabón en polvo </t>
  </si>
  <si>
    <t>Kilo</t>
  </si>
  <si>
    <t>Jabón para manos y cuerpo de avena</t>
  </si>
  <si>
    <t>Galón x 5 l</t>
  </si>
  <si>
    <t>Jarra anaerobiosis de 2,5 litros</t>
  </si>
  <si>
    <t>Jeringa desechable de 1 ml de insulina estéril, dos partes. Libre de pirógenos. Aguja para insulina 25G X5/8"" 16x0,5 mm</t>
  </si>
  <si>
    <t>No se adjuntó la carta de distribución</t>
  </si>
  <si>
    <t>Jeringa desechable de 10 ml sin caucho en el émbolo con aguja tribicelada de 21 G x 1½ estéril, dos partes, libre de pirógenos</t>
  </si>
  <si>
    <t>BD301001 o equivalente</t>
  </si>
  <si>
    <t>NO cumple con las especificaciones técnicas ya que el producto trae caucho en el émbolo</t>
  </si>
  <si>
    <t>Jeringa desechable de 2 ml con aguja 21G X 1½" tribicelada, sin émbolo de caucho</t>
  </si>
  <si>
    <t>BD 300318 o equivalente</t>
  </si>
  <si>
    <t>Falta certificado de distribución</t>
  </si>
  <si>
    <t xml:space="preserve">Jeringa desechable de 2 ml sin aguja </t>
  </si>
  <si>
    <t>El proponente adjunto una nueva ficha tecnica con una marca diferente mejorando la oferta por lo que no es procedente.</t>
  </si>
  <si>
    <t>Jeringa desechable de 3 ml desechable con aguja 21G x 1½ tribicelada</t>
  </si>
  <si>
    <t>Jeringa desechable de 5 ml con aguja de 21 G x 1½" tribicelada. Estéril. Dos partes. Libre de pirógenos. Con empate Luer Slip</t>
  </si>
  <si>
    <t xml:space="preserve">No se adjuntó la carta de distribución
No cumple con el requisito de la aguja. </t>
  </si>
  <si>
    <t>La ficha técnica dice que el producto no incluye aguja. 
NO se adjuntó la carta de distribuición de la marca BD</t>
  </si>
  <si>
    <t>Jeringas desechable de 20 ml (Sin aguja)</t>
  </si>
  <si>
    <t>Caja x 80</t>
  </si>
  <si>
    <t xml:space="preserve">Juego de bateria acero inoxidable para coloración de hematoxilina </t>
  </si>
  <si>
    <t>Juego x 16 cajas</t>
  </si>
  <si>
    <t>Juego de pesas metrológicas en acero inoxidable antimagnéticas clase F1  Seis pesas de pesos: 2 10, 20, 50, 100  y 200 miligramos</t>
  </si>
  <si>
    <t>Juego de tamices (250 um, 106 um, 38 um</t>
  </si>
  <si>
    <t>Paquete x 3</t>
  </si>
  <si>
    <t>ofertan presentación por separado no paquete x 3, tamaño de poro es diferente no ofrecen de 38 um</t>
  </si>
  <si>
    <t>Kit de Emergencia - Equipo de emergencia vesiculares compuesto por: 4 narigueras automaticas para bovino;  2  manilas de 1/2" X 10 metros cada una;  2 aciales largos para cerdos en acero inoxidable tipo guaya de 30 cm, sin freno mango y sujetador antideslizante;  2 abrebocas para bovino; 4 cepillos de cerda dura;  2 pinzas con garra de 14,5 cm en acero inoxidable;  2 pinzas sin garra de 14,5 cm en acero inoxidable; 2 tijeras  de mayo una  recta punta roma y una recta  punta fina de 14 cm en acero inoxidable;  2 tijeras de mayo curva punta roma de 14 cm en acero inoxidable; 1 cepillo lavado instrumental de cerda dura plastica; 1 juego de copas probang de 3 tamaños diferentes en acero inoxidable; caja organizadora en plastico donde los anteriores elementos se puedan guardar con dimensiones mínimo de largo 60 cm, ancho 26 cm, alto 24 cm con bandeja siempre que cuente con espacio suficiente para almecenas los anteriores elementos.  Se requiere anexar muestras de copas probang.</t>
  </si>
  <si>
    <t>Kit de Necropsia Grandes Animales que contenga: 2 pinzas con garra de 14,5 cm en acero inoxidable; 2 pinzas sin garra de 14,5 cm en acero inoxidable; 2 tijeras  de mayo 1 recta punta roma y 1 recta punta fina de 14 cm en acero inoxidable; 2 tijeras de mayo curva punta roma de 14 cm en acero inoxidable;  3 cuchillos de necropsia de 30 Cm de largo, mango plástico antideslizante color blanco;  Marco para cegueta en acero inoxidable y  6 hojas para la misma dimensión de la cegueta, 1 hachuela en mango plastico antideslizante en acero inoxidable</t>
  </si>
  <si>
    <t>Kit de Necropsia para Porcinos que contenga: Caja  plástica para herramientas con capacidad para almacenar los siguientes elementos; dos mangos de bisturí No 4, 100 Unidades de Hojas de bisturi, Una Pinza con garra, una pinza sin garra, una tijera metzembaun recta punta roma, una tijera metzembaun curva punta roma, 2 pinzas mosquito curvas , 2 pinzas mosquito rectas pequeñas, un cuchillo pequeño, un cuchillo grande, una navaja de campo, una riñonera pequeña con tapa,  un cuchillo de cegueta pequeño,  una piedra de afilar.</t>
  </si>
  <si>
    <t>Kit para control de derrames compuesto por: 2 almohadillas desechables de 25x25 cm para químicos 3 cordón-tubular 3" X 1.20 m para químicos 6 material absorbente particulado para químicos Bolsa x 1 K 1 Guantess nitrilo 13" 1 mascarilla para vapores ácidos, doble cartucho 1 gafas de seguridad 1 cinta de precaución para señalización x 50 metros 4 Bolsa industrial para residuos roja 1 chaleco reflectivo 1 contenedor plástico 45 gal dos ruedas 1 overol desechable para químicos 1 recogedor plástico con escobilla 1 instructivo corto para emergencias</t>
  </si>
  <si>
    <t>Kit para necropsia de peces que contenga: Caja Rimax plástica pequeña con capacidad para almacenar los materioales listados a continuación; dos mangos de bisturí No 4; 100 Unidades de Hojas de bisturi; Una Pinza con garra; una pinza sin garra;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una piedra de afilar.</t>
  </si>
  <si>
    <t xml:space="preserve">Lámina microscope slide Probe On Plus Precleaned 25 x 75 x1.0 mm. Diapositivas de medida 1 x 3 pulgadas (25 x 75 mm) y 1 mm de espesor </t>
  </si>
  <si>
    <t>Fisher 22-230-900</t>
  </si>
  <si>
    <t>Caja x 144</t>
  </si>
  <si>
    <t>Lámina portaobjetos de 76 x 26 mm (3 x 1)</t>
  </si>
  <si>
    <t>Lámina portaobjetos excavada de una cavidad</t>
  </si>
  <si>
    <t>Láminilla circular 22 mm</t>
  </si>
  <si>
    <t>Laminilla cubre objeto 22 x 22 mm</t>
  </si>
  <si>
    <t>Laminilla cubre objeto 22 x 44 mm</t>
  </si>
  <si>
    <t>Se acepta las dimensiones de 22X50 mm</t>
  </si>
  <si>
    <t>Laminillas de Cuarzo para camara de Newbauer</t>
  </si>
  <si>
    <t>OSSALUD o equivalente</t>
  </si>
  <si>
    <t xml:space="preserve">Caja x 10 Unidades   </t>
  </si>
  <si>
    <t>Lapiz marcador de vidrio con punta de diamante, especial para marcaciones finas, con repuestos para trabajo continuo de dos años Longitud total 152 mm (6 ")</t>
  </si>
  <si>
    <t>Musco Sports Lightining o su equivalente</t>
  </si>
  <si>
    <t>Low-profile PCR tubes 8-tube strip,   clear cat# TLS0851</t>
  </si>
  <si>
    <t>BioRad o equivalente</t>
  </si>
  <si>
    <t>Paquete x 960</t>
  </si>
  <si>
    <t xml:space="preserve">Lupa 20X. Lente 21mm cuerpo metálico, cromo </t>
  </si>
  <si>
    <t>Lysing Matrix A Bulk (Garnet)</t>
  </si>
  <si>
    <t>MP BIOMEDICALS  116540423</t>
  </si>
  <si>
    <t>Frasco x 200 g</t>
  </si>
  <si>
    <t>LYSING MATRIX A, 4,5 mL Tube</t>
  </si>
  <si>
    <t>MP BIOMEDICALS 116970050</t>
  </si>
  <si>
    <t>Maceradores en PP para viales de 1.5</t>
  </si>
  <si>
    <t>SSI Plastic</t>
  </si>
  <si>
    <t>Mango para bisturí en acero inoxidable No. 3</t>
  </si>
  <si>
    <t>Hospital o equivalente</t>
  </si>
  <si>
    <t>Mango para bisturí en acero inoxidable No. 4</t>
  </si>
  <si>
    <t xml:space="preserve">Manguera de Silicona para Bomba de Filtración </t>
  </si>
  <si>
    <t>Marco para segueta de 12" – 17.5” en acero inoxidable. Referencia del Kit de disección JV 22</t>
  </si>
  <si>
    <t>Martillo en acero con pico de 20 cm incluida la cabeza mango antideslizante (Para necropsia)</t>
  </si>
  <si>
    <t>Máscara de media cara 3M</t>
  </si>
  <si>
    <t>Máscara Full face en silicona y filtros</t>
  </si>
  <si>
    <t>3M 7800</t>
  </si>
  <si>
    <t>Máscara media pieza facial, protección respiratoria para productos químicos en material elastómero para uso prolongado,  tallas pequeña, mediana  y grande. Cartuchos con sistema de bayoneta, arnés de cabeza, dos cartuchos multipropósito incluidos para cada Unidad, los cartuchos deben ser tipo ABEK1 para protección contra combinaciones de vapores orgánicos (Punto de ebullición &gt;65ºC), inorgánicos, gases ácidos y amoniaco vapores orgánicos, partículas P3,  gases ácidos, formaldehído y amoniaco. Cumplimiento normativo explícito en el producto: EN 14387:2004+A1:2008 </t>
  </si>
  <si>
    <t>3M, Niosh o equivalente</t>
  </si>
  <si>
    <t>Mascarilla purificadora de aire con filtro contra bacterias. Medianos</t>
  </si>
  <si>
    <t>Mascarilla quirúrgica y respirador contra partículas para el cuidado de la salud</t>
  </si>
  <si>
    <t>3M, o equivalente</t>
  </si>
  <si>
    <t>Se acepta presentación a caja por 50 siempre y cuando no exceda el valor presupuestado para el mismo</t>
  </si>
  <si>
    <t>Mascarillas desechables con carbon activado categoría AX: contra gases y vapores orgánicos con P.E. &lt; 65 ºC</t>
  </si>
  <si>
    <t>Mechas para mechero de alcohol</t>
  </si>
  <si>
    <t>Paquete</t>
  </si>
  <si>
    <t xml:space="preserve">Filtros de jeringa no estériles  de 0.22 um y  25-33 mm aproximadamente :membrana de PVDF   No esteriles 
</t>
  </si>
  <si>
    <t>Se acepta la presentación bolsa x 500 ofrecida por el proponente, siempre y cuando no se exceda el presupuesto ni la cantidad definida para el item</t>
  </si>
  <si>
    <t>Se acepta el  paquete x 1000, siempre y cuando no exceda el presupuesto asignado para est item</t>
  </si>
  <si>
    <t>Membranas millipore en esteres de celulosa, 0,45 micras de poro absoluto, 47 mm de diámetro, estériles en sobres individuales.</t>
  </si>
  <si>
    <t>Millipore HAWG047S6 0 equivalentes</t>
  </si>
  <si>
    <t>Se acepta el Paquete X 600 siempre y cuando no exceda el presupuesto asignado a este item</t>
  </si>
  <si>
    <t>Microespatula de metal, con cucharita</t>
  </si>
  <si>
    <t>ISOLAB o equivalente</t>
  </si>
  <si>
    <t>Micropipeta de 1000-10000 ul con certificado de calibración y trazabilidad expedida por laboratorio acreditado ante el ONAC</t>
  </si>
  <si>
    <t>Transferpette Brand 7058 84</t>
  </si>
  <si>
    <t>Micropipeta de 100-1000 µL autoclavable Finnpipette™ F2  con certificado de calibración y trazabilidad expedida por laboratorio acreditado ante el ONAC</t>
  </si>
  <si>
    <t>Fisherbrand 14-386-320</t>
  </si>
  <si>
    <t xml:space="preserve">Falta el documento de certificación de distribución autorizado. </t>
  </si>
  <si>
    <t>Micropipeta de 10-100 µl autoclavable  con certificado de calibración y trazabilidad expedida por laboratorio acreditado ante el ONAC</t>
  </si>
  <si>
    <t>Finnpipette</t>
  </si>
  <si>
    <t>Micropipeta de 1-10 µl autoclavable con certificado de calibración y trazabilidad expedida por laboratorio acreditado ante el ONAC</t>
  </si>
  <si>
    <t>Micropipeta de 1-5 ml con certificado de calibración y trazabilidad expedida por laboratorio acreditado ante el ONAC</t>
  </si>
  <si>
    <t>Finnpipette Labsystems 4642100</t>
  </si>
  <si>
    <t>Micropipeta de 2- 20 µl  autoclavable con certificado de calibración y trazabilidad expedida por laboratorio acreditado ante el ONAC</t>
  </si>
  <si>
    <t>Micropipeta de 20-200 µl Finnpipette con certificado de calibración y trazabilidad expedida por laboratorio acreditado ante el ONAC</t>
  </si>
  <si>
    <t>Finnpipette Labsystems</t>
  </si>
  <si>
    <t xml:space="preserve">Micropipeta Monocanal 
Capacidad: 1 µl - 10 µl
Con puntas de la misma marca de las pipetas, incluir bolsa de 1000 puntas.                                                                                                                                                                                Con certificado de calibración y trazabilidad expedida por laboratorio acreditado ante el ONAC                                                                                                                      </t>
  </si>
  <si>
    <t>Finnpipette, brand, o equivalente</t>
  </si>
  <si>
    <t>El volumen de la micropipeta ofertada por el proponente va de 0.1 a 1µl, por lo que no corresponde al requerido para el ítem (1 µl - 10 µl)</t>
  </si>
  <si>
    <t>El rango de volumen de la micropipeta ofertada por el proponente es diferente al solicitado por la entidad.</t>
  </si>
  <si>
    <t xml:space="preserve">El volumen de la micropipeta ofertada por el proponente va de 0.1 a 1µl, por lo que no corresponde al requerido para el ítem (1 µl - 10 µl). Así mismo, 
no se adjunta carta de distribución de la marca BRAND que es la correspondiente a la ficha técncia allegada por el proponente. </t>
  </si>
  <si>
    <t>Micropipeta multicanal 12 canales de 5-50µl con certificado de calibración y trazabilidad expedida por laboratorio acreditado ante el ONAC</t>
  </si>
  <si>
    <t>Eppendorf, Neogen, Finnpipette, Brand</t>
  </si>
  <si>
    <t xml:space="preserve">La ficha técnica allegada recientemente es distinta de la previamente  suministrada por le oferente, lo que se considera un mejoramiento de la oferta, por lo que el ítem se mantiene como No habilitado. </t>
  </si>
  <si>
    <t>No se adjunta carta de distribución de la marca BRAND que es la correspondiente a la ficha técncia allegada por el proponente.</t>
  </si>
  <si>
    <t>Microplaca Couster negra plana para Fluorescencia Polarizada</t>
  </si>
  <si>
    <t xml:space="preserve">Costar, brand, thermo </t>
  </si>
  <si>
    <t>Microplaca de 6 pozos para cultivo celular</t>
  </si>
  <si>
    <t>Microplaca de predilución fondo plano de 96 pozos estéril</t>
  </si>
  <si>
    <t>Cajax 50</t>
  </si>
  <si>
    <t>No oferta marca solicitada por la entdad
La carta de distribución es a titulo personal</t>
  </si>
  <si>
    <t>Microplaca flexible de 96 pozos, fondo en U sin tapa no estériles, 250 ul. Sin tapa. (No son para cultivo celular)</t>
  </si>
  <si>
    <t>Falcon 353911, Costar 2797</t>
  </si>
  <si>
    <t>Microplaca fondo en V sin tapa, poliestireno, claro; no tratada; no estériles (No son para cultivo celular)</t>
  </si>
  <si>
    <t>Corning, Costar, Falcon</t>
  </si>
  <si>
    <t>Microplaca maxisorp (Certificada)</t>
  </si>
  <si>
    <t>Nunc 439454, Fisher 12-565-135</t>
  </si>
  <si>
    <t>Caja x 60</t>
  </si>
  <si>
    <t>Microplaca para cultivo celular de 96 pozos fondo plano, esteril con tapa. En empaque individual, transparente , en poliestireno. Area de cultivo 0,32  cm2.</t>
  </si>
  <si>
    <t>Corning  3595</t>
  </si>
  <si>
    <t>caja x 50</t>
  </si>
  <si>
    <t>Microseal 'B' PCR Plate Sealing Film, adhesive, optical tape</t>
  </si>
  <si>
    <t>Minuten Entomológico en Acero Inoxidable 0,15mm x 12 mm</t>
  </si>
  <si>
    <t>Mortero 50 - 65 ml  de porcelana  con pistilo autoclavable para el macerado de tejido vegetal, barnizado Ø=80 mm y 41 mm de alto (aprox.)</t>
  </si>
  <si>
    <t>Mortero de cerámica con pistilo. De buena calidad y sin rugocidades</t>
  </si>
  <si>
    <t xml:space="preserve">Cualquier marca. </t>
  </si>
  <si>
    <t xml:space="preserve">optical ultraclear flat 8-cap Strip for 0.2 ml tube Strips/plates cat #TCS0803 </t>
  </si>
  <si>
    <t>Organizador de Herramientas alto 260 ml x ancho 248 ml x largo 489 ml</t>
  </si>
  <si>
    <t>Ovoscopio</t>
  </si>
  <si>
    <t>Tech</t>
  </si>
  <si>
    <t>Palillos plásticos</t>
  </si>
  <si>
    <t>Caja x 250</t>
  </si>
  <si>
    <t>Paño absorbente Fisher 74050</t>
  </si>
  <si>
    <t>Fisher 74050 Versi dry</t>
  </si>
  <si>
    <t>Caja x 4 rollos</t>
  </si>
  <si>
    <t>Paño absorbente para control de derrames. Dimensiones mínimas  18" o 23 " x 20 " o 24"   sin embargo, se prefieren dimensiones mayores si las hubiere . Capacidad de absorción mínima 570 ml</t>
  </si>
  <si>
    <t>Versi dry o equivalente</t>
  </si>
  <si>
    <t xml:space="preserve">Paquete x 200 </t>
  </si>
  <si>
    <t xml:space="preserve">Paño para limpieza de superficies delicadas antiestatico </t>
  </si>
  <si>
    <t>Kimwipes</t>
  </si>
  <si>
    <t>Caja X 280</t>
  </si>
  <si>
    <t xml:space="preserve">Papel adhesivo para etiquetar </t>
  </si>
  <si>
    <t>Paquete x 2000</t>
  </si>
  <si>
    <t>Papel aluminio</t>
  </si>
  <si>
    <t>Rollo x 40 m</t>
  </si>
  <si>
    <t>Papel crepado</t>
  </si>
  <si>
    <t>Rollo x 100 metros</t>
  </si>
  <si>
    <t xml:space="preserve">Papel de arroz para limpiar lentes </t>
  </si>
  <si>
    <t>Kimwipes o equivalente</t>
  </si>
  <si>
    <t>Papel de filtro No. 1. Ø = 185 mm</t>
  </si>
  <si>
    <t xml:space="preserve">Whatman </t>
  </si>
  <si>
    <t>Papel de filtro No. 1. Ø = 90 mm</t>
  </si>
  <si>
    <t>Whatman</t>
  </si>
  <si>
    <t>Papel de filtro No. 2 Ø = 110 mm</t>
  </si>
  <si>
    <t>Papel de filtro No. 42 Ø = 110 mm</t>
  </si>
  <si>
    <t xml:space="preserve">No cumple con la dimensión especificada 110 mm
</t>
  </si>
  <si>
    <r>
      <t xml:space="preserve">Papel de filtro Whatman </t>
    </r>
    <r>
      <rPr>
        <b/>
        <sz val="8"/>
        <rFont val="Arial Narrow"/>
        <family val="2"/>
      </rPr>
      <t>No. 1 qualitative</t>
    </r>
    <r>
      <rPr>
        <sz val="8"/>
        <rFont val="Arial Narrow"/>
        <family val="2"/>
      </rPr>
      <t>. Ø = 150 mm</t>
    </r>
  </si>
  <si>
    <t>Papel de germinación de semillas No. 76 (12" x 18")</t>
  </si>
  <si>
    <t>Anchor o equivalente</t>
  </si>
  <si>
    <t>Papel Filtro blanco de 110 a 120 mm cualitativo</t>
  </si>
  <si>
    <t xml:space="preserve"> Whatman, Grado 1</t>
  </si>
  <si>
    <t xml:space="preserve">Papel Kraft </t>
  </si>
  <si>
    <t>Papel libre de ácido tamaño carta</t>
  </si>
  <si>
    <t>Resma</t>
  </si>
  <si>
    <t>Papel parafilm de 2” x 250 pies (38 m x 100 mm)</t>
  </si>
  <si>
    <t>No cuenta con la carta de distribución de la marca Brand</t>
  </si>
  <si>
    <t xml:space="preserve">No cuenta con carta de autorización de comercialziación </t>
  </si>
  <si>
    <t>Subsana lo anterior, y presenta una carta de perimiso de distribución, además una carta de garantia adicional por 36 meses</t>
  </si>
  <si>
    <t>Perlas metalicas en Acero inoxidable 5mm de diametro</t>
  </si>
  <si>
    <t>Peto de PVC para lavado de material Calibre 16. Color negro.</t>
  </si>
  <si>
    <t>Pila Cuadrada alkalina 9 v</t>
  </si>
  <si>
    <t>Pilas AA recargables</t>
  </si>
  <si>
    <t>Pilas AAA recargables</t>
  </si>
  <si>
    <t>Pilas de reloj para timers</t>
  </si>
  <si>
    <t>GPA76</t>
  </si>
  <si>
    <t>Pincel No. 000</t>
  </si>
  <si>
    <t>Pincel No. 0000</t>
  </si>
  <si>
    <t>Pincel No. 00000</t>
  </si>
  <si>
    <t>Pincel pelo de marta No. 0</t>
  </si>
  <si>
    <t>Pinza de disección con garra en acero inoxidable de 11,5 cm</t>
  </si>
  <si>
    <t>Pinza de disección con garra en acero inoxidable de 14,5 cm</t>
  </si>
  <si>
    <t>Pinza de disección sin garra en acero inoxidable de 14,5 cm</t>
  </si>
  <si>
    <t>Pinza de disección sin garra en acero inoxidable de 16-20 cm</t>
  </si>
  <si>
    <t>Pinza de disección sin garra recta de 12,1 cm de longitud</t>
  </si>
  <si>
    <t>Pinza de punta fina</t>
  </si>
  <si>
    <t>Pinza Entomológica punta aguda de acero. Pinza punta fina de 120 mm.</t>
  </si>
  <si>
    <t xml:space="preserve">Pinza entomológica punta fina curva en acero inoxidable </t>
  </si>
  <si>
    <t>Pinza entomológica punta fina para relojería en acero inoxidable No. 00</t>
  </si>
  <si>
    <t>Pinza Entomológica punta roma de acero de 120 mm.</t>
  </si>
  <si>
    <t>Pinza entomológica suave en acero inoxidable Featherweigh punta redonda</t>
  </si>
  <si>
    <t>Pinzas de presión tipo Mohr</t>
  </si>
  <si>
    <t>Pipeta aforada de 2 ml Clase A/AS, impresión en cerámica cumpliendo norma ISO 12 600 donde se indique: volumen nominal, fabricante, símbolo de Unidad, temperatura de referencia, clase y que cumpla con la norma DIN en ISO 648. Con certificado de fábrica.</t>
  </si>
  <si>
    <t>Pyrex , Corning, Kymax, Brand, Duran.o marcas equivalentes</t>
  </si>
  <si>
    <t>Pipeta aforada de 20 ml Clase A/AS, impresión en cerámica cumpliendo norma ISO 12 600 donde se indique: volumen nominal, fabricante, símbolo de Unidad, temperatura de referencia, clase y que cumpla con la norma DIN en ISO 648. Con certificado de fábrica.</t>
  </si>
  <si>
    <t>Pipeta aforada de 25 ml Clase A/AS, impresión en cerámica cumpliendo norma ISO 12 600 donde se indique: volumen nominal, fabricante, símbolo de Unidad, temperatura de referencia, clase y que cumpla con la norma DIN en ISO 648. Con certificado de fábrica.</t>
  </si>
  <si>
    <t>Pipeta graduada de vidrio de 10 ml con certificado. Clase A/AS, impresión en cerámica cumpliendo norma ISO 12 600 donde se indique: volumen nominal, fabricante, símbolo de Unidad, temperatura de referencia, clase y que cumpla con la norma DIN en ISO 835. Con certificado de fábrica.</t>
  </si>
  <si>
    <t>Pyrex , Corning, Kymax, Brand, Duran o marcas equivalentes.</t>
  </si>
  <si>
    <t xml:space="preserve">La pipeta ofertada es volumetrica  y no graduada como se solicita en las especificaciones técnicas requeridas por la entidad.
Asímismo elitem ofertando no cumple  las nortimativas requeridas </t>
  </si>
  <si>
    <t xml:space="preserve">Pipeta graduadas con émbolo de aspiración, de vidrio al sodio y a la cal, vaciado completo de 5 ml </t>
  </si>
  <si>
    <t xml:space="preserve">Pipeta Pasteur en polietileno desechable estéril 3 ml de capacidad, longitud 15,2 cm </t>
  </si>
  <si>
    <t xml:space="preserve"> VWR 52947-970 o equivalente con similares o superiores caracterísitcas.</t>
  </si>
  <si>
    <t xml:space="preserve">Pipeta Pasteur plastica de 1,0 ml de volumen </t>
  </si>
  <si>
    <t>Pipeta plástica poliestireno graduada para 10 ml, estériles y en empaque individual</t>
  </si>
  <si>
    <t>Se requiere que la cantidad enteregada sea el doble ya que la presentación del oferente es caja por 100 unidades y el iCA requiere caja por 200 unidades</t>
  </si>
  <si>
    <t>Pipeta plástica poliestireno graduada para 25 ml, estériles y en empaque individual</t>
  </si>
  <si>
    <t>Pipeta plástica poliestireno graduada para 5 ml, estériles y en empaque individual</t>
  </si>
  <si>
    <t>Pipetas pasteur en polietileno desechables estériles  de 7 ml de capacidad, graduadas hasta 3 ml de 5,3 cm de largo.</t>
  </si>
  <si>
    <t>Pipeteador tipo cremallera de 0-10 ml</t>
  </si>
  <si>
    <t>habilitado</t>
  </si>
  <si>
    <t>Placa de porcelana (Placa para tinción por nueve o seis cavidades de 87X54X8mm, +/- 5 mm)</t>
  </si>
  <si>
    <t>Caja por 24 und</t>
  </si>
  <si>
    <t>La Ficha técnica no evidencia las dimensiones requeridas y hay discrepancias entre la marca ofertada en la ficha técnica y la propuesta económica</t>
  </si>
  <si>
    <t xml:space="preserve">Plato de poliestireno para pesar reactivos antiestático, desechable, resistente a ácidos, alcoholes y bases, fondo plano, tamaño Longitud 41-45 mm x Anchura 41-45 mm x altura 7-8 mm . Fondo ID 1.4 in. </t>
  </si>
  <si>
    <t xml:space="preserve">Paquete x 500 </t>
  </si>
  <si>
    <t>Plato para pesaje desechable y antiestático 76mm  X  102mm</t>
  </si>
  <si>
    <t xml:space="preserve">La ficha técnica no indica que sea antiestático
</t>
  </si>
  <si>
    <t>Portacajas para cajas petri. En acero inoxidable, con canastilla teambién en acero inoxidable, diámetro para cajas petri de 100 mm y capacidad de mínimo 14 cajas</t>
  </si>
  <si>
    <t>Probeta  de vidrio de 25 ml base hexagonal con certificado. Borosilicato 3.3 DIN en ISO 4788, impresión en cerámica, que cumpla con las normas DIN12 600 Control y garantía de calidad NCA menor o igual a 0,4 y certificación del fabricante que resiste temperaturas hasta de 250°C sin perder la volumetria.</t>
  </si>
  <si>
    <t>No se adjuntó la Ficha técnica</t>
  </si>
  <si>
    <t>Probeta  de vidrio de 500  ml clase B base hexagonal con certificado. Borosilicato 3.3 DIN en ISO 4788, impresión en cerámica, que cumpla con las normas DIN12 600 Control y garantía de calidad NCA menor o igual a 0,4 y certificación del fabricante que resiste temperaturas hasta de 250°C sin perder la volumetria.</t>
  </si>
  <si>
    <t>Probeta de 100ml  clase B</t>
  </si>
  <si>
    <t>Pyrex , Corning, Kymax, Brand, Duran, Schott o equvalente</t>
  </si>
  <si>
    <t>Probeta de 25 ml clase B</t>
  </si>
  <si>
    <t>Probeta de 250 ml clase B</t>
  </si>
  <si>
    <t>Probeta de 50 ml clase B</t>
  </si>
  <si>
    <t>Probeta de vidrio con base hexagonal de vidrio clase A de 10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t>
  </si>
  <si>
    <t>Probeta de vidrio con base hexagonal de vidrio clase A de 100 ml intervalo de graduación de 1 ml. Borosilicato 3.3 DIN en ISO 4788, impresión en cerámica, que cumpla con las normas DIN12 600 Control y garantía de calidad NCA menor o igual a 0,4 y certificación del fabricante que resiste temperaturas hasta de 250°C sin perder la volumetria.</t>
  </si>
  <si>
    <t>Probeta de vidrio con base hexagonal de vidrio clase A de 2000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t>
  </si>
  <si>
    <t>Probeta de vidrio con base hexagonal de vidrio clase A de 5 ml con pico. Borosilicato 3.3  DIN en ISO 4788,</t>
  </si>
  <si>
    <t>La carta de distribución es a título perosnal</t>
  </si>
  <si>
    <t>Probeta de vidrio con base hexagonal de Vidrio clase A. de 1000 ml. Borosilicato 3.3 DIN en ISO 4788, impresión en cerámica, que cumpla con las normas DIN12 600 Control y garantía de calidad NCA menor o igual a 0,4 y certificación del fabricante que resiste temperaturas hasta de 250°C sin perder la volumetria.</t>
  </si>
  <si>
    <t>Probeta de vidrio con base hexagonal de Vidrio clase A. de 250 ml. Borosilicato 3.3 DIN en ISO 4788, impresión en cerámica, que cumpla con las normas DIN12 600 Control y garantía de calidad NCA menor o igual a 0,4 y certificación del fabricante que resiste temperaturas hasta de 250°C sin perder la volumetria.</t>
  </si>
  <si>
    <t>Probeta de vidrio con base hexagonal de Vidrio clase A. de 500 ml. Borosilicato 3.3 DIN en ISO 4788, impresión en cerámica, que cumpla con las normas DIN12 600 Control y garantía de calidad NCA menor o igual a 0,4 y certificación del fabricante que resiste temperaturas hasta de 250°C sin perder la volumetria.</t>
  </si>
  <si>
    <t>Probeta Plástica graduada 10 mL</t>
  </si>
  <si>
    <t>Marca: Nalgene / Brixco o equivalente</t>
  </si>
  <si>
    <t>Probeta Plástica graduada 25 mL</t>
  </si>
  <si>
    <t>Marca: Nalgene / Brixco  o equivalente</t>
  </si>
  <si>
    <t>Probeta Plástica graduada 50 mL</t>
  </si>
  <si>
    <t xml:space="preserve">Protector Auditivo Tipo Copa Samurai Steelpro NRR 23 dB </t>
  </si>
  <si>
    <t>Steelpro NRR 23 dB </t>
  </si>
  <si>
    <t>Punta 0,1-10 µl con filtro larga libre de RNAsa, DNAsa y pirógenos. Compatible con pipetas Eppendorf, Jencons y Boeco</t>
  </si>
  <si>
    <t>Eppendorf 47745-086 o equivalente</t>
  </si>
  <si>
    <t>Punta 0,1-10 µl resistentes a autoclavado</t>
  </si>
  <si>
    <t>Socorex R3090010R</t>
  </si>
  <si>
    <t>Punta 0,5-20 µl</t>
  </si>
  <si>
    <t>Brand 732204</t>
  </si>
  <si>
    <t xml:space="preserve">Caja x 5 racks de 96 puntas </t>
  </si>
  <si>
    <t xml:space="preserve">Punta 0,5-5 ml </t>
  </si>
  <si>
    <t>Brand 702595</t>
  </si>
  <si>
    <t xml:space="preserve">Punta 1,25 ml combitip para pipeta repetidora </t>
  </si>
  <si>
    <t>Thermo Scientific 9404180</t>
  </si>
  <si>
    <t>Punta 10 µl blanca</t>
  </si>
  <si>
    <t>Extragene</t>
  </si>
  <si>
    <t xml:space="preserve">Punta 10 ml Finntip </t>
  </si>
  <si>
    <t>Fisher Scientific 21-377-146, Labsystems 9402150</t>
  </si>
  <si>
    <t>El oferente no adjunta ficha técnica para este item</t>
  </si>
  <si>
    <t>Punta de micropipeta de 100 o 200 µl sin filtro libre de RNAsa, DNAsa y pirógenos. Compatible con pipetas Eppendorf, Jencons y Boeco</t>
  </si>
  <si>
    <t xml:space="preserve">Axygen o equivalentes. </t>
  </si>
  <si>
    <t>Punta 100-1000 µl con filtro libres de RNAsa, DNAsa y pirógenos. Compatibles con micropipetas Eppendorf, Jencons y Boeco, NICHIRYO</t>
  </si>
  <si>
    <t>TipOne</t>
  </si>
  <si>
    <t>Punta 100-1000 µl Finntip 1000</t>
  </si>
  <si>
    <t>Labsystems 9401110</t>
  </si>
  <si>
    <t>Caja x 10 racks x 60</t>
  </si>
  <si>
    <t>Punta 2-200 µl sin filtro</t>
  </si>
  <si>
    <t>Brand</t>
  </si>
  <si>
    <t xml:space="preserve">Punta 1-10 µl con filtro de libres de RNasas y Dnasas </t>
  </si>
  <si>
    <t xml:space="preserve">No cuenta con autorización de distribución. </t>
  </si>
  <si>
    <t xml:space="preserve">Punta 1-100 µl con filtro de libres de RNasas y Dnasas </t>
  </si>
  <si>
    <t>Punta 1-20 µl con filtro de  libre de Dnasa y Rnasa</t>
  </si>
  <si>
    <t>Punta 20 µl Finntip 20</t>
  </si>
  <si>
    <t>Labsystems 9400610</t>
  </si>
  <si>
    <t>Punta 200 µl amarilla compatibles con micropipetas de las marcas (Socorex , axygen, capp bravo) resistentes a autoclavado</t>
  </si>
  <si>
    <t>Socorex, Axygen, Cap Bravo o equivalentes</t>
  </si>
  <si>
    <t>No es posible verificar que las puntas ofertadas sean compatibles con las marcas solicitadas</t>
  </si>
  <si>
    <t>Punta 200 µl con filtro libre de Dnasa y Rnasa</t>
  </si>
  <si>
    <t>Punta 2-100 µl blanca con filtro</t>
  </si>
  <si>
    <t>Eppendorf 0030 077.547</t>
  </si>
  <si>
    <t>Punta 2-20 µl blanca con filtro</t>
  </si>
  <si>
    <t>Eppendorf 0030 077.539 o compatible con micropipetas Eppendorf</t>
  </si>
  <si>
    <t>Punta 250 µl Universal</t>
  </si>
  <si>
    <t xml:space="preserve">Thermo Fisher Scientific Finnitip 9400-260 </t>
  </si>
  <si>
    <t>El proponente no anexo la ficha técnica del ítem</t>
  </si>
  <si>
    <t xml:space="preserve">Punta 250 µl universal, autoclavables finntip </t>
  </si>
  <si>
    <t xml:space="preserve">Finnitip 9400-230, Fisher 21-377-45 </t>
  </si>
  <si>
    <t>Punta 300 µl color transparente Finntip 300</t>
  </si>
  <si>
    <t>Labsystems 9401260</t>
  </si>
  <si>
    <t>Punta 300 µl con filtro Finntip</t>
  </si>
  <si>
    <t>Labsystems 94052350</t>
  </si>
  <si>
    <t>Punta 50-1000 µl azul sin esterilizar libre de Dnasas y Rnasas</t>
  </si>
  <si>
    <t xml:space="preserve">Brand 7320 12 </t>
  </si>
  <si>
    <t xml:space="preserve">Punta Brand 10 µl o 20ul sin filtro </t>
  </si>
  <si>
    <t xml:space="preserve">
No se oferta la marca solicitada</t>
  </si>
  <si>
    <t>Punta Brand 2-200 µl sin filtro</t>
  </si>
  <si>
    <t>Caja x  10 racks x 96</t>
  </si>
  <si>
    <t>Punta Brand 1000 µl sin filtro</t>
  </si>
  <si>
    <t>Punta de micropipeta de 10-200µl</t>
  </si>
  <si>
    <t>Puntas con filtro 0,5-10µL</t>
  </si>
  <si>
    <t>Puntas de 0.5 – 10 µl en polipropileno transparente, estériles, certificado de  libres de Rnasas, Dnasa y Pirogenos, compatibles con micropipetas de marcas Brand y Capp, Axygen, Boeco</t>
  </si>
  <si>
    <t>Axygen, Eppendorf, Neogen, Finnpipette, Brand</t>
  </si>
  <si>
    <t xml:space="preserve">Paquete X 1000 </t>
  </si>
  <si>
    <t>Puntas de 2 – 200 µl en polipropileno, certificado de  libres de Rnasas, Dnasa y Pirogenos,  compatibles con micropipetas de marcas Capp bravo, Brand</t>
  </si>
  <si>
    <t>Brand, Cap Bravo o equivalentes</t>
  </si>
  <si>
    <t>Paquete X 1000 Unidades.</t>
  </si>
  <si>
    <t>Puntas de 20 – 100 µl en polipropileno, certificado de  libres de Rnasas, Dnasa y Pirogenos,  compatibles con micropipetas de marcas Capp, Microlit, Socorex.</t>
  </si>
  <si>
    <t>Brand, Cap Bravo, Axygen, Socorex, Microlit o equivalentes</t>
  </si>
  <si>
    <t>En la ficha técnica no se evidencia el volumen solicitado en el ítem</t>
  </si>
  <si>
    <t>Puntas de 200 µl sin filtro</t>
  </si>
  <si>
    <t>Racks para tubos de PCR. Material: polipropileno ; Especificación: para 96 pozos, con tapa, dimensiones (12,5 * 8,6 * 3,3)</t>
  </si>
  <si>
    <t>NA</t>
  </si>
  <si>
    <t>Paquetes de 5 Unidades</t>
  </si>
  <si>
    <t>Rastrillo  bacteriologico autoclavable  vidrio, para sembrar bacterias en medio de cultivo.</t>
  </si>
  <si>
    <t xml:space="preserve"> </t>
  </si>
  <si>
    <t>Se acepta el item siempre y cuando se entregue paquete X10 y no se exceda el presupuesto definido por el ICA para ese ítem</t>
  </si>
  <si>
    <t>Recipiente básico rectangular 3L de 19X30X10 cm.</t>
  </si>
  <si>
    <t>Estra</t>
  </si>
  <si>
    <t>Recipiente familiar  No. 3</t>
  </si>
  <si>
    <t>Unidad x 1,8 L</t>
  </si>
  <si>
    <t>Recipiente familiar  No. 4</t>
  </si>
  <si>
    <t>Unidad x 4 L</t>
  </si>
  <si>
    <t>Recolector de elementos punzocortantes. Colector desechable para uso con el sistema "guardián" Capacidad: 1.0 litros. Resistente al impacto. Fabricado en polipropileno original</t>
  </si>
  <si>
    <t>Recolector guardián de corto punzantes x 0.5 L</t>
  </si>
  <si>
    <t>Recolector guardián de punzocortantes 1.4 lt</t>
  </si>
  <si>
    <t>Recolector guardián de punzocortantes 3 lt</t>
  </si>
  <si>
    <t>Recuperador de varilla de agitacion  eje flexible 43,2cm</t>
  </si>
  <si>
    <t>Reservorio para reactivos capacidad de 50ml autoclavable</t>
  </si>
  <si>
    <t>Reservorio para reactivos capacidad de 50ml desechable</t>
  </si>
  <si>
    <t>Paquete x 50</t>
  </si>
  <si>
    <t>Respirador (KIT) media cara con cartucho contra vapores organicos y gases ácidos plástico circular, colocación de cartuchos y filtros tipo bayoneta sin guías, certificado por NIOSH 42CFR84. El respirador con arnes de cabeza ajustable de 3 puntos, cubierta de válvula de exhalación de fácil apertua. 100%  libre de PVC y metales.</t>
  </si>
  <si>
    <t>Moldex 7002+7300 (2)+8910 (2) +7020 (2); 3M o equivalente</t>
  </si>
  <si>
    <t>Pieza facial + un par de cartuchos + un par de prefiltros + un par de retenedores</t>
  </si>
  <si>
    <t>Respirador de libre mantenimiento N95, preformado para mejor ajuste, diseño de ondas que permite expandirse y contraerse a través de pliegues que se encuentran en toda la estructura del respirador, con carbon activado contra vapores orgánicos. Malla retardante al calor y la flama, debe estar certificado por NIOSH 42CFR84 o normas equivalentes. Bandas textiles con ajuste de broche sobre la nuca para mayor comodidad. 100% libre de PVC y metales.</t>
  </si>
  <si>
    <t>Moldex 4800 N95</t>
  </si>
  <si>
    <t>El producto ofertado no corresponde al solicitado por la entidad</t>
  </si>
  <si>
    <t>Rótulo adhesivo para control de inventarios 4 cm x 6 cm</t>
  </si>
  <si>
    <t>Set de herramientas para micromontajes</t>
  </si>
  <si>
    <t>Bioquip 4831</t>
  </si>
  <si>
    <t xml:space="preserve">Set x tres </t>
  </si>
  <si>
    <t>Sílica gel indicador</t>
  </si>
  <si>
    <t xml:space="preserve">Sistema de  25 perlas en  criovial para  preservación de bacterias  rojo </t>
  </si>
  <si>
    <t>Criobank</t>
  </si>
  <si>
    <t xml:space="preserve">Sistema de 25 perlas en  criovial para preservación de bacterias  azul </t>
  </si>
  <si>
    <t xml:space="preserve">Sistema de 25 perlas en criovial para  preservación de bacterias amarillo </t>
  </si>
  <si>
    <t>Soporte de mesa para 6 transferpipetas S tipo digital</t>
  </si>
  <si>
    <t>Brand 704807</t>
  </si>
  <si>
    <t>Soporte lineal para micropipetas</t>
  </si>
  <si>
    <t xml:space="preserve">No se adjunta una nueva ficha técnica para identificar si el soporte es compatible con las micropipetas Brand o equivalentes. </t>
  </si>
  <si>
    <t>Tamices metálicos con luz de malla de 4mm, 2mm, 1mm, y 500 um; más tapa y base</t>
  </si>
  <si>
    <t>Pinzuar o equivalente</t>
  </si>
  <si>
    <t>Tapa para vial con septa preperforada 9mm JGF ROY CAP T/S SLIT</t>
  </si>
  <si>
    <t>Se adjunta ficha del elemento, pero no cumple con las especificaciones de JGF ROY CAP T/S SLIT</t>
  </si>
  <si>
    <t>Tapabocas quirúrgico con ajuste en resorte y pinza de tabique nasal, elaborados en 100% polipropileno y 3 capas, Capa externa: 27 g/m2 (±2%), Capa interna: 18 g/m2 (±2%), Elemento filtrante: 20 g/m2 (±2%). Caja por 50 Unidades.</t>
  </si>
  <si>
    <t>Termohigrobarómetro Digital, portátil, pantalla LCD y tres medidas simultáneas de humedad relativa, temperatura ambiente y presión atmosférica. Para realizar medidas y guardarlas en memoria . Que pueda memorizar datos de los tres parámetros a la vez. Incorpora función de fecha y hora para el control de las medidas. Resolución: 0,1 para cada una de las magnitudes. Rangos: Humedad relativa: de 10% a 90% Temperatura: de 0ºC a 50ºC Presión atmosférica: desde 00hPa  Duración del tiempo de registro: Programable con certificado de calibracion de laboratorio acreditado o laboratorio nacional reconicido.
Con certificado de calibración emitido por un laboratorio certificado por el ONAC.</t>
  </si>
  <si>
    <t xml:space="preserve">Termohigrómetro con datalogger digital de lectura simultánea. Rangos: 0 a 50°C y 20 a 90% de humedad relativa, resolución de 0.1°C y de 1%.Trazable a  NIST. Calibrado y Con certificado de calibración emitido por un laboratorio certificado por el ONAC.
</t>
  </si>
  <si>
    <t>Fisher 06-662-4 o marca equivalente.</t>
  </si>
  <si>
    <t>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
Con certificado de calibración emitido por un laboratorio certificado por el ONAC.</t>
  </si>
  <si>
    <t>La ficha técnica no muestra la resolución, caracteritica de las especificaciones mínimas.</t>
  </si>
  <si>
    <t>Termohigrómetro  para máximas y mínimas con rango de temperatura entre 0 y 50 grados centígrados y humedad relativa menor a 95% con sonda
Con certificado de calibración emitido por un laboratorio certificado por el ONAC.</t>
  </si>
  <si>
    <t>El proponente oferto un termómetro y se solicitó un termohigrómetro</t>
  </si>
  <si>
    <t xml:space="preserve">No cumple con las especificaciones técncias debido a que el elemento ofertado es un termómetro y no un termohigrómetro que es el requerido por la entidad. </t>
  </si>
  <si>
    <t>Termómetro de 0 a 50°C con resolución de 0.1°C con certificado 
Con certificado de calibración emitido por un laboratorio certificado por el ONAC.</t>
  </si>
  <si>
    <t xml:space="preserve">El termómetro ofertado no cumple con las especificacioens técnicas por ser de mercurio y en la ficha técnica allegada no se puede evaluar si la resolución es de 0,1ºC. </t>
  </si>
  <si>
    <t>No está en la oferta ecónomica, pero presentan fichas tecnicas
No presenta carta de distribución autorizada</t>
  </si>
  <si>
    <t>Termómetro digital con 4 sondas termopar de 2m de longitud, con capacidad de grabar y almacenar hasta 16000 datos, Pantalla LCD con iluminacion de fondo, que indique los datos de las 4 sondas simultaneamente. Division de escala mínimo de 0,1 °C. Rango de medicion de -100°C a 300°C.  Alimentación con adapatador de Voltaje y baterias. Con certificado de calibracion de ente acreditado nacional o internacional. Calibrado en los siguientes puntos calibrados:  -80°C,-20°C, 0°C, 5°C, 20°C.</t>
  </si>
  <si>
    <t>Termometro Digital para toma de temperatura en grandes animales</t>
  </si>
  <si>
    <t>Tijera de 13 - 15  cm en acero inoxidable rectas</t>
  </si>
  <si>
    <t>Tijera de 13 - 15 cm en acero inoxidable punta curva</t>
  </si>
  <si>
    <t xml:space="preserve">Tijera de disección micro tijera tipo pinza 7.5cm </t>
  </si>
  <si>
    <t>Tijera iris para microcirugía en acero inoxidable de 11 cm de longitud, con punta extradelgada y hoja inferior aserrada</t>
  </si>
  <si>
    <t>Westcott</t>
  </si>
  <si>
    <t>Tijera mayo recta 15.2 cm</t>
  </si>
  <si>
    <t>Tijera para tejidos curva Metzembaum  de 15 cm </t>
  </si>
  <si>
    <t>Tijera podadora</t>
  </si>
  <si>
    <t>Tijera trincha aves en acero inoxidable de 9.5 "</t>
  </si>
  <si>
    <t>Tijeras para necropsia de aves</t>
  </si>
  <si>
    <t>Avinstrumentosmentos</t>
  </si>
  <si>
    <t>Timer digital 4 canales</t>
  </si>
  <si>
    <t>Tinta brady (TLS 2200/TLS PC Link portable thermal Ribbons Black )</t>
  </si>
  <si>
    <t>R4310 Ptr Ribbon</t>
  </si>
  <si>
    <t xml:space="preserve">Toalla absorbente multiusos reutilizable, presentación en rollo por mínimo 64 toallas  </t>
  </si>
  <si>
    <t>Scott, familia o equivalente</t>
  </si>
  <si>
    <t>Toalla de manos doblada en Z Natural Hoja Triple</t>
  </si>
  <si>
    <t>Familia 73547 o equivalente</t>
  </si>
  <si>
    <t>Tubo 2.0 ml fondo cónico</t>
  </si>
  <si>
    <t>Axygen</t>
  </si>
  <si>
    <t>Tubo de centrífuga de 15 ml en polipropileno, estéril, tapa rosca, fondo cónico, velocidad de centrífugación 12000 RPM, autoclavable (sin la tapa), rango de temperatura de -40 a +80º C, con graduación impresa.</t>
  </si>
  <si>
    <t>Falcon 352095 Fisher 11889640
MP BIOMEDICALS  
Corning
equivalentes</t>
  </si>
  <si>
    <t>Tubo de centrífuga de 50 ml en polipropileno con tapa rosca, Stand up</t>
  </si>
  <si>
    <t>Thomas Scientific 2602A42 Corning 430921</t>
  </si>
  <si>
    <t>Tubo de centrífuga de 50 ml en polipropileno con tapa y sello de tapón, fondo cónico, estéril, graduado, velocidad de centrífugación 12000 RPM, autoclavable (sin la tapa), rango de temperatura de -40 a +80º C, con graduación impresa.</t>
  </si>
  <si>
    <t>Corning 430290 o equivalente</t>
  </si>
  <si>
    <t>Tubo de centrífuga de 50 ml Oak Ridge,  fondo redondo, traslúcidos resistente a ácidos, bases y disolventes, capacidad para soportar fuerzas de hasta 50000xg, esterilizable en autoclave, 29,0*107,2 mm,  centrifigue FEP</t>
  </si>
  <si>
    <t>Nalgene®</t>
  </si>
  <si>
    <t>Tubo de ensayo de vidrio 13x75 mm, sin reborde</t>
  </si>
  <si>
    <t>Pyrex, Brand 9820 o similar</t>
  </si>
  <si>
    <t>Paquete x 72</t>
  </si>
  <si>
    <t>Tubo de ensayo de vidrio Plain Disposable Borosilicate 16x100 mm</t>
  </si>
  <si>
    <t>Fisherbrand 03-341-4, DWK life sciences o equivalente</t>
  </si>
  <si>
    <t>El item no tiene oferta económica</t>
  </si>
  <si>
    <t>Tubo de microdilución de 1.1 ml</t>
  </si>
  <si>
    <t>Thermo o equivalente</t>
  </si>
  <si>
    <t>Bolsa x 960</t>
  </si>
  <si>
    <t xml:space="preserve">Tubo de vidrio refractario tapa rosca 16x150 mm capacidad 20 ml </t>
  </si>
  <si>
    <t>No cumple con la especificación de vidrio refractario. En las subsanaciones sigue la ficha técnica no informa que sea vidrio refractario</t>
  </si>
  <si>
    <t>Tubo de vidrio tapa rosca 13x100 mm</t>
  </si>
  <si>
    <t>Pyrex Plus, Sigma o equivalente</t>
  </si>
  <si>
    <t>Tubo de vidrio tapa rosca 9 ml</t>
  </si>
  <si>
    <t>Enthos o Bioequipos</t>
  </si>
  <si>
    <t>Lo que se oferta son viales no tubos</t>
  </si>
  <si>
    <t xml:space="preserve">Tubo de vidrio tapa rosca base plana de 100mm de longitud por 15 mm de diámetro </t>
  </si>
  <si>
    <t>Tubo de vidrio tapa rosca desde 20 ml</t>
  </si>
  <si>
    <t xml:space="preserve">Fisherbrand 03-339-25F </t>
  </si>
  <si>
    <t xml:space="preserve">Caja x 144 </t>
  </si>
  <si>
    <t>Tubo de vidrio tapa rosca x 10 ml</t>
  </si>
  <si>
    <t>Pyrex, Cole Parmer, Brand PZ-06324-60 o equivalente</t>
  </si>
  <si>
    <t>Tubo de vidrio, de 15 ml, graduado, fondo cónico de 17x130mm tapa rosca</t>
  </si>
  <si>
    <t>Fisher Scientific 05-538-32B, DWK life sciences</t>
  </si>
  <si>
    <t>Paquete x 12</t>
  </si>
  <si>
    <t>Tubo Eppendorf de 2 ml, tapa plana de borde largo, libres de Rnasas, Dnasa y pirógenos, color Natural, Ultra Transparentes, rótulo esmerilado, graduados,</t>
  </si>
  <si>
    <t>Eppendorf o equivalente</t>
  </si>
  <si>
    <t>Tubo microhematocrito sin heparina</t>
  </si>
  <si>
    <t>Marienfeld o equivalente</t>
  </si>
  <si>
    <t>Frasco x 100</t>
  </si>
  <si>
    <t>Tubo para microcentrífuga de 1,7 con tapa ,libres de Rnasas ,Dnasas y pirógenos</t>
  </si>
  <si>
    <t>Sorenson, VWR.</t>
  </si>
  <si>
    <t>Tubo para microcentrífuga plásticos de 2.0 ml</t>
  </si>
  <si>
    <t>Axygen (CATMCT-200-C), Brand (780550)</t>
  </si>
  <si>
    <t>Bolsa x 500</t>
  </si>
  <si>
    <t xml:space="preserve">Tubo para PCR 0.2 ml con tapa plana libres de Dnasas y RNAsas </t>
  </si>
  <si>
    <t xml:space="preserve">Thermo Scientific, VWR, Brand, Axygen. </t>
  </si>
  <si>
    <t>Tubo para toma de sangre al vacío tapón lila. Plástico, tapón hemogard de 6.0 ml. Aditivo siliconizado, con fecha de vencimiento minimo de un año a partir de la fecha de entrega.</t>
  </si>
  <si>
    <t>Vacutest o equivalente</t>
  </si>
  <si>
    <t>Tubo para toma de sangre en polipropileno al vacío tapa roja, sin anticoagulante mínimo para 7 ml. con fecha de vencimiento minimo de un año a partir de la fecha de entrega.</t>
  </si>
  <si>
    <t>No aporta carta de distribución para el ítem ofertado</t>
  </si>
  <si>
    <t>Tubo plástico tapa rosca 2 ml</t>
  </si>
  <si>
    <t xml:space="preserve">Tubo tipo Eppendorf 0,5ml  en polipropileno grado médico, libre de RNasas y DNasas, estériles. Resistentes fuerza centrífuga hasta x  30000g autoclavables, libres de pirógenos, resistentes a temperaturas de -80 hasta 121 °C </t>
  </si>
  <si>
    <t xml:space="preserve">Eppendorf </t>
  </si>
  <si>
    <t xml:space="preserve">Tubo tipo Eppendorf de 1,5 ml en polipropileno grado médico, libre de RNasas y DNasas, estériles o no estériles. Resistentes fuerza centrífuga hasta x  30000g autoclavables, libres de pirógenos, resistentes a temperaturas de -80 hasta 121 °C </t>
  </si>
  <si>
    <t>Fisher 05-408-129 o equivalente</t>
  </si>
  <si>
    <t>Tubo Vacutainer SSTTM Suero con Gel Separador 8.5 ml. con fecha de vencimiento minimo de un año a partir de la fecha de entrega.</t>
  </si>
  <si>
    <t xml:space="preserve">Bolsa X 100 </t>
  </si>
  <si>
    <t>Tubo vacuteiner. tapa roja de  9 ml, sin Anticuagulante.
con fecha de vencimiento minimo de un año a partir de la fecha de entrega.</t>
  </si>
  <si>
    <t>Paquete X 100</t>
  </si>
  <si>
    <t xml:space="preserve">Unidades de Filtración para jeringa 0.22 µm estériles. (Ø=25mm), SFCA (Surfactant-free cellulose acetate) o similar acorde para filtración de aditivos de medios de cultivo microbiológicos </t>
  </si>
  <si>
    <t>Sterile Millex Millipore</t>
  </si>
  <si>
    <t>Vara para retirar varillas magnéticas, con núcleo magnético completamente encapsulado en PTFE. Longitud 300 - 350 mm. Ø: 8 mm</t>
  </si>
  <si>
    <t>Brand 137720 o equivalente</t>
  </si>
  <si>
    <t>Vaso copplin con 4 o 5 divisiones</t>
  </si>
  <si>
    <t>Vaso de precipitado de 5ml</t>
  </si>
  <si>
    <t>Schott, duran</t>
  </si>
  <si>
    <t>No cumple con la marca solicitada, ya que se oferta Brand</t>
  </si>
  <si>
    <t xml:space="preserve">Vaso de precipitado en polipropileno de 250 ml </t>
  </si>
  <si>
    <t>Nalgene o equivalente</t>
  </si>
  <si>
    <t>Paquete x 6</t>
  </si>
  <si>
    <t>Vaso de precipitado en polipropileno de 5000 ml</t>
  </si>
  <si>
    <t>Vaso de precipitado en vidrio claro de 1000 ml, en borosilicato 3.3, forma alta con graduación y pico. Diámetro x Altura 95 x 180 mm, impresión en cerámica, DIN12331/ISO3819 e ISO12 600 o ASTM E960, requisitos Tipo I y USP Tipo I y ASTM E438, Tipo I.</t>
  </si>
  <si>
    <t>Pyrex , Corning, Kymax, Brand, Duran, Brand o equivalente</t>
  </si>
  <si>
    <t>No cumple con las especificaciones técnicas por ser de forma baja y no alta como se solicitó</t>
  </si>
  <si>
    <t>No cumple con las especificaciones de forma alta</t>
  </si>
  <si>
    <t>Vaso de precipitado en vidrio claro de 2000 ml. Borosilicato 3.3, impresión en cerámica, DIN12331/ISO3819 e ISO12 600 o ASTM E960, requisitos Tipo I y USP Tipo I y ASTM E438, Tipo I.</t>
  </si>
  <si>
    <t>Vaso de precipitado vidrio claro de 10 ml. Borosilicato 3.3, impresión en cerámica, que cumpla con las normas DIN12331/ISO3819 e ISO12 600 o ASTM E960, requisitos Tipo I y USP Tipo I y ASTM E438, Tipo I.</t>
  </si>
  <si>
    <t>Vaso de precipitado vidrio claro de 100 ml. Borosilicato 3.3, impresión en cerámica, que cumpla con las normas DIN12331/ISO3819 e ISO12 600 o ASTM E960, requisitos Tipo I y USP Tipo I y ASTM E438, Tipo I.</t>
  </si>
  <si>
    <t>Vaso de precipitado vidrio claro de 25 ml. Borosilicato 3.3, impresión en cerámica, que cumpla con las normas DIN12331/ISO3819 e ISO12 600 o ASTM E960, requisitos Tipo I y USP Tipo I y ASTM E438, Tipo I.</t>
  </si>
  <si>
    <t>Vaso de precipitado vidrio claro de 250 ml. Borosilicato 3.3, impresión en cerámica, que cumpla con las normas DIN12331/ISO3819 e ISO12 600 o ASTM E960, requisitos Tipo I y USP Tipo I y ASTM E438, Tipo I.</t>
  </si>
  <si>
    <t>No se evidencia el cumplimiento de las norma ISO12 600</t>
  </si>
  <si>
    <t>Vaso de precipitado vidrio claro de 400 ml. Borosilicato 3.3, impresión en cerámica, que cumpla con las normas DIN12331/ISO3819 e ISO12 600 o ASTM E960, requisitos Tipo I y USP Tipo I y ASTM E438, Tipo I.</t>
  </si>
  <si>
    <t xml:space="preserve">Vaso de precipitado vidrio claro de 500 - 600 ml. Borosilicato 3.3, impresión en cerámica, con pico que cumpla con las normas </t>
  </si>
  <si>
    <t>Vaso de precipitado vidrio claro de 600 ml. Borosilicato 3.3, impresión en cerámica, que cumpla con las normas DIN12331/ISO3819 e ISO12 600 o ASTM E960, requisitos Tipo I y USP Tipo I y ASTM E438, Tipo I.</t>
  </si>
  <si>
    <t xml:space="preserve">Vaso metálico en acero inoxidable para licuadora Waring con capacidad de 100-250 mL </t>
  </si>
  <si>
    <t>Waring RZ-04248-30</t>
  </si>
  <si>
    <t xml:space="preserve">Vial ámbar con zona de escritura de 2.0 ml, díamtetro de la tapa rosca 9mm </t>
  </si>
  <si>
    <t xml:space="preserve">Vial ámbar de 2 ml con tapa y septa, volumen de llenado 1,7 diámetro de la tapa rosca de 9mm </t>
  </si>
  <si>
    <t>Vial ámbar de 22 ml, tapa rosca con tapón plástico</t>
  </si>
  <si>
    <t xml:space="preserve">Caja x 100
</t>
  </si>
  <si>
    <t>Vidrio Reloj 50 mm de diámetro</t>
  </si>
  <si>
    <t>Vinipel</t>
  </si>
  <si>
    <t>Rollo x 300 m</t>
  </si>
  <si>
    <t>Bolsa roja con logo de riesgo biológico tipo hospitalaria en polipropileno, de 20 cm x 30 cm</t>
  </si>
  <si>
    <t>Paquete por 100 unidades</t>
  </si>
  <si>
    <t>Bolsa roja con logo de riesgo biológico tipo hospitalaria en polipropileno calibre, de 60 cm x 90-100 cm</t>
  </si>
  <si>
    <t>Bolsa roja con logo de riesgo biológico tipo hospitalaria en polipropileno calibre, de 40 cm x 60 cm</t>
  </si>
  <si>
    <t>Tubo en polipropileno tapa roja de 6ml con fecha de vencimiento superior a 12 meses a partir de la fecha de entrega</t>
  </si>
  <si>
    <t>Caja x 100 unidades</t>
  </si>
  <si>
    <t>Cubetas de cartón con espacio para 12 huevos</t>
  </si>
  <si>
    <t xml:space="preserve">Termómetro bimetálico. Conexión, bulbo, caja y aro de acero inoxidable. Visor de vidrio. Cuadrante de aluminio con impresiones en negro. Totalmente hermético. Ø del bulbo: 6.35 mm. largo 150 mm. carátula de 4”. Escala de 0° a 100°C. Longitud sonda 30 cm.
</t>
  </si>
  <si>
    <t>Termohigrometro Digital, con Sensor Rango Temperatura: -40°C to +70°C.Resolución: 0,1°C;  Rango Humedad Relativa: 0-1 to 99-100%HR. Resolución: 0,1%HR. Con certificado de calibración de ente acreditado o laboratorio nacional reconocido. 
Con certificado de calibración emitido por un laboratorio certificado por el ONAC.</t>
  </si>
  <si>
    <t>KIT de Necropsia Aviar, conformado por: Caja plástica Rimax con capacidad para almacenar: 1 mango de bisturí #2,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aliminio, 1 mechero, 1 canaleta, 2 separadores, 1 costótomo 22 a 34 cm.</t>
  </si>
  <si>
    <t>Laminilla cubre objeto 22 x 60 mm</t>
  </si>
  <si>
    <t xml:space="preserve">Balón aforado de 10 ml clase A no ámbar, con certificado de fábrica (calidad y rastreabilidad), borosilicato 3.3 que cumpla con los estándares DIN en ISO 1042 </t>
  </si>
  <si>
    <t>Columnas C18 (150 mm x 4,6 x 5 µ)</t>
  </si>
  <si>
    <t>Balón volumétrico clase A certificado de lote 200ml con tapa esmerilada</t>
  </si>
  <si>
    <t>varilla para agitación de vidrio 300mm</t>
  </si>
  <si>
    <t>Microespatula En Acero Inoxidable,Doble (Espátula -Cuchara) de 150 mm de Longitud X 5 mm de Anch</t>
  </si>
  <si>
    <t>boeco(3302) o equivalente</t>
  </si>
  <si>
    <t>Espatula combinada cuchara-plana 180 mm</t>
  </si>
  <si>
    <t>marca boeco(3347) o equivalente</t>
  </si>
  <si>
    <t>Espatula combinada cuchara-plana longitud entre 17 mm hasta 19mm</t>
  </si>
  <si>
    <t>marca boeco(3283) o equivalente</t>
  </si>
  <si>
    <t>No cumple especificación de longitud</t>
  </si>
  <si>
    <t>Gradilla plástica para tubos de ensayo de 20 mm. Capacidad 40 tubos</t>
  </si>
  <si>
    <t>Adaptador de celular para lentes microscópicos</t>
  </si>
  <si>
    <t>SOLOMARK, Swift, CitoHelper o equivalente</t>
  </si>
  <si>
    <t>Frasco lavador de cuello ancho de 500 ml de capacidad  de polietileno de baja densidad</t>
  </si>
  <si>
    <t>nalgene o Cualquier marca</t>
  </si>
  <si>
    <t>Lámina portaobjetos de 76 x 26 mm (3 x 1) Esmerilada</t>
  </si>
  <si>
    <t>ELEMENTOS</t>
  </si>
  <si>
    <t>REACTIVOS</t>
  </si>
  <si>
    <t>CANTIDAD DE ITEMS</t>
  </si>
  <si>
    <t>Porcentaje</t>
  </si>
  <si>
    <t>SIN COTIZACION</t>
  </si>
  <si>
    <t>1 COTIZACION</t>
  </si>
  <si>
    <t>2 COTIZACIONES</t>
  </si>
  <si>
    <t>3 O MAS</t>
  </si>
  <si>
    <t>No.</t>
  </si>
  <si>
    <t>Empresas cotizantes</t>
  </si>
  <si>
    <t>Disproquilab</t>
  </si>
  <si>
    <t>RENTABILIDAD DEL PATRIMONIO MAYOR A 20% Y RENTABILIDAD DEL ACTIVO MAYOR AL 5%</t>
  </si>
  <si>
    <t>Quimirel</t>
  </si>
  <si>
    <t>Elementos quimicos</t>
  </si>
  <si>
    <t>ARC</t>
  </si>
  <si>
    <t>PAF</t>
  </si>
  <si>
    <t>Sadirep</t>
  </si>
  <si>
    <t>Quimiolab</t>
  </si>
  <si>
    <t>Sanitas S.A.S</t>
  </si>
  <si>
    <t>Avantika</t>
  </si>
  <si>
    <t>Dizzar Ltda</t>
  </si>
  <si>
    <t>Inversiones Jimsa</t>
  </si>
  <si>
    <t>Casa cientifica</t>
  </si>
  <si>
    <t>comercializadora CC</t>
  </si>
  <si>
    <t>Insolab</t>
  </si>
  <si>
    <t>Bioplast</t>
  </si>
  <si>
    <t>Exogena</t>
  </si>
  <si>
    <t>Trabajadores con Discapacidad</t>
  </si>
  <si>
    <t>Resultado de la evaluación Técnica</t>
  </si>
  <si>
    <t>El proponente no entregó el certificado de análisis, que pudiesese comprobar que el reactivo es trazable ANIST valorado por norma DIN 19268</t>
  </si>
  <si>
    <t xml:space="preserve">El proponente no entrego carta de distribución </t>
  </si>
  <si>
    <t>El producto ofertado no cumple especificaciones técnicas. Se presenta una ficha técnica que no corresponde al producto ya que se trata de una molécula diferente.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</si>
</sst>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3" formatCode="_-* #,##0.00_-;\-* #,##0.00_-;_-* &quot;-&quot;??_-;_-@_-"/>
    <numFmt numFmtId="164" formatCode="_-* #,##0\ &quot;€&quot;_-;\-* #,##0\ &quot;€&quot;_-;_-* &quot;-&quot;\ &quot;€&quot;_-;_-@_-"/>
    <numFmt numFmtId="165" formatCode="_-* #,##0\ _€_-;\-* #,##0\ _€_-;_-* &quot;-&quot;\ _€_-;_-@_-"/>
    <numFmt numFmtId="166" formatCode="_-* #,##0.00\ &quot;€&quot;_-;\-* #,##0.00\ &quot;€&quot;_-;_-* &quot;-&quot;??\ &quot;€&quot;_-;_-@_-"/>
    <numFmt numFmtId="167" formatCode="_-* #,##0.00\ _€_-;\-* #,##0.00\ _€_-;_-* &quot;-&quot;??\ _€_-;_-@_-"/>
    <numFmt numFmtId="168" formatCode="_-&quot;$&quot;* #,##0_-;\-&quot;$&quot;* #,##0_-;_-&quot;$&quot;* &quot;-&quot;_-;_-@_-"/>
    <numFmt numFmtId="169" formatCode="_-&quot;$&quot;* #,##0.00_-;\-&quot;$&quot;* #,##0.00_-;_-&quot;$&quot;* &quot;-&quot;??_-;_-@_-"/>
    <numFmt numFmtId="170" formatCode="_(&quot;$&quot;* #,##0.00_);_(&quot;$&quot;* \(#,##0.00\);_(&quot;$&quot;* &quot;-&quot;??_);_(@_)"/>
    <numFmt numFmtId="171" formatCode="[$-409]General"/>
    <numFmt numFmtId="172" formatCode="_(&quot;$&quot;\ * #,##0_);_(&quot;$&quot;\ * \(#,##0\);_(&quot;$&quot;\ * &quot;-&quot;_);_(@_)"/>
    <numFmt numFmtId="173" formatCode="_-* #,##0_-;\-* #,##0_-;_-* &quot;-&quot;??_-;_-@_-"/>
    <numFmt numFmtId="174" formatCode="_-[$$-240A]\ * #,##0_-;\-[$$-240A]\ * #,##0_-;_-[$$-240A]\ * &quot;-&quot;??_-;_-@_-"/>
    <numFmt numFmtId="175" formatCode="_-* #,##0\ _€_-;\-* #,##0\ _€_-;_-* &quot;-&quot;??\ _€_-;_-@_-"/>
    <numFmt numFmtId="176" formatCode="&quot;$&quot;#,##0"/>
    <numFmt numFmtId="177" formatCode="_ &quot;$&quot;\ * #,##0.00_ ;_ &quot;$&quot;\ * \-#,##0.00_ ;_ &quot;$&quot;\ * &quot;-&quot;??_ ;_ @_ "/>
    <numFmt numFmtId="178" formatCode="_-* #,##0.0\ _€_-;\-* #,##0.0\ _€_-;_-* &quot;-&quot;??\ _€_-;_-@_-"/>
  </numFmts>
  <fonts count="46" x14ac:knownFonts="1">
    <font>
      <sz val="11"/>
      <color theme="1"/>
      <name val="Calibri"/>
      <family val="2"/>
      <scheme val="minor"/>
    </font>
    <font>
      <sz val="10"/>
      <color theme="1"/>
      <name val="Arial"/>
      <family val="2"/>
    </font>
    <font>
      <sz val="11"/>
      <color theme="1"/>
      <name val="Calibri"/>
      <family val="2"/>
      <scheme val="minor"/>
    </font>
    <font>
      <sz val="10"/>
      <color rgb="FF000000"/>
      <name val="Times New Roman"/>
      <family val="1"/>
    </font>
    <font>
      <sz val="11"/>
      <color rgb="FF000000"/>
      <name val="Calibri"/>
      <family val="2"/>
    </font>
    <font>
      <b/>
      <sz val="11"/>
      <color theme="1"/>
      <name val="Calibri"/>
      <family val="2"/>
      <scheme val="minor"/>
    </font>
    <font>
      <sz val="10"/>
      <color theme="1"/>
      <name val="Arial"/>
      <family val="2"/>
    </font>
    <font>
      <sz val="10"/>
      <name val="Arial"/>
      <family val="2"/>
    </font>
    <font>
      <sz val="8"/>
      <name val="Arial Narrow"/>
      <family val="2"/>
    </font>
    <font>
      <sz val="8"/>
      <color theme="1"/>
      <name val="Arial Narrow"/>
      <family val="2"/>
    </font>
    <font>
      <b/>
      <sz val="8"/>
      <name val="Arial Narrow"/>
      <family val="2"/>
    </font>
    <font>
      <b/>
      <sz val="8"/>
      <color theme="1"/>
      <name val="Arial Narrow"/>
      <family val="2"/>
    </font>
    <font>
      <b/>
      <sz val="8"/>
      <color rgb="FFFF0000"/>
      <name val="Arial Narrow"/>
      <family val="2"/>
    </font>
    <font>
      <vertAlign val="subscript"/>
      <sz val="8"/>
      <name val="Arial Narrow"/>
      <family val="2"/>
    </font>
    <font>
      <sz val="8"/>
      <color rgb="FFFFFFFF"/>
      <name val="Arial Narrow"/>
      <family val="2"/>
    </font>
    <font>
      <i/>
      <sz val="8"/>
      <name val="Arial Narrow"/>
      <family val="2"/>
    </font>
    <font>
      <sz val="8"/>
      <color theme="1"/>
      <name val="Arial"/>
      <family val="2"/>
    </font>
    <font>
      <sz val="6.8"/>
      <color theme="1"/>
      <name val="Arial Narrow"/>
      <family val="2"/>
    </font>
    <font>
      <b/>
      <sz val="9"/>
      <name val="Arial Narrow"/>
      <family val="2"/>
    </font>
    <font>
      <sz val="9"/>
      <color theme="1"/>
      <name val="Arial Narrow"/>
      <family val="2"/>
    </font>
    <font>
      <b/>
      <sz val="9"/>
      <color theme="1"/>
      <name val="Arial Narrow"/>
      <family val="2"/>
    </font>
    <font>
      <u/>
      <sz val="11"/>
      <color theme="10"/>
      <name val="Calibri"/>
      <family val="2"/>
      <scheme val="minor"/>
    </font>
    <font>
      <sz val="10"/>
      <color indexed="8"/>
      <name val="Arial"/>
      <family val="2"/>
    </font>
    <font>
      <u/>
      <sz val="7.5"/>
      <color indexed="12"/>
      <name val="Arial"/>
      <family val="2"/>
    </font>
    <font>
      <u/>
      <sz val="10"/>
      <color indexed="12"/>
      <name val="Arial"/>
      <family val="2"/>
    </font>
    <font>
      <sz val="11"/>
      <name val="Bookman Old Style"/>
      <family val="1"/>
    </font>
    <font>
      <u/>
      <sz val="10"/>
      <color theme="10"/>
      <name val="Arial"/>
      <family val="2"/>
    </font>
    <font>
      <sz val="11"/>
      <color rgb="FF000000"/>
      <name val="Calibri"/>
      <family val="2"/>
      <charset val="204"/>
    </font>
    <font>
      <sz val="9"/>
      <color indexed="81"/>
      <name val="Tahoma"/>
      <family val="2"/>
    </font>
    <font>
      <b/>
      <sz val="9"/>
      <color indexed="81"/>
      <name val="Tahoma"/>
      <family val="2"/>
    </font>
    <font>
      <sz val="9"/>
      <color rgb="FF000000"/>
      <name val="Arial Narrow"/>
      <family val="2"/>
    </font>
    <font>
      <b/>
      <sz val="8"/>
      <color theme="0"/>
      <name val="Arial Narrow"/>
      <family val="2"/>
    </font>
    <font>
      <sz val="9"/>
      <color theme="1"/>
      <name val="Calibri"/>
      <family val="2"/>
      <scheme val="minor"/>
    </font>
    <font>
      <sz val="9"/>
      <name val="Calibri"/>
      <family val="2"/>
      <scheme val="minor"/>
    </font>
    <font>
      <sz val="8"/>
      <color rgb="FF000000"/>
      <name val="Bookman Old Style"/>
      <family val="1"/>
    </font>
    <font>
      <sz val="8"/>
      <color rgb="FF000000"/>
      <name val="Arial Narrow"/>
      <family val="2"/>
    </font>
    <font>
      <sz val="7"/>
      <name val="Arial"/>
      <family val="2"/>
    </font>
    <font>
      <b/>
      <sz val="8"/>
      <color rgb="FF000000"/>
      <name val="Arial Narrow"/>
      <family val="2"/>
    </font>
    <font>
      <sz val="8"/>
      <color theme="1"/>
      <name val="Segoe UI"/>
      <family val="2"/>
    </font>
    <font>
      <sz val="8"/>
      <color rgb="FF000000"/>
      <name val="Segoe UI"/>
      <family val="2"/>
    </font>
    <font>
      <sz val="8"/>
      <color rgb="FFFF0000"/>
      <name val="Arial Narrow"/>
      <family val="2"/>
    </font>
    <font>
      <sz val="11"/>
      <color rgb="FFFF0000"/>
      <name val="Calibri"/>
      <family val="2"/>
      <scheme val="minor"/>
    </font>
    <font>
      <sz val="8"/>
      <color rgb="FFFF0000"/>
      <name val="Calibri"/>
      <family val="2"/>
      <scheme val="minor"/>
    </font>
    <font>
      <sz val="8"/>
      <color theme="1"/>
      <name val="Arial Narrow"/>
      <family val="2"/>
    </font>
    <font>
      <sz val="8"/>
      <color rgb="FF000000"/>
      <name val="Arial Narrow"/>
      <family val="2"/>
    </font>
    <font>
      <sz val="8"/>
      <color rgb="FFFFFFFF"/>
      <name val="Arial Narrow"/>
      <family val="2"/>
    </font>
  </fonts>
  <fills count="3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9" tint="-0.249977111117893"/>
        <bgColor indexed="64"/>
      </patternFill>
    </fill>
    <fill>
      <patternFill patternType="solid">
        <fgColor rgb="FF00B05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bgColor theme="4" tint="0.79998168889431442"/>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theme="8" tint="0.39997558519241921"/>
        <bgColor indexed="64"/>
      </patternFill>
    </fill>
    <fill>
      <patternFill patternType="solid">
        <fgColor indexed="31"/>
        <bgColor indexed="64"/>
      </patternFill>
    </fill>
    <fill>
      <patternFill patternType="solid">
        <fgColor theme="0" tint="-0.249977111117893"/>
        <bgColor indexed="64"/>
      </patternFill>
    </fill>
    <fill>
      <patternFill patternType="solid">
        <fgColor rgb="FF92D050"/>
        <bgColor rgb="FF000000"/>
      </patternFill>
    </fill>
    <fill>
      <patternFill patternType="solid">
        <fgColor rgb="FFFFC000"/>
        <bgColor rgb="FF000000"/>
      </patternFill>
    </fill>
    <fill>
      <patternFill patternType="solid">
        <fgColor theme="9" tint="0.39997558519241921"/>
        <bgColor indexed="64"/>
      </patternFill>
    </fill>
    <fill>
      <patternFill patternType="solid">
        <fgColor rgb="FF00B0F0"/>
        <bgColor rgb="FF000000"/>
      </patternFill>
    </fill>
    <fill>
      <patternFill patternType="solid">
        <fgColor rgb="FFFFF2CC"/>
        <bgColor rgb="FF000000"/>
      </patternFill>
    </fill>
    <fill>
      <patternFill patternType="solid">
        <fgColor rgb="FFFFFFFF"/>
        <bgColor indexed="64"/>
      </patternFill>
    </fill>
    <fill>
      <patternFill patternType="solid">
        <fgColor theme="7" tint="0.39997558519241921"/>
        <bgColor rgb="FF000000"/>
      </patternFill>
    </fill>
    <fill>
      <patternFill patternType="solid">
        <fgColor theme="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s>
  <cellStyleXfs count="74">
    <xf numFmtId="0" fontId="0" fillId="0" borderId="0"/>
    <xf numFmtId="167"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3" fillId="0" borderId="0"/>
    <xf numFmtId="171" fontId="4" fillId="0" borderId="0" applyBorder="0" applyProtection="0"/>
    <xf numFmtId="0" fontId="2" fillId="0" borderId="0"/>
    <xf numFmtId="171" fontId="3" fillId="0" borderId="0" applyBorder="0" applyProtection="0"/>
    <xf numFmtId="0" fontId="7" fillId="0" borderId="0"/>
    <xf numFmtId="41" fontId="7" fillId="0" borderId="0" applyFont="0" applyFill="0" applyBorder="0" applyAlignment="0" applyProtection="0"/>
    <xf numFmtId="168" fontId="7" fillId="0" borderId="0" applyFont="0" applyFill="0" applyBorder="0" applyAlignment="0" applyProtection="0"/>
    <xf numFmtId="41" fontId="6" fillId="0" borderId="0" applyFont="0" applyFill="0" applyBorder="0" applyAlignment="0" applyProtection="0"/>
    <xf numFmtId="9" fontId="2" fillId="0" borderId="0" applyFont="0" applyFill="0" applyBorder="0" applyAlignment="0" applyProtection="0"/>
    <xf numFmtId="41"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7" fillId="0" borderId="0" applyFont="0" applyFill="0" applyBorder="0" applyAlignment="0" applyProtection="0"/>
    <xf numFmtId="0" fontId="26" fillId="0" borderId="0" applyNumberFormat="0" applyFill="0" applyBorder="0" applyAlignment="0" applyProtection="0">
      <alignment vertical="top"/>
      <protection locked="0"/>
    </xf>
    <xf numFmtId="0" fontId="21" fillId="0" borderId="0" applyNumberFormat="0" applyFill="0" applyBorder="0" applyAlignment="0" applyProtection="0"/>
    <xf numFmtId="0" fontId="26" fillId="0" borderId="0" applyNumberFormat="0" applyFill="0" applyBorder="0" applyAlignment="0" applyProtection="0"/>
    <xf numFmtId="0" fontId="23"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 fillId="0" borderId="0" applyNumberFormat="0"/>
    <xf numFmtId="43" fontId="2" fillId="0" borderId="0" applyFont="0" applyFill="0" applyBorder="0" applyAlignment="0" applyProtection="0"/>
    <xf numFmtId="43" fontId="2" fillId="0" borderId="0" applyFont="0" applyFill="0" applyBorder="0" applyAlignment="0" applyProtection="0"/>
    <xf numFmtId="177" fontId="7" fillId="0" borderId="0" applyFont="0" applyFill="0" applyBorder="0" applyAlignment="0" applyProtection="0"/>
    <xf numFmtId="169" fontId="7" fillId="0" borderId="0" applyFont="0" applyFill="0" applyBorder="0" applyAlignment="0" applyProtection="0"/>
    <xf numFmtId="0" fontId="25" fillId="0" borderId="0"/>
    <xf numFmtId="0" fontId="22" fillId="0" borderId="0">
      <alignment vertical="top"/>
    </xf>
    <xf numFmtId="0" fontId="22" fillId="0" borderId="0"/>
    <xf numFmtId="0" fontId="7" fillId="0" borderId="0"/>
    <xf numFmtId="0" fontId="7" fillId="0" borderId="0"/>
    <xf numFmtId="0" fontId="22" fillId="0" borderId="0">
      <alignment vertical="top"/>
    </xf>
    <xf numFmtId="0" fontId="2" fillId="0" borderId="0"/>
    <xf numFmtId="0" fontId="27" fillId="0" borderId="0"/>
    <xf numFmtId="0" fontId="7" fillId="0" borderId="0"/>
    <xf numFmtId="0" fontId="2" fillId="0" borderId="0"/>
    <xf numFmtId="0" fontId="7" fillId="0" borderId="0"/>
    <xf numFmtId="0" fontId="7" fillId="0" borderId="0" applyNumberFormat="0" applyFont="0" applyFill="0" applyBorder="0" applyAlignment="0" applyProtection="0"/>
    <xf numFmtId="0" fontId="2"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26" borderId="8" applyNumberFormat="0" applyProtection="0">
      <alignment horizontal="left" vertical="center"/>
    </xf>
    <xf numFmtId="0" fontId="7" fillId="0" borderId="0"/>
    <xf numFmtId="41" fontId="7" fillId="0" borderId="0" applyFont="0" applyFill="0" applyBorder="0" applyAlignment="0" applyProtection="0"/>
    <xf numFmtId="168" fontId="7" fillId="0" borderId="0" applyFont="0" applyFill="0" applyBorder="0" applyAlignment="0" applyProtection="0"/>
    <xf numFmtId="41"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41" fontId="7" fillId="0" borderId="0" applyFont="0" applyFill="0" applyBorder="0" applyAlignment="0" applyProtection="0"/>
    <xf numFmtId="168" fontId="7" fillId="0" borderId="0" applyFont="0" applyFill="0" applyBorder="0" applyAlignment="0" applyProtection="0"/>
    <xf numFmtId="41"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cellStyleXfs>
  <cellXfs count="500">
    <xf numFmtId="0" fontId="0" fillId="0" borderId="0" xfId="0"/>
    <xf numFmtId="0" fontId="0" fillId="0" borderId="1" xfId="0" applyBorder="1"/>
    <xf numFmtId="0" fontId="0" fillId="0" borderId="1" xfId="0" applyBorder="1" applyAlignment="1">
      <alignment vertical="center" wrapText="1"/>
    </xf>
    <xf numFmtId="0" fontId="0" fillId="0" borderId="1" xfId="0" applyBorder="1" applyAlignment="1">
      <alignment wrapText="1"/>
    </xf>
    <xf numFmtId="0" fontId="9" fillId="0" borderId="1" xfId="0" applyFont="1" applyBorder="1" applyAlignment="1">
      <alignment horizontal="left" vertical="center"/>
    </xf>
    <xf numFmtId="0" fontId="9" fillId="0" borderId="1" xfId="0" applyFont="1" applyBorder="1" applyAlignment="1">
      <alignment vertical="center" wrapText="1"/>
    </xf>
    <xf numFmtId="173" fontId="9" fillId="0" borderId="1" xfId="1" applyNumberFormat="1" applyFont="1" applyBorder="1"/>
    <xf numFmtId="0" fontId="8" fillId="2" borderId="1" xfId="8" applyFont="1" applyFill="1" applyBorder="1" applyAlignment="1">
      <alignment horizontal="center" vertical="center" wrapText="1"/>
    </xf>
    <xf numFmtId="0" fontId="8" fillId="0" borderId="1" xfId="8" quotePrefix="1" applyFont="1" applyBorder="1" applyAlignment="1">
      <alignment horizontal="center" vertical="center" wrapText="1"/>
    </xf>
    <xf numFmtId="173" fontId="9" fillId="0" borderId="1" xfId="1" applyNumberFormat="1" applyFont="1" applyFill="1" applyBorder="1"/>
    <xf numFmtId="173" fontId="9" fillId="0" borderId="1" xfId="0" applyNumberFormat="1" applyFont="1" applyBorder="1"/>
    <xf numFmtId="0" fontId="9" fillId="0" borderId="1" xfId="0" applyFont="1" applyBorder="1"/>
    <xf numFmtId="41" fontId="9" fillId="0" borderId="1" xfId="11" applyFont="1" applyFill="1" applyBorder="1" applyAlignment="1">
      <alignment vertical="center"/>
    </xf>
    <xf numFmtId="174" fontId="9" fillId="0" borderId="1" xfId="1" applyNumberFormat="1" applyFont="1" applyFill="1" applyBorder="1"/>
    <xf numFmtId="0" fontId="9" fillId="2" borderId="1" xfId="0" applyFont="1" applyFill="1" applyBorder="1" applyAlignment="1">
      <alignment wrapText="1"/>
    </xf>
    <xf numFmtId="3" fontId="9" fillId="0" borderId="1" xfId="0" applyNumberFormat="1" applyFont="1" applyBorder="1"/>
    <xf numFmtId="174" fontId="9" fillId="0" borderId="1" xfId="1" applyNumberFormat="1" applyFont="1" applyBorder="1"/>
    <xf numFmtId="174" fontId="9" fillId="0" borderId="1" xfId="0" applyNumberFormat="1" applyFont="1" applyBorder="1"/>
    <xf numFmtId="9" fontId="0" fillId="0" borderId="1" xfId="12" applyFont="1" applyBorder="1" applyAlignment="1">
      <alignment vertical="center"/>
    </xf>
    <xf numFmtId="9" fontId="0" fillId="0" borderId="0" xfId="12" applyFont="1"/>
    <xf numFmtId="9" fontId="0" fillId="0" borderId="1" xfId="12" applyFont="1" applyBorder="1"/>
    <xf numFmtId="9" fontId="0" fillId="0" borderId="0" xfId="0" applyNumberFormat="1"/>
    <xf numFmtId="0" fontId="9" fillId="0" borderId="1" xfId="0" applyFont="1" applyBorder="1" applyAlignment="1">
      <alignment horizontal="left" vertical="center" wrapText="1"/>
    </xf>
    <xf numFmtId="0" fontId="9" fillId="0" borderId="1" xfId="0" applyFont="1" applyBorder="1" applyAlignment="1" applyProtection="1">
      <alignment horizontal="left" vertical="center" wrapText="1"/>
      <protection locked="0"/>
    </xf>
    <xf numFmtId="0" fontId="9" fillId="0" borderId="1" xfId="0" applyFont="1" applyBorder="1" applyAlignment="1" applyProtection="1">
      <alignment horizontal="left" vertical="center"/>
      <protection locked="0"/>
    </xf>
    <xf numFmtId="0" fontId="9" fillId="0" borderId="1" xfId="0" applyFont="1" applyBorder="1" applyAlignment="1">
      <alignment horizontal="center" vertical="center" wrapText="1"/>
    </xf>
    <xf numFmtId="1" fontId="9" fillId="0" borderId="1" xfId="0" applyNumberFormat="1" applyFont="1" applyBorder="1" applyAlignment="1" applyProtection="1">
      <alignment horizontal="center" vertical="center"/>
      <protection locked="0"/>
    </xf>
    <xf numFmtId="0" fontId="9" fillId="0" borderId="0" xfId="0" applyFont="1"/>
    <xf numFmtId="1" fontId="10" fillId="4" borderId="1" xfId="4" applyNumberFormat="1" applyFont="1" applyFill="1" applyBorder="1" applyAlignment="1">
      <alignment horizontal="center" vertical="center" wrapText="1"/>
    </xf>
    <xf numFmtId="0" fontId="9" fillId="0" borderId="1" xfId="0" applyFont="1" applyBorder="1" applyAlignment="1">
      <alignment horizontal="center"/>
    </xf>
    <xf numFmtId="174" fontId="9" fillId="0" borderId="1" xfId="1" applyNumberFormat="1" applyFont="1" applyFill="1" applyBorder="1" applyAlignment="1">
      <alignment horizontal="center"/>
    </xf>
    <xf numFmtId="0" fontId="9" fillId="0" borderId="1" xfId="0" applyFont="1" applyBorder="1" applyAlignment="1">
      <alignment horizontal="center" vertical="center"/>
    </xf>
    <xf numFmtId="174" fontId="9" fillId="0" borderId="1" xfId="2" applyNumberFormat="1" applyFont="1" applyBorder="1"/>
    <xf numFmtId="165" fontId="9" fillId="0" borderId="1" xfId="2" applyFont="1" applyBorder="1"/>
    <xf numFmtId="174" fontId="9" fillId="0" borderId="1" xfId="0" applyNumberFormat="1" applyFont="1" applyBorder="1" applyAlignment="1">
      <alignment horizontal="center" vertical="center" wrapText="1"/>
    </xf>
    <xf numFmtId="174" fontId="9" fillId="0" borderId="1" xfId="0" applyNumberFormat="1" applyFont="1" applyBorder="1" applyAlignment="1">
      <alignment horizontal="center"/>
    </xf>
    <xf numFmtId="174" fontId="9" fillId="2" borderId="1" xfId="2" applyNumberFormat="1" applyFont="1" applyFill="1" applyBorder="1" applyAlignment="1"/>
    <xf numFmtId="174" fontId="9" fillId="0" borderId="1" xfId="2" applyNumberFormat="1" applyFont="1" applyBorder="1" applyAlignment="1">
      <alignment horizontal="center"/>
    </xf>
    <xf numFmtId="174" fontId="9" fillId="0" borderId="1" xfId="3" quotePrefix="1" applyNumberFormat="1" applyFont="1" applyFill="1" applyBorder="1" applyAlignment="1">
      <alignment horizontal="center" vertical="center"/>
    </xf>
    <xf numFmtId="174" fontId="9" fillId="2" borderId="1" xfId="2" applyNumberFormat="1" applyFont="1" applyFill="1" applyBorder="1"/>
    <xf numFmtId="174" fontId="9" fillId="0" borderId="1" xfId="2" applyNumberFormat="1" applyFont="1" applyFill="1" applyBorder="1"/>
    <xf numFmtId="0" fontId="9" fillId="0" borderId="1" xfId="0" applyFont="1" applyBorder="1" applyAlignment="1">
      <alignment horizontal="center" wrapText="1"/>
    </xf>
    <xf numFmtId="0" fontId="9" fillId="0" borderId="1" xfId="0" applyFont="1" applyBorder="1" applyAlignment="1">
      <alignment wrapText="1"/>
    </xf>
    <xf numFmtId="0" fontId="9" fillId="0" borderId="1" xfId="0" applyFont="1" applyBorder="1" applyAlignment="1" applyProtection="1">
      <alignment vertical="center" wrapText="1"/>
      <protection locked="0"/>
    </xf>
    <xf numFmtId="0" fontId="9" fillId="0" borderId="1" xfId="0" applyFont="1" applyBorder="1" applyAlignment="1">
      <alignment vertical="center"/>
    </xf>
    <xf numFmtId="0" fontId="9" fillId="0" borderId="1" xfId="6" applyFont="1" applyBorder="1" applyAlignment="1">
      <alignment horizontal="left" vertical="center" wrapText="1"/>
    </xf>
    <xf numFmtId="0" fontId="9" fillId="0" borderId="1" xfId="0" applyFont="1" applyBorder="1" applyAlignment="1" applyProtection="1">
      <alignment vertical="center"/>
      <protection locked="0"/>
    </xf>
    <xf numFmtId="0" fontId="9" fillId="0" borderId="1" xfId="6" applyFont="1" applyBorder="1" applyAlignment="1">
      <alignment horizontal="left" vertical="center"/>
    </xf>
    <xf numFmtId="171" fontId="8" fillId="0" borderId="1" xfId="5" applyFont="1" applyBorder="1" applyAlignment="1" applyProtection="1">
      <alignment horizontal="left" vertical="center"/>
    </xf>
    <xf numFmtId="171" fontId="8" fillId="0" borderId="1" xfId="5" applyFont="1" applyBorder="1" applyAlignment="1" applyProtection="1">
      <alignment horizontal="left" vertical="center" wrapText="1"/>
    </xf>
    <xf numFmtId="0" fontId="14" fillId="0" borderId="1" xfId="0" applyFont="1" applyBorder="1" applyAlignment="1">
      <alignment vertical="center"/>
    </xf>
    <xf numFmtId="175" fontId="9" fillId="0" borderId="1" xfId="1" applyNumberFormat="1" applyFont="1" applyBorder="1" applyAlignment="1">
      <alignment horizontal="center"/>
    </xf>
    <xf numFmtId="174" fontId="9" fillId="0" borderId="1" xfId="0" applyNumberFormat="1" applyFont="1" applyBorder="1" applyAlignment="1">
      <alignment wrapText="1"/>
    </xf>
    <xf numFmtId="174" fontId="9" fillId="0" borderId="1" xfId="0" applyNumberFormat="1" applyFont="1" applyBorder="1" applyAlignment="1">
      <alignment vertical="center" wrapText="1"/>
    </xf>
    <xf numFmtId="165" fontId="9" fillId="0" borderId="1" xfId="2" applyFont="1" applyBorder="1" applyAlignment="1">
      <alignment horizontal="center"/>
    </xf>
    <xf numFmtId="165" fontId="9" fillId="0" borderId="1" xfId="2" applyFont="1" applyBorder="1" applyAlignment="1"/>
    <xf numFmtId="0" fontId="9" fillId="0" borderId="1" xfId="0" applyFont="1" applyBorder="1" applyProtection="1">
      <protection locked="0"/>
    </xf>
    <xf numFmtId="0" fontId="9" fillId="0" borderId="0" xfId="0" applyFont="1" applyAlignment="1">
      <alignment horizontal="center" vertical="center"/>
    </xf>
    <xf numFmtId="0" fontId="9" fillId="0" borderId="0" xfId="0" applyFont="1" applyAlignment="1">
      <alignment horizontal="center"/>
    </xf>
    <xf numFmtId="0" fontId="9" fillId="0" borderId="1" xfId="0" applyFont="1" applyBorder="1" applyAlignment="1">
      <alignment horizontal="left"/>
    </xf>
    <xf numFmtId="0" fontId="9" fillId="0" borderId="0" xfId="0" applyFont="1" applyAlignment="1">
      <alignment wrapText="1"/>
    </xf>
    <xf numFmtId="3" fontId="8" fillId="0" borderId="1" xfId="0" applyNumberFormat="1" applyFont="1" applyBorder="1"/>
    <xf numFmtId="175" fontId="9" fillId="0" borderId="0" xfId="1" applyNumberFormat="1" applyFont="1" applyBorder="1"/>
    <xf numFmtId="174" fontId="11" fillId="0" borderId="1" xfId="1" applyNumberFormat="1" applyFont="1" applyFill="1" applyBorder="1" applyAlignment="1">
      <alignment horizontal="center"/>
    </xf>
    <xf numFmtId="175" fontId="9" fillId="0" borderId="1" xfId="0" applyNumberFormat="1" applyFont="1" applyBorder="1"/>
    <xf numFmtId="0" fontId="9" fillId="3" borderId="1" xfId="0" applyFont="1" applyFill="1" applyBorder="1"/>
    <xf numFmtId="1" fontId="10" fillId="17" borderId="1" xfId="4" applyNumberFormat="1" applyFont="1" applyFill="1" applyBorder="1" applyAlignment="1">
      <alignment horizontal="center" vertical="center" wrapText="1"/>
    </xf>
    <xf numFmtId="1" fontId="10" fillId="4" borderId="5" xfId="4" applyNumberFormat="1" applyFont="1" applyFill="1" applyBorder="1" applyAlignment="1">
      <alignment horizontal="center" vertical="center" wrapText="1"/>
    </xf>
    <xf numFmtId="174" fontId="9" fillId="0" borderId="2" xfId="0" applyNumberFormat="1" applyFont="1" applyBorder="1"/>
    <xf numFmtId="1" fontId="10" fillId="3" borderId="1" xfId="4" applyNumberFormat="1" applyFont="1" applyFill="1" applyBorder="1" applyAlignment="1">
      <alignment horizontal="center" vertical="center" wrapText="1"/>
    </xf>
    <xf numFmtId="0" fontId="10" fillId="3" borderId="1" xfId="4" applyFont="1" applyFill="1" applyBorder="1" applyAlignment="1">
      <alignment horizontal="center" vertical="center" wrapText="1"/>
    </xf>
    <xf numFmtId="1" fontId="10" fillId="18" borderId="1" xfId="4" applyNumberFormat="1" applyFont="1" applyFill="1" applyBorder="1" applyAlignment="1">
      <alignment horizontal="center" vertical="center" wrapText="1"/>
    </xf>
    <xf numFmtId="0" fontId="10" fillId="18" borderId="1" xfId="4" applyFont="1" applyFill="1" applyBorder="1" applyAlignment="1">
      <alignment horizontal="center" vertical="center" wrapText="1"/>
    </xf>
    <xf numFmtId="1" fontId="10" fillId="19" borderId="1" xfId="4" applyNumberFormat="1" applyFont="1" applyFill="1" applyBorder="1" applyAlignment="1">
      <alignment horizontal="center" vertical="center" wrapText="1"/>
    </xf>
    <xf numFmtId="0" fontId="10" fillId="19" borderId="1" xfId="4" applyFont="1" applyFill="1" applyBorder="1" applyAlignment="1">
      <alignment horizontal="center" vertical="center" wrapText="1"/>
    </xf>
    <xf numFmtId="1" fontId="10" fillId="12" borderId="1" xfId="4" applyNumberFormat="1" applyFont="1" applyFill="1" applyBorder="1" applyAlignment="1">
      <alignment horizontal="center" vertical="center" wrapText="1"/>
    </xf>
    <xf numFmtId="0" fontId="10" fillId="12" borderId="1" xfId="4" applyFont="1" applyFill="1" applyBorder="1" applyAlignment="1">
      <alignment horizontal="center" vertical="center" wrapText="1"/>
    </xf>
    <xf numFmtId="0" fontId="10" fillId="14" borderId="1" xfId="4" applyFont="1" applyFill="1" applyBorder="1" applyAlignment="1">
      <alignment horizontal="center" vertical="center" wrapText="1"/>
    </xf>
    <xf numFmtId="1" fontId="10" fillId="13" borderId="1" xfId="4" applyNumberFormat="1" applyFont="1" applyFill="1" applyBorder="1" applyAlignment="1">
      <alignment horizontal="center" vertical="center" wrapText="1"/>
    </xf>
    <xf numFmtId="0" fontId="10" fillId="13" borderId="1" xfId="4" applyFont="1" applyFill="1" applyBorder="1" applyAlignment="1">
      <alignment horizontal="center" vertical="center" wrapText="1"/>
    </xf>
    <xf numFmtId="0" fontId="10" fillId="11" borderId="1" xfId="4" applyFont="1" applyFill="1" applyBorder="1" applyAlignment="1">
      <alignment horizontal="center" vertical="center" wrapText="1"/>
    </xf>
    <xf numFmtId="1" fontId="10" fillId="20" borderId="1" xfId="4" applyNumberFormat="1" applyFont="1" applyFill="1" applyBorder="1" applyAlignment="1">
      <alignment horizontal="center" vertical="center" wrapText="1"/>
    </xf>
    <xf numFmtId="0" fontId="10" fillId="20" borderId="1" xfId="4" applyFont="1" applyFill="1" applyBorder="1" applyAlignment="1">
      <alignment horizontal="center" vertical="center" wrapText="1"/>
    </xf>
    <xf numFmtId="0" fontId="10" fillId="21" borderId="1" xfId="4" applyFont="1" applyFill="1" applyBorder="1" applyAlignment="1">
      <alignment horizontal="center" vertical="center" wrapText="1"/>
    </xf>
    <xf numFmtId="1" fontId="10" fillId="22" borderId="1" xfId="4" applyNumberFormat="1" applyFont="1" applyFill="1" applyBorder="1" applyAlignment="1">
      <alignment horizontal="center" vertical="center" wrapText="1"/>
    </xf>
    <xf numFmtId="0" fontId="10" fillId="22" borderId="1" xfId="4" applyFont="1" applyFill="1" applyBorder="1" applyAlignment="1">
      <alignment horizontal="center" vertical="center" wrapText="1"/>
    </xf>
    <xf numFmtId="0" fontId="10" fillId="23" borderId="1" xfId="4" applyFont="1" applyFill="1" applyBorder="1" applyAlignment="1">
      <alignment horizontal="center" vertical="center" wrapText="1"/>
    </xf>
    <xf numFmtId="1" fontId="10" fillId="15" borderId="1" xfId="4" applyNumberFormat="1" applyFont="1" applyFill="1" applyBorder="1" applyAlignment="1">
      <alignment horizontal="center" vertical="center" wrapText="1"/>
    </xf>
    <xf numFmtId="0" fontId="10" fillId="15" borderId="1" xfId="4" applyFont="1" applyFill="1" applyBorder="1" applyAlignment="1">
      <alignment horizontal="center" vertical="center" wrapText="1"/>
    </xf>
    <xf numFmtId="1" fontId="10" fillId="6" borderId="1" xfId="4" applyNumberFormat="1" applyFont="1" applyFill="1" applyBorder="1" applyAlignment="1">
      <alignment horizontal="center" vertical="center" wrapText="1"/>
    </xf>
    <xf numFmtId="0" fontId="10" fillId="6" borderId="1" xfId="4" applyFont="1" applyFill="1" applyBorder="1" applyAlignment="1">
      <alignment horizontal="center" vertical="center" wrapText="1"/>
    </xf>
    <xf numFmtId="1" fontId="10" fillId="24" borderId="1" xfId="4" applyNumberFormat="1" applyFont="1" applyFill="1" applyBorder="1" applyAlignment="1">
      <alignment horizontal="center" vertical="center" wrapText="1"/>
    </xf>
    <xf numFmtId="0" fontId="10" fillId="24" borderId="1" xfId="4" applyFont="1" applyFill="1" applyBorder="1" applyAlignment="1">
      <alignment horizontal="center" vertical="center" wrapText="1"/>
    </xf>
    <xf numFmtId="0" fontId="10" fillId="10" borderId="1" xfId="4" applyFont="1" applyFill="1" applyBorder="1" applyAlignment="1">
      <alignment horizontal="center" vertical="center" wrapText="1"/>
    </xf>
    <xf numFmtId="0" fontId="10" fillId="25" borderId="1" xfId="4" applyFont="1" applyFill="1" applyBorder="1" applyAlignment="1">
      <alignment horizontal="center" vertical="center" wrapText="1"/>
    </xf>
    <xf numFmtId="0" fontId="9" fillId="0" borderId="1" xfId="0" applyFont="1" applyBorder="1" applyAlignment="1" applyProtection="1">
      <alignment horizontal="left"/>
      <protection locked="0"/>
    </xf>
    <xf numFmtId="0" fontId="9" fillId="0" borderId="1" xfId="0" applyFont="1" applyBorder="1" applyAlignment="1">
      <alignment horizontal="left" wrapText="1"/>
    </xf>
    <xf numFmtId="175" fontId="9" fillId="0" borderId="1" xfId="1" applyNumberFormat="1" applyFont="1" applyFill="1" applyBorder="1" applyAlignment="1">
      <alignment vertical="center"/>
    </xf>
    <xf numFmtId="173" fontId="9" fillId="0" borderId="1" xfId="1" applyNumberFormat="1" applyFont="1" applyFill="1" applyBorder="1" applyAlignment="1">
      <alignment vertical="center"/>
    </xf>
    <xf numFmtId="0" fontId="9" fillId="0" borderId="0" xfId="0" applyFont="1" applyAlignment="1">
      <alignment vertical="center"/>
    </xf>
    <xf numFmtId="175" fontId="9" fillId="0" borderId="1" xfId="1" applyNumberFormat="1" applyFont="1" applyFill="1" applyBorder="1" applyAlignment="1">
      <alignment horizontal="center" vertical="center" wrapText="1"/>
    </xf>
    <xf numFmtId="175" fontId="8" fillId="0" borderId="1" xfId="1" applyNumberFormat="1" applyFont="1" applyFill="1" applyBorder="1" applyAlignment="1" applyProtection="1">
      <alignment horizontal="left" vertical="center" wrapText="1"/>
    </xf>
    <xf numFmtId="175" fontId="9" fillId="0" borderId="1" xfId="1" applyNumberFormat="1" applyFont="1" applyBorder="1" applyAlignment="1">
      <alignment vertical="center"/>
    </xf>
    <xf numFmtId="175" fontId="9" fillId="0" borderId="1" xfId="1" applyNumberFormat="1" applyFont="1" applyFill="1" applyBorder="1" applyAlignment="1">
      <alignment horizontal="left" vertical="center" wrapText="1"/>
    </xf>
    <xf numFmtId="175" fontId="10" fillId="17" borderId="1" xfId="1" applyNumberFormat="1" applyFont="1" applyFill="1" applyBorder="1" applyAlignment="1" applyProtection="1">
      <alignment horizontal="center" vertical="center" wrapText="1"/>
    </xf>
    <xf numFmtId="175" fontId="9" fillId="0" borderId="1" xfId="1" applyNumberFormat="1" applyFont="1" applyFill="1" applyBorder="1" applyAlignment="1">
      <alignment horizontal="left" vertical="center"/>
    </xf>
    <xf numFmtId="175" fontId="9" fillId="0" borderId="1" xfId="1" applyNumberFormat="1" applyFont="1" applyFill="1" applyBorder="1" applyAlignment="1" applyProtection="1">
      <alignment horizontal="left" vertical="center"/>
      <protection locked="0"/>
    </xf>
    <xf numFmtId="175" fontId="9" fillId="0" borderId="0" xfId="1" applyNumberFormat="1" applyFont="1" applyBorder="1" applyAlignment="1">
      <alignment vertical="center"/>
    </xf>
    <xf numFmtId="0" fontId="9" fillId="3" borderId="1" xfId="0" applyFont="1" applyFill="1" applyBorder="1" applyAlignment="1">
      <alignment wrapText="1"/>
    </xf>
    <xf numFmtId="175" fontId="9" fillId="0" borderId="1" xfId="1" applyNumberFormat="1" applyFont="1" applyFill="1" applyBorder="1" applyAlignment="1">
      <alignment vertical="center" wrapText="1"/>
    </xf>
    <xf numFmtId="173" fontId="9" fillId="0" borderId="1" xfId="1" applyNumberFormat="1" applyFont="1" applyFill="1" applyBorder="1" applyAlignment="1">
      <alignment vertical="center" wrapText="1"/>
    </xf>
    <xf numFmtId="175" fontId="10" fillId="13" borderId="1" xfId="1" applyNumberFormat="1" applyFont="1" applyFill="1" applyBorder="1" applyAlignment="1" applyProtection="1">
      <alignment horizontal="center" vertical="center" wrapText="1"/>
    </xf>
    <xf numFmtId="0" fontId="9" fillId="0" borderId="0" xfId="0" applyFont="1" applyAlignment="1">
      <alignment vertical="center" wrapText="1"/>
    </xf>
    <xf numFmtId="0" fontId="10" fillId="17" borderId="1" xfId="4" applyFont="1" applyFill="1" applyBorder="1" applyAlignment="1">
      <alignment horizontal="center" vertical="center" wrapText="1"/>
    </xf>
    <xf numFmtId="174" fontId="9" fillId="3" borderId="1" xfId="0" applyNumberFormat="1" applyFont="1" applyFill="1" applyBorder="1" applyAlignment="1">
      <alignment vertical="center"/>
    </xf>
    <xf numFmtId="174" fontId="9" fillId="0" borderId="1" xfId="0" applyNumberFormat="1" applyFont="1" applyBorder="1" applyAlignment="1">
      <alignment vertical="center"/>
    </xf>
    <xf numFmtId="174" fontId="9" fillId="0" borderId="1" xfId="0" applyNumberFormat="1" applyFont="1" applyBorder="1" applyAlignment="1">
      <alignment horizontal="center" vertical="center"/>
    </xf>
    <xf numFmtId="175" fontId="10" fillId="14" borderId="1" xfId="1" applyNumberFormat="1" applyFont="1" applyFill="1" applyBorder="1" applyAlignment="1" applyProtection="1">
      <alignment horizontal="center" vertical="center" wrapText="1"/>
    </xf>
    <xf numFmtId="175" fontId="18" fillId="17" borderId="1" xfId="1" applyNumberFormat="1" applyFont="1" applyFill="1" applyBorder="1" applyAlignment="1" applyProtection="1">
      <alignment horizontal="right" vertical="center" wrapText="1"/>
    </xf>
    <xf numFmtId="175" fontId="19" fillId="0" borderId="1" xfId="1" applyNumberFormat="1" applyFont="1" applyBorder="1" applyAlignment="1">
      <alignment horizontal="right" vertical="center"/>
    </xf>
    <xf numFmtId="175" fontId="19" fillId="0" borderId="1" xfId="1" applyNumberFormat="1" applyFont="1" applyFill="1" applyBorder="1" applyAlignment="1" applyProtection="1">
      <alignment horizontal="right" vertical="center" wrapText="1"/>
    </xf>
    <xf numFmtId="175" fontId="19" fillId="0" borderId="1" xfId="1" applyNumberFormat="1" applyFont="1" applyFill="1" applyBorder="1" applyAlignment="1" applyProtection="1">
      <alignment horizontal="right" vertical="center"/>
    </xf>
    <xf numFmtId="0" fontId="19" fillId="0" borderId="0" xfId="0" applyFont="1" applyAlignment="1">
      <alignment horizontal="right" vertical="center"/>
    </xf>
    <xf numFmtId="175" fontId="19" fillId="0" borderId="0" xfId="1" applyNumberFormat="1" applyFont="1" applyBorder="1" applyAlignment="1">
      <alignment horizontal="right" vertical="center"/>
    </xf>
    <xf numFmtId="175" fontId="9" fillId="0" borderId="1" xfId="1" applyNumberFormat="1" applyFont="1" applyFill="1" applyBorder="1" applyAlignment="1">
      <alignment horizontal="center" vertical="center"/>
    </xf>
    <xf numFmtId="175" fontId="9" fillId="0" borderId="1" xfId="1" applyNumberFormat="1" applyFont="1" applyBorder="1" applyAlignment="1">
      <alignment horizontal="center" vertical="center"/>
    </xf>
    <xf numFmtId="175" fontId="10" fillId="25" borderId="1" xfId="1" applyNumberFormat="1" applyFont="1" applyFill="1" applyBorder="1" applyAlignment="1" applyProtection="1">
      <alignment horizontal="center" vertical="center" wrapText="1"/>
    </xf>
    <xf numFmtId="175" fontId="9" fillId="0" borderId="1" xfId="1" applyNumberFormat="1" applyFont="1" applyFill="1" applyBorder="1" applyAlignment="1" applyProtection="1">
      <alignment horizontal="left" vertical="center" wrapText="1"/>
      <protection locked="0"/>
    </xf>
    <xf numFmtId="175" fontId="9" fillId="0" borderId="1" xfId="1" applyNumberFormat="1" applyFont="1" applyFill="1" applyBorder="1" applyAlignment="1" applyProtection="1">
      <alignment horizontal="center" vertical="center" wrapText="1"/>
    </xf>
    <xf numFmtId="175" fontId="10" fillId="15" borderId="1" xfId="1" applyNumberFormat="1" applyFont="1" applyFill="1" applyBorder="1" applyAlignment="1" applyProtection="1">
      <alignment horizontal="center" vertical="center" wrapText="1"/>
    </xf>
    <xf numFmtId="175" fontId="9" fillId="0" borderId="1" xfId="1" applyNumberFormat="1" applyFont="1" applyFill="1" applyBorder="1" applyAlignment="1" applyProtection="1">
      <alignment horizontal="center" vertical="center"/>
    </xf>
    <xf numFmtId="175" fontId="10" fillId="10" borderId="1" xfId="1" applyNumberFormat="1" applyFont="1" applyFill="1" applyBorder="1" applyAlignment="1" applyProtection="1">
      <alignment horizontal="center" vertical="center" wrapText="1"/>
    </xf>
    <xf numFmtId="175" fontId="8" fillId="2" borderId="1" xfId="1" applyNumberFormat="1" applyFont="1" applyFill="1" applyBorder="1" applyAlignment="1">
      <alignment horizontal="center" vertical="center" wrapText="1"/>
    </xf>
    <xf numFmtId="0" fontId="9" fillId="3" borderId="1" xfId="0" applyFont="1" applyFill="1" applyBorder="1" applyAlignment="1">
      <alignment vertical="center"/>
    </xf>
    <xf numFmtId="175" fontId="10" fillId="12" borderId="1" xfId="1" applyNumberFormat="1" applyFont="1" applyFill="1" applyBorder="1" applyAlignment="1" applyProtection="1">
      <alignment horizontal="center" vertical="center" wrapText="1"/>
    </xf>
    <xf numFmtId="175" fontId="9" fillId="0" borderId="1" xfId="1" applyNumberFormat="1" applyFont="1" applyFill="1" applyBorder="1" applyAlignment="1">
      <alignment horizontal="left"/>
    </xf>
    <xf numFmtId="175" fontId="8" fillId="0" borderId="1" xfId="1" applyNumberFormat="1" applyFont="1" applyFill="1" applyBorder="1" applyAlignment="1" applyProtection="1">
      <alignment horizontal="left" vertical="top" wrapText="1"/>
    </xf>
    <xf numFmtId="175" fontId="8" fillId="0" borderId="1" xfId="1" applyNumberFormat="1" applyFont="1" applyFill="1" applyBorder="1" applyAlignment="1" applyProtection="1">
      <alignment horizontal="center" vertical="center" wrapText="1"/>
    </xf>
    <xf numFmtId="175" fontId="9" fillId="0" borderId="1" xfId="1" applyNumberFormat="1" applyFont="1" applyFill="1" applyBorder="1" applyAlignment="1" applyProtection="1">
      <alignment horizontal="left" vertical="top"/>
      <protection locked="0"/>
    </xf>
    <xf numFmtId="175" fontId="9" fillId="0" borderId="1" xfId="1" applyNumberFormat="1" applyFont="1" applyFill="1" applyBorder="1" applyAlignment="1" applyProtection="1">
      <alignment horizontal="center" vertical="center"/>
      <protection locked="0"/>
    </xf>
    <xf numFmtId="175" fontId="9" fillId="0" borderId="1" xfId="1" applyNumberFormat="1" applyFont="1" applyFill="1" applyBorder="1" applyAlignment="1" applyProtection="1">
      <alignment horizontal="left" vertical="top" wrapText="1"/>
      <protection locked="0"/>
    </xf>
    <xf numFmtId="175" fontId="9" fillId="0" borderId="1" xfId="1" applyNumberFormat="1" applyFont="1" applyFill="1" applyBorder="1" applyAlignment="1">
      <alignment horizontal="left" wrapText="1"/>
    </xf>
    <xf numFmtId="41" fontId="7" fillId="2" borderId="1" xfId="9" applyFont="1" applyFill="1" applyBorder="1" applyAlignment="1">
      <alignment horizontal="center" vertical="center" wrapText="1"/>
    </xf>
    <xf numFmtId="174" fontId="9" fillId="3" borderId="1" xfId="0" applyNumberFormat="1" applyFont="1" applyFill="1" applyBorder="1" applyAlignment="1">
      <alignment wrapText="1"/>
    </xf>
    <xf numFmtId="175" fontId="9" fillId="3" borderId="1" xfId="1" applyNumberFormat="1" applyFont="1" applyFill="1" applyBorder="1"/>
    <xf numFmtId="0" fontId="0" fillId="0" borderId="1" xfId="0" applyBorder="1" applyAlignment="1">
      <alignment horizontal="center"/>
    </xf>
    <xf numFmtId="0" fontId="0" fillId="0" borderId="1" xfId="0" applyBorder="1" applyAlignment="1">
      <alignment horizontal="center" vertical="center"/>
    </xf>
    <xf numFmtId="9" fontId="0" fillId="0" borderId="1" xfId="12" applyFont="1" applyBorder="1" applyAlignment="1">
      <alignment horizontal="center"/>
    </xf>
    <xf numFmtId="174" fontId="9" fillId="0" borderId="1" xfId="3" applyNumberFormat="1" applyFont="1" applyFill="1" applyBorder="1" applyAlignment="1">
      <alignment horizontal="center" vertical="center" wrapText="1"/>
    </xf>
    <xf numFmtId="175" fontId="9" fillId="0" borderId="1" xfId="1" applyNumberFormat="1" applyFont="1" applyFill="1" applyBorder="1" applyAlignment="1" applyProtection="1">
      <alignment vertical="center" wrapText="1"/>
    </xf>
    <xf numFmtId="175" fontId="9" fillId="0" borderId="1" xfId="1" applyNumberFormat="1" applyFont="1" applyFill="1" applyBorder="1" applyAlignment="1" applyProtection="1">
      <alignment vertical="center" wrapText="1"/>
      <protection locked="0"/>
    </xf>
    <xf numFmtId="175" fontId="9" fillId="0" borderId="1" xfId="1" applyNumberFormat="1" applyFont="1" applyFill="1" applyBorder="1" applyAlignment="1" applyProtection="1">
      <alignment vertical="center"/>
    </xf>
    <xf numFmtId="175" fontId="9" fillId="0" borderId="1" xfId="1" applyNumberFormat="1" applyFont="1" applyFill="1" applyBorder="1" applyAlignment="1" applyProtection="1">
      <alignment vertical="center"/>
      <protection locked="0"/>
    </xf>
    <xf numFmtId="175" fontId="9" fillId="0" borderId="1" xfId="1" applyNumberFormat="1" applyFont="1" applyFill="1" applyBorder="1" applyAlignment="1" applyProtection="1">
      <alignment horizontal="left" vertical="center"/>
    </xf>
    <xf numFmtId="175" fontId="8" fillId="0" borderId="1" xfId="1" applyNumberFormat="1" applyFont="1" applyFill="1" applyBorder="1" applyAlignment="1" applyProtection="1">
      <alignment horizontal="left" vertical="center"/>
    </xf>
    <xf numFmtId="175" fontId="9" fillId="0" borderId="1" xfId="1" applyNumberFormat="1" applyFont="1" applyFill="1" applyBorder="1" applyAlignment="1">
      <alignment horizontal="center" wrapText="1"/>
    </xf>
    <xf numFmtId="175" fontId="8" fillId="0" borderId="1" xfId="1" applyNumberFormat="1" applyFont="1" applyFill="1" applyBorder="1" applyAlignment="1">
      <alignment horizontal="center" vertical="center" wrapText="1"/>
    </xf>
    <xf numFmtId="175" fontId="9" fillId="0" borderId="1" xfId="1" applyNumberFormat="1" applyFont="1" applyBorder="1" applyAlignment="1" applyProtection="1">
      <alignment vertical="center"/>
      <protection locked="0"/>
    </xf>
    <xf numFmtId="175" fontId="8" fillId="0" borderId="1" xfId="1" applyNumberFormat="1" applyFont="1" applyFill="1" applyBorder="1" applyAlignment="1">
      <alignment vertical="center"/>
    </xf>
    <xf numFmtId="175" fontId="14" fillId="0" borderId="1" xfId="1" applyNumberFormat="1" applyFont="1" applyFill="1" applyBorder="1" applyAlignment="1">
      <alignment vertical="center"/>
    </xf>
    <xf numFmtId="175" fontId="10" fillId="5" borderId="1" xfId="1" applyNumberFormat="1" applyFont="1" applyFill="1" applyBorder="1" applyAlignment="1" applyProtection="1">
      <alignment horizontal="center" vertical="center" wrapText="1"/>
    </xf>
    <xf numFmtId="175" fontId="10" fillId="2" borderId="1" xfId="1" applyNumberFormat="1" applyFont="1" applyFill="1" applyBorder="1" applyAlignment="1">
      <alignment horizontal="center" vertical="center" wrapText="1"/>
    </xf>
    <xf numFmtId="175" fontId="9" fillId="2" borderId="1" xfId="1" applyNumberFormat="1" applyFont="1" applyFill="1" applyBorder="1" applyAlignment="1" applyProtection="1">
      <protection locked="0"/>
    </xf>
    <xf numFmtId="175" fontId="9" fillId="2" borderId="1" xfId="1" applyNumberFormat="1" applyFont="1" applyFill="1" applyBorder="1" applyAlignment="1">
      <alignment horizontal="center"/>
    </xf>
    <xf numFmtId="0" fontId="9" fillId="2" borderId="1" xfId="0" applyFont="1" applyFill="1" applyBorder="1" applyAlignment="1">
      <alignment vertical="center"/>
    </xf>
    <xf numFmtId="175" fontId="9" fillId="2" borderId="1" xfId="1" applyNumberFormat="1" applyFont="1" applyFill="1" applyBorder="1" applyAlignment="1" applyProtection="1">
      <alignment vertical="center"/>
      <protection locked="0"/>
    </xf>
    <xf numFmtId="175" fontId="9" fillId="2" borderId="1" xfId="1" applyNumberFormat="1" applyFont="1" applyFill="1" applyBorder="1" applyAlignment="1" applyProtection="1">
      <alignment vertical="center"/>
    </xf>
    <xf numFmtId="175" fontId="9" fillId="2" borderId="1" xfId="1" applyNumberFormat="1" applyFont="1" applyFill="1" applyBorder="1" applyAlignment="1">
      <alignment horizontal="center" vertical="center"/>
    </xf>
    <xf numFmtId="0" fontId="10" fillId="5" borderId="1" xfId="4" applyFont="1" applyFill="1" applyBorder="1" applyAlignment="1">
      <alignment horizontal="center" vertical="center" wrapText="1"/>
    </xf>
    <xf numFmtId="174" fontId="9" fillId="0" borderId="1" xfId="3" applyNumberFormat="1" applyFont="1" applyFill="1" applyBorder="1" applyAlignment="1">
      <alignment horizontal="center" vertical="center"/>
    </xf>
    <xf numFmtId="175" fontId="9" fillId="0" borderId="1" xfId="1" applyNumberFormat="1" applyFont="1" applyBorder="1" applyAlignment="1">
      <alignment vertical="center" wrapText="1"/>
    </xf>
    <xf numFmtId="175" fontId="10" fillId="11" borderId="1" xfId="1" applyNumberFormat="1" applyFont="1" applyFill="1" applyBorder="1" applyAlignment="1" applyProtection="1">
      <alignment horizontal="center" vertical="center" wrapText="1"/>
    </xf>
    <xf numFmtId="175" fontId="12" fillId="0" borderId="1" xfId="1" applyNumberFormat="1" applyFont="1" applyFill="1" applyBorder="1" applyAlignment="1">
      <alignment horizontal="center" vertical="center" wrapText="1"/>
    </xf>
    <xf numFmtId="175" fontId="8" fillId="0" borderId="1" xfId="1" applyNumberFormat="1" applyFont="1" applyFill="1" applyBorder="1" applyAlignment="1">
      <alignment horizontal="center" vertical="center"/>
    </xf>
    <xf numFmtId="175" fontId="10" fillId="0" borderId="1" xfId="1" applyNumberFormat="1" applyFont="1" applyFill="1" applyBorder="1" applyAlignment="1">
      <alignment horizontal="center" vertical="center" wrapText="1"/>
    </xf>
    <xf numFmtId="175" fontId="9" fillId="0" borderId="1" xfId="1" quotePrefix="1" applyNumberFormat="1" applyFont="1" applyFill="1" applyBorder="1" applyAlignment="1">
      <alignment horizontal="center" vertical="center"/>
    </xf>
    <xf numFmtId="175" fontId="8" fillId="16" borderId="1" xfId="1" applyNumberFormat="1" applyFont="1" applyFill="1" applyBorder="1" applyAlignment="1">
      <alignment horizontal="center" vertical="center" wrapText="1"/>
    </xf>
    <xf numFmtId="175" fontId="8" fillId="16" borderId="1" xfId="1" applyNumberFormat="1" applyFont="1" applyFill="1" applyBorder="1" applyAlignment="1">
      <alignment horizontal="center" vertical="center"/>
    </xf>
    <xf numFmtId="175" fontId="10" fillId="23" borderId="1" xfId="1" applyNumberFormat="1" applyFont="1" applyFill="1" applyBorder="1" applyAlignment="1" applyProtection="1">
      <alignment horizontal="center" vertical="center" wrapText="1"/>
    </xf>
    <xf numFmtId="175" fontId="9" fillId="2" borderId="1" xfId="1" applyNumberFormat="1" applyFont="1" applyFill="1" applyBorder="1" applyAlignment="1"/>
    <xf numFmtId="175" fontId="9" fillId="0" borderId="1" xfId="1" applyNumberFormat="1" applyFont="1" applyFill="1" applyBorder="1" applyAlignment="1" applyProtection="1">
      <alignment vertical="top"/>
      <protection locked="0"/>
    </xf>
    <xf numFmtId="175" fontId="10" fillId="22" borderId="1" xfId="1" applyNumberFormat="1" applyFont="1" applyFill="1" applyBorder="1" applyAlignment="1" applyProtection="1">
      <alignment horizontal="center" vertical="center" wrapText="1"/>
    </xf>
    <xf numFmtId="174" fontId="9"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xf>
    <xf numFmtId="0" fontId="9" fillId="2" borderId="1" xfId="0" applyFont="1" applyFill="1" applyBorder="1" applyAlignment="1">
      <alignment vertical="center" wrapText="1"/>
    </xf>
    <xf numFmtId="175" fontId="10" fillId="18" borderId="1" xfId="1" applyNumberFormat="1" applyFont="1" applyFill="1" applyBorder="1" applyAlignment="1" applyProtection="1">
      <alignment horizontal="center" vertical="center" wrapText="1"/>
    </xf>
    <xf numFmtId="0" fontId="9" fillId="3" borderId="1" xfId="0" applyFont="1" applyFill="1" applyBorder="1" applyAlignment="1">
      <alignment horizontal="center" vertical="center" wrapText="1"/>
    </xf>
    <xf numFmtId="175" fontId="32" fillId="0" borderId="1" xfId="1" applyNumberFormat="1" applyFont="1" applyBorder="1" applyAlignment="1">
      <alignment vertical="center" wrapText="1"/>
    </xf>
    <xf numFmtId="175" fontId="32" fillId="0" borderId="1" xfId="1" applyNumberFormat="1" applyFont="1" applyFill="1" applyBorder="1" applyAlignment="1">
      <alignment vertical="center" wrapText="1"/>
    </xf>
    <xf numFmtId="175" fontId="32" fillId="0" borderId="1" xfId="1" applyNumberFormat="1" applyFont="1" applyFill="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175" fontId="9" fillId="19" borderId="1" xfId="1" applyNumberFormat="1" applyFont="1" applyFill="1" applyBorder="1"/>
    <xf numFmtId="175" fontId="10" fillId="20" borderId="1" xfId="1" applyNumberFormat="1" applyFont="1" applyFill="1" applyBorder="1" applyAlignment="1" applyProtection="1">
      <alignment horizontal="center" vertical="center" wrapText="1"/>
    </xf>
    <xf numFmtId="175" fontId="32" fillId="0" borderId="1" xfId="1" applyNumberFormat="1" applyFont="1" applyBorder="1" applyAlignment="1">
      <alignment horizontal="center" vertical="center" wrapText="1"/>
    </xf>
    <xf numFmtId="9" fontId="32" fillId="0" borderId="1" xfId="12" applyFont="1" applyBorder="1" applyAlignment="1">
      <alignment horizontal="center" vertical="center" wrapText="1"/>
    </xf>
    <xf numFmtId="9" fontId="32" fillId="0" borderId="1" xfId="0" applyNumberFormat="1" applyFont="1" applyBorder="1" applyAlignment="1">
      <alignment horizontal="center" vertical="center" wrapText="1"/>
    </xf>
    <xf numFmtId="167" fontId="32" fillId="0" borderId="1" xfId="1" applyFont="1" applyBorder="1" applyAlignment="1">
      <alignment horizontal="center" vertical="center" wrapText="1"/>
    </xf>
    <xf numFmtId="175" fontId="32" fillId="19" borderId="1" xfId="1" applyNumberFormat="1" applyFont="1" applyFill="1" applyBorder="1" applyAlignment="1">
      <alignment horizontal="center" vertical="center" wrapText="1"/>
    </xf>
    <xf numFmtId="175" fontId="32" fillId="12" borderId="1" xfId="1" applyNumberFormat="1" applyFont="1" applyFill="1" applyBorder="1" applyAlignment="1">
      <alignment horizontal="center" vertical="center" wrapText="1"/>
    </xf>
    <xf numFmtId="175" fontId="9" fillId="12" borderId="1" xfId="1" applyNumberFormat="1" applyFont="1" applyFill="1" applyBorder="1"/>
    <xf numFmtId="175" fontId="9" fillId="12" borderId="1" xfId="1" applyNumberFormat="1" applyFont="1" applyFill="1" applyBorder="1" applyAlignment="1">
      <alignment vertical="center"/>
    </xf>
    <xf numFmtId="175" fontId="9" fillId="19" borderId="1" xfId="1" applyNumberFormat="1" applyFont="1" applyFill="1" applyBorder="1" applyAlignment="1">
      <alignment vertical="center"/>
    </xf>
    <xf numFmtId="175" fontId="9" fillId="0" borderId="1" xfId="1" applyNumberFormat="1" applyFont="1" applyFill="1" applyBorder="1" applyAlignment="1">
      <alignment horizontal="center"/>
    </xf>
    <xf numFmtId="175" fontId="11" fillId="0" borderId="1" xfId="1" applyNumberFormat="1" applyFont="1" applyFill="1" applyBorder="1" applyAlignment="1">
      <alignment horizontal="center"/>
    </xf>
    <xf numFmtId="175" fontId="9" fillId="2" borderId="1" xfId="1" applyNumberFormat="1" applyFont="1" applyFill="1" applyBorder="1" applyAlignment="1">
      <alignment vertical="center"/>
    </xf>
    <xf numFmtId="175" fontId="10" fillId="21" borderId="1" xfId="1" applyNumberFormat="1" applyFont="1" applyFill="1" applyBorder="1" applyAlignment="1" applyProtection="1">
      <alignment horizontal="center" vertical="center" wrapText="1"/>
    </xf>
    <xf numFmtId="0" fontId="10" fillId="17" borderId="1" xfId="4" applyFont="1" applyFill="1" applyBorder="1" applyAlignment="1">
      <alignment horizontal="left" vertical="center" wrapText="1"/>
    </xf>
    <xf numFmtId="0" fontId="9" fillId="0" borderId="0" xfId="0" applyFont="1" applyAlignment="1">
      <alignment horizontal="left"/>
    </xf>
    <xf numFmtId="1" fontId="10" fillId="27" borderId="10" xfId="4" applyNumberFormat="1" applyFont="1" applyFill="1" applyBorder="1" applyAlignment="1">
      <alignment horizontal="center" vertical="center" wrapText="1"/>
    </xf>
    <xf numFmtId="176" fontId="9" fillId="0" borderId="11" xfId="3" applyNumberFormat="1" applyFont="1" applyBorder="1"/>
    <xf numFmtId="176" fontId="9" fillId="0" borderId="12" xfId="3" applyNumberFormat="1" applyFont="1" applyBorder="1"/>
    <xf numFmtId="176" fontId="9" fillId="0" borderId="6" xfId="3" applyNumberFormat="1" applyFont="1" applyBorder="1"/>
    <xf numFmtId="176" fontId="9" fillId="0" borderId="2" xfId="3" applyNumberFormat="1" applyFont="1" applyBorder="1"/>
    <xf numFmtId="1" fontId="10" fillId="27" borderId="14" xfId="4" applyNumberFormat="1" applyFont="1" applyFill="1" applyBorder="1" applyAlignment="1">
      <alignment horizontal="center" vertical="center" wrapText="1"/>
    </xf>
    <xf numFmtId="175" fontId="10" fillId="17" borderId="15" xfId="1" applyNumberFormat="1" applyFont="1" applyFill="1" applyBorder="1" applyAlignment="1" applyProtection="1">
      <alignment horizontal="center" vertical="center" wrapText="1"/>
    </xf>
    <xf numFmtId="175" fontId="9" fillId="0" borderId="15" xfId="1" applyNumberFormat="1" applyFont="1" applyFill="1" applyBorder="1" applyAlignment="1">
      <alignment vertical="center"/>
    </xf>
    <xf numFmtId="175" fontId="9" fillId="0" borderId="15" xfId="1" applyNumberFormat="1" applyFont="1" applyBorder="1" applyAlignment="1">
      <alignment vertical="center"/>
    </xf>
    <xf numFmtId="174" fontId="9" fillId="0" borderId="15" xfId="0" applyNumberFormat="1" applyFont="1" applyBorder="1" applyAlignment="1">
      <alignment vertical="center"/>
    </xf>
    <xf numFmtId="1" fontId="10" fillId="27" borderId="1" xfId="4" applyNumberFormat="1" applyFont="1" applyFill="1" applyBorder="1" applyAlignment="1">
      <alignment horizontal="center" vertical="center" wrapText="1"/>
    </xf>
    <xf numFmtId="176" fontId="9" fillId="0" borderId="1" xfId="3" applyNumberFormat="1" applyFont="1" applyBorder="1"/>
    <xf numFmtId="1" fontId="9" fillId="0" borderId="2" xfId="0" applyNumberFormat="1" applyFont="1" applyBorder="1" applyAlignment="1" applyProtection="1">
      <alignment horizontal="center" vertical="center"/>
      <protection locked="0"/>
    </xf>
    <xf numFmtId="1" fontId="10" fillId="4" borderId="2" xfId="4" applyNumberFormat="1" applyFont="1" applyFill="1" applyBorder="1" applyAlignment="1">
      <alignment horizontal="center" vertical="center" wrapText="1"/>
    </xf>
    <xf numFmtId="0" fontId="9" fillId="0" borderId="2" xfId="0" applyFont="1" applyBorder="1" applyAlignment="1">
      <alignment horizontal="center" vertical="center"/>
    </xf>
    <xf numFmtId="1" fontId="18" fillId="17" borderId="15" xfId="4" applyNumberFormat="1" applyFont="1" applyFill="1" applyBorder="1" applyAlignment="1">
      <alignment horizontal="right" vertical="center" wrapText="1"/>
    </xf>
    <xf numFmtId="176" fontId="19" fillId="0" borderId="15" xfId="3" applyNumberFormat="1" applyFont="1" applyBorder="1" applyAlignment="1">
      <alignment horizontal="right" vertical="center"/>
    </xf>
    <xf numFmtId="175" fontId="19" fillId="0" borderId="15" xfId="1" applyNumberFormat="1" applyFont="1" applyBorder="1" applyAlignment="1">
      <alignment horizontal="right" vertical="center"/>
    </xf>
    <xf numFmtId="175" fontId="19" fillId="0" borderId="15" xfId="1" applyNumberFormat="1" applyFont="1" applyFill="1" applyBorder="1" applyAlignment="1">
      <alignment horizontal="right" vertical="center"/>
    </xf>
    <xf numFmtId="175" fontId="10" fillId="27" borderId="1" xfId="1" applyNumberFormat="1" applyFont="1" applyFill="1" applyBorder="1" applyAlignment="1" applyProtection="1">
      <alignment horizontal="center" vertical="center" wrapText="1"/>
    </xf>
    <xf numFmtId="175" fontId="10" fillId="4" borderId="1" xfId="1" applyNumberFormat="1" applyFont="1" applyFill="1" applyBorder="1" applyAlignment="1" applyProtection="1">
      <alignment horizontal="center" vertical="center" wrapText="1"/>
    </xf>
    <xf numFmtId="175" fontId="11" fillId="0" borderId="1" xfId="1" applyNumberFormat="1" applyFont="1" applyFill="1" applyBorder="1" applyAlignment="1">
      <alignment horizontal="center" vertical="center"/>
    </xf>
    <xf numFmtId="175" fontId="9" fillId="19" borderId="1" xfId="1" applyNumberFormat="1" applyFont="1" applyFill="1" applyBorder="1" applyAlignment="1">
      <alignment horizontal="center" vertical="center"/>
    </xf>
    <xf numFmtId="0" fontId="10" fillId="25" borderId="1" xfId="4" applyFont="1" applyFill="1" applyBorder="1" applyAlignment="1">
      <alignment vertical="center" wrapText="1"/>
    </xf>
    <xf numFmtId="0" fontId="34" fillId="0" borderId="1" xfId="0" applyFont="1" applyBorder="1" applyAlignment="1">
      <alignment vertical="center" wrapText="1"/>
    </xf>
    <xf numFmtId="0" fontId="8" fillId="3" borderId="1" xfId="4" applyFont="1" applyFill="1" applyBorder="1" applyAlignment="1">
      <alignment horizontal="left" vertical="center" wrapText="1"/>
    </xf>
    <xf numFmtId="175" fontId="19" fillId="0" borderId="1" xfId="1" applyNumberFormat="1" applyFont="1" applyBorder="1" applyAlignment="1">
      <alignment vertical="center" wrapText="1"/>
    </xf>
    <xf numFmtId="174" fontId="19" fillId="0" borderId="1" xfId="0" applyNumberFormat="1" applyFont="1" applyBorder="1" applyAlignment="1">
      <alignment horizontal="center" vertical="center" wrapText="1"/>
    </xf>
    <xf numFmtId="175" fontId="19" fillId="0" borderId="1" xfId="1" applyNumberFormat="1" applyFont="1" applyBorder="1" applyAlignment="1">
      <alignment horizontal="center" vertical="center" wrapText="1"/>
    </xf>
    <xf numFmtId="0" fontId="35" fillId="0" borderId="1" xfId="0" applyFont="1" applyBorder="1" applyAlignment="1">
      <alignment vertical="center" wrapText="1"/>
    </xf>
    <xf numFmtId="175" fontId="19" fillId="0" borderId="1" xfId="1" applyNumberFormat="1" applyFont="1" applyFill="1" applyBorder="1" applyAlignment="1">
      <alignment vertical="center" wrapText="1"/>
    </xf>
    <xf numFmtId="175" fontId="19" fillId="19" borderId="1" xfId="1" applyNumberFormat="1" applyFont="1" applyFill="1" applyBorder="1" applyAlignment="1">
      <alignment vertical="center" wrapText="1"/>
    </xf>
    <xf numFmtId="175" fontId="9" fillId="0" borderId="1" xfId="1" applyNumberFormat="1" applyFont="1" applyBorder="1" applyAlignment="1">
      <alignment horizontal="center" vertical="center" wrapText="1"/>
    </xf>
    <xf numFmtId="175" fontId="19" fillId="0" borderId="1" xfId="1" applyNumberFormat="1" applyFont="1" applyFill="1" applyBorder="1" applyAlignment="1">
      <alignment horizontal="center" vertical="center" wrapText="1"/>
    </xf>
    <xf numFmtId="174" fontId="19" fillId="0" borderId="1" xfId="1" applyNumberFormat="1" applyFont="1" applyFill="1" applyBorder="1" applyAlignment="1">
      <alignment horizontal="center" vertical="center" wrapText="1"/>
    </xf>
    <xf numFmtId="0" fontId="19" fillId="0" borderId="1" xfId="0" applyFont="1" applyBorder="1" applyAlignment="1">
      <alignment horizontal="center" vertical="center" wrapText="1"/>
    </xf>
    <xf numFmtId="174" fontId="32" fillId="0" borderId="1" xfId="0" applyNumberFormat="1" applyFont="1" applyBorder="1" applyAlignment="1">
      <alignment horizontal="center" vertical="center" wrapText="1"/>
    </xf>
    <xf numFmtId="175" fontId="9" fillId="0" borderId="1" xfId="1" applyNumberFormat="1" applyFont="1" applyBorder="1"/>
    <xf numFmtId="0" fontId="8" fillId="0" borderId="1" xfId="4" applyFont="1" applyBorder="1" applyAlignment="1">
      <alignment horizontal="left" vertical="center" wrapText="1"/>
    </xf>
    <xf numFmtId="0" fontId="8" fillId="0" borderId="1" xfId="4" applyFont="1" applyBorder="1" applyAlignment="1">
      <alignment horizontal="left" vertical="top" wrapText="1"/>
    </xf>
    <xf numFmtId="0" fontId="8" fillId="0" borderId="1" xfId="4" applyFont="1" applyBorder="1" applyAlignment="1">
      <alignment horizontal="center" vertical="center" wrapText="1"/>
    </xf>
    <xf numFmtId="0" fontId="8" fillId="0" borderId="1" xfId="0" applyFont="1" applyBorder="1" applyAlignment="1">
      <alignment horizontal="center" vertical="center" wrapText="1"/>
    </xf>
    <xf numFmtId="175" fontId="9" fillId="0" borderId="1" xfId="1" applyNumberFormat="1" applyFont="1" applyFill="1" applyBorder="1"/>
    <xf numFmtId="0" fontId="8" fillId="0" borderId="1" xfId="0" applyFont="1" applyBorder="1" applyAlignment="1">
      <alignment horizontal="left" vertical="center"/>
    </xf>
    <xf numFmtId="0" fontId="8" fillId="0" borderId="1" xfId="0" applyFont="1" applyBorder="1" applyAlignment="1">
      <alignment horizontal="left"/>
    </xf>
    <xf numFmtId="0" fontId="8" fillId="0" borderId="1" xfId="0" applyFont="1" applyBorder="1" applyAlignment="1">
      <alignment horizontal="center" vertical="center"/>
    </xf>
    <xf numFmtId="175" fontId="20" fillId="0" borderId="16" xfId="1" applyNumberFormat="1" applyFont="1" applyBorder="1" applyAlignment="1">
      <alignment horizontal="right" vertical="center"/>
    </xf>
    <xf numFmtId="175" fontId="11" fillId="0" borderId="16" xfId="1" applyNumberFormat="1" applyFont="1" applyBorder="1" applyAlignment="1">
      <alignment vertical="center"/>
    </xf>
    <xf numFmtId="176" fontId="9" fillId="0" borderId="1" xfId="3" applyNumberFormat="1" applyFont="1" applyBorder="1" applyAlignment="1">
      <alignment horizontal="right" vertical="center"/>
    </xf>
    <xf numFmtId="175" fontId="9" fillId="0" borderId="1" xfId="1" applyNumberFormat="1" applyFont="1" applyBorder="1" applyAlignment="1">
      <alignment horizontal="right" vertical="center"/>
    </xf>
    <xf numFmtId="176" fontId="9" fillId="0" borderId="1" xfId="3" applyNumberFormat="1" applyFont="1" applyBorder="1" applyAlignment="1">
      <alignment vertical="center"/>
    </xf>
    <xf numFmtId="175" fontId="9" fillId="0" borderId="1" xfId="1" applyNumberFormat="1" applyFont="1" applyFill="1" applyBorder="1" applyAlignment="1">
      <alignment horizontal="right" vertical="center"/>
    </xf>
    <xf numFmtId="0" fontId="8" fillId="0" borderId="0" xfId="4" applyFont="1" applyAlignment="1">
      <alignment horizontal="left" vertical="center" wrapText="1"/>
    </xf>
    <xf numFmtId="0" fontId="10" fillId="9" borderId="1" xfId="4" applyFont="1" applyFill="1" applyBorder="1" applyAlignment="1">
      <alignment horizontal="center" vertical="center" wrapText="1"/>
    </xf>
    <xf numFmtId="0" fontId="0" fillId="0" borderId="2" xfId="0" applyBorder="1" applyAlignment="1">
      <alignment horizontal="center"/>
    </xf>
    <xf numFmtId="0" fontId="0" fillId="0" borderId="15" xfId="0" applyBorder="1" applyAlignment="1">
      <alignment horizontal="center"/>
    </xf>
    <xf numFmtId="0" fontId="0" fillId="0" borderId="0" xfId="0" applyAlignment="1">
      <alignment horizontal="center"/>
    </xf>
    <xf numFmtId="0" fontId="9" fillId="33" borderId="0" xfId="0" applyFont="1" applyFill="1"/>
    <xf numFmtId="0" fontId="8" fillId="0" borderId="0" xfId="0" applyFont="1" applyAlignment="1" applyProtection="1">
      <alignment horizontal="center" vertical="center"/>
      <protection locked="0"/>
    </xf>
    <xf numFmtId="0" fontId="8" fillId="0" borderId="0" xfId="0" applyFont="1" applyProtection="1">
      <protection locked="0"/>
    </xf>
    <xf numFmtId="0" fontId="8" fillId="0" borderId="0" xfId="0" applyFont="1" applyAlignment="1" applyProtection="1">
      <alignment horizontal="left"/>
      <protection locked="0"/>
    </xf>
    <xf numFmtId="0" fontId="9" fillId="0" borderId="0" xfId="0" applyFont="1" applyProtection="1">
      <protection locked="0"/>
    </xf>
    <xf numFmtId="1" fontId="10" fillId="4" borderId="1" xfId="4" applyNumberFormat="1" applyFont="1" applyFill="1" applyBorder="1" applyAlignment="1" applyProtection="1">
      <alignment horizontal="center" vertical="center" wrapText="1"/>
      <protection locked="0"/>
    </xf>
    <xf numFmtId="1" fontId="10" fillId="4" borderId="2" xfId="4" applyNumberFormat="1" applyFont="1" applyFill="1" applyBorder="1" applyAlignment="1" applyProtection="1">
      <alignment horizontal="center" vertical="center" wrapText="1"/>
      <protection locked="0"/>
    </xf>
    <xf numFmtId="0" fontId="10" fillId="17" borderId="1" xfId="4" applyFont="1" applyFill="1" applyBorder="1" applyAlignment="1" applyProtection="1">
      <alignment horizontal="center" vertical="center" wrapText="1"/>
      <protection locked="0"/>
    </xf>
    <xf numFmtId="0" fontId="10" fillId="19" borderId="1" xfId="4" applyFont="1" applyFill="1" applyBorder="1" applyAlignment="1" applyProtection="1">
      <alignment horizontal="center" vertical="center" wrapText="1"/>
      <protection locked="0"/>
    </xf>
    <xf numFmtId="0" fontId="10" fillId="30" borderId="1" xfId="4" applyFont="1" applyFill="1" applyBorder="1" applyAlignment="1" applyProtection="1">
      <alignment horizontal="center" vertical="center" wrapText="1"/>
      <protection locked="0"/>
    </xf>
    <xf numFmtId="0" fontId="10" fillId="30" borderId="1" xfId="4" applyFont="1" applyFill="1" applyBorder="1" applyAlignment="1" applyProtection="1">
      <alignment horizontal="center" vertical="center"/>
      <protection locked="0"/>
    </xf>
    <xf numFmtId="0" fontId="10" fillId="18" borderId="1" xfId="4" applyFont="1" applyFill="1" applyBorder="1" applyAlignment="1" applyProtection="1">
      <alignment horizontal="center" vertical="center" wrapText="1"/>
      <protection locked="0"/>
    </xf>
    <xf numFmtId="0" fontId="10" fillId="12" borderId="1" xfId="4" applyFont="1" applyFill="1" applyBorder="1" applyAlignment="1" applyProtection="1">
      <alignment horizontal="center" vertical="center" wrapText="1"/>
      <protection locked="0"/>
    </xf>
    <xf numFmtId="0" fontId="9" fillId="0" borderId="0" xfId="0" applyFont="1" applyAlignment="1" applyProtection="1">
      <alignment horizontal="center" vertical="center"/>
      <protection locked="0"/>
    </xf>
    <xf numFmtId="0" fontId="9" fillId="0" borderId="0" xfId="0" applyFont="1" applyAlignment="1" applyProtection="1">
      <alignment wrapText="1"/>
      <protection locked="0"/>
    </xf>
    <xf numFmtId="0" fontId="10" fillId="4" borderId="1" xfId="4" applyFont="1" applyFill="1" applyBorder="1" applyAlignment="1" applyProtection="1">
      <alignment horizontal="center" vertical="center" wrapText="1"/>
      <protection locked="0"/>
    </xf>
    <xf numFmtId="0" fontId="10" fillId="18" borderId="17" xfId="4" applyFont="1" applyFill="1" applyBorder="1" applyAlignment="1" applyProtection="1">
      <alignment horizontal="center" vertical="center" wrapText="1"/>
      <protection locked="0"/>
    </xf>
    <xf numFmtId="0" fontId="10" fillId="18" borderId="20" xfId="4" applyFont="1" applyFill="1" applyBorder="1" applyAlignment="1" applyProtection="1">
      <alignment horizontal="center" vertical="center" wrapText="1"/>
      <protection locked="0"/>
    </xf>
    <xf numFmtId="0" fontId="10" fillId="19" borderId="17" xfId="4" applyFont="1" applyFill="1" applyBorder="1" applyAlignment="1" applyProtection="1">
      <alignment horizontal="center" vertical="center" wrapText="1"/>
      <protection locked="0"/>
    </xf>
    <xf numFmtId="0" fontId="10" fillId="18" borderId="15" xfId="4" applyFont="1" applyFill="1" applyBorder="1" applyAlignment="1" applyProtection="1">
      <alignment horizontal="center" vertical="center" wrapText="1"/>
      <protection locked="0"/>
    </xf>
    <xf numFmtId="0" fontId="35" fillId="0" borderId="0" xfId="0" applyFont="1" applyProtection="1">
      <protection locked="0"/>
    </xf>
    <xf numFmtId="0" fontId="37" fillId="30" borderId="1" xfId="4" applyFont="1" applyFill="1" applyBorder="1" applyAlignment="1" applyProtection="1">
      <alignment horizontal="center" vertical="center" wrapText="1"/>
      <protection locked="0"/>
    </xf>
    <xf numFmtId="167" fontId="9" fillId="0" borderId="1" xfId="1" applyFont="1" applyFill="1" applyBorder="1" applyProtection="1">
      <protection locked="0"/>
    </xf>
    <xf numFmtId="175" fontId="9" fillId="0" borderId="1" xfId="1" applyNumberFormat="1" applyFont="1" applyFill="1" applyBorder="1" applyProtection="1">
      <protection locked="0"/>
    </xf>
    <xf numFmtId="0" fontId="11" fillId="17" borderId="1" xfId="0" applyFont="1" applyFill="1" applyBorder="1"/>
    <xf numFmtId="9" fontId="9" fillId="0" borderId="0" xfId="12" applyFont="1"/>
    <xf numFmtId="0" fontId="10" fillId="32" borderId="1" xfId="0" applyFont="1" applyFill="1" applyBorder="1" applyAlignment="1" applyProtection="1">
      <alignment horizontal="center" vertical="center" wrapText="1"/>
      <protection locked="0"/>
    </xf>
    <xf numFmtId="0" fontId="11" fillId="17" borderId="19" xfId="0" applyFont="1" applyFill="1" applyBorder="1"/>
    <xf numFmtId="0" fontId="11" fillId="35" borderId="1" xfId="0" applyFont="1" applyFill="1" applyBorder="1" applyAlignment="1">
      <alignment vertical="center"/>
    </xf>
    <xf numFmtId="175" fontId="9" fillId="0" borderId="0" xfId="0" applyNumberFormat="1" applyFont="1" applyAlignment="1">
      <alignment horizontal="center" vertical="center"/>
    </xf>
    <xf numFmtId="175" fontId="9" fillId="0" borderId="16" xfId="1" applyNumberFormat="1" applyFont="1" applyFill="1" applyBorder="1" applyAlignment="1" applyProtection="1">
      <alignment horizontal="center" vertical="center"/>
      <protection locked="0"/>
    </xf>
    <xf numFmtId="178" fontId="9" fillId="0" borderId="1" xfId="1" applyNumberFormat="1" applyFont="1" applyFill="1" applyBorder="1" applyAlignment="1" applyProtection="1">
      <alignment horizontal="center" vertical="center"/>
      <protection locked="0"/>
    </xf>
    <xf numFmtId="0" fontId="35" fillId="0" borderId="1" xfId="0" applyFont="1" applyFill="1" applyBorder="1" applyAlignment="1">
      <alignment vertical="center" wrapText="1"/>
    </xf>
    <xf numFmtId="0" fontId="35" fillId="0" borderId="1" xfId="0" applyFont="1" applyFill="1" applyBorder="1" applyAlignment="1">
      <alignment vertical="center"/>
    </xf>
    <xf numFmtId="0" fontId="9" fillId="0" borderId="1" xfId="0" applyFont="1" applyFill="1" applyBorder="1" applyAlignment="1" applyProtection="1">
      <alignment wrapText="1"/>
      <protection locked="0"/>
    </xf>
    <xf numFmtId="0" fontId="9" fillId="0" borderId="1" xfId="0" applyFont="1" applyFill="1" applyBorder="1" applyAlignment="1" applyProtection="1">
      <alignment vertical="top" wrapText="1"/>
      <protection locked="0"/>
    </xf>
    <xf numFmtId="0" fontId="9" fillId="0" borderId="1" xfId="0" applyFont="1" applyFill="1" applyBorder="1" applyProtection="1">
      <protection locked="0"/>
    </xf>
    <xf numFmtId="0" fontId="35" fillId="0" borderId="15" xfId="0" applyFont="1" applyFill="1" applyBorder="1" applyAlignment="1" applyProtection="1">
      <alignment wrapText="1"/>
      <protection locked="0"/>
    </xf>
    <xf numFmtId="0" fontId="9" fillId="0" borderId="0" xfId="0" applyFont="1" applyFill="1" applyProtection="1">
      <protection locked="0"/>
    </xf>
    <xf numFmtId="0" fontId="35" fillId="0" borderId="1" xfId="0" applyFont="1" applyFill="1" applyBorder="1" applyAlignment="1" applyProtection="1">
      <alignment wrapText="1"/>
      <protection locked="0"/>
    </xf>
    <xf numFmtId="0" fontId="35" fillId="0" borderId="1" xfId="0" applyFont="1" applyFill="1" applyBorder="1" applyProtection="1">
      <protection locked="0"/>
    </xf>
    <xf numFmtId="0" fontId="8" fillId="0" borderId="1" xfId="4" applyFont="1" applyFill="1" applyBorder="1" applyAlignment="1" applyProtection="1">
      <alignment horizontal="center" vertical="center" wrapText="1"/>
      <protection locked="0"/>
    </xf>
    <xf numFmtId="0" fontId="8" fillId="0" borderId="1" xfId="4" applyFont="1" applyFill="1" applyBorder="1" applyAlignment="1" applyProtection="1">
      <alignment horizontal="left" vertical="top" wrapText="1"/>
      <protection locked="0"/>
    </xf>
    <xf numFmtId="0" fontId="8" fillId="0" borderId="1" xfId="4" applyFont="1" applyFill="1" applyBorder="1" applyAlignment="1" applyProtection="1">
      <alignment horizontal="left" vertical="center" wrapText="1"/>
      <protection locked="0"/>
    </xf>
    <xf numFmtId="0" fontId="40" fillId="0" borderId="1" xfId="0" applyFont="1" applyFill="1" applyBorder="1" applyProtection="1">
      <protection locked="0"/>
    </xf>
    <xf numFmtId="0" fontId="40" fillId="0" borderId="1" xfId="0" applyFont="1" applyFill="1" applyBorder="1" applyAlignment="1">
      <alignment vertical="center"/>
    </xf>
    <xf numFmtId="0" fontId="40" fillId="0" borderId="1" xfId="0" applyFont="1" applyFill="1" applyBorder="1" applyAlignment="1">
      <alignment horizontal="center" vertical="center"/>
    </xf>
    <xf numFmtId="0" fontId="9" fillId="0" borderId="1" xfId="0" applyFont="1" applyFill="1" applyBorder="1" applyAlignment="1" applyProtection="1">
      <alignment horizontal="center"/>
      <protection locked="0"/>
    </xf>
    <xf numFmtId="175" fontId="9" fillId="0" borderId="1" xfId="0" applyNumberFormat="1" applyFont="1" applyFill="1" applyBorder="1" applyAlignment="1">
      <alignment horizontal="center" vertical="center"/>
    </xf>
    <xf numFmtId="0" fontId="9" fillId="0" borderId="1" xfId="0" applyFont="1" applyFill="1" applyBorder="1" applyAlignment="1">
      <alignment vertical="center"/>
    </xf>
    <xf numFmtId="0" fontId="40" fillId="0" borderId="1" xfId="0" applyFont="1" applyFill="1" applyBorder="1" applyAlignment="1">
      <alignment vertical="center" wrapText="1"/>
    </xf>
    <xf numFmtId="0" fontId="35" fillId="0" borderId="1" xfId="0" applyFont="1" applyFill="1" applyBorder="1" applyAlignment="1">
      <alignment horizontal="center" vertical="center"/>
    </xf>
    <xf numFmtId="0" fontId="40" fillId="0" borderId="1" xfId="0" applyFont="1" applyFill="1" applyBorder="1" applyAlignment="1" applyProtection="1">
      <alignment horizontal="center"/>
      <protection locked="0"/>
    </xf>
    <xf numFmtId="0" fontId="40" fillId="0" borderId="1" xfId="0" applyFont="1" applyFill="1" applyBorder="1" applyAlignment="1" applyProtection="1">
      <alignment wrapText="1"/>
      <protection locked="0"/>
    </xf>
    <xf numFmtId="0" fontId="8" fillId="0" borderId="1" xfId="4" applyFont="1" applyFill="1" applyBorder="1" applyAlignment="1" applyProtection="1">
      <alignment horizontal="justify" vertical="center" wrapText="1"/>
      <protection locked="0"/>
    </xf>
    <xf numFmtId="0" fontId="43" fillId="0" borderId="1" xfId="0" applyFont="1" applyFill="1" applyBorder="1" applyProtection="1">
      <protection locked="0"/>
    </xf>
    <xf numFmtId="0" fontId="43" fillId="0" borderId="1" xfId="0" applyFont="1" applyFill="1" applyBorder="1" applyAlignment="1" applyProtection="1">
      <alignment wrapText="1"/>
      <protection locked="0"/>
    </xf>
    <xf numFmtId="0" fontId="8" fillId="0" borderId="1" xfId="0" applyFont="1" applyFill="1" applyBorder="1" applyAlignment="1" applyProtection="1">
      <alignment horizontal="center" vertical="center" wrapText="1"/>
      <protection locked="0"/>
    </xf>
    <xf numFmtId="0" fontId="8" fillId="0" borderId="15" xfId="0" applyFont="1" applyFill="1" applyBorder="1" applyAlignment="1" applyProtection="1">
      <alignment wrapText="1"/>
      <protection locked="0"/>
    </xf>
    <xf numFmtId="0" fontId="35" fillId="0" borderId="15" xfId="0" applyFont="1" applyFill="1" applyBorder="1" applyAlignment="1" applyProtection="1">
      <alignment horizontal="center" wrapText="1"/>
      <protection locked="0"/>
    </xf>
    <xf numFmtId="0" fontId="35" fillId="0" borderId="7" xfId="0" applyFont="1" applyFill="1" applyBorder="1" applyAlignment="1" applyProtection="1">
      <alignment wrapText="1"/>
      <protection locked="0"/>
    </xf>
    <xf numFmtId="0" fontId="8" fillId="0" borderId="1" xfId="0" applyFont="1" applyFill="1" applyBorder="1" applyAlignment="1" applyProtection="1">
      <alignment horizontal="left" vertical="top" wrapText="1"/>
      <protection locked="0"/>
    </xf>
    <xf numFmtId="0" fontId="8" fillId="0" borderId="1" xfId="0" applyFont="1" applyFill="1" applyBorder="1" applyProtection="1">
      <protection locked="0"/>
    </xf>
    <xf numFmtId="0" fontId="35" fillId="0" borderId="1" xfId="0" applyFont="1" applyFill="1" applyBorder="1" applyAlignment="1">
      <alignment horizontal="center" vertical="center" wrapText="1"/>
    </xf>
    <xf numFmtId="0" fontId="8" fillId="0" borderId="1" xfId="0" applyFont="1" applyFill="1" applyBorder="1" applyAlignment="1" applyProtection="1">
      <alignment wrapText="1"/>
      <protection locked="0"/>
    </xf>
    <xf numFmtId="0" fontId="8" fillId="0" borderId="16" xfId="0" applyFont="1" applyFill="1" applyBorder="1" applyAlignment="1" applyProtection="1">
      <alignment horizontal="center" vertical="center" wrapText="1"/>
      <protection locked="0"/>
    </xf>
    <xf numFmtId="0" fontId="8" fillId="0" borderId="7" xfId="0" applyFont="1" applyFill="1" applyBorder="1" applyAlignment="1" applyProtection="1">
      <alignment wrapText="1"/>
      <protection locked="0"/>
    </xf>
    <xf numFmtId="0" fontId="35" fillId="0" borderId="7" xfId="0" applyFont="1" applyFill="1" applyBorder="1" applyAlignment="1" applyProtection="1">
      <alignment horizontal="center" wrapText="1"/>
      <protection locked="0"/>
    </xf>
    <xf numFmtId="0" fontId="8" fillId="0" borderId="1" xfId="0" applyFont="1" applyFill="1" applyBorder="1" applyAlignment="1" applyProtection="1">
      <alignment vertical="center" wrapText="1"/>
      <protection locked="0"/>
    </xf>
    <xf numFmtId="0" fontId="44" fillId="0" borderId="15" xfId="0" applyFont="1" applyFill="1" applyBorder="1" applyAlignment="1">
      <alignment wrapText="1"/>
    </xf>
    <xf numFmtId="0" fontId="8" fillId="0" borderId="1" xfId="0" applyFont="1" applyFill="1" applyBorder="1" applyAlignment="1" applyProtection="1">
      <alignment horizontal="center" vertical="top"/>
      <protection locked="0"/>
    </xf>
    <xf numFmtId="0" fontId="9" fillId="0" borderId="15" xfId="0" applyFont="1" applyFill="1" applyBorder="1" applyProtection="1">
      <protection locked="0"/>
    </xf>
    <xf numFmtId="0" fontId="42" fillId="0" borderId="1" xfId="0" applyFont="1" applyFill="1" applyBorder="1" applyAlignment="1">
      <alignment vertical="center" wrapText="1"/>
    </xf>
    <xf numFmtId="0" fontId="40" fillId="0" borderId="1" xfId="4" applyFont="1" applyFill="1" applyBorder="1" applyAlignment="1" applyProtection="1">
      <alignment horizontal="left" vertical="center" wrapText="1"/>
      <protection locked="0"/>
    </xf>
    <xf numFmtId="0" fontId="35" fillId="0" borderId="1" xfId="0" applyFont="1" applyFill="1" applyBorder="1" applyAlignment="1" applyProtection="1">
      <alignment horizontal="left" wrapText="1"/>
      <protection locked="0"/>
    </xf>
    <xf numFmtId="0" fontId="8" fillId="0" borderId="1" xfId="0" applyFont="1" applyFill="1" applyBorder="1" applyAlignment="1" applyProtection="1">
      <alignment horizontal="center" vertical="center"/>
      <protection locked="0"/>
    </xf>
    <xf numFmtId="0" fontId="44" fillId="0" borderId="1" xfId="0" applyFont="1" applyFill="1" applyBorder="1" applyAlignment="1">
      <alignment vertical="center"/>
    </xf>
    <xf numFmtId="0" fontId="36" fillId="0" borderId="1" xfId="0" applyFont="1" applyFill="1" applyBorder="1" applyAlignment="1" applyProtection="1">
      <alignment horizontal="left" vertical="center" wrapText="1"/>
      <protection locked="0"/>
    </xf>
    <xf numFmtId="0" fontId="8" fillId="0" borderId="1" xfId="0" applyFont="1" applyFill="1" applyBorder="1" applyAlignment="1" applyProtection="1">
      <alignment vertical="top" wrapText="1"/>
      <protection locked="0"/>
    </xf>
    <xf numFmtId="0" fontId="8" fillId="0" borderId="2" xfId="0" applyFont="1" applyFill="1" applyBorder="1" applyAlignment="1" applyProtection="1">
      <alignment vertical="center" wrapText="1"/>
      <protection locked="0"/>
    </xf>
    <xf numFmtId="0" fontId="9" fillId="0" borderId="1" xfId="0" applyFont="1" applyFill="1" applyBorder="1" applyAlignment="1" applyProtection="1">
      <alignment horizontal="center" vertical="center"/>
      <protection locked="0"/>
    </xf>
    <xf numFmtId="0" fontId="9" fillId="0" borderId="16" xfId="0" applyFont="1" applyFill="1" applyBorder="1" applyProtection="1">
      <protection locked="0"/>
    </xf>
    <xf numFmtId="0" fontId="9" fillId="0" borderId="16" xfId="0" applyFont="1" applyFill="1" applyBorder="1" applyAlignment="1" applyProtection="1">
      <alignment horizontal="center"/>
      <protection locked="0"/>
    </xf>
    <xf numFmtId="0" fontId="35" fillId="0" borderId="1" xfId="0" applyFont="1" applyFill="1" applyBorder="1" applyAlignment="1" applyProtection="1">
      <alignment horizontal="center"/>
      <protection locked="0"/>
    </xf>
    <xf numFmtId="0" fontId="9" fillId="0" borderId="5" xfId="0" applyFont="1" applyFill="1" applyBorder="1" applyProtection="1">
      <protection locked="0"/>
    </xf>
    <xf numFmtId="1" fontId="9" fillId="0" borderId="1" xfId="0" applyNumberFormat="1" applyFont="1" applyFill="1" applyBorder="1" applyAlignment="1" applyProtection="1">
      <alignment horizontal="center"/>
      <protection locked="0"/>
    </xf>
    <xf numFmtId="1" fontId="9" fillId="0" borderId="1" xfId="1" applyNumberFormat="1" applyFont="1" applyFill="1" applyBorder="1" applyAlignment="1" applyProtection="1">
      <alignment horizontal="center"/>
      <protection locked="0"/>
    </xf>
    <xf numFmtId="0" fontId="9" fillId="0" borderId="1" xfId="0" applyFont="1" applyFill="1" applyBorder="1" applyAlignment="1">
      <alignment horizontal="center" vertical="center"/>
    </xf>
    <xf numFmtId="0" fontId="43" fillId="0" borderId="2" xfId="0" applyFont="1" applyFill="1" applyBorder="1" applyAlignment="1" applyProtection="1">
      <alignment wrapText="1"/>
      <protection locked="0"/>
    </xf>
    <xf numFmtId="0" fontId="35" fillId="0" borderId="17" xfId="0" applyFont="1" applyFill="1" applyBorder="1" applyAlignment="1" applyProtection="1">
      <alignment wrapText="1"/>
      <protection locked="0"/>
    </xf>
    <xf numFmtId="0" fontId="8" fillId="0" borderId="1" xfId="0" applyFont="1" applyFill="1" applyBorder="1" applyAlignment="1" applyProtection="1">
      <alignment horizontal="left" vertical="center" wrapText="1"/>
      <protection locked="0"/>
    </xf>
    <xf numFmtId="0" fontId="43" fillId="0" borderId="1" xfId="0" applyFont="1" applyFill="1" applyBorder="1" applyAlignment="1" applyProtection="1">
      <alignment horizontal="center"/>
      <protection locked="0"/>
    </xf>
    <xf numFmtId="0" fontId="43" fillId="0" borderId="5" xfId="0" applyFont="1" applyFill="1" applyBorder="1" applyProtection="1">
      <protection locked="0"/>
    </xf>
    <xf numFmtId="0" fontId="8" fillId="0" borderId="1" xfId="0" applyFont="1" applyFill="1" applyBorder="1" applyAlignment="1" applyProtection="1">
      <alignment horizontal="left" vertical="center"/>
      <protection locked="0"/>
    </xf>
    <xf numFmtId="0" fontId="9" fillId="0" borderId="1" xfId="0" applyFont="1" applyFill="1" applyBorder="1" applyAlignment="1" applyProtection="1">
      <alignment vertical="center" wrapText="1"/>
      <protection locked="0"/>
    </xf>
    <xf numFmtId="0" fontId="35" fillId="0" borderId="15" xfId="0" applyFont="1" applyFill="1" applyBorder="1" applyAlignment="1" applyProtection="1">
      <alignment horizontal="center" vertical="center" wrapText="1"/>
      <protection locked="0"/>
    </xf>
    <xf numFmtId="0" fontId="44" fillId="0" borderId="17" xfId="0" applyFont="1" applyFill="1" applyBorder="1" applyAlignment="1">
      <alignment wrapText="1"/>
    </xf>
    <xf numFmtId="0" fontId="44" fillId="0" borderId="23" xfId="0" applyFont="1" applyFill="1" applyBorder="1" applyAlignment="1">
      <alignment wrapText="1"/>
    </xf>
    <xf numFmtId="0" fontId="35" fillId="0" borderId="7" xfId="0" applyFont="1" applyFill="1" applyBorder="1" applyAlignment="1" applyProtection="1">
      <alignment horizontal="center" vertical="center" wrapText="1"/>
      <protection locked="0"/>
    </xf>
    <xf numFmtId="1" fontId="43" fillId="0" borderId="1" xfId="0" applyNumberFormat="1" applyFont="1" applyFill="1" applyBorder="1" applyAlignment="1" applyProtection="1">
      <alignment horizontal="center"/>
      <protection locked="0"/>
    </xf>
    <xf numFmtId="1" fontId="35" fillId="0" borderId="15" xfId="0" applyNumberFormat="1" applyFont="1" applyFill="1" applyBorder="1" applyAlignment="1" applyProtection="1">
      <alignment horizontal="center" wrapText="1"/>
      <protection locked="0"/>
    </xf>
    <xf numFmtId="0" fontId="9" fillId="0" borderId="1" xfId="0" applyFont="1" applyFill="1" applyBorder="1" applyAlignment="1" applyProtection="1">
      <alignment horizontal="left" vertical="center" wrapText="1"/>
      <protection locked="0"/>
    </xf>
    <xf numFmtId="0" fontId="44" fillId="0" borderId="17" xfId="0" applyFont="1" applyFill="1" applyBorder="1" applyAlignment="1" applyProtection="1">
      <alignment wrapText="1"/>
      <protection locked="0"/>
    </xf>
    <xf numFmtId="0" fontId="44" fillId="0" borderId="1" xfId="0" applyFont="1" applyFill="1" applyBorder="1" applyAlignment="1">
      <alignment wrapText="1"/>
    </xf>
    <xf numFmtId="0" fontId="44" fillId="0" borderId="25" xfId="0" applyFont="1" applyFill="1" applyBorder="1" applyAlignment="1">
      <alignment wrapText="1"/>
    </xf>
    <xf numFmtId="0" fontId="44" fillId="0" borderId="22" xfId="0" applyFont="1" applyFill="1" applyBorder="1" applyAlignment="1">
      <alignment wrapText="1"/>
    </xf>
    <xf numFmtId="0" fontId="44" fillId="0" borderId="16" xfId="0" applyFont="1" applyFill="1" applyBorder="1" applyAlignment="1">
      <alignment wrapText="1"/>
    </xf>
    <xf numFmtId="0" fontId="35" fillId="0" borderId="0" xfId="0" applyFont="1" applyFill="1" applyAlignment="1" applyProtection="1">
      <alignment wrapText="1"/>
      <protection locked="0"/>
    </xf>
    <xf numFmtId="0" fontId="9" fillId="0" borderId="1" xfId="0" applyFont="1" applyFill="1" applyBorder="1" applyAlignment="1" applyProtection="1">
      <alignment vertical="center"/>
      <protection locked="0"/>
    </xf>
    <xf numFmtId="0" fontId="8" fillId="0" borderId="1" xfId="6" applyFont="1" applyFill="1" applyBorder="1" applyAlignment="1" applyProtection="1">
      <alignment horizontal="left" vertical="center" wrapText="1"/>
      <protection locked="0"/>
    </xf>
    <xf numFmtId="0" fontId="35" fillId="0" borderId="0" xfId="0" applyFont="1" applyFill="1" applyAlignment="1" applyProtection="1">
      <alignment vertical="center" wrapText="1"/>
      <protection locked="0"/>
    </xf>
    <xf numFmtId="0" fontId="8" fillId="0" borderId="5" xfId="0" applyFont="1" applyFill="1" applyBorder="1" applyProtection="1">
      <protection locked="0"/>
    </xf>
    <xf numFmtId="0" fontId="44" fillId="0" borderId="15" xfId="0" applyFont="1" applyFill="1" applyBorder="1" applyAlignment="1" applyProtection="1">
      <alignment wrapText="1"/>
      <protection locked="0"/>
    </xf>
    <xf numFmtId="0" fontId="8" fillId="0" borderId="1" xfId="0" applyFont="1" applyFill="1" applyBorder="1" applyAlignment="1" applyProtection="1">
      <alignment horizontal="left" wrapText="1"/>
      <protection locked="0"/>
    </xf>
    <xf numFmtId="0" fontId="9" fillId="0" borderId="1" xfId="0" applyFont="1" applyFill="1" applyBorder="1" applyAlignment="1" applyProtection="1">
      <alignment horizontal="left" vertical="top" wrapText="1"/>
      <protection locked="0"/>
    </xf>
    <xf numFmtId="0" fontId="35" fillId="0" borderId="0" xfId="0" applyFont="1" applyFill="1" applyAlignment="1" applyProtection="1">
      <alignment horizontal="center" wrapText="1"/>
      <protection locked="0"/>
    </xf>
    <xf numFmtId="0" fontId="35" fillId="0" borderId="1" xfId="0" applyFont="1" applyFill="1" applyBorder="1" applyAlignment="1" applyProtection="1">
      <alignment vertical="center" wrapText="1"/>
      <protection locked="0"/>
    </xf>
    <xf numFmtId="0" fontId="9" fillId="0" borderId="24" xfId="0" applyFont="1" applyFill="1" applyBorder="1" applyProtection="1">
      <protection locked="0"/>
    </xf>
    <xf numFmtId="0" fontId="9" fillId="0" borderId="24" xfId="0" applyFont="1" applyFill="1" applyBorder="1" applyAlignment="1" applyProtection="1">
      <alignment horizontal="center"/>
      <protection locked="0"/>
    </xf>
    <xf numFmtId="0" fontId="9" fillId="0" borderId="24" xfId="0" applyFont="1" applyFill="1" applyBorder="1" applyAlignment="1" applyProtection="1">
      <alignment wrapText="1"/>
      <protection locked="0"/>
    </xf>
    <xf numFmtId="171" fontId="8" fillId="0" borderId="1" xfId="5" applyFont="1" applyFill="1" applyBorder="1" applyAlignment="1" applyProtection="1">
      <alignment horizontal="left" vertical="center" wrapText="1"/>
      <protection locked="0"/>
    </xf>
    <xf numFmtId="172" fontId="8" fillId="0" borderId="1" xfId="0" applyNumberFormat="1" applyFont="1" applyFill="1" applyBorder="1" applyAlignment="1" applyProtection="1">
      <alignment horizontal="left" vertical="center"/>
      <protection locked="0"/>
    </xf>
    <xf numFmtId="0" fontId="35" fillId="0" borderId="1" xfId="0" applyFont="1" applyFill="1" applyBorder="1" applyAlignment="1">
      <alignment wrapText="1"/>
    </xf>
    <xf numFmtId="0" fontId="9"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vertical="center"/>
      <protection locked="0"/>
    </xf>
    <xf numFmtId="0" fontId="9" fillId="0" borderId="17" xfId="0" applyFont="1" applyFill="1" applyBorder="1" applyAlignment="1" applyProtection="1">
      <alignment wrapText="1"/>
      <protection locked="0"/>
    </xf>
    <xf numFmtId="0" fontId="35" fillId="0" borderId="5" xfId="0" applyFont="1" applyFill="1" applyBorder="1" applyProtection="1">
      <protection locked="0"/>
    </xf>
    <xf numFmtId="0" fontId="35" fillId="0" borderId="2" xfId="0" applyFont="1" applyFill="1" applyBorder="1" applyProtection="1">
      <protection locked="0"/>
    </xf>
    <xf numFmtId="0" fontId="35" fillId="0" borderId="18" xfId="0" applyFont="1" applyFill="1" applyBorder="1" applyAlignment="1" applyProtection="1">
      <alignment wrapText="1"/>
      <protection locked="0"/>
    </xf>
    <xf numFmtId="0" fontId="43" fillId="0" borderId="1" xfId="0" applyFont="1" applyFill="1" applyBorder="1" applyAlignment="1" applyProtection="1">
      <alignment horizontal="left" vertical="top" wrapText="1"/>
      <protection locked="0"/>
    </xf>
    <xf numFmtId="0" fontId="8" fillId="0" borderId="1" xfId="6" applyFont="1" applyFill="1" applyBorder="1" applyAlignment="1" applyProtection="1">
      <alignment horizontal="left" vertical="center"/>
      <protection locked="0"/>
    </xf>
    <xf numFmtId="0" fontId="14" fillId="0" borderId="1" xfId="0" applyFont="1" applyFill="1" applyBorder="1" applyAlignment="1" applyProtection="1">
      <alignment wrapText="1"/>
      <protection locked="0"/>
    </xf>
    <xf numFmtId="0" fontId="45" fillId="0" borderId="1" xfId="0" applyFont="1" applyFill="1" applyBorder="1" applyAlignment="1" applyProtection="1">
      <alignment wrapText="1"/>
      <protection locked="0"/>
    </xf>
    <xf numFmtId="0" fontId="8" fillId="0" borderId="1" xfId="0" applyFont="1" applyFill="1" applyBorder="1" applyAlignment="1" applyProtection="1">
      <alignment horizontal="center" wrapText="1"/>
      <protection locked="0"/>
    </xf>
    <xf numFmtId="0" fontId="43" fillId="0" borderId="1" xfId="0" applyFont="1" applyFill="1" applyBorder="1" applyAlignment="1" applyProtection="1">
      <alignment vertical="top" wrapText="1"/>
      <protection locked="0"/>
    </xf>
    <xf numFmtId="0" fontId="10" fillId="17" borderId="5" xfId="4" applyFont="1" applyFill="1" applyBorder="1" applyAlignment="1" applyProtection="1">
      <alignment horizontal="center" vertical="center" wrapText="1"/>
      <protection locked="0"/>
    </xf>
    <xf numFmtId="0" fontId="10" fillId="19" borderId="5" xfId="4" applyFont="1" applyFill="1" applyBorder="1" applyAlignment="1" applyProtection="1">
      <alignment horizontal="center" vertical="center" wrapText="1"/>
      <protection locked="0"/>
    </xf>
    <xf numFmtId="0" fontId="10" fillId="18" borderId="26" xfId="4" applyFont="1" applyFill="1" applyBorder="1" applyAlignment="1" applyProtection="1">
      <alignment horizontal="center" vertical="center" wrapText="1"/>
      <protection locked="0"/>
    </xf>
    <xf numFmtId="0" fontId="10" fillId="18" borderId="18" xfId="4" applyFont="1" applyFill="1" applyBorder="1" applyAlignment="1" applyProtection="1">
      <alignment horizontal="center" vertical="center" wrapText="1"/>
      <protection locked="0"/>
    </xf>
    <xf numFmtId="0" fontId="35" fillId="0" borderId="1" xfId="0" applyFont="1" applyFill="1" applyBorder="1" applyAlignment="1" applyProtection="1">
      <alignment horizontal="center" wrapText="1"/>
      <protection locked="0"/>
    </xf>
    <xf numFmtId="0" fontId="9" fillId="0" borderId="1" xfId="0" applyFont="1" applyFill="1" applyBorder="1" applyAlignment="1" applyProtection="1">
      <alignment horizontal="center" wrapText="1"/>
      <protection locked="0"/>
    </xf>
    <xf numFmtId="175" fontId="8" fillId="0" borderId="1" xfId="1" applyNumberFormat="1" applyFont="1" applyFill="1" applyBorder="1" applyProtection="1">
      <protection locked="0"/>
    </xf>
    <xf numFmtId="167" fontId="8" fillId="0" borderId="1" xfId="1" applyFont="1" applyFill="1" applyBorder="1" applyProtection="1">
      <protection locked="0"/>
    </xf>
    <xf numFmtId="175" fontId="35" fillId="0" borderId="1" xfId="1" applyNumberFormat="1" applyFont="1" applyFill="1" applyBorder="1" applyAlignment="1">
      <alignment horizontal="center" vertical="center"/>
    </xf>
    <xf numFmtId="0" fontId="8" fillId="0" borderId="1" xfId="0" applyFont="1" applyFill="1" applyBorder="1" applyAlignment="1" applyProtection="1">
      <alignment horizontal="left"/>
      <protection locked="0"/>
    </xf>
    <xf numFmtId="0" fontId="38" fillId="0" borderId="1" xfId="0" applyFont="1" applyFill="1" applyBorder="1" applyAlignment="1" applyProtection="1">
      <alignment wrapText="1"/>
      <protection locked="0"/>
    </xf>
    <xf numFmtId="0" fontId="41" fillId="0" borderId="1" xfId="0" applyFont="1" applyFill="1" applyBorder="1" applyAlignment="1">
      <alignment vertical="center" wrapText="1"/>
    </xf>
    <xf numFmtId="0" fontId="39" fillId="0" borderId="1" xfId="0" applyFont="1" applyFill="1" applyBorder="1" applyAlignment="1" applyProtection="1">
      <alignment wrapText="1"/>
      <protection locked="0"/>
    </xf>
    <xf numFmtId="0" fontId="10" fillId="32" borderId="1" xfId="0" applyFont="1" applyFill="1" applyBorder="1" applyAlignment="1" applyProtection="1">
      <alignment vertical="center" wrapText="1"/>
      <protection locked="0"/>
    </xf>
    <xf numFmtId="0" fontId="35" fillId="3" borderId="1" xfId="0" applyFont="1" applyFill="1" applyBorder="1" applyAlignment="1">
      <alignment horizontal="center" vertical="center"/>
    </xf>
    <xf numFmtId="0" fontId="11" fillId="7" borderId="2" xfId="0" applyFont="1" applyFill="1" applyBorder="1" applyAlignment="1" applyProtection="1">
      <alignment horizontal="center" vertical="center"/>
      <protection locked="0"/>
    </xf>
    <xf numFmtId="0" fontId="11" fillId="7" borderId="1" xfId="0" applyFont="1" applyFill="1" applyBorder="1" applyAlignment="1" applyProtection="1">
      <alignment horizontal="center" vertical="center"/>
      <protection locked="0"/>
    </xf>
    <xf numFmtId="165" fontId="10" fillId="8" borderId="1" xfId="2" applyFont="1" applyFill="1" applyBorder="1" applyAlignment="1" applyProtection="1">
      <alignment horizontal="center" vertical="center" wrapText="1"/>
    </xf>
    <xf numFmtId="1" fontId="10" fillId="13" borderId="4" xfId="4" applyNumberFormat="1" applyFont="1" applyFill="1" applyBorder="1" applyAlignment="1">
      <alignment horizontal="center" vertical="center" wrapText="1"/>
    </xf>
    <xf numFmtId="1" fontId="10" fillId="13" borderId="0" xfId="4" applyNumberFormat="1" applyFont="1" applyFill="1" applyAlignment="1">
      <alignment horizontal="center" vertical="center" wrapText="1"/>
    </xf>
    <xf numFmtId="1" fontId="10" fillId="14" borderId="4" xfId="4" applyNumberFormat="1" applyFont="1" applyFill="1" applyBorder="1" applyAlignment="1">
      <alignment horizontal="center" vertical="center" wrapText="1"/>
    </xf>
    <xf numFmtId="1" fontId="10" fillId="14" borderId="0" xfId="4" applyNumberFormat="1" applyFont="1" applyFill="1" applyAlignment="1">
      <alignment horizontal="center" vertical="center" wrapText="1"/>
    </xf>
    <xf numFmtId="1" fontId="10" fillId="17" borderId="6" xfId="4" applyNumberFormat="1" applyFont="1" applyFill="1" applyBorder="1" applyAlignment="1">
      <alignment horizontal="center" vertical="center" wrapText="1"/>
    </xf>
    <xf numFmtId="1" fontId="10" fillId="17" borderId="3" xfId="4" applyNumberFormat="1" applyFont="1" applyFill="1" applyBorder="1" applyAlignment="1">
      <alignment horizontal="center" vertical="center" wrapText="1"/>
    </xf>
    <xf numFmtId="1" fontId="10" fillId="17" borderId="7" xfId="4" applyNumberFormat="1" applyFont="1" applyFill="1" applyBorder="1" applyAlignment="1">
      <alignment horizontal="center" vertical="center" wrapText="1"/>
    </xf>
    <xf numFmtId="1" fontId="10" fillId="25" borderId="4" xfId="4" applyNumberFormat="1" applyFont="1" applyFill="1" applyBorder="1" applyAlignment="1">
      <alignment horizontal="center" vertical="center" wrapText="1"/>
    </xf>
    <xf numFmtId="1" fontId="10" fillId="25" borderId="0" xfId="4" applyNumberFormat="1" applyFont="1" applyFill="1" applyAlignment="1">
      <alignment horizontal="center" vertical="center" wrapText="1"/>
    </xf>
    <xf numFmtId="1" fontId="10" fillId="25" borderId="0" xfId="4" applyNumberFormat="1" applyFont="1" applyFill="1" applyAlignment="1">
      <alignment vertical="center" wrapText="1"/>
    </xf>
    <xf numFmtId="1" fontId="10" fillId="12" borderId="4" xfId="4" applyNumberFormat="1" applyFont="1" applyFill="1" applyBorder="1" applyAlignment="1">
      <alignment horizontal="center" vertical="center" wrapText="1"/>
    </xf>
    <xf numFmtId="1" fontId="10" fillId="12" borderId="0" xfId="4" applyNumberFormat="1" applyFont="1" applyFill="1" applyAlignment="1">
      <alignment horizontal="center" vertical="center" wrapText="1"/>
    </xf>
    <xf numFmtId="1" fontId="10" fillId="11" borderId="4" xfId="4" applyNumberFormat="1" applyFont="1" applyFill="1" applyBorder="1" applyAlignment="1">
      <alignment horizontal="center" vertical="center" wrapText="1"/>
    </xf>
    <xf numFmtId="1" fontId="10" fillId="11" borderId="0" xfId="4" applyNumberFormat="1" applyFont="1" applyFill="1" applyAlignment="1">
      <alignment horizontal="center" vertical="center" wrapText="1"/>
    </xf>
    <xf numFmtId="1" fontId="10" fillId="23" borderId="6" xfId="4" applyNumberFormat="1" applyFont="1" applyFill="1" applyBorder="1" applyAlignment="1">
      <alignment horizontal="center" vertical="center" wrapText="1"/>
    </xf>
    <xf numFmtId="1" fontId="10" fillId="23" borderId="3" xfId="4" applyNumberFormat="1" applyFont="1" applyFill="1" applyBorder="1" applyAlignment="1">
      <alignment horizontal="center" vertical="center" wrapText="1"/>
    </xf>
    <xf numFmtId="1" fontId="10" fillId="23" borderId="7" xfId="4" applyNumberFormat="1" applyFont="1" applyFill="1" applyBorder="1" applyAlignment="1">
      <alignment horizontal="center" vertical="center" wrapText="1"/>
    </xf>
    <xf numFmtId="1" fontId="10" fillId="22" borderId="4" xfId="4" applyNumberFormat="1" applyFont="1" applyFill="1" applyBorder="1" applyAlignment="1">
      <alignment horizontal="center" vertical="center" wrapText="1"/>
    </xf>
    <xf numFmtId="1" fontId="10" fillId="22" borderId="0" xfId="4" applyNumberFormat="1" applyFont="1" applyFill="1" applyAlignment="1">
      <alignment horizontal="center" vertical="center" wrapText="1"/>
    </xf>
    <xf numFmtId="1" fontId="10" fillId="3" borderId="6" xfId="4" applyNumberFormat="1" applyFont="1" applyFill="1" applyBorder="1" applyAlignment="1">
      <alignment horizontal="center" vertical="center" wrapText="1"/>
    </xf>
    <xf numFmtId="1" fontId="10" fillId="3" borderId="3" xfId="4" applyNumberFormat="1" applyFont="1" applyFill="1" applyBorder="1" applyAlignment="1">
      <alignment horizontal="center" vertical="center" wrapText="1"/>
    </xf>
    <xf numFmtId="1" fontId="10" fillId="3" borderId="7" xfId="4" applyNumberFormat="1" applyFont="1" applyFill="1" applyBorder="1" applyAlignment="1">
      <alignment horizontal="center" vertical="center" wrapText="1"/>
    </xf>
    <xf numFmtId="1" fontId="10" fillId="17" borderId="4" xfId="4" applyNumberFormat="1" applyFont="1" applyFill="1" applyBorder="1" applyAlignment="1">
      <alignment horizontal="center" vertical="center" wrapText="1"/>
    </xf>
    <xf numFmtId="1" fontId="10" fillId="17" borderId="0" xfId="4" applyNumberFormat="1" applyFont="1" applyFill="1" applyAlignment="1">
      <alignment horizontal="center" vertical="center" wrapText="1"/>
    </xf>
    <xf numFmtId="1" fontId="10" fillId="20" borderId="4" xfId="4" applyNumberFormat="1" applyFont="1" applyFill="1" applyBorder="1" applyAlignment="1">
      <alignment horizontal="center" vertical="center" wrapText="1"/>
    </xf>
    <xf numFmtId="1" fontId="10" fillId="20" borderId="0" xfId="4" applyNumberFormat="1" applyFont="1" applyFill="1" applyAlignment="1">
      <alignment horizontal="center" vertical="center" wrapText="1"/>
    </xf>
    <xf numFmtId="175" fontId="10" fillId="12" borderId="4" xfId="1" applyNumberFormat="1" applyFont="1" applyFill="1" applyBorder="1" applyAlignment="1" applyProtection="1">
      <alignment horizontal="center" vertical="center" wrapText="1"/>
    </xf>
    <xf numFmtId="175" fontId="10" fillId="12" borderId="0" xfId="1" applyNumberFormat="1" applyFont="1" applyFill="1" applyBorder="1" applyAlignment="1" applyProtection="1">
      <alignment horizontal="center" vertical="center" wrapText="1"/>
    </xf>
    <xf numFmtId="0" fontId="10" fillId="0" borderId="1" xfId="4" applyFont="1" applyBorder="1" applyAlignment="1">
      <alignment horizontal="center" vertical="center" wrapText="1"/>
    </xf>
    <xf numFmtId="0" fontId="10" fillId="0" borderId="1" xfId="4" applyFont="1" applyBorder="1" applyAlignment="1">
      <alignment horizontal="left" vertical="center" wrapText="1"/>
    </xf>
    <xf numFmtId="0" fontId="10" fillId="0" borderId="1" xfId="4" applyFont="1" applyBorder="1" applyAlignment="1">
      <alignment vertical="center" wrapText="1"/>
    </xf>
    <xf numFmtId="0" fontId="11" fillId="27" borderId="9" xfId="0" applyFont="1" applyFill="1" applyBorder="1" applyAlignment="1">
      <alignment horizontal="center"/>
    </xf>
    <xf numFmtId="0" fontId="11" fillId="27" borderId="13" xfId="0" applyFont="1" applyFill="1" applyBorder="1" applyAlignment="1">
      <alignment horizontal="center"/>
    </xf>
    <xf numFmtId="0" fontId="11" fillId="27" borderId="1" xfId="0" applyFont="1" applyFill="1" applyBorder="1" applyAlignment="1">
      <alignment horizontal="center"/>
    </xf>
    <xf numFmtId="175" fontId="11" fillId="27" borderId="1" xfId="1" applyNumberFormat="1" applyFont="1" applyFill="1" applyBorder="1" applyAlignment="1">
      <alignment horizontal="center"/>
    </xf>
    <xf numFmtId="1" fontId="10" fillId="24" borderId="4" xfId="4" applyNumberFormat="1" applyFont="1" applyFill="1" applyBorder="1" applyAlignment="1">
      <alignment horizontal="center" vertical="center" wrapText="1"/>
    </xf>
    <xf numFmtId="1" fontId="10" fillId="24" borderId="0" xfId="4" applyNumberFormat="1" applyFont="1" applyFill="1" applyAlignment="1">
      <alignment horizontal="center" vertical="center" wrapText="1"/>
    </xf>
    <xf numFmtId="1" fontId="10" fillId="19" borderId="4" xfId="4" applyNumberFormat="1" applyFont="1" applyFill="1" applyBorder="1" applyAlignment="1">
      <alignment horizontal="center" vertical="center" wrapText="1"/>
    </xf>
    <xf numFmtId="1" fontId="10" fillId="19" borderId="0" xfId="4" applyNumberFormat="1" applyFont="1" applyFill="1" applyAlignment="1">
      <alignment horizontal="center" vertical="center" wrapText="1"/>
    </xf>
    <xf numFmtId="1" fontId="10" fillId="18" borderId="4" xfId="4" applyNumberFormat="1" applyFont="1" applyFill="1" applyBorder="1" applyAlignment="1">
      <alignment horizontal="center" vertical="center" wrapText="1"/>
    </xf>
    <xf numFmtId="1" fontId="10" fillId="18" borderId="0" xfId="4" applyNumberFormat="1" applyFont="1" applyFill="1" applyAlignment="1">
      <alignment horizontal="center" vertical="center" wrapText="1"/>
    </xf>
    <xf numFmtId="1" fontId="10" fillId="3" borderId="4" xfId="4" applyNumberFormat="1" applyFont="1" applyFill="1" applyBorder="1" applyAlignment="1">
      <alignment horizontal="center" vertical="center" wrapText="1"/>
    </xf>
    <xf numFmtId="1" fontId="10" fillId="3" borderId="0" xfId="4" applyNumberFormat="1" applyFont="1" applyFill="1" applyAlignment="1">
      <alignment horizontal="center" vertical="center" wrapText="1"/>
    </xf>
    <xf numFmtId="1" fontId="10" fillId="15" borderId="4" xfId="4" applyNumberFormat="1" applyFont="1" applyFill="1" applyBorder="1" applyAlignment="1">
      <alignment horizontal="center" vertical="center" wrapText="1"/>
    </xf>
    <xf numFmtId="1" fontId="10" fillId="15" borderId="0" xfId="4" applyNumberFormat="1" applyFont="1" applyFill="1" applyAlignment="1">
      <alignment horizontal="center" vertical="center" wrapText="1"/>
    </xf>
    <xf numFmtId="0" fontId="10" fillId="17" borderId="1" xfId="0" applyFont="1" applyFill="1" applyBorder="1" applyAlignment="1" applyProtection="1">
      <alignment horizontal="center" vertical="center" wrapText="1"/>
      <protection locked="0"/>
    </xf>
    <xf numFmtId="0" fontId="10" fillId="19" borderId="1" xfId="0" applyFont="1" applyFill="1" applyBorder="1" applyAlignment="1" applyProtection="1">
      <alignment horizontal="center" vertical="center" wrapText="1"/>
      <protection locked="0"/>
    </xf>
    <xf numFmtId="0" fontId="10" fillId="30" borderId="1" xfId="0" applyFont="1" applyFill="1" applyBorder="1" applyAlignment="1" applyProtection="1">
      <alignment horizontal="center" vertical="center" wrapText="1"/>
      <protection locked="0"/>
    </xf>
    <xf numFmtId="0" fontId="10" fillId="18" borderId="1" xfId="0" applyFont="1" applyFill="1" applyBorder="1" applyAlignment="1" applyProtection="1">
      <alignment horizontal="center" vertical="center" wrapText="1"/>
      <protection locked="0"/>
    </xf>
    <xf numFmtId="0" fontId="10" fillId="12" borderId="1" xfId="0" applyFont="1" applyFill="1" applyBorder="1" applyAlignment="1" applyProtection="1">
      <alignment horizontal="center" vertical="center" wrapText="1"/>
      <protection locked="0"/>
    </xf>
    <xf numFmtId="1" fontId="10" fillId="21" borderId="6" xfId="4" applyNumberFormat="1" applyFont="1" applyFill="1" applyBorder="1" applyAlignment="1">
      <alignment horizontal="center" vertical="center" wrapText="1"/>
    </xf>
    <xf numFmtId="1" fontId="10" fillId="21" borderId="3" xfId="4" applyNumberFormat="1" applyFont="1" applyFill="1" applyBorder="1" applyAlignment="1">
      <alignment horizontal="center" vertical="center" wrapText="1"/>
    </xf>
    <xf numFmtId="1" fontId="10" fillId="21" borderId="7" xfId="4" applyNumberFormat="1" applyFont="1" applyFill="1" applyBorder="1" applyAlignment="1">
      <alignment horizontal="center" vertical="center" wrapText="1"/>
    </xf>
    <xf numFmtId="1" fontId="10" fillId="6" borderId="4" xfId="4" applyNumberFormat="1" applyFont="1" applyFill="1" applyBorder="1" applyAlignment="1">
      <alignment horizontal="center" vertical="center" wrapText="1"/>
    </xf>
    <xf numFmtId="1" fontId="10" fillId="6" borderId="0" xfId="4" applyNumberFormat="1" applyFont="1" applyFill="1" applyAlignment="1">
      <alignment horizontal="center" vertical="center" wrapText="1"/>
    </xf>
    <xf numFmtId="0" fontId="10" fillId="4" borderId="0" xfId="4" applyFont="1" applyFill="1" applyAlignment="1">
      <alignment horizontal="center" vertical="center" wrapText="1"/>
    </xf>
    <xf numFmtId="0" fontId="10" fillId="4" borderId="3" xfId="4" applyFont="1" applyFill="1" applyBorder="1" applyAlignment="1">
      <alignment horizontal="center" vertical="center" wrapText="1"/>
    </xf>
    <xf numFmtId="0" fontId="10" fillId="4" borderId="0" xfId="4" applyFont="1" applyFill="1" applyAlignment="1">
      <alignment horizontal="center" vertical="center"/>
    </xf>
    <xf numFmtId="0" fontId="10" fillId="4" borderId="3" xfId="4" applyFont="1" applyFill="1" applyBorder="1" applyAlignment="1">
      <alignment horizontal="center" vertical="center"/>
    </xf>
    <xf numFmtId="1" fontId="10" fillId="10" borderId="4" xfId="4" applyNumberFormat="1" applyFont="1" applyFill="1" applyBorder="1" applyAlignment="1">
      <alignment horizontal="center" vertical="center" wrapText="1"/>
    </xf>
    <xf numFmtId="1" fontId="10" fillId="10" borderId="0" xfId="4" applyNumberFormat="1" applyFont="1" applyFill="1" applyAlignment="1">
      <alignment horizontal="center" vertical="center" wrapText="1"/>
    </xf>
    <xf numFmtId="1" fontId="10" fillId="5" borderId="4" xfId="4" applyNumberFormat="1" applyFont="1" applyFill="1" applyBorder="1" applyAlignment="1">
      <alignment horizontal="center" vertical="center" wrapText="1"/>
    </xf>
    <xf numFmtId="1" fontId="10" fillId="5" borderId="0" xfId="4" applyNumberFormat="1" applyFont="1" applyFill="1" applyAlignment="1">
      <alignment horizontal="center" vertical="center" wrapText="1"/>
    </xf>
    <xf numFmtId="1" fontId="10" fillId="23" borderId="4" xfId="4" applyNumberFormat="1" applyFont="1" applyFill="1" applyBorder="1" applyAlignment="1">
      <alignment horizontal="center" vertical="center" wrapText="1"/>
    </xf>
    <xf numFmtId="1" fontId="10" fillId="23" borderId="0" xfId="4" applyNumberFormat="1" applyFont="1" applyFill="1" applyAlignment="1">
      <alignment horizontal="center" vertical="center" wrapText="1"/>
    </xf>
    <xf numFmtId="1" fontId="10" fillId="15" borderId="6" xfId="4" applyNumberFormat="1" applyFont="1" applyFill="1" applyBorder="1" applyAlignment="1">
      <alignment horizontal="center" vertical="center" wrapText="1"/>
    </xf>
    <xf numFmtId="1" fontId="10" fillId="15" borderId="3" xfId="4" applyNumberFormat="1" applyFont="1" applyFill="1" applyBorder="1" applyAlignment="1">
      <alignment horizontal="center" vertical="center" wrapText="1"/>
    </xf>
    <xf numFmtId="1" fontId="10" fillId="15" borderId="7" xfId="4" applyNumberFormat="1" applyFont="1" applyFill="1" applyBorder="1" applyAlignment="1">
      <alignment horizontal="center" vertical="center" wrapText="1"/>
    </xf>
    <xf numFmtId="1" fontId="10" fillId="10" borderId="6" xfId="4" applyNumberFormat="1" applyFont="1" applyFill="1" applyBorder="1" applyAlignment="1">
      <alignment horizontal="center" vertical="center" wrapText="1"/>
    </xf>
    <xf numFmtId="1" fontId="10" fillId="10" borderId="3" xfId="4" applyNumberFormat="1" applyFont="1" applyFill="1" applyBorder="1" applyAlignment="1">
      <alignment horizontal="center" vertical="center" wrapText="1"/>
    </xf>
    <xf numFmtId="1" fontId="10" fillId="10" borderId="7" xfId="4" applyNumberFormat="1" applyFont="1" applyFill="1" applyBorder="1" applyAlignment="1">
      <alignment horizontal="center" vertical="center" wrapText="1"/>
    </xf>
    <xf numFmtId="175" fontId="10" fillId="17" borderId="0" xfId="1" applyNumberFormat="1" applyFont="1" applyFill="1" applyBorder="1" applyAlignment="1" applyProtection="1">
      <alignment horizontal="center" vertical="center" wrapText="1"/>
    </xf>
    <xf numFmtId="0" fontId="37" fillId="34" borderId="3" xfId="0" applyFont="1" applyFill="1" applyBorder="1" applyAlignment="1" applyProtection="1">
      <alignment horizontal="center" vertical="center" wrapText="1"/>
      <protection locked="0"/>
    </xf>
    <xf numFmtId="0" fontId="37" fillId="28" borderId="1" xfId="0" applyFont="1" applyFill="1" applyBorder="1" applyAlignment="1" applyProtection="1">
      <alignment horizontal="center" vertical="center" wrapText="1"/>
      <protection locked="0"/>
    </xf>
    <xf numFmtId="0" fontId="37" fillId="29" borderId="17" xfId="0" applyFont="1" applyFill="1" applyBorder="1" applyAlignment="1" applyProtection="1">
      <alignment horizontal="center" vertical="center" wrapText="1"/>
      <protection locked="0"/>
    </xf>
    <xf numFmtId="0" fontId="37" fillId="31" borderId="3" xfId="0" applyFont="1" applyFill="1" applyBorder="1" applyAlignment="1" applyProtection="1">
      <alignment horizontal="center" vertical="center" wrapText="1"/>
      <protection locked="0"/>
    </xf>
    <xf numFmtId="0" fontId="37" fillId="28" borderId="3" xfId="0" applyFont="1" applyFill="1" applyBorder="1" applyAlignment="1" applyProtection="1">
      <alignment horizontal="center" vertical="center" wrapText="1"/>
      <protection locked="0"/>
    </xf>
    <xf numFmtId="0" fontId="37" fillId="31" borderId="21" xfId="0" applyFont="1" applyFill="1" applyBorder="1" applyAlignment="1" applyProtection="1">
      <alignment horizontal="center" vertical="center" wrapText="1"/>
      <protection locked="0"/>
    </xf>
    <xf numFmtId="0" fontId="5" fillId="9" borderId="1" xfId="0" applyFont="1" applyFill="1" applyBorder="1" applyAlignment="1">
      <alignment horizontal="center"/>
    </xf>
    <xf numFmtId="0" fontId="30" fillId="0" borderId="0" xfId="0" applyFont="1" applyAlignment="1">
      <alignment horizontal="center" vertical="center" wrapText="1"/>
    </xf>
  </cellXfs>
  <cellStyles count="74">
    <cellStyle name="Comma 2" xfId="14" xr:uid="{00000000-0005-0000-0000-000000000000}"/>
    <cellStyle name="Comma 2 2" xfId="15" xr:uid="{00000000-0005-0000-0000-000001000000}"/>
    <cellStyle name="Comma 3" xfId="16" xr:uid="{00000000-0005-0000-0000-000002000000}"/>
    <cellStyle name="Comma 3 2" xfId="17" xr:uid="{00000000-0005-0000-0000-000003000000}"/>
    <cellStyle name="Comma 4" xfId="18" xr:uid="{00000000-0005-0000-0000-000004000000}"/>
    <cellStyle name="Comma 4 2" xfId="19" xr:uid="{00000000-0005-0000-0000-000005000000}"/>
    <cellStyle name="Comma 5" xfId="20" xr:uid="{00000000-0005-0000-0000-000006000000}"/>
    <cellStyle name="Comma 5 2" xfId="21" xr:uid="{00000000-0005-0000-0000-000007000000}"/>
    <cellStyle name="Comma 6" xfId="22" xr:uid="{00000000-0005-0000-0000-000008000000}"/>
    <cellStyle name="Currency 2" xfId="23" xr:uid="{00000000-0005-0000-0000-000009000000}"/>
    <cellStyle name="Excel Built-in Normal" xfId="5" xr:uid="{00000000-0005-0000-0000-00000A000000}"/>
    <cellStyle name="Hipervínculo 2" xfId="25" xr:uid="{00000000-0005-0000-0000-00000B000000}"/>
    <cellStyle name="Hipervínculo 3" xfId="26" xr:uid="{00000000-0005-0000-0000-00000C000000}"/>
    <cellStyle name="Hipervínculo 4" xfId="27" xr:uid="{00000000-0005-0000-0000-00000D000000}"/>
    <cellStyle name="Hipervínculo 5" xfId="24" xr:uid="{00000000-0005-0000-0000-00000E000000}"/>
    <cellStyle name="Hyperlink 2" xfId="28" xr:uid="{00000000-0005-0000-0000-00000F000000}"/>
    <cellStyle name="MDSNormal" xfId="29" xr:uid="{00000000-0005-0000-0000-000010000000}"/>
    <cellStyle name="Millares" xfId="1" builtinId="3"/>
    <cellStyle name="Millares [0]" xfId="2" builtinId="6"/>
    <cellStyle name="Millares [0] 2" xfId="9" xr:uid="{00000000-0005-0000-0000-000013000000}"/>
    <cellStyle name="Millares [0] 2 2" xfId="55" xr:uid="{00000000-0005-0000-0000-000014000000}"/>
    <cellStyle name="Millares [0] 2 3" xfId="63" xr:uid="{00000000-0005-0000-0000-000015000000}"/>
    <cellStyle name="Millares [0] 4" xfId="11" xr:uid="{00000000-0005-0000-0000-000016000000}"/>
    <cellStyle name="Millares [0] 4 2" xfId="13" xr:uid="{00000000-0005-0000-0000-000017000000}"/>
    <cellStyle name="Millares [0] 4 3" xfId="57" xr:uid="{00000000-0005-0000-0000-000018000000}"/>
    <cellStyle name="Millares [0] 4 4" xfId="65" xr:uid="{00000000-0005-0000-0000-000019000000}"/>
    <cellStyle name="Millares 2" xfId="30" xr:uid="{00000000-0005-0000-0000-00001A000000}"/>
    <cellStyle name="Millares 2 2" xfId="31" xr:uid="{00000000-0005-0000-0000-00001B000000}"/>
    <cellStyle name="Moneda [0]" xfId="3" builtinId="7"/>
    <cellStyle name="Moneda [0] 2" xfId="10" xr:uid="{00000000-0005-0000-0000-00001D000000}"/>
    <cellStyle name="Moneda [0] 2 2" xfId="56" xr:uid="{00000000-0005-0000-0000-00001E000000}"/>
    <cellStyle name="Moneda [0] 2 3" xfId="64" xr:uid="{00000000-0005-0000-0000-00001F000000}"/>
    <cellStyle name="Moneda 10" xfId="70" xr:uid="{00000000-0005-0000-0000-000020000000}"/>
    <cellStyle name="Moneda 11" xfId="71" xr:uid="{00000000-0005-0000-0000-000021000000}"/>
    <cellStyle name="Moneda 12" xfId="72" xr:uid="{00000000-0005-0000-0000-000022000000}"/>
    <cellStyle name="Moneda 13" xfId="73" xr:uid="{00000000-0005-0000-0000-000023000000}"/>
    <cellStyle name="Moneda 14" xfId="62" xr:uid="{00000000-0005-0000-0000-000024000000}"/>
    <cellStyle name="Moneda 15" xfId="60" xr:uid="{00000000-0005-0000-0000-000025000000}"/>
    <cellStyle name="Moneda 2" xfId="32" xr:uid="{00000000-0005-0000-0000-000026000000}"/>
    <cellStyle name="Moneda 2 2" xfId="33" xr:uid="{00000000-0005-0000-0000-000027000000}"/>
    <cellStyle name="Moneda 3" xfId="59" xr:uid="{00000000-0005-0000-0000-000028000000}"/>
    <cellStyle name="Moneda 4" xfId="61" xr:uid="{00000000-0005-0000-0000-000029000000}"/>
    <cellStyle name="Moneda 5" xfId="58" xr:uid="{00000000-0005-0000-0000-00002A000000}"/>
    <cellStyle name="Moneda 6" xfId="66" xr:uid="{00000000-0005-0000-0000-00002B000000}"/>
    <cellStyle name="Moneda 7" xfId="67" xr:uid="{00000000-0005-0000-0000-00002C000000}"/>
    <cellStyle name="Moneda 8" xfId="68" xr:uid="{00000000-0005-0000-0000-00002D000000}"/>
    <cellStyle name="Moneda 9" xfId="69" xr:uid="{00000000-0005-0000-0000-00002E000000}"/>
    <cellStyle name="Normal" xfId="0" builtinId="0"/>
    <cellStyle name="Normal 2" xfId="8" xr:uid="{00000000-0005-0000-0000-000030000000}"/>
    <cellStyle name="Normal 2 11" xfId="34" xr:uid="{00000000-0005-0000-0000-000031000000}"/>
    <cellStyle name="Normal 2 2" xfId="35" xr:uid="{00000000-0005-0000-0000-000032000000}"/>
    <cellStyle name="Normal 2 2 2" xfId="36" xr:uid="{00000000-0005-0000-0000-000033000000}"/>
    <cellStyle name="Normal 2 2 3" xfId="37" xr:uid="{00000000-0005-0000-0000-000034000000}"/>
    <cellStyle name="Normal 2 3" xfId="38" xr:uid="{00000000-0005-0000-0000-000035000000}"/>
    <cellStyle name="Normal 2 4" xfId="39" xr:uid="{00000000-0005-0000-0000-000036000000}"/>
    <cellStyle name="Normal 2 5" xfId="40" xr:uid="{00000000-0005-0000-0000-000037000000}"/>
    <cellStyle name="Normal 2 6" xfId="41" xr:uid="{00000000-0005-0000-0000-000038000000}"/>
    <cellStyle name="Normal 3" xfId="4" xr:uid="{00000000-0005-0000-0000-000039000000}"/>
    <cellStyle name="Normal 3 2" xfId="43" xr:uid="{00000000-0005-0000-0000-00003A000000}"/>
    <cellStyle name="Normal 3 3" xfId="7" xr:uid="{00000000-0005-0000-0000-00003B000000}"/>
    <cellStyle name="Normal 3 4" xfId="42" xr:uid="{00000000-0005-0000-0000-00003C000000}"/>
    <cellStyle name="Normal 4" xfId="6" xr:uid="{00000000-0005-0000-0000-00003D000000}"/>
    <cellStyle name="Normal 4 2" xfId="44" xr:uid="{00000000-0005-0000-0000-00003E000000}"/>
    <cellStyle name="Normal 5" xfId="45" xr:uid="{00000000-0005-0000-0000-00003F000000}"/>
    <cellStyle name="Normal 5 2" xfId="46" xr:uid="{00000000-0005-0000-0000-000040000000}"/>
    <cellStyle name="Normal 6" xfId="47" xr:uid="{00000000-0005-0000-0000-000041000000}"/>
    <cellStyle name="Normal 7" xfId="48" xr:uid="{00000000-0005-0000-0000-000042000000}"/>
    <cellStyle name="Percent 2" xfId="49" xr:uid="{00000000-0005-0000-0000-000043000000}"/>
    <cellStyle name="Porcentaje" xfId="12" builtinId="5"/>
    <cellStyle name="Porcentaje 2" xfId="51" xr:uid="{00000000-0005-0000-0000-000045000000}"/>
    <cellStyle name="Porcentaje 3" xfId="52" xr:uid="{00000000-0005-0000-0000-000046000000}"/>
    <cellStyle name="Porcentaje 4" xfId="50" xr:uid="{00000000-0005-0000-0000-000047000000}"/>
    <cellStyle name="SAPBEXstdItem" xfId="53" xr:uid="{00000000-0005-0000-0000-000048000000}"/>
    <cellStyle name="Style 1" xfId="54" xr:uid="{00000000-0005-0000-0000-000049000000}"/>
  </cellStyles>
  <dxfs count="113">
    <dxf>
      <font>
        <color rgb="FF9C0006"/>
      </font>
      <fill>
        <patternFill>
          <bgColor rgb="FFFFC7CE"/>
        </patternFill>
      </fill>
    </dxf>
    <dxf>
      <font>
        <color rgb="FF9C0006"/>
      </font>
      <fill>
        <patternFill>
          <bgColor rgb="FFFFC7CE"/>
        </patternFill>
      </fill>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numFmt numFmtId="1" formatCode="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10A11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Manuel Alfredo Rodelo Urrego" id="{76DC49EA-E72B-4D90-B697-1B14D0742D0E}" userId="S::manuel.rodelo@ica.gov.co::0a9a133c-4c15-4e3c-88dc-b725a5646d46"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60" dT="2021-03-18T04:06:09.95" personId="{76DC49EA-E72B-4D90-B697-1B14D0742D0E}" id="{C3AD06A5-8B85-49C0-A5EC-2D7D083912EC}">
    <text xml:space="preserve">Este ítem requiere ser contestado por el Coordinador de la Red LDV en cuanto a la adición de la marca OXOID y la concentración del antibiótico. </text>
  </threadedComment>
</ThreadedComments>
</file>

<file path=xl/threadedComments/threadedComment2.xml><?xml version="1.0" encoding="utf-8"?>
<ThreadedComments xmlns="http://schemas.microsoft.com/office/spreadsheetml/2018/threadedcomments" xmlns:x="http://schemas.openxmlformats.org/spreadsheetml/2006/main">
  <threadedComment ref="B130" dT="2021-03-18T01:57:45.21" personId="{76DC49EA-E72B-4D90-B697-1B14D0742D0E}" id="{DD532F58-0116-45E0-910D-9CC39B16B23D}">
    <text xml:space="preserve">Para dar respuesta al requerimiento del oferente, el Coordinador del LNDV anexará la foto del cepillo requerido.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oxoid.com/UK/blue/prod_detail/prod_detail.asp?pr=CT1653&amp;cat=&amp;sec=2&amp;c=UK&amp;lang=EN" TargetMode="External"/><Relationship Id="rId1" Type="http://schemas.openxmlformats.org/officeDocument/2006/relationships/hyperlink" Target="http://www.oxoid.com/UK/blue/prod_detail/prod_detail.asp?pr=CT0060&amp;cat=&amp;sec=2&amp;c=UK&amp;lang=EN" TargetMode="External"/><Relationship Id="rId6" Type="http://schemas.microsoft.com/office/2017/10/relationships/threadedComment" Target="../threadedComments/threadedComment1.xm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microsoft.com/office/2017/10/relationships/threadedComment" Target="../threadedComments/threadedComment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FJ502"/>
  <sheetViews>
    <sheetView zoomScale="130" zoomScaleNormal="130" workbookViewId="0">
      <pane xSplit="5" ySplit="2" topLeftCell="EN492" activePane="bottomRight" state="frozen"/>
      <selection pane="topRight" activeCell="F1" sqref="F1"/>
      <selection pane="bottomLeft" activeCell="A3" sqref="A3"/>
      <selection pane="bottomRight" activeCell="FJ502" sqref="FJ502"/>
    </sheetView>
  </sheetViews>
  <sheetFormatPr baseColWidth="10" defaultColWidth="11.42578125" defaultRowHeight="12.75" x14ac:dyDescent="0.25"/>
  <cols>
    <col min="1" max="1" width="3.85546875" style="27" bestFit="1" customWidth="1"/>
    <col min="2" max="2" width="25.7109375" style="60" customWidth="1"/>
    <col min="3" max="3" width="11.42578125" style="27"/>
    <col min="4" max="4" width="13.7109375" style="27" customWidth="1"/>
    <col min="5" max="5" width="11.5703125" style="27" bestFit="1" customWidth="1"/>
    <col min="6" max="11" width="11.5703125" style="27" customWidth="1"/>
    <col min="12" max="12" width="11.5703125" style="62" customWidth="1"/>
    <col min="13" max="13" width="13.140625" style="62" customWidth="1"/>
    <col min="14" max="14" width="10.140625" style="107" customWidth="1"/>
    <col min="15" max="15" width="11.140625" style="107" customWidth="1"/>
    <col min="16" max="16" width="15.85546875" style="107" customWidth="1"/>
    <col min="17" max="17" width="13.7109375" style="99" customWidth="1"/>
    <col min="18" max="18" width="12.5703125" style="99" bestFit="1" customWidth="1"/>
    <col min="19" max="19" width="18.7109375" style="112" customWidth="1"/>
    <col min="20" max="20" width="10.5703125" style="107" customWidth="1"/>
    <col min="21" max="21" width="10.42578125" style="107" bestFit="1" customWidth="1"/>
    <col min="22" max="22" width="13.28515625" style="107" customWidth="1"/>
    <col min="23" max="23" width="10.28515625" style="27" customWidth="1"/>
    <col min="24" max="24" width="12.7109375" style="27" customWidth="1"/>
    <col min="25" max="25" width="16.28515625" style="27" customWidth="1"/>
    <col min="26" max="26" width="12.42578125" style="107" customWidth="1"/>
    <col min="27" max="27" width="10.42578125" style="107" bestFit="1" customWidth="1"/>
    <col min="28" max="28" width="12.42578125" style="107" customWidth="1"/>
    <col min="29" max="29" width="12.7109375" style="99" customWidth="1"/>
    <col min="30" max="30" width="6.42578125" style="99" customWidth="1"/>
    <col min="31" max="31" width="16.5703125" style="27" bestFit="1" customWidth="1"/>
    <col min="32" max="32" width="11.7109375" style="107" customWidth="1"/>
    <col min="33" max="33" width="11.5703125" style="107" customWidth="1"/>
    <col min="34" max="34" width="12.7109375" style="107" bestFit="1" customWidth="1"/>
    <col min="35" max="35" width="14" style="27" customWidth="1"/>
    <col min="36" max="36" width="9.42578125" style="27" customWidth="1"/>
    <col min="37" max="37" width="14.42578125" style="27" customWidth="1"/>
    <col min="38" max="38" width="17.42578125" style="107" bestFit="1" customWidth="1"/>
    <col min="39" max="39" width="12.28515625" style="107" customWidth="1"/>
    <col min="40" max="40" width="14.42578125" style="107" customWidth="1"/>
    <col min="41" max="41" width="14" style="27" customWidth="1"/>
    <col min="42" max="42" width="10.42578125" style="27" customWidth="1"/>
    <col min="43" max="43" width="13.85546875" style="27" bestFit="1" customWidth="1"/>
    <col min="44" max="44" width="12.7109375" style="62" customWidth="1"/>
    <col min="45" max="45" width="12.28515625" style="62" customWidth="1"/>
    <col min="46" max="46" width="10.85546875" style="62" customWidth="1"/>
    <col min="47" max="48" width="11.140625" style="60" customWidth="1"/>
    <col min="49" max="49" width="19.5703125" style="27" bestFit="1" customWidth="1"/>
    <col min="50" max="50" width="12.28515625" style="62" customWidth="1"/>
    <col min="51" max="51" width="10.5703125" style="62" customWidth="1"/>
    <col min="52" max="52" width="10" style="62" customWidth="1"/>
    <col min="53" max="53" width="8.5703125" style="27" customWidth="1"/>
    <col min="54" max="54" width="12.28515625" style="27" customWidth="1"/>
    <col min="55" max="55" width="17.5703125" style="27" bestFit="1" customWidth="1"/>
    <col min="56" max="56" width="9.42578125" style="62" customWidth="1"/>
    <col min="57" max="57" width="10" style="62" customWidth="1"/>
    <col min="58" max="58" width="12.140625" style="62" customWidth="1"/>
    <col min="59" max="59" width="14.140625" style="27" customWidth="1"/>
    <col min="60" max="60" width="8.85546875" style="27" customWidth="1"/>
    <col min="61" max="61" width="19.5703125" style="27" bestFit="1" customWidth="1"/>
    <col min="62" max="62" width="10" style="62" customWidth="1"/>
    <col min="63" max="63" width="7.7109375" style="62" customWidth="1"/>
    <col min="64" max="64" width="12.28515625" style="62" customWidth="1"/>
    <col min="65" max="65" width="7.28515625" style="27" customWidth="1"/>
    <col min="66" max="66" width="11.7109375" style="27" customWidth="1"/>
    <col min="67" max="67" width="16.5703125" style="27" bestFit="1" customWidth="1"/>
    <col min="68" max="68" width="8.5703125" style="62" customWidth="1"/>
    <col min="69" max="69" width="7.85546875" style="27" bestFit="1" customWidth="1"/>
    <col min="70" max="70" width="10.85546875" style="27" customWidth="1"/>
    <col min="71" max="72" width="10" style="27" customWidth="1"/>
    <col min="73" max="73" width="17.5703125" style="27" bestFit="1" customWidth="1"/>
    <col min="74" max="74" width="12.28515625" style="27" customWidth="1"/>
    <col min="75" max="75" width="10.42578125" style="27" customWidth="1"/>
    <col min="76" max="76" width="11.7109375" style="27" customWidth="1"/>
    <col min="77" max="77" width="10" style="27" customWidth="1"/>
    <col min="78" max="78" width="7.7109375" style="27" customWidth="1"/>
    <col min="79" max="79" width="19.5703125" style="27" bestFit="1" customWidth="1"/>
    <col min="80" max="80" width="8.42578125" style="62" customWidth="1"/>
    <col min="81" max="81" width="10.140625" style="62" customWidth="1"/>
    <col min="82" max="82" width="10.42578125" style="62" customWidth="1"/>
    <col min="83" max="83" width="9.42578125" style="27" customWidth="1"/>
    <col min="84" max="84" width="12.28515625" style="27" customWidth="1"/>
    <col min="85" max="85" width="19.5703125" style="27" bestFit="1" customWidth="1"/>
    <col min="86" max="88" width="12.28515625" style="62" customWidth="1"/>
    <col min="89" max="89" width="18.140625" style="27" bestFit="1" customWidth="1"/>
    <col min="90" max="90" width="11.28515625" style="27" bestFit="1" customWidth="1"/>
    <col min="91" max="91" width="16.5703125" style="27" bestFit="1" customWidth="1"/>
    <col min="92" max="92" width="10" style="62" customWidth="1"/>
    <col min="93" max="93" width="7.7109375" style="62" customWidth="1"/>
    <col min="94" max="94" width="12.28515625" style="62" customWidth="1"/>
    <col min="95" max="95" width="14.7109375" style="27" customWidth="1"/>
    <col min="96" max="96" width="9.42578125" style="27" customWidth="1"/>
    <col min="97" max="97" width="16.5703125" style="27" bestFit="1" customWidth="1"/>
    <col min="98" max="98" width="7.7109375" style="27" customWidth="1"/>
    <col min="99" max="99" width="12.28515625" style="27" customWidth="1"/>
    <col min="100" max="100" width="9" style="27" customWidth="1"/>
    <col min="101" max="101" width="14" style="27" bestFit="1" customWidth="1"/>
    <col min="102" max="102" width="9.42578125" style="27" bestFit="1" customWidth="1"/>
    <col min="103" max="103" width="15.140625" style="27" bestFit="1" customWidth="1"/>
    <col min="104" max="104" width="12.28515625" style="107" customWidth="1"/>
    <col min="105" max="105" width="7.5703125" style="107" customWidth="1"/>
    <col min="106" max="106" width="9.42578125" style="107" customWidth="1"/>
    <col min="107" max="107" width="17.140625" style="27" bestFit="1" customWidth="1"/>
    <col min="108" max="108" width="7.7109375" style="27" customWidth="1"/>
    <col min="109" max="109" width="12.85546875" style="209" bestFit="1" customWidth="1"/>
    <col min="110" max="110" width="10.42578125" style="27" customWidth="1"/>
    <col min="111" max="111" width="9.42578125" style="27" customWidth="1"/>
    <col min="112" max="112" width="10" style="27" customWidth="1"/>
    <col min="113" max="113" width="14.5703125" style="27" customWidth="1"/>
    <col min="114" max="114" width="12.28515625" style="27" customWidth="1"/>
    <col min="115" max="115" width="18.5703125" style="27" customWidth="1"/>
    <col min="116" max="116" width="9.42578125" style="27" customWidth="1"/>
    <col min="117" max="117" width="10" style="27" customWidth="1"/>
    <col min="118" max="118" width="7.7109375" style="27" customWidth="1"/>
    <col min="119" max="119" width="18.140625" style="27" customWidth="1"/>
    <col min="120" max="120" width="11.28515625" style="27" customWidth="1"/>
    <col min="121" max="121" width="16.5703125" style="27" customWidth="1"/>
    <col min="122" max="122" width="9" style="27" bestFit="1" customWidth="1"/>
    <col min="123" max="123" width="7.7109375" style="27" customWidth="1"/>
    <col min="124" max="124" width="10" style="27" bestFit="1" customWidth="1"/>
    <col min="125" max="125" width="9.42578125" style="27" bestFit="1" customWidth="1"/>
    <col min="126" max="126" width="4.85546875" style="27" bestFit="1" customWidth="1"/>
    <col min="127" max="127" width="10.5703125" style="27" bestFit="1" customWidth="1"/>
    <col min="128" max="128" width="7.28515625" style="27" customWidth="1"/>
    <col min="129" max="129" width="12.28515625" style="27" customWidth="1"/>
    <col min="130" max="130" width="10" style="27" bestFit="1" customWidth="1"/>
    <col min="131" max="131" width="9.42578125" style="27" bestFit="1" customWidth="1"/>
    <col min="132" max="132" width="4.85546875" style="27" bestFit="1" customWidth="1"/>
    <col min="133" max="133" width="13.85546875" style="27" customWidth="1"/>
    <col min="134" max="134" width="12.28515625" style="27" customWidth="1"/>
    <col min="135" max="135" width="4.85546875" style="27" customWidth="1"/>
    <col min="136" max="136" width="9.42578125" style="27" customWidth="1"/>
    <col min="137" max="137" width="17.140625" style="27" customWidth="1"/>
    <col min="138" max="138" width="7.7109375" style="27" customWidth="1"/>
    <col min="139" max="139" width="19.5703125" style="27" customWidth="1"/>
    <col min="140" max="140" width="9.42578125" style="27" bestFit="1" customWidth="1"/>
    <col min="141" max="141" width="3.42578125" style="27" bestFit="1" customWidth="1"/>
    <col min="142" max="142" width="10" style="27" customWidth="1"/>
    <col min="143" max="143" width="12.85546875" style="27" bestFit="1" customWidth="1"/>
    <col min="144" max="144" width="4.85546875" style="27" bestFit="1" customWidth="1"/>
    <col min="145" max="145" width="10.5703125" style="27" bestFit="1" customWidth="1"/>
    <col min="146" max="146" width="9.42578125" style="27" customWidth="1"/>
    <col min="147" max="147" width="3.28515625" style="27" bestFit="1" customWidth="1"/>
    <col min="148" max="148" width="7.7109375" style="27" customWidth="1"/>
    <col min="149" max="149" width="12.85546875" style="27" bestFit="1" customWidth="1"/>
    <col min="150" max="150" width="4.85546875" style="27" bestFit="1" customWidth="1"/>
    <col min="151" max="151" width="10.5703125" style="27" bestFit="1" customWidth="1"/>
    <col min="152" max="152" width="10.42578125" style="27" hidden="1" customWidth="1"/>
    <col min="153" max="153" width="11.28515625" style="27" hidden="1" customWidth="1"/>
    <col min="154" max="154" width="11" style="27" hidden="1" customWidth="1"/>
    <col min="155" max="155" width="17.140625" style="27" hidden="1" customWidth="1"/>
    <col min="156" max="156" width="7.85546875" style="27" hidden="1" customWidth="1"/>
    <col min="157" max="157" width="17.5703125" style="27" hidden="1" customWidth="1"/>
    <col min="158" max="158" width="14.28515625" style="27" hidden="1" customWidth="1"/>
    <col min="159" max="160" width="11" style="27" hidden="1" customWidth="1"/>
    <col min="161" max="161" width="18.140625" style="27" hidden="1" customWidth="1"/>
    <col min="162" max="162" width="10" style="27" hidden="1" customWidth="1"/>
    <col min="163" max="163" width="16.5703125" style="27" hidden="1" customWidth="1"/>
    <col min="164" max="164" width="14.28515625" style="27" bestFit="1" customWidth="1"/>
    <col min="165" max="165" width="9.140625" style="57" customWidth="1"/>
    <col min="166" max="166" width="12.85546875" style="27" bestFit="1" customWidth="1"/>
    <col min="167" max="16384" width="11.42578125" style="27"/>
  </cols>
  <sheetData>
    <row r="1" spans="1:166" ht="12.75" customHeight="1" thickBot="1" x14ac:dyDescent="0.3">
      <c r="A1" s="448" t="s">
        <v>0</v>
      </c>
      <c r="B1" s="448" t="s">
        <v>1</v>
      </c>
      <c r="C1" s="449" t="s">
        <v>2</v>
      </c>
      <c r="D1" s="450" t="s">
        <v>3</v>
      </c>
      <c r="E1" s="26">
        <v>1.03</v>
      </c>
      <c r="F1" s="451" t="s">
        <v>4</v>
      </c>
      <c r="G1" s="452"/>
      <c r="H1" s="453" t="s">
        <v>5</v>
      </c>
      <c r="I1" s="453"/>
      <c r="J1" s="453" t="s">
        <v>6</v>
      </c>
      <c r="K1" s="453"/>
      <c r="L1" s="454" t="s">
        <v>7</v>
      </c>
      <c r="M1" s="454"/>
      <c r="N1" s="443" t="s">
        <v>8</v>
      </c>
      <c r="O1" s="443"/>
      <c r="P1" s="443"/>
      <c r="Q1" s="443"/>
      <c r="R1" s="443"/>
      <c r="S1" s="443"/>
      <c r="T1" s="420" t="s">
        <v>9</v>
      </c>
      <c r="U1" s="421"/>
      <c r="V1" s="421"/>
      <c r="W1" s="421"/>
      <c r="X1" s="421"/>
      <c r="Y1" s="421"/>
      <c r="Z1" s="422" t="s">
        <v>10</v>
      </c>
      <c r="AA1" s="423"/>
      <c r="AB1" s="423"/>
      <c r="AC1" s="423"/>
      <c r="AD1" s="423"/>
      <c r="AE1" s="423"/>
      <c r="AF1" s="424" t="s">
        <v>11</v>
      </c>
      <c r="AG1" s="425"/>
      <c r="AH1" s="425"/>
      <c r="AI1" s="425"/>
      <c r="AJ1" s="425"/>
      <c r="AK1" s="426"/>
      <c r="AL1" s="427" t="s">
        <v>12</v>
      </c>
      <c r="AM1" s="428"/>
      <c r="AN1" s="428"/>
      <c r="AO1" s="428"/>
      <c r="AP1" s="429"/>
      <c r="AQ1" s="428"/>
      <c r="AR1" s="430" t="s">
        <v>13</v>
      </c>
      <c r="AS1" s="431"/>
      <c r="AT1" s="431"/>
      <c r="AU1" s="431"/>
      <c r="AV1" s="431"/>
      <c r="AW1" s="431"/>
      <c r="AX1" s="432" t="s">
        <v>14</v>
      </c>
      <c r="AY1" s="433"/>
      <c r="AZ1" s="433"/>
      <c r="BA1" s="433"/>
      <c r="BB1" s="433"/>
      <c r="BC1" s="433"/>
      <c r="BD1" s="434" t="s">
        <v>15</v>
      </c>
      <c r="BE1" s="435"/>
      <c r="BF1" s="435"/>
      <c r="BG1" s="435"/>
      <c r="BH1" s="435"/>
      <c r="BI1" s="436"/>
      <c r="BJ1" s="437" t="s">
        <v>16</v>
      </c>
      <c r="BK1" s="438"/>
      <c r="BL1" s="438"/>
      <c r="BM1" s="438"/>
      <c r="BN1" s="438"/>
      <c r="BO1" s="438"/>
      <c r="BP1" s="420" t="s">
        <v>17</v>
      </c>
      <c r="BQ1" s="421"/>
      <c r="BR1" s="421"/>
      <c r="BS1" s="421"/>
      <c r="BT1" s="421"/>
      <c r="BU1" s="421"/>
      <c r="BV1" s="439" t="s">
        <v>18</v>
      </c>
      <c r="BW1" s="440"/>
      <c r="BX1" s="440"/>
      <c r="BY1" s="440"/>
      <c r="BZ1" s="440"/>
      <c r="CA1" s="441"/>
      <c r="CB1" s="442" t="s">
        <v>19</v>
      </c>
      <c r="CC1" s="443"/>
      <c r="CD1" s="443"/>
      <c r="CE1" s="443"/>
      <c r="CF1" s="443"/>
      <c r="CG1" s="443"/>
      <c r="CH1" s="444" t="s">
        <v>20</v>
      </c>
      <c r="CI1" s="445"/>
      <c r="CJ1" s="445"/>
      <c r="CK1" s="445"/>
      <c r="CL1" s="445"/>
      <c r="CM1" s="445"/>
      <c r="CN1" s="446" t="s">
        <v>21</v>
      </c>
      <c r="CO1" s="447"/>
      <c r="CP1" s="447"/>
      <c r="CQ1" s="431"/>
      <c r="CR1" s="431"/>
      <c r="CS1" s="431"/>
      <c r="CT1" s="455" t="s">
        <v>22</v>
      </c>
      <c r="CU1" s="456"/>
      <c r="CV1" s="456"/>
      <c r="CW1" s="456"/>
      <c r="CX1" s="456"/>
      <c r="CY1" s="456"/>
      <c r="CZ1" s="442" t="s">
        <v>23</v>
      </c>
      <c r="DA1" s="443"/>
      <c r="DB1" s="443"/>
      <c r="DC1" s="443"/>
      <c r="DD1" s="443"/>
      <c r="DE1" s="443"/>
      <c r="DF1" s="463" t="s">
        <v>24</v>
      </c>
      <c r="DG1" s="464"/>
      <c r="DH1" s="464"/>
      <c r="DI1" s="464"/>
      <c r="DJ1" s="464"/>
      <c r="DK1" s="464"/>
      <c r="DL1" s="459" t="s">
        <v>25</v>
      </c>
      <c r="DM1" s="460"/>
      <c r="DN1" s="460"/>
      <c r="DO1" s="460"/>
      <c r="DP1" s="460"/>
      <c r="DQ1" s="460"/>
      <c r="DR1" s="430" t="s">
        <v>26</v>
      </c>
      <c r="DS1" s="431"/>
      <c r="DT1" s="431"/>
      <c r="DU1" s="431"/>
      <c r="DV1" s="431"/>
      <c r="DW1" s="431"/>
      <c r="DX1" s="444" t="s">
        <v>27</v>
      </c>
      <c r="DY1" s="445"/>
      <c r="DZ1" s="445"/>
      <c r="EA1" s="445"/>
      <c r="EB1" s="445"/>
      <c r="EC1" s="445"/>
      <c r="ED1" s="420" t="s">
        <v>28</v>
      </c>
      <c r="EE1" s="421"/>
      <c r="EF1" s="421"/>
      <c r="EG1" s="421"/>
      <c r="EH1" s="421"/>
      <c r="EI1" s="421"/>
      <c r="EJ1" s="457" t="s">
        <v>29</v>
      </c>
      <c r="EK1" s="458"/>
      <c r="EL1" s="458"/>
      <c r="EM1" s="458"/>
      <c r="EN1" s="458"/>
      <c r="EO1" s="458"/>
      <c r="EP1" s="459" t="s">
        <v>30</v>
      </c>
      <c r="EQ1" s="460"/>
      <c r="ER1" s="460"/>
      <c r="ES1" s="460"/>
      <c r="ET1" s="460"/>
      <c r="EU1" s="460"/>
      <c r="EV1" s="442"/>
      <c r="EW1" s="443"/>
      <c r="EX1" s="443"/>
      <c r="EY1" s="443"/>
      <c r="EZ1" s="443"/>
      <c r="FA1" s="443"/>
      <c r="FB1" s="461"/>
      <c r="FC1" s="462"/>
      <c r="FD1" s="462"/>
      <c r="FE1" s="462"/>
      <c r="FF1" s="462"/>
      <c r="FG1" s="462"/>
      <c r="FH1" s="418" t="s">
        <v>31</v>
      </c>
      <c r="FI1" s="419" t="s">
        <v>32</v>
      </c>
      <c r="FJ1" s="417" t="s">
        <v>33</v>
      </c>
    </row>
    <row r="2" spans="1:166" ht="39" thickBot="1" x14ac:dyDescent="0.3">
      <c r="A2" s="448"/>
      <c r="B2" s="448"/>
      <c r="C2" s="449"/>
      <c r="D2" s="450"/>
      <c r="E2" s="67" t="s">
        <v>34</v>
      </c>
      <c r="F2" s="210" t="s">
        <v>35</v>
      </c>
      <c r="G2" s="215" t="s">
        <v>36</v>
      </c>
      <c r="H2" s="220" t="s">
        <v>37</v>
      </c>
      <c r="I2" s="220" t="s">
        <v>36</v>
      </c>
      <c r="J2" s="220" t="s">
        <v>35</v>
      </c>
      <c r="K2" s="220" t="s">
        <v>36</v>
      </c>
      <c r="L2" s="229" t="s">
        <v>35</v>
      </c>
      <c r="M2" s="229" t="s">
        <v>36</v>
      </c>
      <c r="N2" s="216" t="s">
        <v>38</v>
      </c>
      <c r="O2" s="104" t="s">
        <v>39</v>
      </c>
      <c r="P2" s="104" t="s">
        <v>35</v>
      </c>
      <c r="Q2" s="113" t="s">
        <v>3</v>
      </c>
      <c r="R2" s="113" t="s">
        <v>2</v>
      </c>
      <c r="S2" s="113" t="s">
        <v>40</v>
      </c>
      <c r="T2" s="111" t="s">
        <v>38</v>
      </c>
      <c r="U2" s="111" t="s">
        <v>39</v>
      </c>
      <c r="V2" s="111" t="s">
        <v>35</v>
      </c>
      <c r="W2" s="79" t="s">
        <v>3</v>
      </c>
      <c r="X2" s="79" t="s">
        <v>2</v>
      </c>
      <c r="Y2" s="79" t="s">
        <v>40</v>
      </c>
      <c r="Z2" s="117" t="s">
        <v>38</v>
      </c>
      <c r="AA2" s="117" t="s">
        <v>39</v>
      </c>
      <c r="AB2" s="117" t="s">
        <v>35</v>
      </c>
      <c r="AC2" s="77" t="s">
        <v>3</v>
      </c>
      <c r="AD2" s="77" t="s">
        <v>2</v>
      </c>
      <c r="AE2" s="77" t="s">
        <v>40</v>
      </c>
      <c r="AF2" s="104" t="s">
        <v>38</v>
      </c>
      <c r="AG2" s="104" t="s">
        <v>39</v>
      </c>
      <c r="AH2" s="104" t="s">
        <v>35</v>
      </c>
      <c r="AI2" s="113" t="s">
        <v>3</v>
      </c>
      <c r="AJ2" s="113" t="s">
        <v>2</v>
      </c>
      <c r="AK2" s="113" t="s">
        <v>40</v>
      </c>
      <c r="AL2" s="126" t="s">
        <v>38</v>
      </c>
      <c r="AM2" s="126" t="s">
        <v>39</v>
      </c>
      <c r="AN2" s="126" t="s">
        <v>35</v>
      </c>
      <c r="AO2" s="94" t="s">
        <v>3</v>
      </c>
      <c r="AP2" s="233" t="s">
        <v>2</v>
      </c>
      <c r="AQ2" s="94" t="s">
        <v>40</v>
      </c>
      <c r="AR2" s="134" t="s">
        <v>38</v>
      </c>
      <c r="AS2" s="134" t="s">
        <v>39</v>
      </c>
      <c r="AT2" s="134" t="s">
        <v>35</v>
      </c>
      <c r="AU2" s="76" t="s">
        <v>3</v>
      </c>
      <c r="AV2" s="76" t="s">
        <v>2</v>
      </c>
      <c r="AW2" s="76" t="s">
        <v>40</v>
      </c>
      <c r="AX2" s="171" t="s">
        <v>38</v>
      </c>
      <c r="AY2" s="171" t="s">
        <v>39</v>
      </c>
      <c r="AZ2" s="171" t="s">
        <v>35</v>
      </c>
      <c r="BA2" s="80" t="s">
        <v>3</v>
      </c>
      <c r="BB2" s="80" t="s">
        <v>2</v>
      </c>
      <c r="BC2" s="80" t="s">
        <v>40</v>
      </c>
      <c r="BD2" s="178" t="s">
        <v>38</v>
      </c>
      <c r="BE2" s="178" t="s">
        <v>39</v>
      </c>
      <c r="BF2" s="178" t="s">
        <v>35</v>
      </c>
      <c r="BG2" s="86" t="s">
        <v>3</v>
      </c>
      <c r="BH2" s="86" t="s">
        <v>2</v>
      </c>
      <c r="BI2" s="86" t="s">
        <v>40</v>
      </c>
      <c r="BJ2" s="181" t="s">
        <v>38</v>
      </c>
      <c r="BK2" s="181" t="s">
        <v>39</v>
      </c>
      <c r="BL2" s="181" t="s">
        <v>35</v>
      </c>
      <c r="BM2" s="85" t="s">
        <v>3</v>
      </c>
      <c r="BN2" s="85" t="s">
        <v>2</v>
      </c>
      <c r="BO2" s="85" t="s">
        <v>40</v>
      </c>
      <c r="BP2" s="111" t="s">
        <v>38</v>
      </c>
      <c r="BQ2" s="78" t="s">
        <v>39</v>
      </c>
      <c r="BR2" s="78" t="s">
        <v>35</v>
      </c>
      <c r="BS2" s="79" t="s">
        <v>3</v>
      </c>
      <c r="BT2" s="79" t="s">
        <v>2</v>
      </c>
      <c r="BU2" s="79" t="s">
        <v>40</v>
      </c>
      <c r="BV2" s="69" t="s">
        <v>38</v>
      </c>
      <c r="BW2" s="69" t="s">
        <v>39</v>
      </c>
      <c r="BX2" s="69" t="s">
        <v>35</v>
      </c>
      <c r="BY2" s="70" t="s">
        <v>3</v>
      </c>
      <c r="BZ2" s="70" t="s">
        <v>2</v>
      </c>
      <c r="CA2" s="70" t="s">
        <v>40</v>
      </c>
      <c r="CB2" s="104" t="s">
        <v>38</v>
      </c>
      <c r="CC2" s="104" t="s">
        <v>39</v>
      </c>
      <c r="CD2" s="104" t="s">
        <v>35</v>
      </c>
      <c r="CE2" s="113" t="s">
        <v>3</v>
      </c>
      <c r="CF2" s="113" t="s">
        <v>2</v>
      </c>
      <c r="CG2" s="113" t="s">
        <v>40</v>
      </c>
      <c r="CH2" s="194" t="s">
        <v>38</v>
      </c>
      <c r="CI2" s="194" t="s">
        <v>39</v>
      </c>
      <c r="CJ2" s="194" t="s">
        <v>35</v>
      </c>
      <c r="CK2" s="82" t="s">
        <v>3</v>
      </c>
      <c r="CL2" s="82" t="s">
        <v>2</v>
      </c>
      <c r="CM2" s="82" t="s">
        <v>40</v>
      </c>
      <c r="CN2" s="134" t="s">
        <v>38</v>
      </c>
      <c r="CO2" s="134" t="s">
        <v>39</v>
      </c>
      <c r="CP2" s="134" t="s">
        <v>35</v>
      </c>
      <c r="CQ2" s="76" t="s">
        <v>3</v>
      </c>
      <c r="CR2" s="76" t="s">
        <v>2</v>
      </c>
      <c r="CS2" s="76" t="s">
        <v>40</v>
      </c>
      <c r="CT2" s="91" t="s">
        <v>38</v>
      </c>
      <c r="CU2" s="91" t="s">
        <v>39</v>
      </c>
      <c r="CV2" s="91" t="s">
        <v>35</v>
      </c>
      <c r="CW2" s="92" t="s">
        <v>3</v>
      </c>
      <c r="CX2" s="92" t="s">
        <v>2</v>
      </c>
      <c r="CY2" s="92" t="s">
        <v>40</v>
      </c>
      <c r="CZ2" s="104" t="s">
        <v>38</v>
      </c>
      <c r="DA2" s="104" t="s">
        <v>39</v>
      </c>
      <c r="DB2" s="104" t="s">
        <v>35</v>
      </c>
      <c r="DC2" s="113" t="s">
        <v>3</v>
      </c>
      <c r="DD2" s="113" t="s">
        <v>2</v>
      </c>
      <c r="DE2" s="208" t="s">
        <v>40</v>
      </c>
      <c r="DF2" s="87" t="s">
        <v>38</v>
      </c>
      <c r="DG2" s="87" t="s">
        <v>39</v>
      </c>
      <c r="DH2" s="87" t="s">
        <v>35</v>
      </c>
      <c r="DI2" s="88" t="s">
        <v>3</v>
      </c>
      <c r="DJ2" s="88" t="s">
        <v>2</v>
      </c>
      <c r="DK2" s="88" t="s">
        <v>40</v>
      </c>
      <c r="DL2" s="71" t="s">
        <v>38</v>
      </c>
      <c r="DM2" s="71" t="s">
        <v>39</v>
      </c>
      <c r="DN2" s="71" t="s">
        <v>35</v>
      </c>
      <c r="DO2" s="72" t="s">
        <v>3</v>
      </c>
      <c r="DP2" s="72" t="s">
        <v>2</v>
      </c>
      <c r="DQ2" s="72" t="s">
        <v>40</v>
      </c>
      <c r="DR2" s="75" t="s">
        <v>38</v>
      </c>
      <c r="DS2" s="75" t="s">
        <v>39</v>
      </c>
      <c r="DT2" s="75" t="s">
        <v>35</v>
      </c>
      <c r="DU2" s="76" t="s">
        <v>3</v>
      </c>
      <c r="DV2" s="76" t="s">
        <v>2</v>
      </c>
      <c r="DW2" s="76" t="s">
        <v>40</v>
      </c>
      <c r="DX2" s="81" t="s">
        <v>38</v>
      </c>
      <c r="DY2" s="81" t="s">
        <v>39</v>
      </c>
      <c r="DZ2" s="81" t="s">
        <v>35</v>
      </c>
      <c r="EA2" s="82" t="s">
        <v>3</v>
      </c>
      <c r="EB2" s="82" t="s">
        <v>2</v>
      </c>
      <c r="EC2" s="82" t="s">
        <v>40</v>
      </c>
      <c r="ED2" s="78" t="s">
        <v>38</v>
      </c>
      <c r="EE2" s="78" t="s">
        <v>39</v>
      </c>
      <c r="EF2" s="78" t="s">
        <v>35</v>
      </c>
      <c r="EG2" s="79" t="s">
        <v>3</v>
      </c>
      <c r="EH2" s="79" t="s">
        <v>2</v>
      </c>
      <c r="EI2" s="79" t="s">
        <v>40</v>
      </c>
      <c r="EJ2" s="73" t="s">
        <v>38</v>
      </c>
      <c r="EK2" s="73" t="s">
        <v>39</v>
      </c>
      <c r="EL2" s="73" t="s">
        <v>35</v>
      </c>
      <c r="EM2" s="74" t="s">
        <v>3</v>
      </c>
      <c r="EN2" s="74" t="s">
        <v>2</v>
      </c>
      <c r="EO2" s="74" t="s">
        <v>40</v>
      </c>
      <c r="EP2" s="71" t="s">
        <v>38</v>
      </c>
      <c r="EQ2" s="71" t="s">
        <v>39</v>
      </c>
      <c r="ER2" s="71" t="s">
        <v>35</v>
      </c>
      <c r="ES2" s="72" t="s">
        <v>3</v>
      </c>
      <c r="ET2" s="72" t="s">
        <v>2</v>
      </c>
      <c r="EU2" s="72" t="s">
        <v>40</v>
      </c>
      <c r="EV2" s="66" t="s">
        <v>38</v>
      </c>
      <c r="EW2" s="66" t="s">
        <v>39</v>
      </c>
      <c r="EX2" s="66" t="s">
        <v>35</v>
      </c>
      <c r="EY2" s="113" t="s">
        <v>3</v>
      </c>
      <c r="EZ2" s="113" t="s">
        <v>2</v>
      </c>
      <c r="FA2" s="113" t="s">
        <v>40</v>
      </c>
      <c r="FB2" s="69" t="s">
        <v>38</v>
      </c>
      <c r="FC2" s="69" t="s">
        <v>39</v>
      </c>
      <c r="FD2" s="69" t="s">
        <v>35</v>
      </c>
      <c r="FE2" s="70" t="s">
        <v>3</v>
      </c>
      <c r="FF2" s="70" t="s">
        <v>2</v>
      </c>
      <c r="FG2" s="70" t="s">
        <v>40</v>
      </c>
      <c r="FH2" s="418"/>
      <c r="FI2" s="419"/>
      <c r="FJ2" s="417"/>
    </row>
    <row r="3" spans="1:166" ht="25.5" x14ac:dyDescent="0.25">
      <c r="A3" s="250">
        <f>Distribución_Reactivos!A3</f>
        <v>1</v>
      </c>
      <c r="B3" s="248" t="str">
        <f>Distribución_Reactivos!B3</f>
        <v>2-Nitrobenzaldehido</v>
      </c>
      <c r="C3" s="250" t="str">
        <f>Distribución_Reactivos!C3</f>
        <v>Sigma N10802</v>
      </c>
      <c r="D3" s="250" t="str">
        <f>Distribución_Reactivos!D3</f>
        <v>Frasco x 2g</v>
      </c>
      <c r="E3" s="29">
        <v>1</v>
      </c>
      <c r="F3" s="211">
        <v>148298.0975</v>
      </c>
      <c r="G3" s="213">
        <v>148274</v>
      </c>
      <c r="H3" s="221">
        <v>174809.95370737501</v>
      </c>
      <c r="I3" s="221">
        <v>0</v>
      </c>
      <c r="J3" s="221">
        <v>225477.23333333331</v>
      </c>
      <c r="K3" s="221">
        <v>195160</v>
      </c>
      <c r="L3" s="247">
        <f>AVERAGE(F3,H3,J3)</f>
        <v>182861.76151356942</v>
      </c>
      <c r="M3" s="247">
        <f>AVERAGE(G3,K3)*1.03</f>
        <v>176868.51</v>
      </c>
      <c r="N3" s="217"/>
      <c r="O3" s="97"/>
      <c r="P3" s="97"/>
      <c r="Q3" s="115"/>
      <c r="R3" s="115"/>
      <c r="S3" s="53"/>
      <c r="T3" s="97"/>
      <c r="U3" s="97"/>
      <c r="V3" s="97"/>
      <c r="W3" s="115"/>
      <c r="X3" s="115"/>
      <c r="Y3" s="11"/>
      <c r="Z3" s="97"/>
      <c r="AA3" s="97"/>
      <c r="AB3" s="97"/>
      <c r="AC3" s="44"/>
      <c r="AD3" s="44"/>
      <c r="AE3" s="11"/>
      <c r="AF3" s="102"/>
      <c r="AG3" s="125"/>
      <c r="AH3" s="97"/>
      <c r="AI3" s="11"/>
      <c r="AJ3" s="11"/>
      <c r="AK3" s="17"/>
      <c r="AL3" s="97"/>
      <c r="AM3" s="97"/>
      <c r="AN3" s="101"/>
      <c r="AO3" s="248"/>
      <c r="AP3" s="17"/>
      <c r="AQ3" s="17"/>
      <c r="AR3" s="252">
        <v>345600</v>
      </c>
      <c r="AS3" s="97">
        <f>+AR3*0.19</f>
        <v>65664</v>
      </c>
      <c r="AT3" s="103">
        <f>+AR3+AS3</f>
        <v>411264</v>
      </c>
      <c r="AU3" s="42" t="s">
        <v>41</v>
      </c>
      <c r="AV3" s="42" t="s">
        <v>42</v>
      </c>
      <c r="AW3" s="30"/>
      <c r="AX3" s="100"/>
      <c r="AY3" s="172"/>
      <c r="AZ3" s="124"/>
      <c r="BA3" s="169"/>
      <c r="BB3" s="116"/>
      <c r="BC3" s="116"/>
      <c r="BD3" s="247"/>
      <c r="BE3" s="124"/>
      <c r="BF3" s="124"/>
      <c r="BG3" s="116"/>
      <c r="BH3" s="116"/>
      <c r="BI3" s="116"/>
      <c r="BJ3" s="124"/>
      <c r="BK3" s="124"/>
      <c r="BL3" s="124"/>
      <c r="BM3" s="116"/>
      <c r="BN3" s="116"/>
      <c r="BO3" s="116"/>
      <c r="BP3" s="124"/>
      <c r="BQ3" s="116"/>
      <c r="BR3" s="116"/>
      <c r="BS3" s="116"/>
      <c r="BT3" s="116"/>
      <c r="BU3" s="116"/>
      <c r="BV3" s="236">
        <v>394800</v>
      </c>
      <c r="BW3" s="125">
        <f t="shared" ref="BW3:BW18" si="0">BV3*19%</f>
        <v>75012</v>
      </c>
      <c r="BX3" s="97">
        <f t="shared" ref="BX3:BX18" si="1">+BV3+BW3</f>
        <v>469812</v>
      </c>
      <c r="BY3" s="237" t="s">
        <v>43</v>
      </c>
      <c r="BZ3" s="237" t="s">
        <v>44</v>
      </c>
      <c r="CA3" s="116"/>
      <c r="CB3" s="247"/>
      <c r="CC3" s="125"/>
      <c r="CD3" s="247"/>
      <c r="CE3" s="116"/>
      <c r="CF3" s="116"/>
      <c r="CG3" s="116"/>
      <c r="CH3" s="236">
        <v>402696</v>
      </c>
      <c r="CI3" s="238">
        <f>+CH3*0.19</f>
        <v>76512.240000000005</v>
      </c>
      <c r="CJ3" s="236">
        <f>+CH3+CI3</f>
        <v>479208.24</v>
      </c>
      <c r="CK3" s="237" t="s">
        <v>43</v>
      </c>
      <c r="CL3" s="237" t="s">
        <v>44</v>
      </c>
      <c r="CM3" s="116"/>
      <c r="CN3" s="247"/>
      <c r="CO3" s="125"/>
      <c r="CP3" s="247"/>
      <c r="CQ3" s="116"/>
      <c r="CR3" s="116"/>
      <c r="CS3" s="116"/>
      <c r="CT3" s="125">
        <v>117500</v>
      </c>
      <c r="CU3" s="125">
        <v>22325</v>
      </c>
      <c r="CV3" s="125">
        <f>+CT3+CU3</f>
        <v>139825</v>
      </c>
      <c r="CW3" s="116"/>
      <c r="CX3" s="116"/>
      <c r="CY3" s="116"/>
      <c r="CZ3" s="102"/>
      <c r="DA3" s="125"/>
      <c r="DB3" s="102"/>
      <c r="DC3" s="31"/>
      <c r="DD3" s="17"/>
      <c r="DE3" s="11"/>
      <c r="DF3" s="116"/>
      <c r="DG3" s="116"/>
      <c r="DH3" s="116"/>
      <c r="DI3" s="116"/>
      <c r="DJ3" s="116"/>
      <c r="DK3" s="116"/>
      <c r="DL3" s="116"/>
      <c r="DM3" s="116"/>
      <c r="DN3" s="116"/>
      <c r="DO3" s="116"/>
      <c r="DP3" s="116"/>
      <c r="DQ3" s="116"/>
      <c r="DR3" s="116"/>
      <c r="DS3" s="116"/>
      <c r="DT3" s="116"/>
      <c r="DU3" s="116"/>
      <c r="DV3" s="116"/>
      <c r="DW3" s="116"/>
      <c r="DX3" s="116"/>
      <c r="DY3" s="116"/>
      <c r="DZ3" s="116"/>
      <c r="EA3" s="116"/>
      <c r="EB3" s="116"/>
      <c r="EC3" s="116"/>
      <c r="ED3" s="116"/>
      <c r="EE3" s="116"/>
      <c r="EF3" s="116"/>
      <c r="EG3" s="116"/>
      <c r="EH3" s="116"/>
      <c r="EI3" s="116"/>
      <c r="EJ3" s="116"/>
      <c r="EK3" s="116"/>
      <c r="EL3" s="116"/>
      <c r="EM3" s="116"/>
      <c r="EN3" s="116"/>
      <c r="EO3" s="116"/>
      <c r="EP3" s="116"/>
      <c r="EQ3" s="116"/>
      <c r="ER3" s="116"/>
      <c r="ES3" s="116"/>
      <c r="ET3" s="11"/>
      <c r="EU3" s="11"/>
      <c r="EV3" s="11"/>
      <c r="EW3" s="11"/>
      <c r="EX3" s="11"/>
      <c r="EY3" s="11"/>
      <c r="EZ3" s="11"/>
      <c r="FA3" s="11"/>
      <c r="FB3" s="11"/>
      <c r="FC3" s="11"/>
      <c r="FD3" s="11"/>
      <c r="FE3" s="11"/>
      <c r="FF3" s="11"/>
      <c r="FG3" s="11"/>
      <c r="FH3" s="17">
        <f>SUM(M3,P3,V3,AB3,AH3,AN3,AT3,AZ3,BF3,BL3,BR3,BX3,CD3,CJ3,CP3,CV3,DB3,DH3,DN3,DT3,DZ3,EF3,EL3,ER3,EX3,FD3)</f>
        <v>1676977.75</v>
      </c>
      <c r="FI3" s="31">
        <f t="shared" ref="FI3:FI56" si="2">COUNTA(M3,N3,T3,Z3,AF3,AL3,AR3,AX3,BD3,BJ3,BP3,BV3,CB3,CH3,CN3,CT3,CZ3,DF3,DL3,DR3,DX3,ED3,EJ3,EP3,EV3,FB3)</f>
        <v>5</v>
      </c>
      <c r="FJ3" s="68">
        <f t="shared" ref="FJ3:FJ56" si="3">IFERROR(FH3/FI3," ")</f>
        <v>335395.55</v>
      </c>
    </row>
    <row r="4" spans="1:166" ht="45.75" customHeight="1" x14ac:dyDescent="0.25">
      <c r="A4" s="248">
        <f>Distribución_Reactivos!A4</f>
        <v>2</v>
      </c>
      <c r="B4" s="248" t="str">
        <f>Distribución_Reactivos!B4</f>
        <v>5-Bromo-4-chloro-3-indolyl phosphate p-toluidine salt (BCIP)-  Tabletas</v>
      </c>
      <c r="C4" s="248" t="str">
        <f>Distribución_Reactivos!C4</f>
        <v>Sigma B 0274</v>
      </c>
      <c r="D4" s="248" t="str">
        <f>Distribución_Reactivos!D4</f>
        <v>Frasco x 25und</v>
      </c>
      <c r="E4" s="29">
        <v>1</v>
      </c>
      <c r="F4" s="212">
        <v>0</v>
      </c>
      <c r="G4" s="214">
        <v>0</v>
      </c>
      <c r="H4" s="221">
        <v>0</v>
      </c>
      <c r="I4" s="221">
        <v>0</v>
      </c>
      <c r="J4" s="221">
        <v>514080</v>
      </c>
      <c r="K4" s="221">
        <v>0</v>
      </c>
      <c r="L4" s="247">
        <f>J4</f>
        <v>514080</v>
      </c>
      <c r="M4" s="247"/>
      <c r="N4" s="217"/>
      <c r="O4" s="97"/>
      <c r="P4" s="97"/>
      <c r="Q4" s="44"/>
      <c r="R4" s="44"/>
      <c r="S4" s="5"/>
      <c r="T4" s="97"/>
      <c r="U4" s="97"/>
      <c r="V4" s="97"/>
      <c r="W4" s="11"/>
      <c r="X4" s="11"/>
      <c r="Y4" s="11"/>
      <c r="Z4" s="97"/>
      <c r="AA4" s="97"/>
      <c r="AB4" s="97"/>
      <c r="AC4" s="44"/>
      <c r="AD4" s="44"/>
      <c r="AE4" s="11"/>
      <c r="AF4" s="102"/>
      <c r="AG4" s="125"/>
      <c r="AH4" s="97"/>
      <c r="AI4" s="11"/>
      <c r="AJ4" s="11"/>
      <c r="AK4" s="11"/>
      <c r="AL4" s="97"/>
      <c r="AM4" s="97"/>
      <c r="AN4" s="97"/>
      <c r="AO4" s="11"/>
      <c r="AP4" s="11"/>
      <c r="AQ4" s="11"/>
      <c r="AR4" s="252"/>
      <c r="AS4" s="252"/>
      <c r="AT4" s="252"/>
      <c r="AU4" s="42"/>
      <c r="AV4" s="42"/>
      <c r="AW4" s="11"/>
      <c r="AX4" s="156"/>
      <c r="AY4" s="156"/>
      <c r="AZ4" s="173"/>
      <c r="BA4" s="9"/>
      <c r="BB4" s="10"/>
      <c r="BC4" s="10"/>
      <c r="BD4" s="247"/>
      <c r="BE4" s="124"/>
      <c r="BF4" s="124"/>
      <c r="BG4" s="116"/>
      <c r="BH4" s="10"/>
      <c r="BI4" s="116"/>
      <c r="BJ4" s="124"/>
      <c r="BK4" s="124"/>
      <c r="BL4" s="124"/>
      <c r="BM4" s="116"/>
      <c r="BN4" s="116"/>
      <c r="BO4" s="116"/>
      <c r="BP4" s="124"/>
      <c r="BQ4" s="116"/>
      <c r="BR4" s="116"/>
      <c r="BS4" s="116"/>
      <c r="BT4" s="116"/>
      <c r="BU4" s="116"/>
      <c r="BV4" s="236">
        <v>5019000</v>
      </c>
      <c r="BW4" s="125">
        <f t="shared" si="0"/>
        <v>953610</v>
      </c>
      <c r="BX4" s="97">
        <f t="shared" si="1"/>
        <v>5972610</v>
      </c>
      <c r="BY4" s="237" t="s">
        <v>45</v>
      </c>
      <c r="BZ4" s="237" t="s">
        <v>44</v>
      </c>
      <c r="CA4" s="116"/>
      <c r="CB4" s="247"/>
      <c r="CC4" s="125"/>
      <c r="CD4" s="247"/>
      <c r="CE4" s="116"/>
      <c r="CF4" s="116"/>
      <c r="CG4" s="116"/>
      <c r="CH4" s="236"/>
      <c r="CI4" s="238">
        <f>+CH4*0.19</f>
        <v>0</v>
      </c>
      <c r="CJ4" s="236">
        <f>+CH4+CI4</f>
        <v>0</v>
      </c>
      <c r="CK4" s="237"/>
      <c r="CL4" s="237"/>
      <c r="CM4" s="116"/>
      <c r="CN4" s="247"/>
      <c r="CO4" s="125"/>
      <c r="CP4" s="247"/>
      <c r="CQ4" s="116"/>
      <c r="CR4" s="116"/>
      <c r="CS4" s="116"/>
      <c r="CT4" s="125">
        <v>2688750</v>
      </c>
      <c r="CU4" s="125">
        <v>510862.5</v>
      </c>
      <c r="CV4" s="125">
        <f>+CT4+CU4</f>
        <v>3199612.5</v>
      </c>
      <c r="CW4" s="116"/>
      <c r="CX4" s="116"/>
      <c r="CY4" s="116"/>
      <c r="CZ4" s="102"/>
      <c r="DA4" s="125"/>
      <c r="DB4" s="102"/>
      <c r="DC4" s="31"/>
      <c r="DD4" s="17"/>
      <c r="DE4" s="11"/>
      <c r="DF4" s="116"/>
      <c r="DG4" s="116"/>
      <c r="DH4" s="116"/>
      <c r="DI4" s="116"/>
      <c r="DJ4" s="116"/>
      <c r="DK4" s="116"/>
      <c r="DL4" s="116"/>
      <c r="DM4" s="116"/>
      <c r="DN4" s="116"/>
      <c r="DO4" s="116"/>
      <c r="DP4" s="116"/>
      <c r="DQ4" s="116"/>
      <c r="DR4" s="116"/>
      <c r="DS4" s="116"/>
      <c r="DT4" s="116"/>
      <c r="DU4" s="116"/>
      <c r="DV4" s="116"/>
      <c r="DW4" s="116"/>
      <c r="DX4" s="116"/>
      <c r="DY4" s="116"/>
      <c r="DZ4" s="116"/>
      <c r="EA4" s="116"/>
      <c r="EB4" s="116"/>
      <c r="EC4" s="116"/>
      <c r="ED4" s="116"/>
      <c r="EE4" s="116"/>
      <c r="EF4" s="116"/>
      <c r="EG4" s="116"/>
      <c r="EH4" s="116"/>
      <c r="EI4" s="116"/>
      <c r="EJ4" s="116"/>
      <c r="EK4" s="116"/>
      <c r="EL4" s="116"/>
      <c r="EM4" s="116"/>
      <c r="EN4" s="116"/>
      <c r="EO4" s="116"/>
      <c r="EP4" s="116"/>
      <c r="EQ4" s="116"/>
      <c r="ER4" s="116"/>
      <c r="ES4" s="116"/>
      <c r="ET4" s="11"/>
      <c r="EU4" s="11"/>
      <c r="EV4" s="11"/>
      <c r="EW4" s="11"/>
      <c r="EX4" s="11"/>
      <c r="EY4" s="11"/>
      <c r="EZ4" s="11"/>
      <c r="FA4" s="11"/>
      <c r="FB4" s="11"/>
      <c r="FC4" s="11"/>
      <c r="FD4" s="11"/>
      <c r="FE4" s="11"/>
      <c r="FF4" s="11"/>
      <c r="FG4" s="11"/>
      <c r="FH4" s="17">
        <f t="shared" ref="FH4:FH56" si="4">SUM(M4,P4,V4,AB4,AH4,AN4,AT4,AZ4,BF4,BL4,BR4,BX4,CD4,CJ4,CP4,CV4,DB4,DH4,DN4,DT4,DZ4,EF4,EL4,ER4,EX4,FD4)</f>
        <v>9172222.5</v>
      </c>
      <c r="FI4" s="31">
        <f t="shared" si="2"/>
        <v>2</v>
      </c>
      <c r="FJ4" s="68">
        <f t="shared" si="3"/>
        <v>4586111.25</v>
      </c>
    </row>
    <row r="5" spans="1:166" ht="27" x14ac:dyDescent="0.25">
      <c r="A5" s="248">
        <f>Distribución_Reactivos!A5</f>
        <v>3</v>
      </c>
      <c r="B5" s="248" t="str">
        <f>Distribución_Reactivos!B5</f>
        <v>Aceite de clavo</v>
      </c>
      <c r="C5" s="248" t="str">
        <f>Distribución_Reactivos!C5</f>
        <v>Cualquier marca</v>
      </c>
      <c r="D5" s="248" t="str">
        <f>Distribución_Reactivos!D5</f>
        <v>Frasco x 250ml</v>
      </c>
      <c r="E5" s="29">
        <v>1</v>
      </c>
      <c r="F5" s="212">
        <v>205513</v>
      </c>
      <c r="G5" s="214">
        <v>202419</v>
      </c>
      <c r="H5" s="221">
        <v>292987.3653</v>
      </c>
      <c r="I5" s="221">
        <v>0</v>
      </c>
      <c r="J5" s="221">
        <v>406149.97499999998</v>
      </c>
      <c r="K5" s="221">
        <v>0</v>
      </c>
      <c r="L5" s="247">
        <f>AVERAGE(F5,H5,J5)</f>
        <v>301550.11343333335</v>
      </c>
      <c r="M5" s="247">
        <f>G5*1.03</f>
        <v>208491.57</v>
      </c>
      <c r="N5" s="217"/>
      <c r="O5" s="97"/>
      <c r="P5" s="97"/>
      <c r="Q5" s="115"/>
      <c r="R5" s="115"/>
      <c r="S5" s="53"/>
      <c r="T5" s="97"/>
      <c r="U5" s="97"/>
      <c r="V5" s="97"/>
      <c r="W5" s="115"/>
      <c r="X5" s="115"/>
      <c r="Y5" s="11"/>
      <c r="Z5" s="97"/>
      <c r="AA5" s="97"/>
      <c r="AB5" s="97"/>
      <c r="AC5" s="44"/>
      <c r="AD5" s="44"/>
      <c r="AE5" s="11"/>
      <c r="AF5" s="102">
        <v>250000</v>
      </c>
      <c r="AG5" s="125">
        <f>AF5*19%</f>
        <v>47500</v>
      </c>
      <c r="AH5" s="97">
        <f>+AF5+AG5</f>
        <v>297500</v>
      </c>
      <c r="AI5" s="11"/>
      <c r="AJ5" s="11"/>
      <c r="AK5" s="17"/>
      <c r="AL5" s="97"/>
      <c r="AM5" s="97"/>
      <c r="AN5" s="103"/>
      <c r="AO5" s="248"/>
      <c r="AP5" s="17"/>
      <c r="AQ5" s="17"/>
      <c r="AR5" s="252">
        <v>504000</v>
      </c>
      <c r="AS5" s="97">
        <f>+AR5*0.19</f>
        <v>95760</v>
      </c>
      <c r="AT5" s="103">
        <f>+AR5+AS5</f>
        <v>599760</v>
      </c>
      <c r="AU5" s="42" t="s">
        <v>46</v>
      </c>
      <c r="AV5" s="42" t="s">
        <v>42</v>
      </c>
      <c r="AW5" s="30"/>
      <c r="AX5" s="100"/>
      <c r="AY5" s="172"/>
      <c r="AZ5" s="124"/>
      <c r="BA5" s="169"/>
      <c r="BB5" s="116"/>
      <c r="BC5" s="116"/>
      <c r="BD5" s="247"/>
      <c r="BE5" s="124"/>
      <c r="BF5" s="124"/>
      <c r="BG5" s="116"/>
      <c r="BH5" s="116"/>
      <c r="BI5" s="116"/>
      <c r="BJ5" s="124"/>
      <c r="BK5" s="124"/>
      <c r="BL5" s="124"/>
      <c r="BM5" s="116"/>
      <c r="BN5" s="116"/>
      <c r="BO5" s="116"/>
      <c r="BP5" s="124"/>
      <c r="BQ5" s="116"/>
      <c r="BR5" s="116"/>
      <c r="BS5" s="116"/>
      <c r="BT5" s="116"/>
      <c r="BU5" s="116"/>
      <c r="BV5" s="236">
        <v>311100</v>
      </c>
      <c r="BW5" s="125">
        <f t="shared" si="0"/>
        <v>59109</v>
      </c>
      <c r="BX5" s="97">
        <f t="shared" si="1"/>
        <v>370209</v>
      </c>
      <c r="BY5" s="237" t="s">
        <v>47</v>
      </c>
      <c r="BZ5" s="237" t="s">
        <v>48</v>
      </c>
      <c r="CA5" s="116"/>
      <c r="CB5" s="247">
        <v>365000</v>
      </c>
      <c r="CC5" s="125">
        <f>+CB5*19%</f>
        <v>69350</v>
      </c>
      <c r="CD5" s="247">
        <f>+CC5+CB5</f>
        <v>434350</v>
      </c>
      <c r="CE5" s="116"/>
      <c r="CF5" s="116"/>
      <c r="CG5" s="116"/>
      <c r="CH5" s="236">
        <v>329766</v>
      </c>
      <c r="CI5" s="238">
        <f>+CH5*0.19</f>
        <v>62655.54</v>
      </c>
      <c r="CJ5" s="236">
        <f>+CH5+CI5</f>
        <v>392421.54</v>
      </c>
      <c r="CK5" s="237" t="s">
        <v>47</v>
      </c>
      <c r="CL5" s="237" t="s">
        <v>48</v>
      </c>
      <c r="CM5" s="116"/>
      <c r="CN5" s="247"/>
      <c r="CO5" s="125"/>
      <c r="CP5" s="247"/>
      <c r="CQ5" s="116"/>
      <c r="CR5" s="116"/>
      <c r="CS5" s="116"/>
      <c r="CT5" s="247"/>
      <c r="CU5" s="125"/>
      <c r="CV5" s="125"/>
      <c r="CW5" s="116"/>
      <c r="CX5" s="116"/>
      <c r="CY5" s="14"/>
      <c r="CZ5" s="102"/>
      <c r="DA5" s="125"/>
      <c r="DB5" s="102"/>
      <c r="DC5" s="31"/>
      <c r="DD5" s="17"/>
      <c r="DE5" s="11"/>
      <c r="DF5" s="116"/>
      <c r="DG5" s="116"/>
      <c r="DH5" s="116"/>
      <c r="DI5" s="116"/>
      <c r="DJ5" s="116"/>
      <c r="DK5" s="116"/>
      <c r="DL5" s="116"/>
      <c r="DM5" s="116"/>
      <c r="DN5" s="116"/>
      <c r="DO5" s="116"/>
      <c r="DP5" s="116"/>
      <c r="DQ5" s="116"/>
      <c r="DR5" s="116"/>
      <c r="DS5" s="116"/>
      <c r="DT5" s="116"/>
      <c r="DU5" s="116"/>
      <c r="DV5" s="116"/>
      <c r="DW5" s="116"/>
      <c r="DX5" s="116"/>
      <c r="DY5" s="116"/>
      <c r="DZ5" s="116"/>
      <c r="EA5" s="116"/>
      <c r="EB5" s="116"/>
      <c r="EC5" s="116"/>
      <c r="ED5" s="116"/>
      <c r="EE5" s="116"/>
      <c r="EF5" s="116"/>
      <c r="EG5" s="116"/>
      <c r="EH5" s="116"/>
      <c r="EI5" s="116"/>
      <c r="EJ5" s="116"/>
      <c r="EK5" s="116"/>
      <c r="EL5" s="116"/>
      <c r="EM5" s="116"/>
      <c r="EN5" s="116"/>
      <c r="EO5" s="116"/>
      <c r="EP5" s="116"/>
      <c r="EQ5" s="116"/>
      <c r="ER5" s="116"/>
      <c r="ES5" s="116"/>
      <c r="ET5" s="11"/>
      <c r="EU5" s="11"/>
      <c r="EV5" s="11"/>
      <c r="EW5" s="11"/>
      <c r="EX5" s="11"/>
      <c r="EY5" s="11"/>
      <c r="EZ5" s="11"/>
      <c r="FA5" s="11"/>
      <c r="FB5" s="11"/>
      <c r="FC5" s="11"/>
      <c r="FD5" s="11"/>
      <c r="FE5" s="11"/>
      <c r="FF5" s="11"/>
      <c r="FG5" s="11"/>
      <c r="FH5" s="17">
        <f t="shared" si="4"/>
        <v>2302732.11</v>
      </c>
      <c r="FI5" s="31">
        <f t="shared" si="2"/>
        <v>6</v>
      </c>
      <c r="FJ5" s="68">
        <f t="shared" si="3"/>
        <v>383788.685</v>
      </c>
    </row>
    <row r="6" spans="1:166" ht="40.5" x14ac:dyDescent="0.25">
      <c r="A6" s="248">
        <f>Distribución_Reactivos!A6</f>
        <v>4</v>
      </c>
      <c r="B6" s="248" t="str">
        <f>Distribución_Reactivos!B6</f>
        <v>Aceite de inmersión</v>
      </c>
      <c r="C6" s="248" t="str">
        <f>Distribución_Reactivos!C6</f>
        <v>Cualquier marca</v>
      </c>
      <c r="D6" s="248" t="str">
        <f>Distribución_Reactivos!D6</f>
        <v>Frasco x 100ml</v>
      </c>
      <c r="E6" s="29">
        <v>1</v>
      </c>
      <c r="F6" s="212">
        <v>173504.38</v>
      </c>
      <c r="G6" s="214">
        <v>37485</v>
      </c>
      <c r="H6" s="221">
        <v>105576.91280500001</v>
      </c>
      <c r="I6" s="221">
        <v>80325</v>
      </c>
      <c r="J6" s="221">
        <v>111045.19000000002</v>
      </c>
      <c r="K6" s="221">
        <v>114716</v>
      </c>
      <c r="L6" s="247">
        <f>AVERAGE(F6,H6,J6)</f>
        <v>130042.16093500001</v>
      </c>
      <c r="M6" s="247">
        <f>AVERAGE(G6,I6,K6)*1.03</f>
        <v>79833.926666666681</v>
      </c>
      <c r="N6" s="217">
        <v>100500</v>
      </c>
      <c r="O6" s="101">
        <f>+N6*0.19</f>
        <v>19095</v>
      </c>
      <c r="P6" s="97">
        <f>+N6+O6</f>
        <v>119595</v>
      </c>
      <c r="Q6" s="34" t="s">
        <v>49</v>
      </c>
      <c r="R6" s="116" t="s">
        <v>50</v>
      </c>
      <c r="S6" s="53"/>
      <c r="T6" s="97"/>
      <c r="U6" s="101"/>
      <c r="V6" s="97"/>
      <c r="W6" s="115"/>
      <c r="X6" s="115"/>
      <c r="Y6" s="11"/>
      <c r="Z6" s="97"/>
      <c r="AA6" s="97"/>
      <c r="AB6" s="97"/>
      <c r="AC6" s="44"/>
      <c r="AD6" s="44"/>
      <c r="AE6" s="11"/>
      <c r="AF6" s="102">
        <v>120000</v>
      </c>
      <c r="AG6" s="125">
        <f>AF6*19%</f>
        <v>22800</v>
      </c>
      <c r="AH6" s="97">
        <f>+AF6+AG6</f>
        <v>142800</v>
      </c>
      <c r="AI6" s="11"/>
      <c r="AJ6" s="11"/>
      <c r="AK6" s="17"/>
      <c r="AL6" s="97">
        <v>124000</v>
      </c>
      <c r="AM6" s="97">
        <f>+AL6*0.19</f>
        <v>23560</v>
      </c>
      <c r="AN6" s="103">
        <f>+AL6+AM6</f>
        <v>147560</v>
      </c>
      <c r="AO6" s="17" t="s">
        <v>51</v>
      </c>
      <c r="AP6" s="239" t="s">
        <v>52</v>
      </c>
      <c r="AQ6" s="17"/>
      <c r="AR6" s="252">
        <v>122668</v>
      </c>
      <c r="AS6" s="97">
        <f>+AR6*0.19</f>
        <v>23306.920000000002</v>
      </c>
      <c r="AT6" s="103">
        <f>+AR6+AS6</f>
        <v>145974.92000000001</v>
      </c>
      <c r="AU6" s="42" t="s">
        <v>46</v>
      </c>
      <c r="AV6" s="52" t="s">
        <v>53</v>
      </c>
      <c r="AW6" s="17"/>
      <c r="AX6" s="100"/>
      <c r="AY6" s="100"/>
      <c r="AZ6" s="124"/>
      <c r="BA6" s="169"/>
      <c r="BB6" s="116"/>
      <c r="BC6" s="116"/>
      <c r="BD6" s="247"/>
      <c r="BE6" s="124"/>
      <c r="BF6" s="124"/>
      <c r="BG6" s="116"/>
      <c r="BH6" s="116"/>
      <c r="BI6" s="116"/>
      <c r="BJ6" s="124"/>
      <c r="BK6" s="124"/>
      <c r="BL6" s="124"/>
      <c r="BM6" s="116"/>
      <c r="BN6" s="116"/>
      <c r="BO6" s="116"/>
      <c r="BP6" s="124"/>
      <c r="BQ6" s="116"/>
      <c r="BR6" s="116"/>
      <c r="BS6" s="116"/>
      <c r="BT6" s="116"/>
      <c r="BU6" s="116"/>
      <c r="BV6" s="236">
        <v>85700</v>
      </c>
      <c r="BW6" s="125">
        <f t="shared" si="0"/>
        <v>16283</v>
      </c>
      <c r="BX6" s="97">
        <f t="shared" si="1"/>
        <v>101983</v>
      </c>
      <c r="BY6" s="237" t="s">
        <v>54</v>
      </c>
      <c r="BZ6" s="237" t="s">
        <v>55</v>
      </c>
      <c r="CA6" s="116"/>
      <c r="CB6" s="247">
        <v>45200</v>
      </c>
      <c r="CC6" s="125">
        <f>+CB6*19%</f>
        <v>8588</v>
      </c>
      <c r="CD6" s="247">
        <f>+CC6+CB6</f>
        <v>53788</v>
      </c>
      <c r="CE6" s="116"/>
      <c r="CF6" s="116"/>
      <c r="CG6" s="116"/>
      <c r="CH6" s="236">
        <v>86557</v>
      </c>
      <c r="CI6" s="238">
        <f>+CH6*0.19</f>
        <v>16445.830000000002</v>
      </c>
      <c r="CJ6" s="236">
        <f>+CH6+CI6</f>
        <v>103002.83</v>
      </c>
      <c r="CK6" s="237" t="s">
        <v>54</v>
      </c>
      <c r="CL6" s="237" t="s">
        <v>55</v>
      </c>
      <c r="CM6" s="116"/>
      <c r="CN6" s="247"/>
      <c r="CO6" s="125"/>
      <c r="CP6" s="247"/>
      <c r="CQ6" s="116"/>
      <c r="CR6" s="116"/>
      <c r="CS6" s="116"/>
      <c r="CT6" s="247"/>
      <c r="CU6" s="125"/>
      <c r="CV6" s="125"/>
      <c r="CW6" s="116"/>
      <c r="CX6" s="116"/>
      <c r="CY6" s="116"/>
      <c r="CZ6" s="102"/>
      <c r="DA6" s="125"/>
      <c r="DB6" s="102"/>
      <c r="DC6" s="31"/>
      <c r="DD6" s="17"/>
      <c r="DE6" s="11"/>
      <c r="DF6" s="116"/>
      <c r="DG6" s="116"/>
      <c r="DH6" s="116"/>
      <c r="DI6" s="116"/>
      <c r="DJ6" s="116"/>
      <c r="DK6" s="116"/>
      <c r="DL6" s="116"/>
      <c r="DM6" s="116"/>
      <c r="DN6" s="116"/>
      <c r="DO6" s="116"/>
      <c r="DP6" s="116"/>
      <c r="DQ6" s="116"/>
      <c r="DR6" s="116"/>
      <c r="DS6" s="116"/>
      <c r="DT6" s="116"/>
      <c r="DU6" s="116"/>
      <c r="DV6" s="116"/>
      <c r="DW6" s="116"/>
      <c r="DX6" s="116"/>
      <c r="DY6" s="116"/>
      <c r="DZ6" s="116"/>
      <c r="EA6" s="116"/>
      <c r="EB6" s="116"/>
      <c r="EC6" s="116"/>
      <c r="ED6" s="116"/>
      <c r="EE6" s="116"/>
      <c r="EF6" s="116"/>
      <c r="EG6" s="116"/>
      <c r="EH6" s="116"/>
      <c r="EI6" s="116"/>
      <c r="EJ6" s="116"/>
      <c r="EK6" s="116"/>
      <c r="EL6" s="116"/>
      <c r="EM6" s="116"/>
      <c r="EN6" s="116"/>
      <c r="EO6" s="116"/>
      <c r="EP6" s="116"/>
      <c r="EQ6" s="116"/>
      <c r="ER6" s="116"/>
      <c r="ES6" s="116"/>
      <c r="ET6" s="11"/>
      <c r="EU6" s="11"/>
      <c r="EV6" s="11"/>
      <c r="EW6" s="11"/>
      <c r="EX6" s="11"/>
      <c r="EY6" s="11"/>
      <c r="EZ6" s="11"/>
      <c r="FA6" s="11"/>
      <c r="FB6" s="11"/>
      <c r="FC6" s="11"/>
      <c r="FD6" s="11"/>
      <c r="FE6" s="11"/>
      <c r="FF6" s="11"/>
      <c r="FG6" s="11"/>
      <c r="FH6" s="17">
        <f t="shared" si="4"/>
        <v>894537.67666666664</v>
      </c>
      <c r="FI6" s="31">
        <f t="shared" si="2"/>
        <v>8</v>
      </c>
      <c r="FJ6" s="68">
        <f t="shared" si="3"/>
        <v>111817.20958333333</v>
      </c>
    </row>
    <row r="7" spans="1:166" ht="25.5" x14ac:dyDescent="0.25">
      <c r="A7" s="248">
        <f>Distribución_Reactivos!A7</f>
        <v>5</v>
      </c>
      <c r="B7" s="248" t="str">
        <f>Distribución_Reactivos!B7</f>
        <v>Aceite mineral</v>
      </c>
      <c r="C7" s="248" t="str">
        <f>Distribución_Reactivos!C7</f>
        <v>Cualquier marca</v>
      </c>
      <c r="D7" s="248" t="str">
        <f>Distribución_Reactivos!D7</f>
        <v>Frasco x 50ml</v>
      </c>
      <c r="E7" s="29">
        <v>1</v>
      </c>
      <c r="F7" s="212">
        <v>0</v>
      </c>
      <c r="G7" s="214">
        <v>0</v>
      </c>
      <c r="H7" s="221">
        <v>24253.39</v>
      </c>
      <c r="I7" s="221">
        <v>0</v>
      </c>
      <c r="J7" s="221">
        <v>26775</v>
      </c>
      <c r="K7" s="221">
        <v>26180</v>
      </c>
      <c r="L7" s="247">
        <f>AVERAGE(H7,J7)</f>
        <v>25514.195</v>
      </c>
      <c r="M7" s="247">
        <f>K7*1.03</f>
        <v>26965.4</v>
      </c>
      <c r="N7" s="217"/>
      <c r="O7" s="97"/>
      <c r="P7" s="97"/>
      <c r="Q7" s="115"/>
      <c r="R7" s="115"/>
      <c r="S7" s="53"/>
      <c r="T7" s="97"/>
      <c r="U7" s="101"/>
      <c r="V7" s="97"/>
      <c r="W7" s="115"/>
      <c r="X7" s="115"/>
      <c r="Y7" s="11"/>
      <c r="Z7" s="97"/>
      <c r="AA7" s="97"/>
      <c r="AB7" s="97"/>
      <c r="AC7" s="44"/>
      <c r="AD7" s="44"/>
      <c r="AE7" s="11"/>
      <c r="AF7" s="102">
        <v>22000</v>
      </c>
      <c r="AG7" s="125">
        <f>AF7*19%</f>
        <v>4180</v>
      </c>
      <c r="AH7" s="97">
        <f>+AF7+AG7</f>
        <v>26180</v>
      </c>
      <c r="AI7" s="11"/>
      <c r="AJ7" s="11"/>
      <c r="AK7" s="17"/>
      <c r="AL7" s="97">
        <f>35000/20</f>
        <v>1750</v>
      </c>
      <c r="AM7" s="97">
        <f>+AL7*0.19</f>
        <v>332.5</v>
      </c>
      <c r="AN7" s="103">
        <f>+AL7+AM7</f>
        <v>2082.5</v>
      </c>
      <c r="AO7" s="248" t="s">
        <v>56</v>
      </c>
      <c r="AP7" s="239" t="s">
        <v>57</v>
      </c>
      <c r="AQ7" s="17"/>
      <c r="AR7" s="252">
        <v>144000</v>
      </c>
      <c r="AS7" s="97">
        <f>+AR7*0.19</f>
        <v>27360</v>
      </c>
      <c r="AT7" s="103">
        <f>+AR7+AS7</f>
        <v>171360</v>
      </c>
      <c r="AU7" s="52" t="s">
        <v>58</v>
      </c>
      <c r="AV7" s="42" t="s">
        <v>42</v>
      </c>
      <c r="AW7" s="30"/>
      <c r="AX7" s="100"/>
      <c r="AY7" s="172"/>
      <c r="AZ7" s="124"/>
      <c r="BA7" s="169"/>
      <c r="BB7" s="116"/>
      <c r="BC7" s="116"/>
      <c r="BD7" s="247"/>
      <c r="BE7" s="124"/>
      <c r="BF7" s="124"/>
      <c r="BG7" s="116"/>
      <c r="BH7" s="116"/>
      <c r="BI7" s="116"/>
      <c r="BJ7" s="124"/>
      <c r="BK7" s="124"/>
      <c r="BL7" s="124"/>
      <c r="BM7" s="116"/>
      <c r="BN7" s="116"/>
      <c r="BO7" s="116"/>
      <c r="BP7" s="124"/>
      <c r="BQ7" s="116"/>
      <c r="BR7" s="116"/>
      <c r="BS7" s="116"/>
      <c r="BT7" s="116"/>
      <c r="BU7" s="116"/>
      <c r="BV7" s="236">
        <v>21800</v>
      </c>
      <c r="BW7" s="125">
        <f t="shared" si="0"/>
        <v>4142</v>
      </c>
      <c r="BX7" s="97">
        <f t="shared" si="1"/>
        <v>25942</v>
      </c>
      <c r="BY7" s="237" t="s">
        <v>59</v>
      </c>
      <c r="BZ7" s="237" t="s">
        <v>60</v>
      </c>
      <c r="CA7" s="116"/>
      <c r="CB7" s="247">
        <v>15500</v>
      </c>
      <c r="CC7" s="125">
        <f>+CB7*19%</f>
        <v>2945</v>
      </c>
      <c r="CD7" s="247">
        <f>+CC7+CB7</f>
        <v>18445</v>
      </c>
      <c r="CE7" s="116"/>
      <c r="CF7" s="116"/>
      <c r="CG7" s="116"/>
      <c r="CH7" s="236">
        <v>23108</v>
      </c>
      <c r="CI7" s="238">
        <f>+CH7*0.19</f>
        <v>4390.5200000000004</v>
      </c>
      <c r="CJ7" s="236">
        <f>+CH7+CI7</f>
        <v>27498.52</v>
      </c>
      <c r="CK7" s="237" t="s">
        <v>59</v>
      </c>
      <c r="CL7" s="237" t="s">
        <v>60</v>
      </c>
      <c r="CM7" s="116"/>
      <c r="CN7" s="247"/>
      <c r="CO7" s="125"/>
      <c r="CP7" s="247"/>
      <c r="CQ7" s="116"/>
      <c r="CR7" s="116"/>
      <c r="CS7" s="116"/>
      <c r="CT7" s="247">
        <v>288750</v>
      </c>
      <c r="CU7" s="125">
        <f>+CT7*0</f>
        <v>0</v>
      </c>
      <c r="CV7" s="125">
        <f>+CT7+CU7</f>
        <v>288750</v>
      </c>
      <c r="CW7" s="116"/>
      <c r="CX7" s="116"/>
      <c r="CY7" s="116"/>
      <c r="CZ7" s="102"/>
      <c r="DA7" s="125"/>
      <c r="DB7" s="102"/>
      <c r="DC7" s="31"/>
      <c r="DD7" s="17"/>
      <c r="DE7" s="11"/>
      <c r="DF7" s="116"/>
      <c r="DG7" s="116"/>
      <c r="DH7" s="116"/>
      <c r="DI7" s="116"/>
      <c r="DJ7" s="116"/>
      <c r="DK7" s="116"/>
      <c r="DL7" s="116"/>
      <c r="DM7" s="116"/>
      <c r="DN7" s="116"/>
      <c r="DO7" s="116"/>
      <c r="DP7" s="116"/>
      <c r="DQ7" s="116"/>
      <c r="DR7" s="116"/>
      <c r="DS7" s="116"/>
      <c r="DT7" s="116"/>
      <c r="DU7" s="116"/>
      <c r="DV7" s="116"/>
      <c r="DW7" s="116"/>
      <c r="DX7" s="116"/>
      <c r="DY7" s="116"/>
      <c r="DZ7" s="116"/>
      <c r="EA7" s="116"/>
      <c r="EB7" s="116"/>
      <c r="EC7" s="116"/>
      <c r="ED7" s="116"/>
      <c r="EE7" s="116"/>
      <c r="EF7" s="116"/>
      <c r="EG7" s="116"/>
      <c r="EH7" s="116"/>
      <c r="EI7" s="116"/>
      <c r="EJ7" s="116"/>
      <c r="EK7" s="116"/>
      <c r="EL7" s="116"/>
      <c r="EM7" s="116"/>
      <c r="EN7" s="116"/>
      <c r="EO7" s="116"/>
      <c r="EP7" s="116"/>
      <c r="EQ7" s="116"/>
      <c r="ER7" s="116"/>
      <c r="ES7" s="116"/>
      <c r="ET7" s="11"/>
      <c r="EU7" s="11"/>
      <c r="EV7" s="11"/>
      <c r="EW7" s="11"/>
      <c r="EX7" s="11"/>
      <c r="EY7" s="11"/>
      <c r="EZ7" s="11"/>
      <c r="FA7" s="11"/>
      <c r="FB7" s="11"/>
      <c r="FC7" s="11"/>
      <c r="FD7" s="11"/>
      <c r="FE7" s="11"/>
      <c r="FF7" s="11"/>
      <c r="FG7" s="11"/>
      <c r="FH7" s="17">
        <f t="shared" si="4"/>
        <v>587223.42000000004</v>
      </c>
      <c r="FI7" s="31">
        <f t="shared" si="2"/>
        <v>8</v>
      </c>
      <c r="FJ7" s="68">
        <f t="shared" si="3"/>
        <v>73402.927500000005</v>
      </c>
    </row>
    <row r="8" spans="1:166" ht="51" x14ac:dyDescent="0.25">
      <c r="A8" s="248">
        <f>Distribución_Reactivos!A8</f>
        <v>6</v>
      </c>
      <c r="B8" s="248" t="str">
        <f>Distribución_Reactivos!B8</f>
        <v>Acetato de amonio grado masas</v>
      </c>
      <c r="C8" s="248" t="str">
        <f>Distribución_Reactivos!C8</f>
        <v>LiChropur (número en catálogo Millipore-Sigma 73594)</v>
      </c>
      <c r="D8" s="248" t="str">
        <f>Distribución_Reactivos!D8</f>
        <v>Frasco x 100g</v>
      </c>
      <c r="E8" s="29">
        <v>1</v>
      </c>
      <c r="F8" s="212">
        <v>2006533.375</v>
      </c>
      <c r="G8" s="214">
        <v>2006459</v>
      </c>
      <c r="H8" s="221">
        <v>1361631.6385375001</v>
      </c>
      <c r="I8" s="221">
        <v>0</v>
      </c>
      <c r="J8" s="221">
        <v>1338434.6500000001</v>
      </c>
      <c r="K8" s="221">
        <v>0</v>
      </c>
      <c r="L8" s="247">
        <f>AVERAGE(F8,H8,J8)</f>
        <v>1568866.5545125001</v>
      </c>
      <c r="M8" s="247">
        <f>G8*1.03</f>
        <v>2066652.77</v>
      </c>
      <c r="N8" s="217"/>
      <c r="O8" s="97"/>
      <c r="P8" s="97"/>
      <c r="Q8" s="115"/>
      <c r="R8" s="115"/>
      <c r="S8" s="53"/>
      <c r="T8" s="97"/>
      <c r="U8" s="97"/>
      <c r="V8" s="97"/>
      <c r="W8" s="115"/>
      <c r="X8" s="115"/>
      <c r="Y8" s="11"/>
      <c r="Z8" s="97"/>
      <c r="AA8" s="97"/>
      <c r="AB8" s="97"/>
      <c r="AC8" s="44"/>
      <c r="AD8" s="44"/>
      <c r="AE8" s="11"/>
      <c r="AF8" s="102"/>
      <c r="AG8" s="125"/>
      <c r="AH8" s="97"/>
      <c r="AI8" s="11"/>
      <c r="AJ8" s="11"/>
      <c r="AK8" s="17"/>
      <c r="AL8" s="97"/>
      <c r="AM8" s="97"/>
      <c r="AN8" s="101"/>
      <c r="AO8" s="248"/>
      <c r="AP8" s="17"/>
      <c r="AQ8" s="17"/>
      <c r="AR8" s="252">
        <v>136800</v>
      </c>
      <c r="AS8" s="97">
        <f>+AR8*0.19</f>
        <v>25992</v>
      </c>
      <c r="AT8" s="103">
        <f>+AR8+AS8</f>
        <v>162792</v>
      </c>
      <c r="AU8" s="52" t="s">
        <v>61</v>
      </c>
      <c r="AV8" s="42" t="s">
        <v>42</v>
      </c>
      <c r="AW8" s="11" t="s">
        <v>62</v>
      </c>
      <c r="AX8" s="100"/>
      <c r="AY8" s="100"/>
      <c r="AZ8" s="124"/>
      <c r="BA8" s="169"/>
      <c r="BB8" s="116"/>
      <c r="BC8" s="116"/>
      <c r="BD8" s="247"/>
      <c r="BE8" s="124"/>
      <c r="BF8" s="124"/>
      <c r="BG8" s="116"/>
      <c r="BH8" s="116"/>
      <c r="BI8" s="116"/>
      <c r="BJ8" s="124"/>
      <c r="BK8" s="124"/>
      <c r="BL8" s="124"/>
      <c r="BM8" s="116"/>
      <c r="BN8" s="116"/>
      <c r="BO8" s="116"/>
      <c r="BP8" s="124"/>
      <c r="BQ8" s="116"/>
      <c r="BR8" s="116"/>
      <c r="BS8" s="116"/>
      <c r="BT8" s="116"/>
      <c r="BU8" s="116"/>
      <c r="BV8" s="236">
        <v>3507000</v>
      </c>
      <c r="BW8" s="125">
        <f t="shared" si="0"/>
        <v>666330</v>
      </c>
      <c r="BX8" s="97">
        <f t="shared" si="1"/>
        <v>4173330</v>
      </c>
      <c r="BY8" s="237" t="s">
        <v>63</v>
      </c>
      <c r="BZ8" s="237" t="s">
        <v>44</v>
      </c>
      <c r="CA8" s="116"/>
      <c r="CB8" s="247"/>
      <c r="CC8" s="125"/>
      <c r="CD8" s="247"/>
      <c r="CE8" s="116"/>
      <c r="CF8" s="116"/>
      <c r="CG8" s="116"/>
      <c r="CH8" s="236"/>
      <c r="CI8" s="238"/>
      <c r="CJ8" s="236"/>
      <c r="CK8" s="237"/>
      <c r="CL8" s="237"/>
      <c r="CM8" s="116"/>
      <c r="CN8" s="247"/>
      <c r="CO8" s="125"/>
      <c r="CP8" s="247"/>
      <c r="CQ8" s="116"/>
      <c r="CR8" s="116"/>
      <c r="CS8" s="116"/>
      <c r="CT8" s="125">
        <v>175000</v>
      </c>
      <c r="CU8" s="125">
        <v>33250</v>
      </c>
      <c r="CV8" s="125">
        <f>+CT8+CU8</f>
        <v>208250</v>
      </c>
      <c r="CW8" s="116"/>
      <c r="CX8" s="116"/>
      <c r="CY8" s="116"/>
      <c r="CZ8" s="102">
        <v>2928300</v>
      </c>
      <c r="DA8" s="125">
        <f>+CZ8*0.19</f>
        <v>556377</v>
      </c>
      <c r="DB8" s="102">
        <f>+CZ8+DA8</f>
        <v>3484677</v>
      </c>
      <c r="DC8" s="31" t="s">
        <v>64</v>
      </c>
      <c r="DD8" s="17" t="s">
        <v>65</v>
      </c>
      <c r="DE8" s="11" t="s">
        <v>66</v>
      </c>
      <c r="DF8" s="116"/>
      <c r="DG8" s="116"/>
      <c r="DH8" s="116"/>
      <c r="DI8" s="116"/>
      <c r="DJ8" s="116"/>
      <c r="DK8" s="116"/>
      <c r="DL8" s="116"/>
      <c r="DM8" s="116"/>
      <c r="DN8" s="116"/>
      <c r="DO8" s="116"/>
      <c r="DP8" s="116"/>
      <c r="DQ8" s="116"/>
      <c r="DR8" s="97"/>
      <c r="DS8" s="125"/>
      <c r="DT8" s="97"/>
      <c r="DU8" s="116"/>
      <c r="DV8" s="116"/>
      <c r="DW8" s="116"/>
      <c r="DX8" s="116"/>
      <c r="DY8" s="116"/>
      <c r="DZ8" s="116"/>
      <c r="EA8" s="116"/>
      <c r="EB8" s="116"/>
      <c r="EC8" s="116"/>
      <c r="ED8" s="116"/>
      <c r="EE8" s="116"/>
      <c r="EF8" s="116"/>
      <c r="EG8" s="116"/>
      <c r="EH8" s="116"/>
      <c r="EI8" s="116"/>
      <c r="EJ8" s="116"/>
      <c r="EK8" s="116"/>
      <c r="EL8" s="116"/>
      <c r="EM8" s="116"/>
      <c r="EN8" s="116"/>
      <c r="EO8" s="116"/>
      <c r="EP8" s="116"/>
      <c r="EQ8" s="116"/>
      <c r="ER8" s="116"/>
      <c r="ES8" s="116"/>
      <c r="ET8" s="11"/>
      <c r="EU8" s="11"/>
      <c r="EV8" s="11"/>
      <c r="EW8" s="11"/>
      <c r="EX8" s="11"/>
      <c r="EY8" s="11"/>
      <c r="EZ8" s="11"/>
      <c r="FA8" s="11"/>
      <c r="FB8" s="11"/>
      <c r="FC8" s="11"/>
      <c r="FD8" s="11"/>
      <c r="FE8" s="11"/>
      <c r="FF8" s="11"/>
      <c r="FG8" s="11"/>
      <c r="FH8" s="17">
        <f t="shared" si="4"/>
        <v>10095701.77</v>
      </c>
      <c r="FI8" s="31">
        <f t="shared" si="2"/>
        <v>5</v>
      </c>
      <c r="FJ8" s="68">
        <f t="shared" si="3"/>
        <v>2019140.3539999998</v>
      </c>
    </row>
    <row r="9" spans="1:166" ht="38.25" x14ac:dyDescent="0.25">
      <c r="A9" s="248">
        <f>Distribución_Reactivos!A9</f>
        <v>7</v>
      </c>
      <c r="B9" s="248" t="str">
        <f>Distribución_Reactivos!B9</f>
        <v>Acetato de etilo grado masas</v>
      </c>
      <c r="C9" s="248" t="str">
        <f>Distribución_Reactivos!C9</f>
        <v>Sigma Aldrich / Merck / JT Baker o equivalente</v>
      </c>
      <c r="D9" s="248" t="str">
        <f>Distribución_Reactivos!D9</f>
        <v>Frasco x 1 litro</v>
      </c>
      <c r="E9" s="29">
        <v>1</v>
      </c>
      <c r="F9" s="212">
        <v>0</v>
      </c>
      <c r="G9" s="214">
        <v>0</v>
      </c>
      <c r="H9" s="221">
        <v>351635.20000000001</v>
      </c>
      <c r="I9" s="221">
        <v>0</v>
      </c>
      <c r="J9" s="221">
        <v>608328</v>
      </c>
      <c r="K9" s="221">
        <v>0</v>
      </c>
      <c r="L9" s="247">
        <f>AVERAGE(H9,J9)</f>
        <v>479981.6</v>
      </c>
      <c r="M9" s="247"/>
      <c r="N9" s="217"/>
      <c r="O9" s="97"/>
      <c r="P9" s="97"/>
      <c r="Q9" s="115"/>
      <c r="R9" s="115"/>
      <c r="S9" s="53"/>
      <c r="T9" s="97"/>
      <c r="U9" s="97"/>
      <c r="V9" s="97"/>
      <c r="W9" s="115"/>
      <c r="X9" s="115"/>
      <c r="Y9" s="11"/>
      <c r="Z9" s="97"/>
      <c r="AA9" s="97"/>
      <c r="AB9" s="97"/>
      <c r="AC9" s="44"/>
      <c r="AD9" s="44"/>
      <c r="AE9" s="11"/>
      <c r="AF9" s="102"/>
      <c r="AG9" s="125"/>
      <c r="AH9" s="97"/>
      <c r="AI9" s="11"/>
      <c r="AJ9" s="11"/>
      <c r="AK9" s="17"/>
      <c r="AL9" s="97"/>
      <c r="AM9" s="97"/>
      <c r="AN9" s="101"/>
      <c r="AO9" s="248"/>
      <c r="AP9" s="17"/>
      <c r="AQ9" s="17"/>
      <c r="AR9" s="252">
        <v>511200</v>
      </c>
      <c r="AS9" s="97">
        <f>+AR9*0.19</f>
        <v>97128</v>
      </c>
      <c r="AT9" s="103">
        <f>+AR9+AS9</f>
        <v>608328</v>
      </c>
      <c r="AU9" s="52" t="s">
        <v>56</v>
      </c>
      <c r="AV9" s="42" t="s">
        <v>42</v>
      </c>
      <c r="AW9" s="30"/>
      <c r="AX9" s="100"/>
      <c r="AY9" s="100"/>
      <c r="AZ9" s="124"/>
      <c r="BA9" s="169"/>
      <c r="BB9" s="116"/>
      <c r="BC9" s="116"/>
      <c r="BD9" s="247"/>
      <c r="BE9" s="124"/>
      <c r="BF9" s="124"/>
      <c r="BG9" s="116"/>
      <c r="BH9" s="116"/>
      <c r="BI9" s="116"/>
      <c r="BJ9" s="124"/>
      <c r="BK9" s="124"/>
      <c r="BL9" s="124"/>
      <c r="BM9" s="116"/>
      <c r="BN9" s="116"/>
      <c r="BO9" s="116"/>
      <c r="BP9" s="124"/>
      <c r="BQ9" s="116"/>
      <c r="BR9" s="116"/>
      <c r="BS9" s="116"/>
      <c r="BT9" s="116"/>
      <c r="BU9" s="116"/>
      <c r="BV9" s="236">
        <v>400300</v>
      </c>
      <c r="BW9" s="125">
        <f t="shared" si="0"/>
        <v>76057</v>
      </c>
      <c r="BX9" s="97">
        <f t="shared" si="1"/>
        <v>476357</v>
      </c>
      <c r="BY9" s="237" t="s">
        <v>67</v>
      </c>
      <c r="BZ9" s="237" t="s">
        <v>68</v>
      </c>
      <c r="CA9" s="116"/>
      <c r="CB9" s="247"/>
      <c r="CC9" s="125"/>
      <c r="CD9" s="247"/>
      <c r="CE9" s="116"/>
      <c r="CF9" s="116"/>
      <c r="CG9" s="116"/>
      <c r="CH9" s="236">
        <v>428321</v>
      </c>
      <c r="CI9" s="238">
        <f t="shared" ref="CI9:CI16" si="5">+CH9*0.19</f>
        <v>81380.990000000005</v>
      </c>
      <c r="CJ9" s="236">
        <f t="shared" ref="CJ9:CJ16" si="6">+CH9+CI9</f>
        <v>509701.99</v>
      </c>
      <c r="CK9" s="237" t="s">
        <v>67</v>
      </c>
      <c r="CL9" s="237" t="s">
        <v>68</v>
      </c>
      <c r="CM9" s="116"/>
      <c r="CN9" s="247"/>
      <c r="CO9" s="125"/>
      <c r="CP9" s="247"/>
      <c r="CQ9" s="116"/>
      <c r="CR9" s="116"/>
      <c r="CS9" s="116"/>
      <c r="CT9" s="247"/>
      <c r="CU9" s="125"/>
      <c r="CV9" s="125"/>
      <c r="CW9" s="116"/>
      <c r="CX9" s="116"/>
      <c r="CY9" s="116"/>
      <c r="CZ9" s="102">
        <v>168276</v>
      </c>
      <c r="DA9" s="125">
        <f>+CZ9*0.19</f>
        <v>31972.44</v>
      </c>
      <c r="DB9" s="102">
        <f>+CZ9+DA9</f>
        <v>200248.44</v>
      </c>
      <c r="DC9" s="31" t="s">
        <v>69</v>
      </c>
      <c r="DD9" s="17" t="s">
        <v>65</v>
      </c>
      <c r="DE9" s="11" t="s">
        <v>70</v>
      </c>
      <c r="DF9" s="116"/>
      <c r="DG9" s="116"/>
      <c r="DH9" s="116"/>
      <c r="DI9" s="116"/>
      <c r="DJ9" s="116"/>
      <c r="DK9" s="116"/>
      <c r="DL9" s="116"/>
      <c r="DM9" s="116"/>
      <c r="DN9" s="116"/>
      <c r="DO9" s="116"/>
      <c r="DP9" s="116"/>
      <c r="DQ9" s="116"/>
      <c r="DR9" s="116"/>
      <c r="DS9" s="116"/>
      <c r="DT9" s="116"/>
      <c r="DU9" s="116"/>
      <c r="DV9" s="116"/>
      <c r="DW9" s="116"/>
      <c r="DX9" s="116"/>
      <c r="DY9" s="116"/>
      <c r="DZ9" s="116"/>
      <c r="EA9" s="116"/>
      <c r="EB9" s="116"/>
      <c r="EC9" s="116"/>
      <c r="ED9" s="116"/>
      <c r="EE9" s="116"/>
      <c r="EF9" s="116"/>
      <c r="EG9" s="116"/>
      <c r="EH9" s="116"/>
      <c r="EI9" s="116"/>
      <c r="EJ9" s="116"/>
      <c r="EK9" s="116"/>
      <c r="EL9" s="116"/>
      <c r="EM9" s="116"/>
      <c r="EN9" s="116"/>
      <c r="EO9" s="116"/>
      <c r="EP9" s="116"/>
      <c r="EQ9" s="116"/>
      <c r="ER9" s="116"/>
      <c r="ES9" s="116"/>
      <c r="ET9" s="11"/>
      <c r="EU9" s="11"/>
      <c r="EV9" s="11"/>
      <c r="EW9" s="11"/>
      <c r="EX9" s="11"/>
      <c r="EY9" s="11"/>
      <c r="EZ9" s="11"/>
      <c r="FA9" s="11"/>
      <c r="FB9" s="11"/>
      <c r="FC9" s="11"/>
      <c r="FD9" s="11"/>
      <c r="FE9" s="11"/>
      <c r="FF9" s="11"/>
      <c r="FG9" s="11"/>
      <c r="FH9" s="17">
        <f t="shared" si="4"/>
        <v>1794635.43</v>
      </c>
      <c r="FI9" s="31">
        <f t="shared" si="2"/>
        <v>4</v>
      </c>
      <c r="FJ9" s="68">
        <f t="shared" si="3"/>
        <v>448658.85749999998</v>
      </c>
    </row>
    <row r="10" spans="1:166" ht="40.5" x14ac:dyDescent="0.25">
      <c r="A10" s="248">
        <f>Distribución_Reactivos!A10</f>
        <v>8</v>
      </c>
      <c r="B10" s="248" t="str">
        <f>Distribución_Reactivos!B10</f>
        <v>Acetato de etilo para análisis de residuos</v>
      </c>
      <c r="C10" s="248" t="str">
        <f>Distribución_Reactivos!C10</f>
        <v>Sigma Aldrich / Merck / JT Baker o equivalente</v>
      </c>
      <c r="D10" s="248" t="str">
        <f>Distribución_Reactivos!D10</f>
        <v>Frasco x 4 litros</v>
      </c>
      <c r="E10" s="29">
        <v>1</v>
      </c>
      <c r="F10" s="212">
        <v>542283</v>
      </c>
      <c r="G10" s="214">
        <v>525980</v>
      </c>
      <c r="H10" s="221">
        <v>550966.13448333333</v>
      </c>
      <c r="I10" s="221">
        <v>550851</v>
      </c>
      <c r="J10" s="221">
        <v>484389.5</v>
      </c>
      <c r="K10" s="221">
        <v>490875</v>
      </c>
      <c r="L10" s="247">
        <f>AVERAGE(F10,H10,J10)</f>
        <v>525879.54482777778</v>
      </c>
      <c r="M10" s="247">
        <f>AVERAGE(G10,I10,K10)*1.03</f>
        <v>538245.72666666668</v>
      </c>
      <c r="N10" s="217"/>
      <c r="O10" s="97"/>
      <c r="P10" s="97"/>
      <c r="Q10" s="115"/>
      <c r="R10" s="115"/>
      <c r="S10" s="53"/>
      <c r="T10" s="97"/>
      <c r="U10" s="97"/>
      <c r="V10" s="97"/>
      <c r="W10" s="115"/>
      <c r="X10" s="115"/>
      <c r="Y10" s="11"/>
      <c r="Z10" s="97"/>
      <c r="AA10" s="97"/>
      <c r="AB10" s="97"/>
      <c r="AC10" s="44"/>
      <c r="AD10" s="44"/>
      <c r="AE10" s="11"/>
      <c r="AF10" s="102"/>
      <c r="AG10" s="125"/>
      <c r="AH10" s="97"/>
      <c r="AI10" s="11"/>
      <c r="AJ10" s="11"/>
      <c r="AK10" s="17"/>
      <c r="AL10" s="97"/>
      <c r="AM10" s="97"/>
      <c r="AN10" s="103"/>
      <c r="AO10" s="248"/>
      <c r="AP10" s="17"/>
      <c r="AQ10" s="17"/>
      <c r="AR10" s="252"/>
      <c r="AS10" s="97"/>
      <c r="AT10" s="103"/>
      <c r="AU10" s="52"/>
      <c r="AV10" s="42"/>
      <c r="AW10" s="30"/>
      <c r="AX10" s="100">
        <v>438013.42799999996</v>
      </c>
      <c r="AY10" s="100">
        <f>+AX10*0.19</f>
        <v>83222.551319999999</v>
      </c>
      <c r="AZ10" s="124">
        <f>+AX10+AY10</f>
        <v>521235.97931999993</v>
      </c>
      <c r="BA10" s="169" t="s">
        <v>71</v>
      </c>
      <c r="BB10" s="116" t="s">
        <v>72</v>
      </c>
      <c r="BC10" s="116"/>
      <c r="BD10" s="247"/>
      <c r="BE10" s="124"/>
      <c r="BF10" s="124"/>
      <c r="BG10" s="116"/>
      <c r="BH10" s="116"/>
      <c r="BI10" s="116"/>
      <c r="BJ10" s="124"/>
      <c r="BK10" s="124"/>
      <c r="BL10" s="124"/>
      <c r="BM10" s="116"/>
      <c r="BN10" s="116"/>
      <c r="BO10" s="116"/>
      <c r="BP10" s="124"/>
      <c r="BQ10" s="116"/>
      <c r="BR10" s="116"/>
      <c r="BS10" s="116"/>
      <c r="BT10" s="116"/>
      <c r="BU10" s="116"/>
      <c r="BV10" s="236">
        <v>1068000</v>
      </c>
      <c r="BW10" s="125">
        <f t="shared" si="0"/>
        <v>202920</v>
      </c>
      <c r="BX10" s="97">
        <f t="shared" si="1"/>
        <v>1270920</v>
      </c>
      <c r="BY10" s="237" t="s">
        <v>73</v>
      </c>
      <c r="BZ10" s="237" t="s">
        <v>74</v>
      </c>
      <c r="CA10" s="116"/>
      <c r="CB10" s="247"/>
      <c r="CC10" s="125"/>
      <c r="CD10" s="247"/>
      <c r="CE10" s="116"/>
      <c r="CF10" s="116"/>
      <c r="CG10" s="116"/>
      <c r="CH10" s="236">
        <v>1100040</v>
      </c>
      <c r="CI10" s="238">
        <f t="shared" si="5"/>
        <v>209007.6</v>
      </c>
      <c r="CJ10" s="236">
        <f t="shared" si="6"/>
        <v>1309047.6000000001</v>
      </c>
      <c r="CK10" s="237" t="s">
        <v>73</v>
      </c>
      <c r="CL10" s="237" t="s">
        <v>74</v>
      </c>
      <c r="CM10" s="116"/>
      <c r="CN10" s="247"/>
      <c r="CO10" s="125"/>
      <c r="CP10" s="247"/>
      <c r="CQ10" s="116"/>
      <c r="CR10" s="116"/>
      <c r="CS10" s="116"/>
      <c r="CT10" s="247"/>
      <c r="CU10" s="125"/>
      <c r="CV10" s="125"/>
      <c r="CW10" s="116"/>
      <c r="CX10" s="116"/>
      <c r="CY10" s="116"/>
      <c r="CZ10" s="102">
        <v>444690</v>
      </c>
      <c r="DA10" s="125">
        <f>+CZ10*0.19</f>
        <v>84491.1</v>
      </c>
      <c r="DB10" s="102">
        <f>+CZ10+DA10</f>
        <v>529181.1</v>
      </c>
      <c r="DC10" s="31" t="s">
        <v>75</v>
      </c>
      <c r="DD10" s="17" t="s">
        <v>65</v>
      </c>
      <c r="DE10" s="11" t="s">
        <v>76</v>
      </c>
      <c r="DF10" s="116"/>
      <c r="DG10" s="116"/>
      <c r="DH10" s="116"/>
      <c r="DI10" s="116"/>
      <c r="DJ10" s="116"/>
      <c r="DK10" s="116"/>
      <c r="DL10" s="116"/>
      <c r="DM10" s="116"/>
      <c r="DN10" s="116"/>
      <c r="DO10" s="116"/>
      <c r="DP10" s="116"/>
      <c r="DQ10" s="116"/>
      <c r="DR10" s="116"/>
      <c r="DS10" s="116"/>
      <c r="DT10" s="116"/>
      <c r="DU10" s="116"/>
      <c r="DV10" s="116"/>
      <c r="DW10" s="116"/>
      <c r="DX10" s="116"/>
      <c r="DY10" s="116"/>
      <c r="DZ10" s="116"/>
      <c r="EA10" s="116"/>
      <c r="EB10" s="116"/>
      <c r="EC10" s="116"/>
      <c r="ED10" s="116"/>
      <c r="EE10" s="116"/>
      <c r="EF10" s="116"/>
      <c r="EG10" s="116"/>
      <c r="EH10" s="116"/>
      <c r="EI10" s="116"/>
      <c r="EJ10" s="116"/>
      <c r="EK10" s="116"/>
      <c r="EL10" s="116"/>
      <c r="EM10" s="116"/>
      <c r="EN10" s="116"/>
      <c r="EO10" s="116"/>
      <c r="EP10" s="116"/>
      <c r="EQ10" s="116"/>
      <c r="ER10" s="116"/>
      <c r="ES10" s="116"/>
      <c r="ET10" s="11"/>
      <c r="EU10" s="11"/>
      <c r="EV10" s="11"/>
      <c r="EW10" s="11"/>
      <c r="EX10" s="11"/>
      <c r="EY10" s="11"/>
      <c r="EZ10" s="11"/>
      <c r="FA10" s="11"/>
      <c r="FB10" s="11"/>
      <c r="FC10" s="11"/>
      <c r="FD10" s="11"/>
      <c r="FE10" s="11"/>
      <c r="FF10" s="11"/>
      <c r="FG10" s="11"/>
      <c r="FH10" s="17">
        <f t="shared" si="4"/>
        <v>4168630.4059866667</v>
      </c>
      <c r="FI10" s="31">
        <f t="shared" si="2"/>
        <v>5</v>
      </c>
      <c r="FJ10" s="68">
        <f t="shared" si="3"/>
        <v>833726.08119733329</v>
      </c>
    </row>
    <row r="11" spans="1:166" ht="40.5" x14ac:dyDescent="0.25">
      <c r="A11" s="248">
        <f>Distribución_Reactivos!A11</f>
        <v>9</v>
      </c>
      <c r="B11" s="248" t="str">
        <f>Distribución_Reactivos!B11</f>
        <v>Acetato de potasio</v>
      </c>
      <c r="C11" s="248" t="str">
        <f>Distribución_Reactivos!C11</f>
        <v xml:space="preserve">Merck </v>
      </c>
      <c r="D11" s="248" t="str">
        <f>Distribución_Reactivos!D11</f>
        <v>Frasco x 500 o 1Kg</v>
      </c>
      <c r="E11" s="29">
        <v>1</v>
      </c>
      <c r="F11" s="212">
        <v>247573.55</v>
      </c>
      <c r="G11" s="214">
        <v>0</v>
      </c>
      <c r="H11" s="221">
        <v>509377.14697388891</v>
      </c>
      <c r="I11" s="221">
        <v>0</v>
      </c>
      <c r="J11" s="221">
        <v>0</v>
      </c>
      <c r="K11" s="221">
        <v>0</v>
      </c>
      <c r="L11" s="247">
        <f>AVERAGE(F11,H11)</f>
        <v>378475.34848694445</v>
      </c>
      <c r="M11" s="247"/>
      <c r="N11" s="217"/>
      <c r="O11" s="97"/>
      <c r="P11" s="97"/>
      <c r="Q11" s="115"/>
      <c r="R11" s="115"/>
      <c r="S11" s="53"/>
      <c r="T11" s="97"/>
      <c r="U11" s="105"/>
      <c r="V11" s="97"/>
      <c r="W11" s="115"/>
      <c r="X11" s="115"/>
      <c r="Y11" s="11"/>
      <c r="Z11" s="97"/>
      <c r="AA11" s="97"/>
      <c r="AB11" s="97"/>
      <c r="AC11" s="44"/>
      <c r="AD11" s="44"/>
      <c r="AE11" s="11"/>
      <c r="AF11" s="102"/>
      <c r="AG11" s="125"/>
      <c r="AH11" s="97"/>
      <c r="AI11" s="11"/>
      <c r="AJ11" s="11"/>
      <c r="AK11" s="17"/>
      <c r="AL11" s="97">
        <v>230000</v>
      </c>
      <c r="AM11" s="97">
        <f t="shared" ref="AM11:AM16" si="7">+AL11*0.19</f>
        <v>43700</v>
      </c>
      <c r="AN11" s="103">
        <f t="shared" ref="AN11:AN16" si="8">+AL11+AM11</f>
        <v>273700</v>
      </c>
      <c r="AO11" s="4" t="s">
        <v>77</v>
      </c>
      <c r="AP11" s="239" t="s">
        <v>52</v>
      </c>
      <c r="AQ11" s="17"/>
      <c r="AR11" s="252">
        <v>288000</v>
      </c>
      <c r="AS11" s="97">
        <f>+AR11*0.19</f>
        <v>54720</v>
      </c>
      <c r="AT11" s="103">
        <f>+AR11+AS11</f>
        <v>342720</v>
      </c>
      <c r="AU11" s="52" t="s">
        <v>77</v>
      </c>
      <c r="AV11" s="42" t="s">
        <v>42</v>
      </c>
      <c r="AW11" s="30"/>
      <c r="AX11" s="100"/>
      <c r="AY11" s="100"/>
      <c r="AZ11" s="124"/>
      <c r="BA11" s="169"/>
      <c r="BB11" s="116"/>
      <c r="BC11" s="116"/>
      <c r="BD11" s="247"/>
      <c r="BE11" s="124"/>
      <c r="BF11" s="124"/>
      <c r="BG11" s="116"/>
      <c r="BH11" s="116"/>
      <c r="BI11" s="116"/>
      <c r="BJ11" s="124"/>
      <c r="BK11" s="124"/>
      <c r="BL11" s="124"/>
      <c r="BM11" s="116"/>
      <c r="BN11" s="116"/>
      <c r="BO11" s="116"/>
      <c r="BP11" s="124"/>
      <c r="BQ11" s="116"/>
      <c r="BR11" s="116"/>
      <c r="BS11" s="116"/>
      <c r="BT11" s="116"/>
      <c r="BU11" s="116"/>
      <c r="BV11" s="236">
        <v>644000</v>
      </c>
      <c r="BW11" s="125">
        <f t="shared" si="0"/>
        <v>122360</v>
      </c>
      <c r="BX11" s="97">
        <f t="shared" si="1"/>
        <v>766360</v>
      </c>
      <c r="BY11" s="237" t="s">
        <v>78</v>
      </c>
      <c r="BZ11" s="237" t="s">
        <v>79</v>
      </c>
      <c r="CA11" s="116"/>
      <c r="CB11" s="247"/>
      <c r="CC11" s="125"/>
      <c r="CD11" s="247"/>
      <c r="CE11" s="116"/>
      <c r="CF11" s="116"/>
      <c r="CG11" s="116"/>
      <c r="CH11" s="236">
        <v>676200</v>
      </c>
      <c r="CI11" s="238">
        <f t="shared" si="5"/>
        <v>128478</v>
      </c>
      <c r="CJ11" s="236">
        <f t="shared" si="6"/>
        <v>804678</v>
      </c>
      <c r="CK11" s="237" t="s">
        <v>78</v>
      </c>
      <c r="CL11" s="237" t="s">
        <v>79</v>
      </c>
      <c r="CM11" s="116"/>
      <c r="CN11" s="247"/>
      <c r="CO11" s="125"/>
      <c r="CP11" s="247"/>
      <c r="CQ11" s="116"/>
      <c r="CR11" s="116"/>
      <c r="CS11" s="116"/>
      <c r="CT11" s="247">
        <v>678333.33333333337</v>
      </c>
      <c r="CU11" s="125">
        <v>128883.33333333334</v>
      </c>
      <c r="CV11" s="125">
        <f t="shared" ref="CV11:CV46" si="9">+CT11+CU11</f>
        <v>807216.66666666674</v>
      </c>
      <c r="CW11" s="116"/>
      <c r="CX11" s="116"/>
      <c r="CY11" s="116"/>
      <c r="CZ11" s="102">
        <v>255172</v>
      </c>
      <c r="DA11" s="125">
        <f>+CZ11*0.19</f>
        <v>48482.68</v>
      </c>
      <c r="DB11" s="102">
        <f>+CZ11+DA11</f>
        <v>303654.68</v>
      </c>
      <c r="DC11" s="31" t="s">
        <v>80</v>
      </c>
      <c r="DD11" s="17" t="s">
        <v>65</v>
      </c>
      <c r="DE11" s="11" t="s">
        <v>81</v>
      </c>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
      <c r="EU11" s="11"/>
      <c r="EV11" s="11"/>
      <c r="EW11" s="11"/>
      <c r="EX11" s="11"/>
      <c r="EY11" s="11"/>
      <c r="EZ11" s="11"/>
      <c r="FA11" s="11"/>
      <c r="FB11" s="11"/>
      <c r="FC11" s="11"/>
      <c r="FD11" s="11"/>
      <c r="FE11" s="11"/>
      <c r="FF11" s="11"/>
      <c r="FG11" s="11"/>
      <c r="FH11" s="17">
        <f t="shared" si="4"/>
        <v>3298329.3466666671</v>
      </c>
      <c r="FI11" s="31">
        <f t="shared" si="2"/>
        <v>6</v>
      </c>
      <c r="FJ11" s="68">
        <f t="shared" si="3"/>
        <v>549721.5577777779</v>
      </c>
    </row>
    <row r="12" spans="1:166" ht="27" x14ac:dyDescent="0.25">
      <c r="A12" s="248">
        <f>Distribución_Reactivos!A12</f>
        <v>10</v>
      </c>
      <c r="B12" s="248" t="str">
        <f>Distribución_Reactivos!B12</f>
        <v>Acetato de sodio anhidro</v>
      </c>
      <c r="C12" s="248" t="str">
        <f>Distribución_Reactivos!C12</f>
        <v>Cualquier marca</v>
      </c>
      <c r="D12" s="248" t="str">
        <f>Distribución_Reactivos!D12</f>
        <v>Frasco x 500g</v>
      </c>
      <c r="E12" s="29">
        <v>1</v>
      </c>
      <c r="F12" s="212">
        <v>275083.29000000004</v>
      </c>
      <c r="G12" s="214">
        <v>261324</v>
      </c>
      <c r="H12" s="221">
        <v>288452.06789518183</v>
      </c>
      <c r="I12" s="221">
        <v>128520</v>
      </c>
      <c r="J12" s="221">
        <v>326718.26833333331</v>
      </c>
      <c r="K12" s="221">
        <v>329511</v>
      </c>
      <c r="L12" s="247">
        <f>AVERAGE(F12,H12,J12)</f>
        <v>296751.20874283841</v>
      </c>
      <c r="M12" s="247">
        <f>AVERAGE(G12,I12,K12)*1.03</f>
        <v>246978.55000000002</v>
      </c>
      <c r="N12" s="217"/>
      <c r="O12" s="97"/>
      <c r="P12" s="97"/>
      <c r="Q12" s="115"/>
      <c r="R12" s="115"/>
      <c r="S12" s="53"/>
      <c r="T12" s="97"/>
      <c r="U12" s="105"/>
      <c r="V12" s="97"/>
      <c r="W12" s="115"/>
      <c r="X12" s="115"/>
      <c r="Y12" s="11"/>
      <c r="Z12" s="97"/>
      <c r="AA12" s="97"/>
      <c r="AB12" s="97"/>
      <c r="AC12" s="44"/>
      <c r="AD12" s="44"/>
      <c r="AE12" s="11"/>
      <c r="AF12" s="102">
        <v>300000</v>
      </c>
      <c r="AG12" s="125">
        <f>AF12*19%</f>
        <v>57000</v>
      </c>
      <c r="AH12" s="97">
        <f>+AF12+AG12</f>
        <v>357000</v>
      </c>
      <c r="AI12" s="11"/>
      <c r="AJ12" s="11"/>
      <c r="AK12" s="17"/>
      <c r="AL12" s="97">
        <v>254000</v>
      </c>
      <c r="AM12" s="97">
        <f t="shared" si="7"/>
        <v>48260</v>
      </c>
      <c r="AN12" s="103">
        <f t="shared" si="8"/>
        <v>302260</v>
      </c>
      <c r="AO12" s="4" t="s">
        <v>77</v>
      </c>
      <c r="AP12" s="239" t="s">
        <v>52</v>
      </c>
      <c r="AQ12" s="17"/>
      <c r="AR12" s="252">
        <f>201600*2</f>
        <v>403200</v>
      </c>
      <c r="AS12" s="97">
        <f>+AR12*0.19</f>
        <v>76608</v>
      </c>
      <c r="AT12" s="103">
        <f>+AR12+AS12</f>
        <v>479808</v>
      </c>
      <c r="AU12" s="52" t="s">
        <v>82</v>
      </c>
      <c r="AV12" s="42" t="s">
        <v>42</v>
      </c>
      <c r="AW12" s="30"/>
      <c r="AX12" s="100">
        <v>153293.76000000001</v>
      </c>
      <c r="AY12" s="100">
        <f>+AX12*0.19</f>
        <v>29125.814400000003</v>
      </c>
      <c r="AZ12" s="124">
        <f>+AX12+AY12</f>
        <v>182419.57440000001</v>
      </c>
      <c r="BA12" s="169" t="s">
        <v>77</v>
      </c>
      <c r="BB12" s="116" t="s">
        <v>72</v>
      </c>
      <c r="BC12" s="116"/>
      <c r="BD12" s="247"/>
      <c r="BE12" s="124"/>
      <c r="BF12" s="124"/>
      <c r="BG12" s="116"/>
      <c r="BH12" s="116"/>
      <c r="BI12" s="116"/>
      <c r="BJ12" s="124"/>
      <c r="BK12" s="124"/>
      <c r="BL12" s="124"/>
      <c r="BM12" s="116"/>
      <c r="BN12" s="116"/>
      <c r="BO12" s="116"/>
      <c r="BP12" s="124"/>
      <c r="BQ12" s="116"/>
      <c r="BR12" s="116"/>
      <c r="BS12" s="116"/>
      <c r="BT12" s="116"/>
      <c r="BU12" s="116"/>
      <c r="BV12" s="236">
        <v>347600</v>
      </c>
      <c r="BW12" s="125">
        <f t="shared" si="0"/>
        <v>66044</v>
      </c>
      <c r="BX12" s="97">
        <f t="shared" si="1"/>
        <v>413644</v>
      </c>
      <c r="BY12" s="237" t="s">
        <v>78</v>
      </c>
      <c r="BZ12" s="237" t="s">
        <v>83</v>
      </c>
      <c r="CA12" s="116"/>
      <c r="CB12" s="247">
        <v>206000</v>
      </c>
      <c r="CC12" s="125">
        <f>+CB12*19%</f>
        <v>39140</v>
      </c>
      <c r="CD12" s="247">
        <f>+CC12+CB12</f>
        <v>245140</v>
      </c>
      <c r="CE12" s="116"/>
      <c r="CF12" s="116"/>
      <c r="CG12" s="116"/>
      <c r="CH12" s="236">
        <v>364980</v>
      </c>
      <c r="CI12" s="238">
        <f t="shared" si="5"/>
        <v>69346.2</v>
      </c>
      <c r="CJ12" s="236">
        <f t="shared" si="6"/>
        <v>434326.2</v>
      </c>
      <c r="CK12" s="237" t="s">
        <v>78</v>
      </c>
      <c r="CL12" s="237" t="s">
        <v>83</v>
      </c>
      <c r="CM12" s="116"/>
      <c r="CN12" s="247"/>
      <c r="CO12" s="125"/>
      <c r="CP12" s="247"/>
      <c r="CQ12" s="116"/>
      <c r="CR12" s="116"/>
      <c r="CS12" s="116"/>
      <c r="CT12" s="247">
        <v>136000</v>
      </c>
      <c r="CU12" s="125">
        <v>25840</v>
      </c>
      <c r="CV12" s="125">
        <f t="shared" si="9"/>
        <v>161840</v>
      </c>
      <c r="CW12" s="116"/>
      <c r="CX12" s="116"/>
      <c r="CY12" s="116"/>
      <c r="CZ12" s="102"/>
      <c r="DA12" s="125"/>
      <c r="DB12" s="102"/>
      <c r="DC12" s="31"/>
      <c r="DD12" s="17"/>
      <c r="DE12" s="11"/>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
      <c r="EU12" s="11"/>
      <c r="EV12" s="11"/>
      <c r="EW12" s="11"/>
      <c r="EX12" s="11"/>
      <c r="EY12" s="11"/>
      <c r="EZ12" s="11"/>
      <c r="FA12" s="11"/>
      <c r="FB12" s="11"/>
      <c r="FC12" s="11"/>
      <c r="FD12" s="11"/>
      <c r="FE12" s="11"/>
      <c r="FF12" s="11"/>
      <c r="FG12" s="11"/>
      <c r="FH12" s="17">
        <f t="shared" si="4"/>
        <v>2823416.3244000003</v>
      </c>
      <c r="FI12" s="31">
        <f t="shared" si="2"/>
        <v>9</v>
      </c>
      <c r="FJ12" s="68">
        <f t="shared" si="3"/>
        <v>313712.92493333336</v>
      </c>
    </row>
    <row r="13" spans="1:166" ht="27" x14ac:dyDescent="0.25">
      <c r="A13" s="248">
        <f>Distribución_Reactivos!A13</f>
        <v>11</v>
      </c>
      <c r="B13" s="248" t="str">
        <f>Distribución_Reactivos!B13</f>
        <v>Ácetato de zinc di hidratado</v>
      </c>
      <c r="C13" s="248" t="str">
        <f>Distribución_Reactivos!C13</f>
        <v>Cualquier marca</v>
      </c>
      <c r="D13" s="248" t="str">
        <f>Distribución_Reactivos!D13</f>
        <v>Frasco x 250 g</v>
      </c>
      <c r="E13" s="29">
        <v>1</v>
      </c>
      <c r="F13" s="212">
        <v>0</v>
      </c>
      <c r="G13" s="214">
        <v>0</v>
      </c>
      <c r="H13" s="221">
        <v>0</v>
      </c>
      <c r="I13" s="221">
        <v>0</v>
      </c>
      <c r="J13" s="221">
        <v>359383.96666666662</v>
      </c>
      <c r="K13" s="221">
        <v>335342</v>
      </c>
      <c r="L13" s="247">
        <f>J13</f>
        <v>359383.96666666662</v>
      </c>
      <c r="M13" s="247">
        <f>K13*1.03</f>
        <v>345402.26</v>
      </c>
      <c r="N13" s="218"/>
      <c r="O13" s="102"/>
      <c r="P13" s="102"/>
      <c r="Q13" s="44"/>
      <c r="R13" s="44"/>
      <c r="S13" s="5"/>
      <c r="T13" s="102"/>
      <c r="U13" s="102"/>
      <c r="V13" s="102"/>
      <c r="W13" s="11"/>
      <c r="X13" s="11"/>
      <c r="Y13" s="11"/>
      <c r="Z13" s="102"/>
      <c r="AA13" s="102"/>
      <c r="AB13" s="102"/>
      <c r="AC13" s="44"/>
      <c r="AD13" s="44"/>
      <c r="AE13" s="11"/>
      <c r="AF13" s="102"/>
      <c r="AG13" s="125"/>
      <c r="AH13" s="102"/>
      <c r="AI13" s="11"/>
      <c r="AJ13" s="11"/>
      <c r="AK13" s="11"/>
      <c r="AL13" s="102">
        <f>298000/2</f>
        <v>149000</v>
      </c>
      <c r="AM13" s="97">
        <f t="shared" si="7"/>
        <v>28310</v>
      </c>
      <c r="AN13" s="103">
        <f t="shared" si="8"/>
        <v>177310</v>
      </c>
      <c r="AO13" s="4" t="s">
        <v>77</v>
      </c>
      <c r="AP13" s="239" t="s">
        <v>52</v>
      </c>
      <c r="AQ13" s="11"/>
      <c r="AR13" s="247"/>
      <c r="AS13" s="247"/>
      <c r="AT13" s="247"/>
      <c r="AU13" s="52"/>
      <c r="AV13" s="42"/>
      <c r="AW13" s="11"/>
      <c r="AX13" s="247"/>
      <c r="AY13" s="247"/>
      <c r="AZ13" s="247"/>
      <c r="BA13" s="11"/>
      <c r="BB13" s="11"/>
      <c r="BC13" s="11"/>
      <c r="BD13" s="247"/>
      <c r="BE13" s="247"/>
      <c r="BF13" s="247"/>
      <c r="BG13" s="11"/>
      <c r="BH13" s="11"/>
      <c r="BI13" s="11"/>
      <c r="BJ13" s="247"/>
      <c r="BK13" s="247"/>
      <c r="BL13" s="247"/>
      <c r="BM13" s="11"/>
      <c r="BN13" s="11"/>
      <c r="BO13" s="11"/>
      <c r="BP13" s="252"/>
      <c r="BQ13" s="11"/>
      <c r="BR13" s="11"/>
      <c r="BS13" s="11"/>
      <c r="BT13" s="11"/>
      <c r="BU13" s="11"/>
      <c r="BV13" s="236">
        <v>382600</v>
      </c>
      <c r="BW13" s="125">
        <f t="shared" si="0"/>
        <v>72694</v>
      </c>
      <c r="BX13" s="97">
        <f t="shared" si="1"/>
        <v>455294</v>
      </c>
      <c r="BY13" s="237" t="s">
        <v>84</v>
      </c>
      <c r="BZ13" s="237" t="s">
        <v>83</v>
      </c>
      <c r="CA13" s="11"/>
      <c r="CB13" s="247">
        <v>236000</v>
      </c>
      <c r="CC13" s="125">
        <f>+CB13*19%</f>
        <v>44840</v>
      </c>
      <c r="CD13" s="247">
        <f>+CC13+CB13</f>
        <v>280840</v>
      </c>
      <c r="CE13" s="11"/>
      <c r="CF13" s="11"/>
      <c r="CG13" s="11"/>
      <c r="CH13" s="236">
        <v>401730</v>
      </c>
      <c r="CI13" s="238">
        <f t="shared" si="5"/>
        <v>76328.7</v>
      </c>
      <c r="CJ13" s="236">
        <f t="shared" si="6"/>
        <v>478058.7</v>
      </c>
      <c r="CK13" s="237" t="s">
        <v>84</v>
      </c>
      <c r="CL13" s="237" t="s">
        <v>83</v>
      </c>
      <c r="CM13" s="11"/>
      <c r="CN13" s="247"/>
      <c r="CO13" s="125"/>
      <c r="CP13" s="247"/>
      <c r="CQ13" s="11"/>
      <c r="CR13" s="11"/>
      <c r="CS13" s="11"/>
      <c r="CT13" s="247">
        <v>338000</v>
      </c>
      <c r="CU13" s="125">
        <v>64220</v>
      </c>
      <c r="CV13" s="125">
        <f t="shared" si="9"/>
        <v>402220</v>
      </c>
      <c r="CW13" s="11"/>
      <c r="CX13" s="11"/>
      <c r="CY13" s="11"/>
      <c r="CZ13" s="102">
        <v>110897</v>
      </c>
      <c r="DA13" s="125">
        <f t="shared" ref="DA13:DA18" si="10">+CZ13*0.19</f>
        <v>21070.43</v>
      </c>
      <c r="DB13" s="102">
        <f t="shared" ref="DB13:DB18" si="11">+CZ13+DA13</f>
        <v>131967.43</v>
      </c>
      <c r="DC13" s="31" t="s">
        <v>85</v>
      </c>
      <c r="DD13" s="17" t="s">
        <v>65</v>
      </c>
      <c r="DE13" s="11">
        <v>1088020250</v>
      </c>
      <c r="DF13" s="11"/>
      <c r="DG13" s="11"/>
      <c r="DH13" s="11"/>
      <c r="DI13" s="11"/>
      <c r="DJ13" s="11"/>
      <c r="DK13" s="11"/>
      <c r="DL13" s="11"/>
      <c r="DM13" s="11"/>
      <c r="DN13" s="11"/>
      <c r="DO13" s="11"/>
      <c r="DP13" s="11"/>
      <c r="DQ13" s="11"/>
      <c r="DR13" s="11"/>
      <c r="DS13" s="11"/>
      <c r="DT13" s="11"/>
      <c r="DU13" s="11"/>
      <c r="DV13" s="11"/>
      <c r="DW13" s="11"/>
      <c r="DX13" s="11"/>
      <c r="DY13" s="11"/>
      <c r="DZ13" s="11"/>
      <c r="EA13" s="11"/>
      <c r="EB13" s="17"/>
      <c r="EC13" s="17"/>
      <c r="ED13" s="17"/>
      <c r="EE13" s="11"/>
      <c r="EF13" s="11"/>
      <c r="EG13" s="17"/>
      <c r="EH13" s="17"/>
      <c r="EI13" s="32"/>
      <c r="EJ13" s="11"/>
      <c r="EK13" s="11"/>
      <c r="EL13" s="11"/>
      <c r="EM13" s="11"/>
      <c r="EN13" s="11"/>
      <c r="EO13" s="11"/>
      <c r="EP13" s="11"/>
      <c r="EQ13" s="17"/>
      <c r="ER13" s="17"/>
      <c r="ES13" s="32"/>
      <c r="ET13" s="11"/>
      <c r="EU13" s="11"/>
      <c r="EV13" s="11"/>
      <c r="EW13" s="11"/>
      <c r="EX13" s="11"/>
      <c r="EY13" s="11"/>
      <c r="EZ13" s="11"/>
      <c r="FA13" s="11"/>
      <c r="FB13" s="11"/>
      <c r="FC13" s="11"/>
      <c r="FD13" s="11"/>
      <c r="FE13" s="11"/>
      <c r="FF13" s="11"/>
      <c r="FG13" s="11"/>
      <c r="FH13" s="17">
        <f t="shared" si="4"/>
        <v>2271092.39</v>
      </c>
      <c r="FI13" s="31">
        <f t="shared" si="2"/>
        <v>7</v>
      </c>
      <c r="FJ13" s="68">
        <f t="shared" si="3"/>
        <v>324441.77</v>
      </c>
    </row>
    <row r="14" spans="1:166" ht="38.25" x14ac:dyDescent="0.25">
      <c r="A14" s="248">
        <f>Distribución_Reactivos!A14</f>
        <v>12</v>
      </c>
      <c r="B14" s="248" t="str">
        <f>Distribución_Reactivos!B14</f>
        <v>Acetona grado reactivo</v>
      </c>
      <c r="C14" s="248" t="str">
        <f>Distribución_Reactivos!C14</f>
        <v>Merck, JT Baker, Mallinckrodt, Scharlau</v>
      </c>
      <c r="D14" s="248" t="str">
        <f>Distribución_Reactivos!D14</f>
        <v>Frasco x 4 litros</v>
      </c>
      <c r="E14" s="29">
        <v>1</v>
      </c>
      <c r="F14" s="212">
        <v>248276.5</v>
      </c>
      <c r="G14" s="214">
        <v>239547</v>
      </c>
      <c r="H14" s="221">
        <v>292904.20932777779</v>
      </c>
      <c r="I14" s="221">
        <v>292859</v>
      </c>
      <c r="J14" s="221">
        <v>294171.97690322582</v>
      </c>
      <c r="K14" s="221">
        <v>325465</v>
      </c>
      <c r="L14" s="247">
        <f>AVERAGE(F14,H14,J14)</f>
        <v>278450.89541033452</v>
      </c>
      <c r="M14" s="247">
        <f>AVERAGE(G14,I14,K14)*1.03</f>
        <v>294535.71000000002</v>
      </c>
      <c r="N14" s="217"/>
      <c r="O14" s="97"/>
      <c r="P14" s="97"/>
      <c r="Q14" s="115"/>
      <c r="R14" s="115"/>
      <c r="S14" s="53"/>
      <c r="T14" s="97"/>
      <c r="U14" s="105"/>
      <c r="V14" s="97"/>
      <c r="W14" s="115"/>
      <c r="X14" s="115"/>
      <c r="Y14" s="11"/>
      <c r="Z14" s="97"/>
      <c r="AA14" s="97"/>
      <c r="AB14" s="97"/>
      <c r="AC14" s="44"/>
      <c r="AD14" s="44"/>
      <c r="AE14" s="11"/>
      <c r="AF14" s="102"/>
      <c r="AG14" s="125"/>
      <c r="AH14" s="97"/>
      <c r="AI14" s="11"/>
      <c r="AJ14" s="11"/>
      <c r="AK14" s="17"/>
      <c r="AL14" s="97">
        <v>265000</v>
      </c>
      <c r="AM14" s="97">
        <f t="shared" si="7"/>
        <v>50350</v>
      </c>
      <c r="AN14" s="103">
        <f t="shared" si="8"/>
        <v>315350</v>
      </c>
      <c r="AO14" s="4" t="s">
        <v>86</v>
      </c>
      <c r="AP14" s="239" t="s">
        <v>52</v>
      </c>
      <c r="AQ14" s="17"/>
      <c r="AR14" s="252"/>
      <c r="AS14" s="136"/>
      <c r="AT14" s="137"/>
      <c r="AU14" s="52"/>
      <c r="AV14" s="52"/>
      <c r="AW14" s="30"/>
      <c r="AX14" s="100">
        <v>373837.68</v>
      </c>
      <c r="AY14" s="100">
        <f>+AX14*0.19</f>
        <v>71029.159199999995</v>
      </c>
      <c r="AZ14" s="124">
        <f>+AX14+AY14</f>
        <v>444866.83919999999</v>
      </c>
      <c r="BA14" s="169" t="s">
        <v>71</v>
      </c>
      <c r="BB14" s="116" t="s">
        <v>72</v>
      </c>
      <c r="BC14" s="116"/>
      <c r="BD14" s="247"/>
      <c r="BE14" s="124"/>
      <c r="BF14" s="124"/>
      <c r="BG14" s="116"/>
      <c r="BH14" s="116"/>
      <c r="BI14" s="116"/>
      <c r="BJ14" s="124"/>
      <c r="BK14" s="124"/>
      <c r="BL14" s="124"/>
      <c r="BM14" s="116"/>
      <c r="BN14" s="116"/>
      <c r="BO14" s="116"/>
      <c r="BP14" s="124"/>
      <c r="BQ14" s="116"/>
      <c r="BR14" s="116"/>
      <c r="BS14" s="116"/>
      <c r="BT14" s="116"/>
      <c r="BU14" s="116"/>
      <c r="BV14" s="236">
        <v>281400</v>
      </c>
      <c r="BW14" s="125">
        <f t="shared" si="0"/>
        <v>53466</v>
      </c>
      <c r="BX14" s="97">
        <f t="shared" si="1"/>
        <v>334866</v>
      </c>
      <c r="BY14" s="237" t="s">
        <v>73</v>
      </c>
      <c r="BZ14" s="237" t="s">
        <v>83</v>
      </c>
      <c r="CA14" s="116"/>
      <c r="CB14" s="247"/>
      <c r="CC14" s="125"/>
      <c r="CD14" s="247"/>
      <c r="CE14" s="116"/>
      <c r="CF14" s="116"/>
      <c r="CG14" s="116"/>
      <c r="CH14" s="236">
        <v>295470</v>
      </c>
      <c r="CI14" s="238">
        <f t="shared" si="5"/>
        <v>56139.3</v>
      </c>
      <c r="CJ14" s="236">
        <f t="shared" si="6"/>
        <v>351609.3</v>
      </c>
      <c r="CK14" s="237" t="s">
        <v>73</v>
      </c>
      <c r="CL14" s="237" t="s">
        <v>83</v>
      </c>
      <c r="CM14" s="116"/>
      <c r="CN14" s="247"/>
      <c r="CO14" s="125"/>
      <c r="CP14" s="247"/>
      <c r="CQ14" s="116"/>
      <c r="CR14" s="116"/>
      <c r="CS14" s="116"/>
      <c r="CT14" s="247">
        <v>538000</v>
      </c>
      <c r="CU14" s="125">
        <v>102220</v>
      </c>
      <c r="CV14" s="125">
        <f t="shared" si="9"/>
        <v>640220</v>
      </c>
      <c r="CW14" s="116"/>
      <c r="CX14" s="116"/>
      <c r="CY14" s="116"/>
      <c r="CZ14" s="102">
        <v>153931</v>
      </c>
      <c r="DA14" s="125">
        <f t="shared" si="10"/>
        <v>29246.89</v>
      </c>
      <c r="DB14" s="102">
        <f t="shared" si="11"/>
        <v>183177.89</v>
      </c>
      <c r="DC14" s="31" t="s">
        <v>87</v>
      </c>
      <c r="DD14" s="17" t="s">
        <v>65</v>
      </c>
      <c r="DE14" s="11" t="s">
        <v>88</v>
      </c>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
      <c r="EU14" s="11"/>
      <c r="EV14" s="11"/>
      <c r="EW14" s="11"/>
      <c r="EX14" s="11"/>
      <c r="EY14" s="11"/>
      <c r="EZ14" s="11"/>
      <c r="FA14" s="11"/>
      <c r="FB14" s="11"/>
      <c r="FC14" s="11"/>
      <c r="FD14" s="11"/>
      <c r="FE14" s="11"/>
      <c r="FF14" s="11"/>
      <c r="FG14" s="11"/>
      <c r="FH14" s="17">
        <f t="shared" si="4"/>
        <v>2564625.7392000002</v>
      </c>
      <c r="FI14" s="31">
        <f t="shared" si="2"/>
        <v>7</v>
      </c>
      <c r="FJ14" s="68">
        <f t="shared" si="3"/>
        <v>366375.10560000001</v>
      </c>
    </row>
    <row r="15" spans="1:166" ht="51" x14ac:dyDescent="0.25">
      <c r="A15" s="248">
        <f>Distribución_Reactivos!A15</f>
        <v>13</v>
      </c>
      <c r="B15" s="248" t="str">
        <f>Distribución_Reactivos!B15</f>
        <v>Acetona HPLC con certificado de analisis y ficha de seguridad.</v>
      </c>
      <c r="C15" s="248" t="str">
        <f>Distribución_Reactivos!C15</f>
        <v>Merck, JT Baker, Mallinckrodt, Scharlau o equivalente</v>
      </c>
      <c r="D15" s="248" t="str">
        <f>Distribución_Reactivos!D15</f>
        <v>Frasco x 4 litros</v>
      </c>
      <c r="E15" s="29">
        <v>1</v>
      </c>
      <c r="F15" s="212">
        <v>0</v>
      </c>
      <c r="G15" s="214">
        <v>0</v>
      </c>
      <c r="H15" s="221">
        <v>0</v>
      </c>
      <c r="I15" s="221">
        <v>0</v>
      </c>
      <c r="J15" s="221">
        <v>0</v>
      </c>
      <c r="K15" s="221">
        <v>0</v>
      </c>
      <c r="L15" s="247"/>
      <c r="M15" s="247"/>
      <c r="N15" s="217"/>
      <c r="O15" s="97"/>
      <c r="P15" s="97"/>
      <c r="Q15" s="115"/>
      <c r="R15" s="115"/>
      <c r="S15" s="53"/>
      <c r="T15" s="97"/>
      <c r="U15" s="105"/>
      <c r="V15" s="97"/>
      <c r="W15" s="115"/>
      <c r="X15" s="115"/>
      <c r="Y15" s="11"/>
      <c r="Z15" s="97"/>
      <c r="AA15" s="97"/>
      <c r="AB15" s="97"/>
      <c r="AC15" s="44"/>
      <c r="AD15" s="44"/>
      <c r="AE15" s="11"/>
      <c r="AF15" s="102">
        <v>725000</v>
      </c>
      <c r="AG15" s="125">
        <f>AF15*19%</f>
        <v>137750</v>
      </c>
      <c r="AH15" s="97">
        <f>+AF15+AG15</f>
        <v>862750</v>
      </c>
      <c r="AI15" s="11"/>
      <c r="AJ15" s="11"/>
      <c r="AK15" s="17"/>
      <c r="AL15" s="97">
        <v>590000</v>
      </c>
      <c r="AM15" s="97">
        <f t="shared" si="7"/>
        <v>112100</v>
      </c>
      <c r="AN15" s="103">
        <f t="shared" si="8"/>
        <v>702100</v>
      </c>
      <c r="AO15" s="248" t="s">
        <v>89</v>
      </c>
      <c r="AP15" s="239" t="s">
        <v>52</v>
      </c>
      <c r="AQ15" s="17"/>
      <c r="AR15" s="252"/>
      <c r="AS15" s="97"/>
      <c r="AT15" s="103"/>
      <c r="AU15" s="52"/>
      <c r="AV15" s="52"/>
      <c r="AW15" s="30"/>
      <c r="AX15" s="100">
        <v>823237.47</v>
      </c>
      <c r="AY15" s="100">
        <f>+AX15*0.19</f>
        <v>156415.11929999999</v>
      </c>
      <c r="AZ15" s="124">
        <f>+AX15+AY15</f>
        <v>979652.58929999999</v>
      </c>
      <c r="BA15" s="169" t="s">
        <v>71</v>
      </c>
      <c r="BB15" s="116" t="s">
        <v>72</v>
      </c>
      <c r="BC15" s="116"/>
      <c r="BD15" s="247"/>
      <c r="BE15" s="124"/>
      <c r="BF15" s="124"/>
      <c r="BG15" s="116"/>
      <c r="BH15" s="116"/>
      <c r="BI15" s="116"/>
      <c r="BJ15" s="124"/>
      <c r="BK15" s="124"/>
      <c r="BL15" s="124"/>
      <c r="BM15" s="116"/>
      <c r="BN15" s="116"/>
      <c r="BO15" s="116"/>
      <c r="BP15" s="124"/>
      <c r="BQ15" s="116"/>
      <c r="BR15" s="116"/>
      <c r="BS15" s="116"/>
      <c r="BT15" s="116"/>
      <c r="BU15" s="116"/>
      <c r="BV15" s="236">
        <v>726600</v>
      </c>
      <c r="BW15" s="125">
        <f t="shared" si="0"/>
        <v>138054</v>
      </c>
      <c r="BX15" s="97">
        <f t="shared" si="1"/>
        <v>864654</v>
      </c>
      <c r="BY15" s="237" t="s">
        <v>73</v>
      </c>
      <c r="BZ15" s="237" t="s">
        <v>83</v>
      </c>
      <c r="CA15" s="116"/>
      <c r="CB15" s="247"/>
      <c r="CC15" s="125"/>
      <c r="CD15" s="247"/>
      <c r="CE15" s="116"/>
      <c r="CF15" s="116"/>
      <c r="CG15" s="116"/>
      <c r="CH15" s="236">
        <v>733866</v>
      </c>
      <c r="CI15" s="238">
        <f t="shared" si="5"/>
        <v>139434.54</v>
      </c>
      <c r="CJ15" s="236">
        <f t="shared" si="6"/>
        <v>873300.54</v>
      </c>
      <c r="CK15" s="237" t="s">
        <v>73</v>
      </c>
      <c r="CL15" s="237" t="s">
        <v>83</v>
      </c>
      <c r="CM15" s="116"/>
      <c r="CN15" s="247"/>
      <c r="CO15" s="125"/>
      <c r="CP15" s="247"/>
      <c r="CQ15" s="116"/>
      <c r="CR15" s="116"/>
      <c r="CS15" s="116"/>
      <c r="CT15" s="247">
        <v>305000</v>
      </c>
      <c r="CU15" s="125">
        <v>57950</v>
      </c>
      <c r="CV15" s="125">
        <f t="shared" si="9"/>
        <v>362950</v>
      </c>
      <c r="CW15" s="116"/>
      <c r="CX15" s="116"/>
      <c r="CY15" s="116"/>
      <c r="CZ15" s="102">
        <v>414344</v>
      </c>
      <c r="DA15" s="125">
        <f t="shared" si="10"/>
        <v>78725.36</v>
      </c>
      <c r="DB15" s="102">
        <f t="shared" si="11"/>
        <v>493069.36</v>
      </c>
      <c r="DC15" s="31" t="s">
        <v>90</v>
      </c>
      <c r="DD15" s="17" t="s">
        <v>65</v>
      </c>
      <c r="DE15" s="11" t="s">
        <v>91</v>
      </c>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
      <c r="EU15" s="11"/>
      <c r="EV15" s="11"/>
      <c r="EW15" s="11"/>
      <c r="EX15" s="11"/>
      <c r="EY15" s="11"/>
      <c r="EZ15" s="11"/>
      <c r="FA15" s="11"/>
      <c r="FB15" s="11"/>
      <c r="FC15" s="11"/>
      <c r="FD15" s="11"/>
      <c r="FE15" s="11"/>
      <c r="FF15" s="11"/>
      <c r="FG15" s="11"/>
      <c r="FH15" s="17">
        <f t="shared" si="4"/>
        <v>5138476.4893000005</v>
      </c>
      <c r="FI15" s="31">
        <f t="shared" si="2"/>
        <v>7</v>
      </c>
      <c r="FJ15" s="68">
        <f t="shared" si="3"/>
        <v>734068.06990000012</v>
      </c>
    </row>
    <row r="16" spans="1:166" ht="42" customHeight="1" x14ac:dyDescent="0.25">
      <c r="A16" s="248">
        <f>Distribución_Reactivos!A16</f>
        <v>14</v>
      </c>
      <c r="B16" s="248" t="str">
        <f>Distribución_Reactivos!B16</f>
        <v>Acetonitrilo grado HPLC con certificado de analisis y ficha de seguridad.</v>
      </c>
      <c r="C16" s="248" t="str">
        <f>Distribución_Reactivos!C16</f>
        <v>Cualquier marca</v>
      </c>
      <c r="D16" s="248" t="str">
        <f>Distribución_Reactivos!D16</f>
        <v>Frasco x 4 litros</v>
      </c>
      <c r="E16" s="29">
        <v>1</v>
      </c>
      <c r="F16" s="212">
        <v>0</v>
      </c>
      <c r="G16" s="214">
        <v>0</v>
      </c>
      <c r="H16" s="221">
        <v>0</v>
      </c>
      <c r="I16" s="221">
        <v>0</v>
      </c>
      <c r="J16" s="221">
        <v>0</v>
      </c>
      <c r="K16" s="221">
        <v>0</v>
      </c>
      <c r="L16" s="247"/>
      <c r="M16" s="247"/>
      <c r="N16" s="217"/>
      <c r="O16" s="97"/>
      <c r="P16" s="97"/>
      <c r="Q16" s="115"/>
      <c r="R16" s="115"/>
      <c r="S16" s="53"/>
      <c r="T16" s="97"/>
      <c r="U16" s="105"/>
      <c r="V16" s="97"/>
      <c r="W16" s="115"/>
      <c r="X16" s="115"/>
      <c r="Y16" s="11"/>
      <c r="Z16" s="97"/>
      <c r="AA16" s="97"/>
      <c r="AB16" s="97"/>
      <c r="AC16" s="44"/>
      <c r="AD16" s="44"/>
      <c r="AE16" s="11"/>
      <c r="AF16" s="102">
        <v>290000</v>
      </c>
      <c r="AG16" s="125">
        <f>AF16*19%</f>
        <v>55100</v>
      </c>
      <c r="AH16" s="97">
        <f>+AF16+AG16</f>
        <v>345100</v>
      </c>
      <c r="AI16" s="11"/>
      <c r="AJ16" s="11"/>
      <c r="AK16" s="17"/>
      <c r="AL16" s="97">
        <v>297000</v>
      </c>
      <c r="AM16" s="97">
        <f t="shared" si="7"/>
        <v>56430</v>
      </c>
      <c r="AN16" s="103">
        <f t="shared" si="8"/>
        <v>353430</v>
      </c>
      <c r="AO16" s="248" t="s">
        <v>89</v>
      </c>
      <c r="AP16" s="239" t="s">
        <v>52</v>
      </c>
      <c r="AQ16" s="17"/>
      <c r="AR16" s="252">
        <v>281534</v>
      </c>
      <c r="AS16" s="97">
        <f>+AR16*0.19</f>
        <v>53491.46</v>
      </c>
      <c r="AT16" s="103">
        <f>+AR16+AS16</f>
        <v>335025.46000000002</v>
      </c>
      <c r="AU16" s="52" t="s">
        <v>71</v>
      </c>
      <c r="AV16" s="52" t="s">
        <v>52</v>
      </c>
      <c r="AW16" s="30"/>
      <c r="AX16" s="100"/>
      <c r="AY16" s="100"/>
      <c r="AZ16" s="124"/>
      <c r="BA16" s="169"/>
      <c r="BB16" s="116"/>
      <c r="BC16" s="116"/>
      <c r="BD16" s="247"/>
      <c r="BE16" s="124"/>
      <c r="BF16" s="124"/>
      <c r="BG16" s="116"/>
      <c r="BH16" s="116"/>
      <c r="BI16" s="116"/>
      <c r="BJ16" s="124"/>
      <c r="BK16" s="124"/>
      <c r="BL16" s="124"/>
      <c r="BM16" s="116"/>
      <c r="BN16" s="116"/>
      <c r="BO16" s="116"/>
      <c r="BP16" s="124"/>
      <c r="BQ16" s="116"/>
      <c r="BR16" s="116"/>
      <c r="BS16" s="116"/>
      <c r="BT16" s="116"/>
      <c r="BU16" s="116"/>
      <c r="BV16" s="236">
        <v>349400</v>
      </c>
      <c r="BW16" s="125">
        <f t="shared" si="0"/>
        <v>66386</v>
      </c>
      <c r="BX16" s="97">
        <f t="shared" si="1"/>
        <v>415786</v>
      </c>
      <c r="BY16" s="237" t="s">
        <v>73</v>
      </c>
      <c r="BZ16" s="237" t="s">
        <v>83</v>
      </c>
      <c r="CA16" s="116"/>
      <c r="CB16" s="247">
        <v>199800</v>
      </c>
      <c r="CC16" s="125">
        <f>+CB16*19%</f>
        <v>37962</v>
      </c>
      <c r="CD16" s="247">
        <f>+CC16+CB16</f>
        <v>237762</v>
      </c>
      <c r="CE16" s="116"/>
      <c r="CF16" s="116"/>
      <c r="CG16" s="116"/>
      <c r="CH16" s="236">
        <v>370364</v>
      </c>
      <c r="CI16" s="238">
        <f t="shared" si="5"/>
        <v>70369.16</v>
      </c>
      <c r="CJ16" s="236">
        <f t="shared" si="6"/>
        <v>440733.16000000003</v>
      </c>
      <c r="CK16" s="237" t="s">
        <v>73</v>
      </c>
      <c r="CL16" s="237" t="s">
        <v>83</v>
      </c>
      <c r="CM16" s="116"/>
      <c r="CN16" s="247"/>
      <c r="CO16" s="125"/>
      <c r="CP16" s="247"/>
      <c r="CQ16" s="116"/>
      <c r="CR16" s="116"/>
      <c r="CS16" s="116"/>
      <c r="CT16" s="247">
        <v>444000</v>
      </c>
      <c r="CU16" s="125">
        <f>+CT16*0</f>
        <v>0</v>
      </c>
      <c r="CV16" s="125">
        <f t="shared" si="9"/>
        <v>444000</v>
      </c>
      <c r="CW16" s="116"/>
      <c r="CX16" s="116"/>
      <c r="CY16" s="116"/>
      <c r="CZ16" s="102">
        <v>312828</v>
      </c>
      <c r="DA16" s="125">
        <f t="shared" si="10"/>
        <v>59437.32</v>
      </c>
      <c r="DB16" s="102">
        <f t="shared" si="11"/>
        <v>372265.32</v>
      </c>
      <c r="DC16" s="31" t="s">
        <v>75</v>
      </c>
      <c r="DD16" s="17" t="s">
        <v>65</v>
      </c>
      <c r="DE16" s="11">
        <v>1000304000</v>
      </c>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
      <c r="EU16" s="11"/>
      <c r="EV16" s="11"/>
      <c r="EW16" s="11"/>
      <c r="EX16" s="11"/>
      <c r="EY16" s="11"/>
      <c r="EZ16" s="11"/>
      <c r="FA16" s="11"/>
      <c r="FB16" s="11"/>
      <c r="FC16" s="11"/>
      <c r="FD16" s="11"/>
      <c r="FE16" s="11"/>
      <c r="FF16" s="11"/>
      <c r="FG16" s="11"/>
      <c r="FH16" s="17">
        <f t="shared" si="4"/>
        <v>2944101.94</v>
      </c>
      <c r="FI16" s="31">
        <f t="shared" si="2"/>
        <v>8</v>
      </c>
      <c r="FJ16" s="68">
        <f t="shared" si="3"/>
        <v>368012.74249999999</v>
      </c>
    </row>
    <row r="17" spans="1:166" ht="36" customHeight="1" x14ac:dyDescent="0.25">
      <c r="A17" s="248">
        <f>Distribución_Reactivos!A17</f>
        <v>15</v>
      </c>
      <c r="B17" s="248" t="str">
        <f>Distribución_Reactivos!B17</f>
        <v>Acetonitrilo grado reactivo con certificado de analisis  y ficha de seguridad.</v>
      </c>
      <c r="C17" s="248" t="str">
        <f>Distribución_Reactivos!C17</f>
        <v xml:space="preserve">Merck o JT Baker </v>
      </c>
      <c r="D17" s="248" t="str">
        <f>Distribución_Reactivos!D17</f>
        <v>Frasco x 4 litros</v>
      </c>
      <c r="E17" s="29">
        <v>1</v>
      </c>
      <c r="F17" s="212">
        <v>0</v>
      </c>
      <c r="G17" s="214">
        <v>0</v>
      </c>
      <c r="H17" s="221">
        <v>0</v>
      </c>
      <c r="I17" s="221">
        <v>0</v>
      </c>
      <c r="J17" s="221">
        <v>0</v>
      </c>
      <c r="K17" s="221">
        <v>0</v>
      </c>
      <c r="L17" s="247"/>
      <c r="M17" s="247"/>
      <c r="N17" s="217"/>
      <c r="O17" s="97"/>
      <c r="P17" s="97"/>
      <c r="Q17" s="115"/>
      <c r="R17" s="115"/>
      <c r="S17" s="53"/>
      <c r="T17" s="97"/>
      <c r="U17" s="97"/>
      <c r="V17" s="97"/>
      <c r="W17" s="115"/>
      <c r="X17" s="115"/>
      <c r="Y17" s="11"/>
      <c r="Z17" s="97"/>
      <c r="AA17" s="97"/>
      <c r="AB17" s="97"/>
      <c r="AC17" s="44"/>
      <c r="AD17" s="44"/>
      <c r="AE17" s="11"/>
      <c r="AF17" s="102">
        <v>398000</v>
      </c>
      <c r="AG17" s="125">
        <f>AF17*19%</f>
        <v>75620</v>
      </c>
      <c r="AH17" s="97">
        <f>+AF17+AG17</f>
        <v>473620</v>
      </c>
      <c r="AI17" s="11"/>
      <c r="AJ17" s="11"/>
      <c r="AK17" s="17"/>
      <c r="AL17" s="97"/>
      <c r="AM17" s="97"/>
      <c r="AN17" s="101"/>
      <c r="AO17" s="248"/>
      <c r="AP17" s="17"/>
      <c r="AQ17" s="17"/>
      <c r="AR17" s="252"/>
      <c r="AS17" s="136"/>
      <c r="AT17" s="137"/>
      <c r="AU17" s="52"/>
      <c r="AV17" s="52"/>
      <c r="AW17" s="30"/>
      <c r="AX17" s="100"/>
      <c r="AY17" s="100"/>
      <c r="AZ17" s="124"/>
      <c r="BA17" s="169"/>
      <c r="BB17" s="116"/>
      <c r="BC17" s="116"/>
      <c r="BD17" s="247"/>
      <c r="BE17" s="124"/>
      <c r="BF17" s="124"/>
      <c r="BG17" s="116"/>
      <c r="BH17" s="116"/>
      <c r="BI17" s="116"/>
      <c r="BJ17" s="124"/>
      <c r="BK17" s="124"/>
      <c r="BL17" s="124"/>
      <c r="BM17" s="116"/>
      <c r="BN17" s="116"/>
      <c r="BO17" s="116"/>
      <c r="BP17" s="124"/>
      <c r="BQ17" s="116"/>
      <c r="BR17" s="116"/>
      <c r="BS17" s="116"/>
      <c r="BT17" s="116"/>
      <c r="BU17" s="116"/>
      <c r="BV17" s="236">
        <v>800500</v>
      </c>
      <c r="BW17" s="125">
        <f t="shared" si="0"/>
        <v>152095</v>
      </c>
      <c r="BX17" s="97">
        <f t="shared" si="1"/>
        <v>952595</v>
      </c>
      <c r="BY17" s="237" t="s">
        <v>73</v>
      </c>
      <c r="BZ17" s="237" t="s">
        <v>83</v>
      </c>
      <c r="CA17" s="116"/>
      <c r="CB17" s="247"/>
      <c r="CC17" s="125"/>
      <c r="CD17" s="247"/>
      <c r="CE17" s="116"/>
      <c r="CF17" s="116"/>
      <c r="CG17" s="116"/>
      <c r="CH17" s="236"/>
      <c r="CI17" s="238"/>
      <c r="CJ17" s="236"/>
      <c r="CK17" s="237"/>
      <c r="CL17" s="237"/>
      <c r="CM17" s="116"/>
      <c r="CN17" s="247"/>
      <c r="CO17" s="125"/>
      <c r="CP17" s="247"/>
      <c r="CQ17" s="116"/>
      <c r="CR17" s="116"/>
      <c r="CS17" s="116"/>
      <c r="CT17" s="247">
        <v>842500</v>
      </c>
      <c r="CU17" s="125">
        <f>+CT17*0</f>
        <v>0</v>
      </c>
      <c r="CV17" s="125">
        <f t="shared" si="9"/>
        <v>842500</v>
      </c>
      <c r="CW17" s="116"/>
      <c r="CX17" s="116"/>
      <c r="CY17" s="116"/>
      <c r="CZ17" s="102">
        <v>228966</v>
      </c>
      <c r="DA17" s="125">
        <f t="shared" si="10"/>
        <v>43503.54</v>
      </c>
      <c r="DB17" s="102">
        <f t="shared" si="11"/>
        <v>272469.53999999998</v>
      </c>
      <c r="DC17" s="31" t="s">
        <v>87</v>
      </c>
      <c r="DD17" s="17" t="s">
        <v>65</v>
      </c>
      <c r="DE17" s="11">
        <v>1000034000</v>
      </c>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
      <c r="EU17" s="11"/>
      <c r="EV17" s="11"/>
      <c r="EW17" s="11"/>
      <c r="EX17" s="11"/>
      <c r="EY17" s="11"/>
      <c r="EZ17" s="11"/>
      <c r="FA17" s="11"/>
      <c r="FB17" s="11"/>
      <c r="FC17" s="11"/>
      <c r="FD17" s="11"/>
      <c r="FE17" s="11"/>
      <c r="FF17" s="11"/>
      <c r="FG17" s="11"/>
      <c r="FH17" s="17">
        <f t="shared" si="4"/>
        <v>2541184.54</v>
      </c>
      <c r="FI17" s="31">
        <f t="shared" si="2"/>
        <v>4</v>
      </c>
      <c r="FJ17" s="68">
        <f t="shared" si="3"/>
        <v>635296.13500000001</v>
      </c>
    </row>
    <row r="18" spans="1:166" ht="38.25" x14ac:dyDescent="0.25">
      <c r="A18" s="248">
        <f>Distribución_Reactivos!A18</f>
        <v>16</v>
      </c>
      <c r="B18" s="248" t="str">
        <f>Distribución_Reactivos!B18</f>
        <v>Acetonitrilo LC/MS con certificado de analisis  y ficha de seguridad.</v>
      </c>
      <c r="C18" s="248" t="str">
        <f>Distribución_Reactivos!C18</f>
        <v>Merck o JT Baker o equivalente</v>
      </c>
      <c r="D18" s="248" t="str">
        <f>Distribución_Reactivos!D18</f>
        <v>Frasco x 2.5 litros</v>
      </c>
      <c r="E18" s="29">
        <v>1</v>
      </c>
      <c r="F18" s="212">
        <v>0</v>
      </c>
      <c r="G18" s="214">
        <v>0</v>
      </c>
      <c r="H18" s="221">
        <v>0</v>
      </c>
      <c r="I18" s="221">
        <v>0</v>
      </c>
      <c r="J18" s="221">
        <v>0</v>
      </c>
      <c r="K18" s="221">
        <v>0</v>
      </c>
      <c r="L18" s="247"/>
      <c r="M18" s="247"/>
      <c r="N18" s="217"/>
      <c r="O18" s="97"/>
      <c r="P18" s="97"/>
      <c r="Q18" s="115"/>
      <c r="R18" s="115"/>
      <c r="S18" s="53"/>
      <c r="T18" s="97"/>
      <c r="U18" s="97"/>
      <c r="V18" s="97"/>
      <c r="W18" s="115"/>
      <c r="X18" s="115"/>
      <c r="Y18" s="11"/>
      <c r="Z18" s="97"/>
      <c r="AA18" s="97"/>
      <c r="AB18" s="97"/>
      <c r="AC18" s="44"/>
      <c r="AD18" s="44"/>
      <c r="AE18" s="11"/>
      <c r="AF18" s="102"/>
      <c r="AG18" s="125"/>
      <c r="AH18" s="97"/>
      <c r="AI18" s="11"/>
      <c r="AJ18" s="11"/>
      <c r="AK18" s="17"/>
      <c r="AL18" s="97"/>
      <c r="AM18" s="97"/>
      <c r="AN18" s="103"/>
      <c r="AO18" s="4"/>
      <c r="AP18" s="17"/>
      <c r="AQ18" s="17"/>
      <c r="AR18" s="252"/>
      <c r="AS18" s="135"/>
      <c r="AT18" s="124"/>
      <c r="AU18" s="52"/>
      <c r="AV18" s="52"/>
      <c r="AW18" s="30"/>
      <c r="AX18" s="100"/>
      <c r="AY18" s="174"/>
      <c r="AZ18" s="124"/>
      <c r="BA18" s="169"/>
      <c r="BB18" s="116"/>
      <c r="BC18" s="116"/>
      <c r="BD18" s="247"/>
      <c r="BE18" s="124"/>
      <c r="BF18" s="124"/>
      <c r="BG18" s="116"/>
      <c r="BH18" s="116"/>
      <c r="BI18" s="116"/>
      <c r="BJ18" s="124"/>
      <c r="BK18" s="124"/>
      <c r="BL18" s="124"/>
      <c r="BM18" s="116"/>
      <c r="BN18" s="116"/>
      <c r="BO18" s="116"/>
      <c r="BP18" s="124"/>
      <c r="BQ18" s="116"/>
      <c r="BR18" s="116"/>
      <c r="BS18" s="116"/>
      <c r="BT18" s="116"/>
      <c r="BU18" s="116"/>
      <c r="BV18" s="236">
        <v>1920000</v>
      </c>
      <c r="BW18" s="125">
        <f t="shared" si="0"/>
        <v>364800</v>
      </c>
      <c r="BX18" s="97">
        <f t="shared" si="1"/>
        <v>2284800</v>
      </c>
      <c r="BY18" s="237" t="s">
        <v>92</v>
      </c>
      <c r="BZ18" s="237" t="s">
        <v>93</v>
      </c>
      <c r="CA18" s="116"/>
      <c r="CB18" s="247"/>
      <c r="CC18" s="125"/>
      <c r="CD18" s="247"/>
      <c r="CE18" s="116"/>
      <c r="CF18" s="116"/>
      <c r="CG18" s="116"/>
      <c r="CH18" s="236"/>
      <c r="CI18" s="238"/>
      <c r="CJ18" s="236"/>
      <c r="CK18" s="237"/>
      <c r="CL18" s="237"/>
      <c r="CM18" s="116"/>
      <c r="CN18" s="247"/>
      <c r="CO18" s="125"/>
      <c r="CP18" s="247"/>
      <c r="CQ18" s="116"/>
      <c r="CR18" s="116"/>
      <c r="CS18" s="116"/>
      <c r="CT18" s="247">
        <v>175000</v>
      </c>
      <c r="CU18" s="125">
        <v>8750</v>
      </c>
      <c r="CV18" s="125">
        <f t="shared" si="9"/>
        <v>183750</v>
      </c>
      <c r="CW18" s="116"/>
      <c r="CX18" s="116"/>
      <c r="CY18" s="116"/>
      <c r="CZ18" s="102">
        <v>410483</v>
      </c>
      <c r="DA18" s="125">
        <f t="shared" si="10"/>
        <v>77991.77</v>
      </c>
      <c r="DB18" s="102">
        <f t="shared" si="11"/>
        <v>488474.77</v>
      </c>
      <c r="DC18" s="31" t="s">
        <v>94</v>
      </c>
      <c r="DD18" s="17" t="s">
        <v>65</v>
      </c>
      <c r="DE18" s="11">
        <v>1000292500</v>
      </c>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
      <c r="EU18" s="11"/>
      <c r="EV18" s="11"/>
      <c r="EW18" s="11"/>
      <c r="EX18" s="11"/>
      <c r="EY18" s="11"/>
      <c r="EZ18" s="11"/>
      <c r="FA18" s="11"/>
      <c r="FB18" s="11"/>
      <c r="FC18" s="11"/>
      <c r="FD18" s="11"/>
      <c r="FE18" s="11"/>
      <c r="FF18" s="11"/>
      <c r="FG18" s="11"/>
      <c r="FH18" s="17">
        <f t="shared" si="4"/>
        <v>2957024.77</v>
      </c>
      <c r="FI18" s="31">
        <f t="shared" si="2"/>
        <v>3</v>
      </c>
      <c r="FJ18" s="68">
        <f t="shared" si="3"/>
        <v>985674.92333333334</v>
      </c>
    </row>
    <row r="19" spans="1:166" ht="27" x14ac:dyDescent="0.25">
      <c r="A19" s="248">
        <f>Distribución_Reactivos!A19</f>
        <v>17</v>
      </c>
      <c r="B19" s="248" t="str">
        <f>Distribución_Reactivos!B19</f>
        <v>Ácido acético glacial 96% PA con certificado y ficha de seguridad</v>
      </c>
      <c r="C19" s="248" t="str">
        <f>Distribución_Reactivos!C19</f>
        <v>Cualquier marca</v>
      </c>
      <c r="D19" s="248" t="str">
        <f>Distribución_Reactivos!D19</f>
        <v>Frasco x 2.5 litros</v>
      </c>
      <c r="E19" s="29">
        <v>1</v>
      </c>
      <c r="F19" s="212">
        <v>191114</v>
      </c>
      <c r="G19" s="214">
        <v>183379</v>
      </c>
      <c r="H19" s="221">
        <v>277191.14251666667</v>
      </c>
      <c r="I19" s="221">
        <v>277151</v>
      </c>
      <c r="J19" s="221">
        <v>203348.41741935484</v>
      </c>
      <c r="K19" s="221">
        <v>198254</v>
      </c>
      <c r="L19" s="247">
        <f>AVERAGE(F19,H19,J19)</f>
        <v>223884.51997867381</v>
      </c>
      <c r="M19" s="247">
        <f>AVERAGE(G19,I19,K19)*1.03</f>
        <v>226182.50666666665</v>
      </c>
      <c r="N19" s="217"/>
      <c r="O19" s="97"/>
      <c r="P19" s="97"/>
      <c r="Q19" s="115"/>
      <c r="R19" s="115"/>
      <c r="S19" s="53"/>
      <c r="T19" s="97"/>
      <c r="U19" s="101"/>
      <c r="V19" s="97"/>
      <c r="W19" s="115"/>
      <c r="X19" s="115"/>
      <c r="Y19" s="11"/>
      <c r="Z19" s="97"/>
      <c r="AA19" s="97"/>
      <c r="AB19" s="97"/>
      <c r="AC19" s="44"/>
      <c r="AD19" s="44"/>
      <c r="AE19" s="11"/>
      <c r="AF19" s="102">
        <v>190000</v>
      </c>
      <c r="AG19" s="125">
        <f>AF19*19%</f>
        <v>36100</v>
      </c>
      <c r="AH19" s="97">
        <f>+AF19+AG19</f>
        <v>226100</v>
      </c>
      <c r="AI19" s="11"/>
      <c r="AJ19" s="11"/>
      <c r="AK19" s="17"/>
      <c r="AL19" s="97">
        <v>189000</v>
      </c>
      <c r="AM19" s="97">
        <f>+AL19*0.19</f>
        <v>35910</v>
      </c>
      <c r="AN19" s="103">
        <f>+AL19+AM19</f>
        <v>224910</v>
      </c>
      <c r="AO19" s="248" t="s">
        <v>95</v>
      </c>
      <c r="AP19" s="239" t="s">
        <v>52</v>
      </c>
      <c r="AQ19" s="17"/>
      <c r="AR19" s="252">
        <v>179980</v>
      </c>
      <c r="AS19" s="97">
        <f>+AR19*0.19</f>
        <v>34196.199999999997</v>
      </c>
      <c r="AT19" s="103">
        <f>+AR19+AS19</f>
        <v>214176.2</v>
      </c>
      <c r="AU19" s="52" t="s">
        <v>95</v>
      </c>
      <c r="AV19" s="52" t="s">
        <v>52</v>
      </c>
      <c r="AW19" s="30"/>
      <c r="AX19" s="100">
        <v>260576.73</v>
      </c>
      <c r="AY19" s="100">
        <f>+AX19*0.19</f>
        <v>49509.578700000005</v>
      </c>
      <c r="AZ19" s="124">
        <f>+AX19+AY19</f>
        <v>310086.30869999999</v>
      </c>
      <c r="BA19" s="169" t="s">
        <v>96</v>
      </c>
      <c r="BB19" s="116" t="s">
        <v>72</v>
      </c>
      <c r="BC19" s="116"/>
      <c r="BD19" s="247"/>
      <c r="BE19" s="124"/>
      <c r="BF19" s="124"/>
      <c r="BG19" s="116"/>
      <c r="BH19" s="116"/>
      <c r="BI19" s="116"/>
      <c r="BJ19" s="124"/>
      <c r="BK19" s="124"/>
      <c r="BL19" s="124"/>
      <c r="BM19" s="116"/>
      <c r="BN19" s="116"/>
      <c r="BO19" s="116"/>
      <c r="BP19" s="124"/>
      <c r="BQ19" s="116"/>
      <c r="BR19" s="116"/>
      <c r="BS19" s="116"/>
      <c r="BT19" s="116"/>
      <c r="BU19" s="116"/>
      <c r="BV19" s="236">
        <v>296800</v>
      </c>
      <c r="BW19" s="125">
        <f t="shared" ref="BW19:BW34" si="12">BV19*19%</f>
        <v>56392</v>
      </c>
      <c r="BX19" s="97">
        <f t="shared" ref="BX19:BX44" si="13">+BV19+BW19</f>
        <v>353192</v>
      </c>
      <c r="BY19" s="237" t="s">
        <v>92</v>
      </c>
      <c r="BZ19" s="237" t="s">
        <v>93</v>
      </c>
      <c r="CA19" s="116"/>
      <c r="CB19" s="247">
        <v>128250</v>
      </c>
      <c r="CC19" s="125">
        <f>+CB19*19%</f>
        <v>24367.5</v>
      </c>
      <c r="CD19" s="247">
        <f>+CC19+CB19</f>
        <v>152617.5</v>
      </c>
      <c r="CE19" s="116"/>
      <c r="CF19" s="116"/>
      <c r="CG19" s="116"/>
      <c r="CH19" s="236">
        <v>317576</v>
      </c>
      <c r="CI19" s="238">
        <f t="shared" ref="CI19:CI24" si="14">+CH19*0.19</f>
        <v>60339.44</v>
      </c>
      <c r="CJ19" s="236">
        <f t="shared" ref="CJ19:CJ24" si="15">+CH19+CI19</f>
        <v>377915.44</v>
      </c>
      <c r="CK19" s="237" t="s">
        <v>92</v>
      </c>
      <c r="CL19" s="237" t="s">
        <v>93</v>
      </c>
      <c r="CM19" s="116"/>
      <c r="CN19" s="247"/>
      <c r="CO19" s="125"/>
      <c r="CP19" s="247"/>
      <c r="CQ19" s="116"/>
      <c r="CR19" s="116"/>
      <c r="CS19" s="116"/>
      <c r="CT19" s="247">
        <v>416666.66666666669</v>
      </c>
      <c r="CU19" s="125">
        <v>79166.666666666672</v>
      </c>
      <c r="CV19" s="125">
        <f t="shared" si="9"/>
        <v>495833.33333333337</v>
      </c>
      <c r="CW19" s="116"/>
      <c r="CX19" s="116"/>
      <c r="CY19" s="116"/>
      <c r="CZ19" s="102">
        <v>142345</v>
      </c>
      <c r="DA19" s="125">
        <f>+CZ19*0.19</f>
        <v>27045.55</v>
      </c>
      <c r="DB19" s="102">
        <f>+CZ19+DA19</f>
        <v>169390.55</v>
      </c>
      <c r="DC19" s="31" t="s">
        <v>94</v>
      </c>
      <c r="DD19" s="17" t="s">
        <v>65</v>
      </c>
      <c r="DE19" s="11">
        <v>1000622500</v>
      </c>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
      <c r="EU19" s="11"/>
      <c r="EV19" s="11"/>
      <c r="EW19" s="11"/>
      <c r="EX19" s="11"/>
      <c r="EY19" s="11"/>
      <c r="EZ19" s="11"/>
      <c r="FA19" s="11"/>
      <c r="FB19" s="11"/>
      <c r="FC19" s="11"/>
      <c r="FD19" s="11"/>
      <c r="FE19" s="11"/>
      <c r="FF19" s="11"/>
      <c r="FG19" s="11"/>
      <c r="FH19" s="17">
        <f t="shared" si="4"/>
        <v>2750403.8386999997</v>
      </c>
      <c r="FI19" s="31">
        <f t="shared" si="2"/>
        <v>10</v>
      </c>
      <c r="FJ19" s="68">
        <f t="shared" si="3"/>
        <v>275040.38386999996</v>
      </c>
    </row>
    <row r="20" spans="1:166" ht="51" x14ac:dyDescent="0.25">
      <c r="A20" s="248">
        <f>Distribución_Reactivos!A20</f>
        <v>18</v>
      </c>
      <c r="B20" s="248" t="str">
        <f>Distribución_Reactivos!B20</f>
        <v>Ácido bórico</v>
      </c>
      <c r="C20" s="248" t="str">
        <f>Distribución_Reactivos!C20</f>
        <v>Cualquier  marca    (Panreac, Merck,  JT Baker o equivalente.</v>
      </c>
      <c r="D20" s="248" t="str">
        <f>Distribución_Reactivos!D20</f>
        <v>Frasco x 1Kg</v>
      </c>
      <c r="E20" s="29">
        <v>1</v>
      </c>
      <c r="F20" s="212">
        <v>277448.5</v>
      </c>
      <c r="G20" s="214">
        <v>273224</v>
      </c>
      <c r="H20" s="221">
        <v>265023.19486818183</v>
      </c>
      <c r="I20" s="221">
        <v>265013</v>
      </c>
      <c r="J20" s="221">
        <v>324258.8774193548</v>
      </c>
      <c r="K20" s="221">
        <v>311780</v>
      </c>
      <c r="L20" s="247">
        <f>AVERAGE(F20,H20,J20)</f>
        <v>288910.19076251221</v>
      </c>
      <c r="M20" s="247">
        <f>AVERAGE(G20,I20,K20)*1.03</f>
        <v>291839.17</v>
      </c>
      <c r="N20" s="217"/>
      <c r="O20" s="97"/>
      <c r="P20" s="97"/>
      <c r="Q20" s="115"/>
      <c r="R20" s="115"/>
      <c r="S20" s="53"/>
      <c r="T20" s="97"/>
      <c r="U20" s="101"/>
      <c r="V20" s="97"/>
      <c r="W20" s="115"/>
      <c r="X20" s="115"/>
      <c r="Y20" s="11"/>
      <c r="Z20" s="97"/>
      <c r="AA20" s="97"/>
      <c r="AB20" s="97"/>
      <c r="AC20" s="44"/>
      <c r="AD20" s="44"/>
      <c r="AE20" s="11"/>
      <c r="AF20" s="102">
        <v>250000</v>
      </c>
      <c r="AG20" s="125">
        <f>AF20*19%</f>
        <v>47500</v>
      </c>
      <c r="AH20" s="97">
        <f>+AF20+AG20</f>
        <v>297500</v>
      </c>
      <c r="AI20" s="11"/>
      <c r="AJ20" s="11"/>
      <c r="AK20" s="17"/>
      <c r="AL20" s="97">
        <v>260000</v>
      </c>
      <c r="AM20" s="97">
        <f>+AL20*0.19</f>
        <v>49400</v>
      </c>
      <c r="AN20" s="103">
        <f>+AL20+AM20</f>
        <v>309400</v>
      </c>
      <c r="AO20" s="248" t="s">
        <v>97</v>
      </c>
      <c r="AP20" s="239" t="s">
        <v>52</v>
      </c>
      <c r="AQ20" s="17"/>
      <c r="AR20" s="252">
        <v>468000</v>
      </c>
      <c r="AS20" s="97">
        <f>+AR20*0.19</f>
        <v>88920</v>
      </c>
      <c r="AT20" s="103">
        <f>+AR20+AS20</f>
        <v>556920</v>
      </c>
      <c r="AU20" s="52" t="s">
        <v>77</v>
      </c>
      <c r="AV20" s="42" t="s">
        <v>42</v>
      </c>
      <c r="AW20" s="30"/>
      <c r="AX20" s="100"/>
      <c r="AY20" s="100"/>
      <c r="AZ20" s="124"/>
      <c r="BA20" s="169"/>
      <c r="BB20" s="116"/>
      <c r="BC20" s="116"/>
      <c r="BD20" s="247"/>
      <c r="BE20" s="124"/>
      <c r="BF20" s="124"/>
      <c r="BG20" s="116"/>
      <c r="BH20" s="116"/>
      <c r="BI20" s="116"/>
      <c r="BJ20" s="124"/>
      <c r="BK20" s="124"/>
      <c r="BL20" s="124"/>
      <c r="BM20" s="116"/>
      <c r="BN20" s="116"/>
      <c r="BO20" s="116"/>
      <c r="BP20" s="124"/>
      <c r="BQ20" s="116"/>
      <c r="BR20" s="116"/>
      <c r="BS20" s="116"/>
      <c r="BT20" s="116"/>
      <c r="BU20" s="116"/>
      <c r="BV20" s="236">
        <v>297600</v>
      </c>
      <c r="BW20" s="125">
        <f t="shared" si="12"/>
        <v>56544</v>
      </c>
      <c r="BX20" s="97">
        <f t="shared" si="13"/>
        <v>354144</v>
      </c>
      <c r="BY20" s="237" t="s">
        <v>98</v>
      </c>
      <c r="BZ20" s="237" t="s">
        <v>83</v>
      </c>
      <c r="CA20" s="116"/>
      <c r="CB20" s="247">
        <v>188000</v>
      </c>
      <c r="CC20" s="125">
        <f>+CB20*19%</f>
        <v>35720</v>
      </c>
      <c r="CD20" s="247">
        <f>+CC20+CB20</f>
        <v>223720</v>
      </c>
      <c r="CE20" s="116"/>
      <c r="CF20" s="116"/>
      <c r="CG20" s="116"/>
      <c r="CH20" s="236">
        <v>300576</v>
      </c>
      <c r="CI20" s="238">
        <f t="shared" si="14"/>
        <v>57109.440000000002</v>
      </c>
      <c r="CJ20" s="236">
        <f t="shared" si="15"/>
        <v>357685.44</v>
      </c>
      <c r="CK20" s="237" t="s">
        <v>98</v>
      </c>
      <c r="CL20" s="237" t="s">
        <v>83</v>
      </c>
      <c r="CM20" s="116"/>
      <c r="CN20" s="247"/>
      <c r="CO20" s="125"/>
      <c r="CP20" s="247"/>
      <c r="CQ20" s="116"/>
      <c r="CR20" s="116"/>
      <c r="CS20" s="116"/>
      <c r="CT20" s="247">
        <v>995520</v>
      </c>
      <c r="CU20" s="125">
        <v>189148.79999999999</v>
      </c>
      <c r="CV20" s="125">
        <f t="shared" si="9"/>
        <v>1184668.8</v>
      </c>
      <c r="CW20" s="116"/>
      <c r="CX20" s="116"/>
      <c r="CY20" s="116"/>
      <c r="CZ20" s="102">
        <v>179310</v>
      </c>
      <c r="DA20" s="125">
        <f>+CZ20*0.19</f>
        <v>34068.9</v>
      </c>
      <c r="DB20" s="102">
        <f>+CZ20+DA20</f>
        <v>213378.9</v>
      </c>
      <c r="DC20" s="31" t="s">
        <v>64</v>
      </c>
      <c r="DD20" s="17" t="s">
        <v>65</v>
      </c>
      <c r="DE20" s="11">
        <v>1004680100</v>
      </c>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
      <c r="EU20" s="11"/>
      <c r="EV20" s="11"/>
      <c r="EW20" s="11"/>
      <c r="EX20" s="11"/>
      <c r="EY20" s="11"/>
      <c r="EZ20" s="11"/>
      <c r="FA20" s="11"/>
      <c r="FB20" s="11"/>
      <c r="FC20" s="11"/>
      <c r="FD20" s="11"/>
      <c r="FE20" s="11"/>
      <c r="FF20" s="11"/>
      <c r="FG20" s="11"/>
      <c r="FH20" s="17">
        <f t="shared" si="4"/>
        <v>3789256.31</v>
      </c>
      <c r="FI20" s="31">
        <f t="shared" si="2"/>
        <v>9</v>
      </c>
      <c r="FJ20" s="68">
        <f t="shared" si="3"/>
        <v>421028.4788888889</v>
      </c>
    </row>
    <row r="21" spans="1:166" ht="38.25" x14ac:dyDescent="0.25">
      <c r="A21" s="248">
        <f>Distribución_Reactivos!A21</f>
        <v>19</v>
      </c>
      <c r="B21" s="248" t="str">
        <f>Distribución_Reactivos!B21</f>
        <v>Ácido cítrico monohidratado</v>
      </c>
      <c r="C21" s="248" t="str">
        <f>Distribución_Reactivos!C21</f>
        <v>Merck, Carlo Erba, Scharlau, JT Baker</v>
      </c>
      <c r="D21" s="248" t="str">
        <f>Distribución_Reactivos!D21</f>
        <v>Frasco x 1Kg</v>
      </c>
      <c r="E21" s="29">
        <v>1</v>
      </c>
      <c r="F21" s="212">
        <v>384951.91000000003</v>
      </c>
      <c r="G21" s="214">
        <v>371399</v>
      </c>
      <c r="H21" s="221">
        <v>374396.30170941661</v>
      </c>
      <c r="I21" s="221">
        <v>374374</v>
      </c>
      <c r="J21" s="221">
        <v>307766.34112903225</v>
      </c>
      <c r="K21" s="221">
        <v>357000</v>
      </c>
      <c r="L21" s="247">
        <f>AVERAGE(F21,H21,J21)</f>
        <v>355704.85094614961</v>
      </c>
      <c r="M21" s="247">
        <f>AVERAGE(G21,I21,K21)*1.03</f>
        <v>378618.73</v>
      </c>
      <c r="N21" s="217"/>
      <c r="O21" s="97"/>
      <c r="P21" s="97"/>
      <c r="Q21" s="115"/>
      <c r="R21" s="115"/>
      <c r="S21" s="53"/>
      <c r="T21" s="97"/>
      <c r="U21" s="101"/>
      <c r="V21" s="97"/>
      <c r="W21" s="115"/>
      <c r="X21" s="115"/>
      <c r="Y21" s="11"/>
      <c r="Z21" s="97"/>
      <c r="AA21" s="97"/>
      <c r="AB21" s="97"/>
      <c r="AC21" s="44"/>
      <c r="AD21" s="44"/>
      <c r="AE21" s="11"/>
      <c r="AF21" s="102">
        <v>400000</v>
      </c>
      <c r="AG21" s="125">
        <f>AF21*19%</f>
        <v>76000</v>
      </c>
      <c r="AH21" s="97">
        <f>+AF21+AG21</f>
        <v>476000</v>
      </c>
      <c r="AI21" s="11"/>
      <c r="AJ21" s="11"/>
      <c r="AK21" s="17"/>
      <c r="AL21" s="97">
        <v>321000</v>
      </c>
      <c r="AM21" s="97">
        <f>+AL21*0.19</f>
        <v>60990</v>
      </c>
      <c r="AN21" s="103">
        <f>+AL21+AM21</f>
        <v>381990</v>
      </c>
      <c r="AO21" s="248" t="s">
        <v>97</v>
      </c>
      <c r="AP21" s="239" t="s">
        <v>52</v>
      </c>
      <c r="AQ21" s="17"/>
      <c r="AR21" s="252">
        <v>273600</v>
      </c>
      <c r="AS21" s="97">
        <f>+AR21*0.19</f>
        <v>51984</v>
      </c>
      <c r="AT21" s="103">
        <f>+AR21+AS21</f>
        <v>325584</v>
      </c>
      <c r="AU21" s="52" t="s">
        <v>77</v>
      </c>
      <c r="AV21" s="42" t="s">
        <v>42</v>
      </c>
      <c r="AW21" s="30"/>
      <c r="AX21" s="100">
        <v>184944.69</v>
      </c>
      <c r="AY21" s="100">
        <f>+AX21*0.19</f>
        <v>35139.491099999999</v>
      </c>
      <c r="AZ21" s="124">
        <f>+AX21+AY21</f>
        <v>220084.18109999999</v>
      </c>
      <c r="BA21" s="169" t="s">
        <v>99</v>
      </c>
      <c r="BB21" s="116" t="s">
        <v>72</v>
      </c>
      <c r="BC21" s="116"/>
      <c r="BD21" s="247"/>
      <c r="BE21" s="124"/>
      <c r="BF21" s="124"/>
      <c r="BG21" s="116"/>
      <c r="BH21" s="116"/>
      <c r="BI21" s="116"/>
      <c r="BJ21" s="124"/>
      <c r="BK21" s="124"/>
      <c r="BL21" s="124"/>
      <c r="BM21" s="116"/>
      <c r="BN21" s="116"/>
      <c r="BO21" s="116"/>
      <c r="BP21" s="124"/>
      <c r="BQ21" s="116"/>
      <c r="BR21" s="116"/>
      <c r="BS21" s="116"/>
      <c r="BT21" s="116"/>
      <c r="BU21" s="116"/>
      <c r="BV21" s="236">
        <v>480000</v>
      </c>
      <c r="BW21" s="125">
        <f t="shared" si="12"/>
        <v>91200</v>
      </c>
      <c r="BX21" s="97">
        <f t="shared" si="13"/>
        <v>571200</v>
      </c>
      <c r="BY21" s="237" t="s">
        <v>98</v>
      </c>
      <c r="BZ21" s="237" t="s">
        <v>93</v>
      </c>
      <c r="CA21" s="116"/>
      <c r="CB21" s="247"/>
      <c r="CC21" s="125"/>
      <c r="CD21" s="247"/>
      <c r="CE21" s="116"/>
      <c r="CF21" s="116"/>
      <c r="CG21" s="116"/>
      <c r="CH21" s="236">
        <v>508800</v>
      </c>
      <c r="CI21" s="238">
        <f t="shared" si="14"/>
        <v>96672</v>
      </c>
      <c r="CJ21" s="236">
        <f t="shared" si="15"/>
        <v>605472</v>
      </c>
      <c r="CK21" s="237" t="s">
        <v>98</v>
      </c>
      <c r="CL21" s="237" t="s">
        <v>93</v>
      </c>
      <c r="CM21" s="116"/>
      <c r="CN21" s="247"/>
      <c r="CO21" s="125"/>
      <c r="CP21" s="247"/>
      <c r="CQ21" s="116"/>
      <c r="CR21" s="116"/>
      <c r="CS21" s="116"/>
      <c r="CT21" s="247">
        <v>995520</v>
      </c>
      <c r="CU21" s="125">
        <v>189148.79999999999</v>
      </c>
      <c r="CV21" s="125">
        <f t="shared" si="9"/>
        <v>1184668.8</v>
      </c>
      <c r="CW21" s="116"/>
      <c r="CX21" s="116"/>
      <c r="CY21" s="116"/>
      <c r="CZ21" s="102">
        <v>229517</v>
      </c>
      <c r="DA21" s="125">
        <f>+CZ21*0.19</f>
        <v>43608.23</v>
      </c>
      <c r="DB21" s="102">
        <f>+CZ21+DA21</f>
        <v>273125.23</v>
      </c>
      <c r="DC21" s="31" t="s">
        <v>100</v>
      </c>
      <c r="DD21" s="17" t="s">
        <v>65</v>
      </c>
      <c r="DE21" s="11">
        <v>1002441000</v>
      </c>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
      <c r="EU21" s="11"/>
      <c r="EV21" s="11"/>
      <c r="EW21" s="11"/>
      <c r="EX21" s="11"/>
      <c r="EY21" s="11"/>
      <c r="EZ21" s="11"/>
      <c r="FA21" s="11"/>
      <c r="FB21" s="11"/>
      <c r="FC21" s="11"/>
      <c r="FD21" s="11"/>
      <c r="FE21" s="11"/>
      <c r="FF21" s="11"/>
      <c r="FG21" s="11"/>
      <c r="FH21" s="17">
        <f t="shared" si="4"/>
        <v>4416742.9410999995</v>
      </c>
      <c r="FI21" s="31">
        <f t="shared" si="2"/>
        <v>9</v>
      </c>
      <c r="FJ21" s="68">
        <f t="shared" si="3"/>
        <v>490749.21567777771</v>
      </c>
    </row>
    <row r="22" spans="1:166" ht="38.25" x14ac:dyDescent="0.25">
      <c r="A22" s="248">
        <f>Distribución_Reactivos!A22</f>
        <v>20</v>
      </c>
      <c r="B22" s="248" t="str">
        <f>Distribución_Reactivos!B22</f>
        <v>Ácido clorhídrico 37 - 38%</v>
      </c>
      <c r="C22" s="248" t="str">
        <f>Distribución_Reactivos!C22</f>
        <v>Merck,  JT Baker, Scharlau o equivalente.</v>
      </c>
      <c r="D22" s="248" t="str">
        <f>Distribución_Reactivos!D22</f>
        <v>Frasco x 2.5 litros</v>
      </c>
      <c r="E22" s="29">
        <v>1</v>
      </c>
      <c r="F22" s="212">
        <v>175229.2</v>
      </c>
      <c r="G22" s="214">
        <v>174930</v>
      </c>
      <c r="H22" s="221">
        <v>159205.2846177778</v>
      </c>
      <c r="I22" s="221">
        <v>0</v>
      </c>
      <c r="J22" s="221">
        <v>211073.67166666666</v>
      </c>
      <c r="K22" s="221">
        <v>190876</v>
      </c>
      <c r="L22" s="247">
        <f>AVERAGE(F22,H22,J22)</f>
        <v>181836.05209481483</v>
      </c>
      <c r="M22" s="247">
        <f>AVERAGE(G22,K22)*1.03</f>
        <v>188390.09</v>
      </c>
      <c r="N22" s="217"/>
      <c r="O22" s="97"/>
      <c r="P22" s="97"/>
      <c r="Q22" s="115"/>
      <c r="R22" s="115"/>
      <c r="S22" s="53"/>
      <c r="T22" s="97"/>
      <c r="U22" s="101"/>
      <c r="V22" s="97"/>
      <c r="W22" s="115"/>
      <c r="X22" s="115"/>
      <c r="Y22" s="11"/>
      <c r="Z22" s="97"/>
      <c r="AA22" s="97"/>
      <c r="AB22" s="97"/>
      <c r="AC22" s="44"/>
      <c r="AD22" s="44"/>
      <c r="AE22" s="11"/>
      <c r="AF22" s="102">
        <v>138000</v>
      </c>
      <c r="AG22" s="125">
        <f>AF22*19%</f>
        <v>26220</v>
      </c>
      <c r="AH22" s="97">
        <f>+AF22+AG22</f>
        <v>164220</v>
      </c>
      <c r="AI22" s="11"/>
      <c r="AJ22" s="11"/>
      <c r="AK22" s="17"/>
      <c r="AL22" s="97">
        <v>149000</v>
      </c>
      <c r="AM22" s="97">
        <f>+AL22*0.19</f>
        <v>28310</v>
      </c>
      <c r="AN22" s="103">
        <f>+AL22+AM22</f>
        <v>177310</v>
      </c>
      <c r="AO22" s="248" t="s">
        <v>95</v>
      </c>
      <c r="AP22" s="239" t="s">
        <v>52</v>
      </c>
      <c r="AQ22" s="17"/>
      <c r="AR22" s="252"/>
      <c r="AS22" s="136"/>
      <c r="AT22" s="137"/>
      <c r="AU22" s="52"/>
      <c r="AV22" s="52"/>
      <c r="AW22" s="30"/>
      <c r="AX22" s="100"/>
      <c r="AY22" s="174"/>
      <c r="AZ22" s="124"/>
      <c r="BA22" s="169"/>
      <c r="BB22" s="116"/>
      <c r="BC22" s="116"/>
      <c r="BD22" s="247"/>
      <c r="BE22" s="124"/>
      <c r="BF22" s="124"/>
      <c r="BG22" s="116"/>
      <c r="BH22" s="116"/>
      <c r="BI22" s="116"/>
      <c r="BJ22" s="124"/>
      <c r="BK22" s="124"/>
      <c r="BL22" s="124"/>
      <c r="BM22" s="116"/>
      <c r="BN22" s="116"/>
      <c r="BO22" s="116"/>
      <c r="BP22" s="124"/>
      <c r="BQ22" s="116"/>
      <c r="BR22" s="116"/>
      <c r="BS22" s="116"/>
      <c r="BT22" s="116"/>
      <c r="BU22" s="116"/>
      <c r="BV22" s="236">
        <v>130500</v>
      </c>
      <c r="BW22" s="125">
        <f t="shared" si="12"/>
        <v>24795</v>
      </c>
      <c r="BX22" s="97">
        <f t="shared" si="13"/>
        <v>155295</v>
      </c>
      <c r="BY22" s="237" t="s">
        <v>92</v>
      </c>
      <c r="BZ22" s="237" t="s">
        <v>83</v>
      </c>
      <c r="CA22" s="116"/>
      <c r="CB22" s="247"/>
      <c r="CC22" s="125"/>
      <c r="CD22" s="247"/>
      <c r="CE22" s="116"/>
      <c r="CF22" s="116"/>
      <c r="CG22" s="116"/>
      <c r="CH22" s="236">
        <v>138330</v>
      </c>
      <c r="CI22" s="238">
        <f t="shared" si="14"/>
        <v>26282.7</v>
      </c>
      <c r="CJ22" s="236">
        <f t="shared" si="15"/>
        <v>164612.70000000001</v>
      </c>
      <c r="CK22" s="237" t="s">
        <v>92</v>
      </c>
      <c r="CL22" s="237" t="s">
        <v>83</v>
      </c>
      <c r="CM22" s="116"/>
      <c r="CN22" s="247"/>
      <c r="CO22" s="125"/>
      <c r="CP22" s="247"/>
      <c r="CQ22" s="116"/>
      <c r="CR22" s="116"/>
      <c r="CS22" s="116"/>
      <c r="CT22" s="247">
        <v>250239.99999999997</v>
      </c>
      <c r="CU22" s="125">
        <v>47545.599999999999</v>
      </c>
      <c r="CV22" s="125">
        <f t="shared" si="9"/>
        <v>297785.59999999998</v>
      </c>
      <c r="CW22" s="116"/>
      <c r="CX22" s="116"/>
      <c r="CY22" s="116"/>
      <c r="CZ22" s="102">
        <v>99862</v>
      </c>
      <c r="DA22" s="125">
        <f>+CZ22*0.19</f>
        <v>18973.78</v>
      </c>
      <c r="DB22" s="102">
        <f>+CZ22+DA22</f>
        <v>118835.78</v>
      </c>
      <c r="DC22" s="31" t="s">
        <v>101</v>
      </c>
      <c r="DD22" s="17" t="s">
        <v>65</v>
      </c>
      <c r="DE22" s="11" t="s">
        <v>102</v>
      </c>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
      <c r="EU22" s="11"/>
      <c r="EV22" s="11"/>
      <c r="EW22" s="11"/>
      <c r="EX22" s="11"/>
      <c r="EY22" s="11"/>
      <c r="EZ22" s="11"/>
      <c r="FA22" s="11"/>
      <c r="FB22" s="11"/>
      <c r="FC22" s="11"/>
      <c r="FD22" s="11"/>
      <c r="FE22" s="11"/>
      <c r="FF22" s="11"/>
      <c r="FG22" s="11"/>
      <c r="FH22" s="17">
        <f t="shared" si="4"/>
        <v>1266449.1700000002</v>
      </c>
      <c r="FI22" s="31">
        <f t="shared" si="2"/>
        <v>7</v>
      </c>
      <c r="FJ22" s="68">
        <f t="shared" si="3"/>
        <v>180921.31000000003</v>
      </c>
    </row>
    <row r="23" spans="1:166" ht="35.25" customHeight="1" x14ac:dyDescent="0.25">
      <c r="A23" s="248">
        <f>Distribución_Reactivos!A23</f>
        <v>21</v>
      </c>
      <c r="B23" s="248" t="str">
        <f>Distribución_Reactivos!B23</f>
        <v>Ácido fórmico 98-100 % pureza, con certificado de análisis y ficha de seguridad</v>
      </c>
      <c r="C23" s="248" t="str">
        <f>Distribución_Reactivos!C23</f>
        <v>Cualquier marca</v>
      </c>
      <c r="D23" s="248" t="str">
        <f>Distribución_Reactivos!D23</f>
        <v>Frasco x 2.5 litros</v>
      </c>
      <c r="E23" s="29">
        <v>1</v>
      </c>
      <c r="F23" s="212">
        <v>0</v>
      </c>
      <c r="G23" s="214">
        <v>0</v>
      </c>
      <c r="H23" s="221">
        <v>1120997.55</v>
      </c>
      <c r="I23" s="221">
        <v>197540</v>
      </c>
      <c r="J23" s="221">
        <v>333332.90572580649</v>
      </c>
      <c r="K23" s="221">
        <v>315350</v>
      </c>
      <c r="L23" s="247">
        <f>AVERAGE(H23,J23)</f>
        <v>727165.22786290327</v>
      </c>
      <c r="M23" s="247">
        <f>AVERAGE(I23,K23)*1.03</f>
        <v>264138.35000000003</v>
      </c>
      <c r="N23" s="217"/>
      <c r="O23" s="97"/>
      <c r="P23" s="97"/>
      <c r="Q23" s="115"/>
      <c r="R23" s="115"/>
      <c r="S23" s="53"/>
      <c r="T23" s="105"/>
      <c r="U23" s="101"/>
      <c r="V23" s="97"/>
      <c r="W23" s="115"/>
      <c r="X23" s="115"/>
      <c r="Y23" s="11"/>
      <c r="Z23" s="97"/>
      <c r="AA23" s="97"/>
      <c r="AB23" s="97"/>
      <c r="AC23" s="44"/>
      <c r="AD23" s="44"/>
      <c r="AE23" s="11"/>
      <c r="AF23" s="102">
        <v>260000</v>
      </c>
      <c r="AG23" s="125">
        <f>AF23*19%</f>
        <v>49400</v>
      </c>
      <c r="AH23" s="97">
        <f>+AF23+AG23</f>
        <v>309400</v>
      </c>
      <c r="AI23" s="11"/>
      <c r="AJ23" s="11"/>
      <c r="AK23" s="17"/>
      <c r="AL23" s="97">
        <v>276000</v>
      </c>
      <c r="AM23" s="97">
        <f>+AL23*0.19</f>
        <v>52440</v>
      </c>
      <c r="AN23" s="103">
        <f>+AL23+AM23</f>
        <v>328440</v>
      </c>
      <c r="AO23" s="248" t="s">
        <v>95</v>
      </c>
      <c r="AP23" s="239" t="s">
        <v>52</v>
      </c>
      <c r="AQ23" s="17"/>
      <c r="AR23" s="252">
        <v>271479</v>
      </c>
      <c r="AS23" s="97">
        <f>+AR23*0.19</f>
        <v>51581.01</v>
      </c>
      <c r="AT23" s="103">
        <f>+AR23+AS23</f>
        <v>323060.01</v>
      </c>
      <c r="AU23" s="52" t="s">
        <v>96</v>
      </c>
      <c r="AV23" s="42" t="s">
        <v>52</v>
      </c>
      <c r="AW23" s="30"/>
      <c r="AX23" s="100"/>
      <c r="AY23" s="100"/>
      <c r="AZ23" s="124"/>
      <c r="BA23" s="169"/>
      <c r="BB23" s="116"/>
      <c r="BC23" s="116"/>
      <c r="BD23" s="247"/>
      <c r="BE23" s="124"/>
      <c r="BF23" s="124"/>
      <c r="BG23" s="116"/>
      <c r="BH23" s="116"/>
      <c r="BI23" s="116"/>
      <c r="BJ23" s="124"/>
      <c r="BK23" s="124"/>
      <c r="BL23" s="124"/>
      <c r="BM23" s="116"/>
      <c r="BN23" s="116"/>
      <c r="BO23" s="116"/>
      <c r="BP23" s="124"/>
      <c r="BQ23" s="116"/>
      <c r="BR23" s="116"/>
      <c r="BS23" s="116"/>
      <c r="BT23" s="116"/>
      <c r="BU23" s="116"/>
      <c r="BV23" s="236">
        <v>404200</v>
      </c>
      <c r="BW23" s="125">
        <f t="shared" si="12"/>
        <v>76798</v>
      </c>
      <c r="BX23" s="97">
        <f t="shared" si="13"/>
        <v>480998</v>
      </c>
      <c r="BY23" s="237" t="s">
        <v>92</v>
      </c>
      <c r="BZ23" s="237" t="s">
        <v>93</v>
      </c>
      <c r="CA23" s="116"/>
      <c r="CB23" s="247"/>
      <c r="CC23" s="125"/>
      <c r="CD23" s="247"/>
      <c r="CE23" s="116"/>
      <c r="CF23" s="116"/>
      <c r="CG23" s="116"/>
      <c r="CH23" s="236">
        <v>416326</v>
      </c>
      <c r="CI23" s="238">
        <f t="shared" si="14"/>
        <v>79101.94</v>
      </c>
      <c r="CJ23" s="236">
        <f t="shared" si="15"/>
        <v>495427.94</v>
      </c>
      <c r="CK23" s="237" t="s">
        <v>92</v>
      </c>
      <c r="CL23" s="237" t="s">
        <v>93</v>
      </c>
      <c r="CM23" s="116"/>
      <c r="CN23" s="247"/>
      <c r="CO23" s="125"/>
      <c r="CP23" s="247"/>
      <c r="CQ23" s="116"/>
      <c r="CR23" s="116"/>
      <c r="CS23" s="116"/>
      <c r="CT23" s="247">
        <v>244800</v>
      </c>
      <c r="CU23" s="125">
        <v>46512</v>
      </c>
      <c r="CV23" s="125">
        <f t="shared" si="9"/>
        <v>291312</v>
      </c>
      <c r="CW23" s="116"/>
      <c r="CX23" s="116"/>
      <c r="CY23" s="116"/>
      <c r="CZ23" s="102"/>
      <c r="DA23" s="125"/>
      <c r="DB23" s="102"/>
      <c r="DC23" s="31"/>
      <c r="DD23" s="17"/>
      <c r="DE23" s="11"/>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
      <c r="EU23" s="11"/>
      <c r="EV23" s="11"/>
      <c r="EW23" s="11"/>
      <c r="EX23" s="11"/>
      <c r="EY23" s="11"/>
      <c r="EZ23" s="11"/>
      <c r="FA23" s="11"/>
      <c r="FB23" s="11"/>
      <c r="FC23" s="11"/>
      <c r="FD23" s="11"/>
      <c r="FE23" s="11"/>
      <c r="FF23" s="11"/>
      <c r="FG23" s="11"/>
      <c r="FH23" s="17">
        <f t="shared" si="4"/>
        <v>2492776.3000000003</v>
      </c>
      <c r="FI23" s="31">
        <f t="shared" si="2"/>
        <v>7</v>
      </c>
      <c r="FJ23" s="68">
        <f t="shared" si="3"/>
        <v>356110.9</v>
      </c>
    </row>
    <row r="24" spans="1:166" ht="35.25" customHeight="1" x14ac:dyDescent="0.25">
      <c r="A24" s="248">
        <f>Distribución_Reactivos!A24</f>
        <v>22</v>
      </c>
      <c r="B24" s="248" t="str">
        <f>Distribución_Reactivos!B24</f>
        <v>Acido formico para LC-MS certificado de análisis y ficha de seguridad</v>
      </c>
      <c r="C24" s="248" t="str">
        <f>Distribución_Reactivos!C24</f>
        <v>Cualquier marca</v>
      </c>
      <c r="D24" s="248" t="str">
        <f>Distribución_Reactivos!D24</f>
        <v>Frasco 50 mL</v>
      </c>
      <c r="E24" s="29">
        <v>1</v>
      </c>
      <c r="F24" s="212">
        <v>0</v>
      </c>
      <c r="G24" s="214">
        <v>0</v>
      </c>
      <c r="H24" s="221">
        <v>0</v>
      </c>
      <c r="I24" s="221">
        <v>0</v>
      </c>
      <c r="J24" s="221">
        <v>0</v>
      </c>
      <c r="K24" s="221">
        <v>0</v>
      </c>
      <c r="L24" s="247"/>
      <c r="M24" s="247"/>
      <c r="N24" s="217"/>
      <c r="O24" s="97"/>
      <c r="P24" s="97"/>
      <c r="Q24" s="115"/>
      <c r="R24" s="115"/>
      <c r="S24" s="53"/>
      <c r="T24" s="97"/>
      <c r="U24" s="97"/>
      <c r="V24" s="97"/>
      <c r="W24" s="115"/>
      <c r="X24" s="115"/>
      <c r="Y24" s="11"/>
      <c r="Z24" s="97"/>
      <c r="AA24" s="97"/>
      <c r="AB24" s="97"/>
      <c r="AC24" s="44"/>
      <c r="AD24" s="44"/>
      <c r="AE24" s="11"/>
      <c r="AF24" s="102"/>
      <c r="AG24" s="125"/>
      <c r="AH24" s="97"/>
      <c r="AI24" s="11"/>
      <c r="AJ24" s="11"/>
      <c r="AK24" s="17"/>
      <c r="AL24" s="97"/>
      <c r="AM24" s="97"/>
      <c r="AN24" s="101"/>
      <c r="AO24" s="248"/>
      <c r="AP24" s="17"/>
      <c r="AQ24" s="17"/>
      <c r="AR24" s="252"/>
      <c r="AS24" s="136"/>
      <c r="AT24" s="137"/>
      <c r="AU24" s="52"/>
      <c r="AV24" s="52"/>
      <c r="AW24" s="30"/>
      <c r="AX24" s="156">
        <v>553735.82437499997</v>
      </c>
      <c r="AY24" s="100">
        <f>+AX24*0.19</f>
        <v>105209.80663125</v>
      </c>
      <c r="AZ24" s="124">
        <f>+AX24+AY24</f>
        <v>658945.63100624993</v>
      </c>
      <c r="BA24" s="148" t="s">
        <v>103</v>
      </c>
      <c r="BB24" s="116" t="s">
        <v>72</v>
      </c>
      <c r="BC24" s="116"/>
      <c r="BD24" s="247"/>
      <c r="BE24" s="124"/>
      <c r="BF24" s="124"/>
      <c r="BG24" s="116"/>
      <c r="BH24" s="116"/>
      <c r="BI24" s="116"/>
      <c r="BJ24" s="124"/>
      <c r="BK24" s="124"/>
      <c r="BL24" s="124"/>
      <c r="BM24" s="116"/>
      <c r="BN24" s="116"/>
      <c r="BO24" s="116"/>
      <c r="BP24" s="124"/>
      <c r="BQ24" s="116"/>
      <c r="BR24" s="116"/>
      <c r="BS24" s="116"/>
      <c r="BT24" s="116"/>
      <c r="BU24" s="116"/>
      <c r="BV24" s="236">
        <v>454100</v>
      </c>
      <c r="BW24" s="125">
        <f t="shared" si="12"/>
        <v>86279</v>
      </c>
      <c r="BX24" s="97">
        <f t="shared" si="13"/>
        <v>540379</v>
      </c>
      <c r="BY24" s="237" t="s">
        <v>104</v>
      </c>
      <c r="BZ24" s="237" t="s">
        <v>93</v>
      </c>
      <c r="CA24" s="116"/>
      <c r="CB24" s="247"/>
      <c r="CC24" s="125"/>
      <c r="CD24" s="247"/>
      <c r="CE24" s="116"/>
      <c r="CF24" s="116"/>
      <c r="CG24" s="116"/>
      <c r="CH24" s="236">
        <v>463182</v>
      </c>
      <c r="CI24" s="238">
        <f t="shared" si="14"/>
        <v>88004.58</v>
      </c>
      <c r="CJ24" s="236">
        <f t="shared" si="15"/>
        <v>551186.57999999996</v>
      </c>
      <c r="CK24" s="237" t="s">
        <v>104</v>
      </c>
      <c r="CL24" s="237" t="s">
        <v>93</v>
      </c>
      <c r="CM24" s="116"/>
      <c r="CN24" s="247"/>
      <c r="CO24" s="125"/>
      <c r="CP24" s="247"/>
      <c r="CQ24" s="116"/>
      <c r="CR24" s="116"/>
      <c r="CS24" s="116"/>
      <c r="CT24" s="247">
        <v>342720</v>
      </c>
      <c r="CU24" s="125">
        <v>65116.800000000003</v>
      </c>
      <c r="CV24" s="125">
        <f t="shared" si="9"/>
        <v>407836.8</v>
      </c>
      <c r="CW24" s="116"/>
      <c r="CX24" s="116"/>
      <c r="CY24" s="116"/>
      <c r="CZ24" s="102"/>
      <c r="DA24" s="125"/>
      <c r="DB24" s="102"/>
      <c r="DC24" s="31"/>
      <c r="DD24" s="17"/>
      <c r="DE24" s="11"/>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33"/>
      <c r="EJ24" s="116"/>
      <c r="EK24" s="116"/>
      <c r="EL24" s="116"/>
      <c r="EM24" s="116"/>
      <c r="EN24" s="116"/>
      <c r="EO24" s="116"/>
      <c r="EP24" s="116"/>
      <c r="EQ24" s="116"/>
      <c r="ER24" s="116"/>
      <c r="ES24" s="116"/>
      <c r="ET24" s="11"/>
      <c r="EU24" s="11"/>
      <c r="EV24" s="11"/>
      <c r="EW24" s="11"/>
      <c r="EX24" s="11"/>
      <c r="EY24" s="11"/>
      <c r="EZ24" s="11"/>
      <c r="FA24" s="11"/>
      <c r="FB24" s="11"/>
      <c r="FC24" s="11"/>
      <c r="FD24" s="11"/>
      <c r="FE24" s="11"/>
      <c r="FF24" s="11"/>
      <c r="FG24" s="11"/>
      <c r="FH24" s="17">
        <f t="shared" si="4"/>
        <v>2158348.0110062496</v>
      </c>
      <c r="FI24" s="31">
        <f t="shared" si="2"/>
        <v>4</v>
      </c>
      <c r="FJ24" s="68">
        <f t="shared" si="3"/>
        <v>539587.0027515624</v>
      </c>
    </row>
    <row r="25" spans="1:166" ht="27" x14ac:dyDescent="0.25">
      <c r="A25" s="248">
        <f>Distribución_Reactivos!A25</f>
        <v>23</v>
      </c>
      <c r="B25" s="248" t="str">
        <f>Distribución_Reactivos!B25</f>
        <v>Ácido fosfomolibdico solución 2%</v>
      </c>
      <c r="C25" s="248" t="str">
        <f>Distribución_Reactivos!C25</f>
        <v>Sigma Aldrich / Merck / JT Baker</v>
      </c>
      <c r="D25" s="248" t="str">
        <f>Distribución_Reactivos!D25</f>
        <v>Frasco x 25g</v>
      </c>
      <c r="E25" s="29">
        <v>1</v>
      </c>
      <c r="F25" s="212">
        <v>0</v>
      </c>
      <c r="G25" s="214">
        <v>0</v>
      </c>
      <c r="H25" s="221">
        <v>1372129.5</v>
      </c>
      <c r="I25" s="221">
        <v>0</v>
      </c>
      <c r="J25" s="221">
        <v>1374436.9100000001</v>
      </c>
      <c r="K25" s="221">
        <v>0</v>
      </c>
      <c r="L25" s="247">
        <f>AVERAGE(H25,J25)</f>
        <v>1373283.2050000001</v>
      </c>
      <c r="M25" s="247"/>
      <c r="N25" s="217"/>
      <c r="O25" s="97"/>
      <c r="P25" s="97"/>
      <c r="Q25" s="115"/>
      <c r="R25" s="115"/>
      <c r="S25" s="53"/>
      <c r="T25" s="105"/>
      <c r="U25" s="97"/>
      <c r="V25" s="97"/>
      <c r="W25" s="115"/>
      <c r="X25" s="115"/>
      <c r="Y25" s="11"/>
      <c r="Z25" s="97"/>
      <c r="AA25" s="97"/>
      <c r="AB25" s="97"/>
      <c r="AC25" s="44"/>
      <c r="AD25" s="44"/>
      <c r="AE25" s="11"/>
      <c r="AF25" s="102"/>
      <c r="AG25" s="125"/>
      <c r="AH25" s="97"/>
      <c r="AI25" s="11"/>
      <c r="AJ25" s="11"/>
      <c r="AK25" s="17"/>
      <c r="AL25" s="97">
        <v>1250000</v>
      </c>
      <c r="AM25" s="97">
        <f>+AL25*0.19</f>
        <v>237500</v>
      </c>
      <c r="AN25" s="103">
        <f>+AL25+AM25</f>
        <v>1487500</v>
      </c>
      <c r="AO25" s="248" t="s">
        <v>61</v>
      </c>
      <c r="AP25" s="239" t="s">
        <v>52</v>
      </c>
      <c r="AQ25" s="17"/>
      <c r="AR25" s="252">
        <f>893871/4</f>
        <v>223467.75</v>
      </c>
      <c r="AS25" s="97">
        <f>+AR25*0.19</f>
        <v>42458.872499999998</v>
      </c>
      <c r="AT25" s="103">
        <f>+AR25+AS25</f>
        <v>265926.6225</v>
      </c>
      <c r="AU25" s="52" t="s">
        <v>61</v>
      </c>
      <c r="AV25" s="42" t="s">
        <v>52</v>
      </c>
      <c r="AW25" s="30"/>
      <c r="AX25" s="100"/>
      <c r="AY25" s="172"/>
      <c r="AZ25" s="124"/>
      <c r="BA25" s="169"/>
      <c r="BB25" s="116"/>
      <c r="BC25" s="116"/>
      <c r="BD25" s="247"/>
      <c r="BE25" s="124"/>
      <c r="BF25" s="124"/>
      <c r="BG25" s="116"/>
      <c r="BH25" s="116"/>
      <c r="BI25" s="116"/>
      <c r="BJ25" s="124"/>
      <c r="BK25" s="124"/>
      <c r="BL25" s="124"/>
      <c r="BM25" s="116"/>
      <c r="BN25" s="116"/>
      <c r="BO25" s="116"/>
      <c r="BP25" s="124"/>
      <c r="BQ25" s="116"/>
      <c r="BR25" s="116"/>
      <c r="BS25" s="116"/>
      <c r="BT25" s="116"/>
      <c r="BU25" s="116"/>
      <c r="BV25" s="236">
        <v>3194800</v>
      </c>
      <c r="BW25" s="125">
        <f t="shared" si="12"/>
        <v>607012</v>
      </c>
      <c r="BX25" s="97">
        <f t="shared" si="13"/>
        <v>3801812</v>
      </c>
      <c r="BY25" s="237" t="s">
        <v>105</v>
      </c>
      <c r="BZ25" s="237" t="s">
        <v>83</v>
      </c>
      <c r="CA25" s="116"/>
      <c r="CB25" s="247"/>
      <c r="CC25" s="125"/>
      <c r="CD25" s="247"/>
      <c r="CE25" s="116"/>
      <c r="CF25" s="116"/>
      <c r="CG25" s="116"/>
      <c r="CH25" s="236"/>
      <c r="CI25" s="238"/>
      <c r="CJ25" s="236"/>
      <c r="CK25" s="237"/>
      <c r="CL25" s="237"/>
      <c r="CM25" s="116"/>
      <c r="CN25" s="247"/>
      <c r="CO25" s="125"/>
      <c r="CP25" s="247"/>
      <c r="CQ25" s="116"/>
      <c r="CR25" s="116"/>
      <c r="CS25" s="116"/>
      <c r="CT25" s="247">
        <v>369920</v>
      </c>
      <c r="CU25" s="125">
        <v>70284.800000000003</v>
      </c>
      <c r="CV25" s="125">
        <f t="shared" si="9"/>
        <v>440204.79999999999</v>
      </c>
      <c r="CW25" s="116"/>
      <c r="CX25" s="116"/>
      <c r="CY25" s="116"/>
      <c r="CZ25" s="102">
        <v>342621</v>
      </c>
      <c r="DA25" s="125">
        <f>+CZ25*0.19</f>
        <v>65097.99</v>
      </c>
      <c r="DB25" s="102">
        <f>+CZ25+DA25</f>
        <v>407718.99</v>
      </c>
      <c r="DC25" s="31" t="s">
        <v>106</v>
      </c>
      <c r="DD25" s="17" t="s">
        <v>65</v>
      </c>
      <c r="DE25" s="11">
        <v>1005320025</v>
      </c>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
      <c r="EU25" s="11"/>
      <c r="EV25" s="11"/>
      <c r="EW25" s="11"/>
      <c r="EX25" s="11"/>
      <c r="EY25" s="11"/>
      <c r="EZ25" s="11"/>
      <c r="FA25" s="11"/>
      <c r="FB25" s="11"/>
      <c r="FC25" s="11"/>
      <c r="FD25" s="11"/>
      <c r="FE25" s="11"/>
      <c r="FF25" s="11"/>
      <c r="FG25" s="11"/>
      <c r="FH25" s="17">
        <f t="shared" si="4"/>
        <v>6403162.4125000006</v>
      </c>
      <c r="FI25" s="31">
        <f t="shared" si="2"/>
        <v>5</v>
      </c>
      <c r="FJ25" s="68">
        <f t="shared" si="3"/>
        <v>1280632.4825000002</v>
      </c>
    </row>
    <row r="26" spans="1:166" ht="27" x14ac:dyDescent="0.25">
      <c r="A26" s="248">
        <f>Distribución_Reactivos!A26</f>
        <v>24</v>
      </c>
      <c r="B26" s="248" t="str">
        <f>Distribución_Reactivos!B26</f>
        <v>Ácido fosfotúngstico</v>
      </c>
      <c r="C26" s="248" t="str">
        <f>Distribución_Reactivos!C26</f>
        <v>Sigma Aldrich / Merck / JT Baker</v>
      </c>
      <c r="D26" s="248" t="str">
        <f>Distribución_Reactivos!D26</f>
        <v>Frasco x 25g</v>
      </c>
      <c r="E26" s="29">
        <v>1</v>
      </c>
      <c r="F26" s="212">
        <v>0</v>
      </c>
      <c r="G26" s="214">
        <v>0</v>
      </c>
      <c r="H26" s="221">
        <v>661045</v>
      </c>
      <c r="I26" s="221">
        <v>0</v>
      </c>
      <c r="J26" s="221">
        <v>0</v>
      </c>
      <c r="K26" s="221">
        <v>0</v>
      </c>
      <c r="L26" s="247">
        <f>H26</f>
        <v>661045</v>
      </c>
      <c r="M26" s="247"/>
      <c r="N26" s="217"/>
      <c r="O26" s="97"/>
      <c r="P26" s="97"/>
      <c r="Q26" s="115"/>
      <c r="R26" s="115"/>
      <c r="S26" s="53"/>
      <c r="T26" s="97"/>
      <c r="U26" s="97"/>
      <c r="V26" s="97"/>
      <c r="W26" s="115"/>
      <c r="X26" s="115"/>
      <c r="Y26" s="11"/>
      <c r="Z26" s="97"/>
      <c r="AA26" s="97"/>
      <c r="AB26" s="97"/>
      <c r="AC26" s="44"/>
      <c r="AD26" s="44"/>
      <c r="AE26" s="11"/>
      <c r="AF26" s="97"/>
      <c r="AG26" s="125"/>
      <c r="AH26" s="97"/>
      <c r="AI26" s="11"/>
      <c r="AJ26" s="11"/>
      <c r="AK26" s="17"/>
      <c r="AL26" s="97"/>
      <c r="AM26" s="97"/>
      <c r="AN26" s="127"/>
      <c r="AO26" s="248"/>
      <c r="AP26" s="17"/>
      <c r="AQ26" s="17"/>
      <c r="AR26" s="252"/>
      <c r="AS26" s="138"/>
      <c r="AT26" s="139"/>
      <c r="AU26" s="52"/>
      <c r="AV26" s="52"/>
      <c r="AW26" s="30"/>
      <c r="AX26" s="100"/>
      <c r="AY26" s="174"/>
      <c r="AZ26" s="124"/>
      <c r="BA26" s="169"/>
      <c r="BB26" s="116"/>
      <c r="BC26" s="116"/>
      <c r="BD26" s="252"/>
      <c r="BE26" s="124"/>
      <c r="BF26" s="124"/>
      <c r="BG26" s="116"/>
      <c r="BH26" s="116"/>
      <c r="BI26" s="116"/>
      <c r="BJ26" s="124"/>
      <c r="BK26" s="124"/>
      <c r="BL26" s="124"/>
      <c r="BM26" s="116"/>
      <c r="BN26" s="116"/>
      <c r="BO26" s="116"/>
      <c r="BP26" s="124"/>
      <c r="BQ26" s="116"/>
      <c r="BR26" s="116"/>
      <c r="BS26" s="116"/>
      <c r="BT26" s="116"/>
      <c r="BU26" s="116"/>
      <c r="BV26" s="240">
        <v>1151600</v>
      </c>
      <c r="BW26" s="125">
        <f t="shared" si="12"/>
        <v>218804</v>
      </c>
      <c r="BX26" s="97">
        <f t="shared" si="13"/>
        <v>1370404</v>
      </c>
      <c r="BY26" s="237" t="s">
        <v>107</v>
      </c>
      <c r="BZ26" s="237" t="s">
        <v>83</v>
      </c>
      <c r="CA26" s="116"/>
      <c r="CB26" s="252"/>
      <c r="CC26" s="124"/>
      <c r="CD26" s="252"/>
      <c r="CE26" s="116"/>
      <c r="CF26" s="116"/>
      <c r="CG26" s="116"/>
      <c r="CH26" s="240">
        <v>1220696</v>
      </c>
      <c r="CI26" s="238">
        <f>+CH26*0.19</f>
        <v>231932.24</v>
      </c>
      <c r="CJ26" s="236">
        <f>+CH26+CI26</f>
        <v>1452628.24</v>
      </c>
      <c r="CK26" s="237" t="s">
        <v>107</v>
      </c>
      <c r="CL26" s="237" t="s">
        <v>83</v>
      </c>
      <c r="CM26" s="116"/>
      <c r="CN26" s="252"/>
      <c r="CO26" s="124"/>
      <c r="CP26" s="252"/>
      <c r="CQ26" s="116"/>
      <c r="CR26" s="116"/>
      <c r="CS26" s="116"/>
      <c r="CT26" s="252">
        <v>183000</v>
      </c>
      <c r="CU26" s="124">
        <v>34770</v>
      </c>
      <c r="CV26" s="125">
        <f t="shared" si="9"/>
        <v>217770</v>
      </c>
      <c r="CW26" s="116"/>
      <c r="CX26" s="116"/>
      <c r="CY26" s="116"/>
      <c r="CZ26" s="97"/>
      <c r="DA26" s="124"/>
      <c r="DB26" s="97"/>
      <c r="DC26" s="31"/>
      <c r="DD26" s="17"/>
      <c r="DE26" s="11"/>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
      <c r="EU26" s="11"/>
      <c r="EV26" s="11"/>
      <c r="EW26" s="11"/>
      <c r="EX26" s="11"/>
      <c r="EY26" s="11"/>
      <c r="EZ26" s="11"/>
      <c r="FA26" s="11"/>
      <c r="FB26" s="11"/>
      <c r="FC26" s="11"/>
      <c r="FD26" s="11"/>
      <c r="FE26" s="11"/>
      <c r="FF26" s="11"/>
      <c r="FG26" s="11"/>
      <c r="FH26" s="17">
        <f t="shared" si="4"/>
        <v>3040802.24</v>
      </c>
      <c r="FI26" s="31">
        <f t="shared" si="2"/>
        <v>3</v>
      </c>
      <c r="FJ26" s="68">
        <f t="shared" si="3"/>
        <v>1013600.7466666667</v>
      </c>
    </row>
    <row r="27" spans="1:166" ht="40.5" x14ac:dyDescent="0.25">
      <c r="A27" s="248">
        <f>Distribución_Reactivos!A27</f>
        <v>25</v>
      </c>
      <c r="B27" s="248" t="str">
        <f>Distribución_Reactivos!B27</f>
        <v>Ácido láctico Cas 79-33-4</v>
      </c>
      <c r="C27" s="248" t="str">
        <f>Distribución_Reactivos!C27</f>
        <v>Aeros/JT Baker</v>
      </c>
      <c r="D27" s="248" t="str">
        <f>Distribución_Reactivos!D27</f>
        <v>Frasco X 250ml</v>
      </c>
      <c r="E27" s="29">
        <v>1</v>
      </c>
      <c r="F27" s="212">
        <v>331752.16666666663</v>
      </c>
      <c r="G27" s="214">
        <v>185521</v>
      </c>
      <c r="H27" s="221">
        <v>489978.87766388891</v>
      </c>
      <c r="I27" s="221">
        <v>0</v>
      </c>
      <c r="J27" s="221">
        <v>404479.01666666666</v>
      </c>
      <c r="K27" s="221">
        <v>0</v>
      </c>
      <c r="L27" s="247">
        <f>AVERAGE(F27,H27,J27)</f>
        <v>408736.68699907401</v>
      </c>
      <c r="M27" s="247">
        <f>G27*1.03</f>
        <v>191086.63</v>
      </c>
      <c r="N27" s="217"/>
      <c r="O27" s="97"/>
      <c r="P27" s="97"/>
      <c r="Q27" s="115"/>
      <c r="R27" s="115"/>
      <c r="S27" s="53"/>
      <c r="T27" s="105"/>
      <c r="U27" s="101"/>
      <c r="V27" s="97"/>
      <c r="W27" s="115"/>
      <c r="X27" s="115"/>
      <c r="Y27" s="11"/>
      <c r="Z27" s="97"/>
      <c r="AA27" s="97"/>
      <c r="AB27" s="97"/>
      <c r="AC27" s="44"/>
      <c r="AD27" s="44"/>
      <c r="AE27" s="11"/>
      <c r="AF27" s="102"/>
      <c r="AG27" s="125"/>
      <c r="AH27" s="97"/>
      <c r="AI27" s="11"/>
      <c r="AJ27" s="11"/>
      <c r="AK27" s="17"/>
      <c r="AL27" s="97">
        <f>280000/4</f>
        <v>70000</v>
      </c>
      <c r="AM27" s="97">
        <f t="shared" ref="AM27:AM34" si="16">+AL27*0.19</f>
        <v>13300</v>
      </c>
      <c r="AN27" s="103">
        <f t="shared" ref="AN27:AN34" si="17">+AL27+AM27</f>
        <v>83300</v>
      </c>
      <c r="AO27" s="248" t="s">
        <v>56</v>
      </c>
      <c r="AP27" s="239" t="s">
        <v>52</v>
      </c>
      <c r="AQ27" s="17"/>
      <c r="AR27" s="252">
        <f>576000/4</f>
        <v>144000</v>
      </c>
      <c r="AS27" s="97">
        <f t="shared" ref="AS27:AS32" si="18">+AR27*0.19</f>
        <v>27360</v>
      </c>
      <c r="AT27" s="103">
        <f t="shared" ref="AT27:AT32" si="19">+AR27+AS27</f>
        <v>171360</v>
      </c>
      <c r="AU27" s="143" t="s">
        <v>56</v>
      </c>
      <c r="AV27" s="42" t="s">
        <v>42</v>
      </c>
      <c r="AW27" s="30"/>
      <c r="AX27" s="100"/>
      <c r="AY27" s="172"/>
      <c r="AZ27" s="124"/>
      <c r="BA27" s="169"/>
      <c r="BB27" s="116"/>
      <c r="BC27" s="116"/>
      <c r="BD27" s="247"/>
      <c r="BE27" s="124"/>
      <c r="BF27" s="124"/>
      <c r="BG27" s="116"/>
      <c r="BH27" s="116"/>
      <c r="BI27" s="116"/>
      <c r="BJ27" s="124"/>
      <c r="BK27" s="124"/>
      <c r="BL27" s="124"/>
      <c r="BM27" s="116"/>
      <c r="BN27" s="116"/>
      <c r="BO27" s="116"/>
      <c r="BP27" s="124"/>
      <c r="BQ27" s="116"/>
      <c r="BR27" s="116"/>
      <c r="BS27" s="116"/>
      <c r="BT27" s="116"/>
      <c r="BU27" s="116"/>
      <c r="BV27" s="236">
        <v>784000</v>
      </c>
      <c r="BW27" s="125">
        <f t="shared" si="12"/>
        <v>148960</v>
      </c>
      <c r="BX27" s="97">
        <f t="shared" si="13"/>
        <v>932960</v>
      </c>
      <c r="BY27" s="237" t="s">
        <v>47</v>
      </c>
      <c r="BZ27" s="237" t="s">
        <v>108</v>
      </c>
      <c r="CA27" s="116"/>
      <c r="CB27" s="247"/>
      <c r="CC27" s="125"/>
      <c r="CD27" s="247"/>
      <c r="CE27" s="116"/>
      <c r="CF27" s="116"/>
      <c r="CG27" s="116"/>
      <c r="CH27" s="236">
        <v>791840</v>
      </c>
      <c r="CI27" s="238">
        <f>+CH27*0.19</f>
        <v>150449.60000000001</v>
      </c>
      <c r="CJ27" s="236">
        <f>+CH27+CI27</f>
        <v>942289.6</v>
      </c>
      <c r="CK27" s="237" t="s">
        <v>47</v>
      </c>
      <c r="CL27" s="237" t="s">
        <v>108</v>
      </c>
      <c r="CM27" s="116"/>
      <c r="CN27" s="247"/>
      <c r="CO27" s="125"/>
      <c r="CP27" s="247"/>
      <c r="CQ27" s="116"/>
      <c r="CR27" s="116"/>
      <c r="CS27" s="116"/>
      <c r="CT27" s="247">
        <v>209000</v>
      </c>
      <c r="CU27" s="125">
        <v>39710</v>
      </c>
      <c r="CV27" s="125">
        <f t="shared" si="9"/>
        <v>248710</v>
      </c>
      <c r="CW27" s="116"/>
      <c r="CX27" s="116"/>
      <c r="CY27" s="116"/>
      <c r="CZ27" s="102"/>
      <c r="DA27" s="125"/>
      <c r="DB27" s="102"/>
      <c r="DC27" s="31"/>
      <c r="DD27" s="17"/>
      <c r="DE27" s="11"/>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
      <c r="EU27" s="11"/>
      <c r="EV27" s="11"/>
      <c r="EW27" s="11"/>
      <c r="EX27" s="11"/>
      <c r="EY27" s="11"/>
      <c r="EZ27" s="11"/>
      <c r="FA27" s="11"/>
      <c r="FB27" s="11"/>
      <c r="FC27" s="11"/>
      <c r="FD27" s="11"/>
      <c r="FE27" s="11"/>
      <c r="FF27" s="11"/>
      <c r="FG27" s="11"/>
      <c r="FH27" s="17">
        <f t="shared" si="4"/>
        <v>2569706.23</v>
      </c>
      <c r="FI27" s="31">
        <f t="shared" si="2"/>
        <v>6</v>
      </c>
      <c r="FJ27" s="68">
        <f t="shared" si="3"/>
        <v>428284.37166666664</v>
      </c>
    </row>
    <row r="28" spans="1:166" ht="38.25" x14ac:dyDescent="0.25">
      <c r="A28" s="248">
        <f>Distribución_Reactivos!A28</f>
        <v>26</v>
      </c>
      <c r="B28" s="248" t="str">
        <f>Distribución_Reactivos!B28</f>
        <v>Ácido nítrico ACS 69-70% certificado de análisis y ficha de seguridad</v>
      </c>
      <c r="C28" s="248" t="str">
        <f>Distribución_Reactivos!C28</f>
        <v>Merck o JT Baker o equivalente</v>
      </c>
      <c r="D28" s="248" t="str">
        <f>Distribución_Reactivos!D28</f>
        <v>Frasco x 2.5  litros</v>
      </c>
      <c r="E28" s="29">
        <v>1</v>
      </c>
      <c r="F28" s="212">
        <v>0</v>
      </c>
      <c r="G28" s="214">
        <v>0</v>
      </c>
      <c r="H28" s="221">
        <v>0</v>
      </c>
      <c r="I28" s="221">
        <v>0</v>
      </c>
      <c r="J28" s="221">
        <v>0</v>
      </c>
      <c r="K28" s="221">
        <v>0</v>
      </c>
      <c r="L28" s="247"/>
      <c r="M28" s="247"/>
      <c r="N28" s="217"/>
      <c r="O28" s="97"/>
      <c r="P28" s="97"/>
      <c r="Q28" s="115"/>
      <c r="R28" s="115"/>
      <c r="S28" s="53"/>
      <c r="T28" s="105"/>
      <c r="U28" s="101"/>
      <c r="V28" s="97"/>
      <c r="W28" s="115"/>
      <c r="X28" s="115"/>
      <c r="Y28" s="11"/>
      <c r="Z28" s="97"/>
      <c r="AA28" s="97"/>
      <c r="AB28" s="97"/>
      <c r="AC28" s="44"/>
      <c r="AD28" s="44"/>
      <c r="AE28" s="11"/>
      <c r="AF28" s="102">
        <v>296000</v>
      </c>
      <c r="AG28" s="125">
        <f>AF28*19%</f>
        <v>56240</v>
      </c>
      <c r="AH28" s="97">
        <f>+AF28+AG28</f>
        <v>352240</v>
      </c>
      <c r="AI28" s="11"/>
      <c r="AJ28" s="11"/>
      <c r="AK28" s="17"/>
      <c r="AL28" s="97">
        <v>359000</v>
      </c>
      <c r="AM28" s="97">
        <f t="shared" si="16"/>
        <v>68210</v>
      </c>
      <c r="AN28" s="103">
        <f t="shared" si="17"/>
        <v>427210</v>
      </c>
      <c r="AO28" s="248" t="s">
        <v>109</v>
      </c>
      <c r="AP28" s="239" t="s">
        <v>52</v>
      </c>
      <c r="AQ28" s="17"/>
      <c r="AR28" s="252">
        <f>+(179980/1000)*2500</f>
        <v>449950</v>
      </c>
      <c r="AS28" s="97">
        <f t="shared" si="18"/>
        <v>85490.5</v>
      </c>
      <c r="AT28" s="103">
        <f t="shared" si="19"/>
        <v>535440.5</v>
      </c>
      <c r="AU28" s="52" t="s">
        <v>56</v>
      </c>
      <c r="AV28" s="42" t="s">
        <v>52</v>
      </c>
      <c r="AW28" s="30"/>
      <c r="AX28" s="100"/>
      <c r="AY28" s="100"/>
      <c r="AZ28" s="124"/>
      <c r="BA28" s="169"/>
      <c r="BB28" s="116"/>
      <c r="BC28" s="116"/>
      <c r="BD28" s="247"/>
      <c r="BE28" s="124"/>
      <c r="BF28" s="124"/>
      <c r="BG28" s="116"/>
      <c r="BH28" s="116"/>
      <c r="BI28" s="116"/>
      <c r="BJ28" s="124"/>
      <c r="BK28" s="124"/>
      <c r="BL28" s="124"/>
      <c r="BM28" s="116"/>
      <c r="BN28" s="116"/>
      <c r="BO28" s="116"/>
      <c r="BP28" s="124"/>
      <c r="BQ28" s="116"/>
      <c r="BR28" s="116"/>
      <c r="BS28" s="116"/>
      <c r="BT28" s="116"/>
      <c r="BU28" s="116"/>
      <c r="BV28" s="236">
        <v>347800</v>
      </c>
      <c r="BW28" s="125">
        <f t="shared" si="12"/>
        <v>66082</v>
      </c>
      <c r="BX28" s="97">
        <f t="shared" si="13"/>
        <v>413882</v>
      </c>
      <c r="BY28" s="237" t="s">
        <v>110</v>
      </c>
      <c r="BZ28" s="237" t="s">
        <v>83</v>
      </c>
      <c r="CA28" s="116"/>
      <c r="CB28" s="247"/>
      <c r="CC28" s="125"/>
      <c r="CD28" s="247"/>
      <c r="CE28" s="116"/>
      <c r="CF28" s="116"/>
      <c r="CG28" s="116"/>
      <c r="CH28" s="236">
        <v>372146</v>
      </c>
      <c r="CI28" s="238">
        <f>+CH28*0.19</f>
        <v>70707.740000000005</v>
      </c>
      <c r="CJ28" s="236">
        <f>+CH28+CI28</f>
        <v>442853.74</v>
      </c>
      <c r="CK28" s="237" t="s">
        <v>110</v>
      </c>
      <c r="CL28" s="237" t="s">
        <v>83</v>
      </c>
      <c r="CM28" s="116"/>
      <c r="CN28" s="247"/>
      <c r="CO28" s="125"/>
      <c r="CP28" s="247"/>
      <c r="CQ28" s="116"/>
      <c r="CR28" s="116"/>
      <c r="CS28" s="116"/>
      <c r="CT28" s="247">
        <v>527680</v>
      </c>
      <c r="CU28" s="125">
        <v>100259.2</v>
      </c>
      <c r="CV28" s="125">
        <f t="shared" si="9"/>
        <v>627939.19999999995</v>
      </c>
      <c r="CW28" s="116"/>
      <c r="CX28" s="116"/>
      <c r="CY28" s="116"/>
      <c r="CZ28" s="102">
        <v>311172</v>
      </c>
      <c r="DA28" s="125">
        <f>+CZ28*0.19</f>
        <v>59122.68</v>
      </c>
      <c r="DB28" s="102">
        <f>+CZ28+DA28</f>
        <v>370294.68</v>
      </c>
      <c r="DC28" s="31" t="s">
        <v>94</v>
      </c>
      <c r="DD28" s="17" t="s">
        <v>65</v>
      </c>
      <c r="DE28" s="11">
        <v>1017992500</v>
      </c>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
      <c r="EU28" s="11"/>
      <c r="EV28" s="11"/>
      <c r="EW28" s="11"/>
      <c r="EX28" s="11"/>
      <c r="EY28" s="11"/>
      <c r="EZ28" s="11"/>
      <c r="FA28" s="11"/>
      <c r="FB28" s="11"/>
      <c r="FC28" s="11"/>
      <c r="FD28" s="11"/>
      <c r="FE28" s="11"/>
      <c r="FF28" s="11"/>
      <c r="FG28" s="11"/>
      <c r="FH28" s="17">
        <f t="shared" si="4"/>
        <v>3169860.1200000006</v>
      </c>
      <c r="FI28" s="31">
        <f t="shared" si="2"/>
        <v>7</v>
      </c>
      <c r="FJ28" s="68">
        <f t="shared" si="3"/>
        <v>452837.16000000009</v>
      </c>
    </row>
    <row r="29" spans="1:166" ht="51" x14ac:dyDescent="0.25">
      <c r="A29" s="248">
        <f>Distribución_Reactivos!A29</f>
        <v>27</v>
      </c>
      <c r="B29" s="248" t="str">
        <f>Distribución_Reactivos!B29</f>
        <v>Acido Oxálico Grado reactivo con certificado de análisis y fecha de vencimiento no inferior a un año a partir de la fecha de entrega. Cas 144-62-7</v>
      </c>
      <c r="C29" s="248" t="str">
        <f>Distribución_Reactivos!C29</f>
        <v>Merck, JT Baker, Scharlau o equivalente</v>
      </c>
      <c r="D29" s="248" t="str">
        <f>Distribución_Reactivos!D29</f>
        <v>Frasco x 1Kg</v>
      </c>
      <c r="E29" s="29">
        <v>1</v>
      </c>
      <c r="F29" s="212">
        <v>0</v>
      </c>
      <c r="G29" s="214">
        <v>0</v>
      </c>
      <c r="H29" s="221">
        <v>0</v>
      </c>
      <c r="I29" s="221">
        <v>0</v>
      </c>
      <c r="J29" s="221">
        <v>0</v>
      </c>
      <c r="K29" s="221">
        <v>0</v>
      </c>
      <c r="L29" s="247"/>
      <c r="M29" s="247"/>
      <c r="N29" s="217"/>
      <c r="O29" s="97"/>
      <c r="P29" s="97"/>
      <c r="Q29" s="115"/>
      <c r="R29" s="115"/>
      <c r="S29" s="53"/>
      <c r="T29" s="105"/>
      <c r="U29" s="101"/>
      <c r="V29" s="97"/>
      <c r="W29" s="115"/>
      <c r="X29" s="115"/>
      <c r="Y29" s="11"/>
      <c r="Z29" s="97"/>
      <c r="AA29" s="97"/>
      <c r="AB29" s="97"/>
      <c r="AC29" s="44"/>
      <c r="AD29" s="44"/>
      <c r="AE29" s="11"/>
      <c r="AF29" s="102">
        <v>190000</v>
      </c>
      <c r="AG29" s="125">
        <f>AF29*19%</f>
        <v>36100</v>
      </c>
      <c r="AH29" s="97">
        <f>+AF29+AG29</f>
        <v>226100</v>
      </c>
      <c r="AI29" s="11"/>
      <c r="AJ29" s="11"/>
      <c r="AK29" s="17"/>
      <c r="AL29" s="97">
        <v>340000</v>
      </c>
      <c r="AM29" s="97">
        <f t="shared" si="16"/>
        <v>64600</v>
      </c>
      <c r="AN29" s="103">
        <f t="shared" si="17"/>
        <v>404600</v>
      </c>
      <c r="AO29" s="248" t="s">
        <v>99</v>
      </c>
      <c r="AP29" s="239" t="s">
        <v>52</v>
      </c>
      <c r="AQ29" s="17"/>
      <c r="AR29" s="252">
        <v>341863</v>
      </c>
      <c r="AS29" s="97">
        <f t="shared" si="18"/>
        <v>64953.97</v>
      </c>
      <c r="AT29" s="103">
        <f t="shared" si="19"/>
        <v>406816.97</v>
      </c>
      <c r="AU29" s="52" t="s">
        <v>99</v>
      </c>
      <c r="AV29" s="42" t="s">
        <v>52</v>
      </c>
      <c r="AW29" s="30"/>
      <c r="AX29" s="100"/>
      <c r="AY29" s="100"/>
      <c r="AZ29" s="124"/>
      <c r="BA29" s="169"/>
      <c r="BB29" s="116"/>
      <c r="BC29" s="116"/>
      <c r="BD29" s="247"/>
      <c r="BE29" s="124"/>
      <c r="BF29" s="124"/>
      <c r="BG29" s="116"/>
      <c r="BH29" s="116"/>
      <c r="BI29" s="116"/>
      <c r="BJ29" s="124"/>
      <c r="BK29" s="124"/>
      <c r="BL29" s="124"/>
      <c r="BM29" s="116"/>
      <c r="BN29" s="116"/>
      <c r="BO29" s="116"/>
      <c r="BP29" s="124"/>
      <c r="BQ29" s="116"/>
      <c r="BR29" s="116"/>
      <c r="BS29" s="116"/>
      <c r="BT29" s="116"/>
      <c r="BU29" s="116"/>
      <c r="BV29" s="240">
        <v>1687400</v>
      </c>
      <c r="BW29" s="124">
        <f t="shared" si="12"/>
        <v>320606</v>
      </c>
      <c r="BX29" s="97">
        <f t="shared" si="13"/>
        <v>2008006</v>
      </c>
      <c r="BY29" s="237" t="s">
        <v>98</v>
      </c>
      <c r="BZ29" s="237" t="s">
        <v>83</v>
      </c>
      <c r="CA29" s="116"/>
      <c r="CB29" s="247"/>
      <c r="CC29" s="125"/>
      <c r="CD29" s="247"/>
      <c r="CE29" s="116"/>
      <c r="CF29" s="116"/>
      <c r="CG29" s="116"/>
      <c r="CH29" s="236"/>
      <c r="CI29" s="238"/>
      <c r="CJ29" s="236"/>
      <c r="CK29" s="237"/>
      <c r="CL29" s="237"/>
      <c r="CM29" s="116"/>
      <c r="CN29" s="247"/>
      <c r="CO29" s="125"/>
      <c r="CP29" s="247"/>
      <c r="CQ29" s="116"/>
      <c r="CR29" s="116"/>
      <c r="CS29" s="116"/>
      <c r="CT29" s="247">
        <v>209000</v>
      </c>
      <c r="CU29" s="125">
        <v>39710</v>
      </c>
      <c r="CV29" s="125">
        <f t="shared" si="9"/>
        <v>248710</v>
      </c>
      <c r="CW29" s="116"/>
      <c r="CX29" s="116"/>
      <c r="CY29" s="116"/>
      <c r="CZ29" s="102"/>
      <c r="DA29" s="125"/>
      <c r="DB29" s="102"/>
      <c r="DC29" s="31"/>
      <c r="DD29" s="17"/>
      <c r="DE29" s="11"/>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
      <c r="EU29" s="11"/>
      <c r="EV29" s="11"/>
      <c r="EW29" s="11"/>
      <c r="EX29" s="11"/>
      <c r="EY29" s="11"/>
      <c r="EZ29" s="11"/>
      <c r="FA29" s="11"/>
      <c r="FB29" s="11"/>
      <c r="FC29" s="11"/>
      <c r="FD29" s="11"/>
      <c r="FE29" s="11"/>
      <c r="FF29" s="11"/>
      <c r="FG29" s="11"/>
      <c r="FH29" s="17">
        <f t="shared" si="4"/>
        <v>3294232.9699999997</v>
      </c>
      <c r="FI29" s="31">
        <f t="shared" si="2"/>
        <v>5</v>
      </c>
      <c r="FJ29" s="68">
        <f t="shared" si="3"/>
        <v>658846.59399999992</v>
      </c>
    </row>
    <row r="30" spans="1:166" ht="51" x14ac:dyDescent="0.25">
      <c r="A30" s="248">
        <f>Distribución_Reactivos!A30</f>
        <v>28</v>
      </c>
      <c r="B30" s="248" t="str">
        <f>Distribución_Reactivos!B30</f>
        <v>Acido perclórico, reactivo analítico</v>
      </c>
      <c r="C30" s="248" t="str">
        <f>Distribución_Reactivos!C30</f>
        <v>Merck,  JT Baker, Scharlau, Panreac o equivalente.</v>
      </c>
      <c r="D30" s="248" t="str">
        <f>Distribución_Reactivos!D30</f>
        <v>Frasco x 2.5 litros</v>
      </c>
      <c r="E30" s="29">
        <v>1</v>
      </c>
      <c r="F30" s="212">
        <v>0</v>
      </c>
      <c r="G30" s="214">
        <v>0</v>
      </c>
      <c r="H30" s="221">
        <v>1561698.42935425</v>
      </c>
      <c r="I30" s="221">
        <v>1561637</v>
      </c>
      <c r="J30" s="221">
        <v>1676184.4166666667</v>
      </c>
      <c r="K30" s="221">
        <v>1634227</v>
      </c>
      <c r="L30" s="247">
        <f>AVERAGE(H30,J30)</f>
        <v>1618941.4230104582</v>
      </c>
      <c r="M30" s="247">
        <f>AVERAGE(I30,K30)*1.03</f>
        <v>1645869.96</v>
      </c>
      <c r="N30" s="217"/>
      <c r="O30" s="97"/>
      <c r="P30" s="97"/>
      <c r="Q30" s="115"/>
      <c r="R30" s="115"/>
      <c r="S30" s="53"/>
      <c r="T30" s="105"/>
      <c r="U30" s="101"/>
      <c r="V30" s="97"/>
      <c r="W30" s="115"/>
      <c r="X30" s="115"/>
      <c r="Y30" s="11"/>
      <c r="Z30" s="97"/>
      <c r="AA30" s="97"/>
      <c r="AB30" s="97"/>
      <c r="AC30" s="44"/>
      <c r="AD30" s="44"/>
      <c r="AE30" s="11"/>
      <c r="AF30" s="102">
        <v>1800000</v>
      </c>
      <c r="AG30" s="125">
        <f>AF30*19%</f>
        <v>342000</v>
      </c>
      <c r="AH30" s="97">
        <f>+AF30+AG30</f>
        <v>2142000</v>
      </c>
      <c r="AI30" s="11"/>
      <c r="AJ30" s="11"/>
      <c r="AK30" s="17"/>
      <c r="AL30" s="97">
        <v>1330000</v>
      </c>
      <c r="AM30" s="97">
        <f t="shared" si="16"/>
        <v>252700</v>
      </c>
      <c r="AN30" s="103">
        <f t="shared" si="17"/>
        <v>1582700</v>
      </c>
      <c r="AO30" s="248" t="s">
        <v>95</v>
      </c>
      <c r="AP30" s="239" t="s">
        <v>52</v>
      </c>
      <c r="AQ30" s="17"/>
      <c r="AR30" s="252">
        <v>1322206</v>
      </c>
      <c r="AS30" s="97">
        <f t="shared" si="18"/>
        <v>251219.14</v>
      </c>
      <c r="AT30" s="103">
        <f t="shared" si="19"/>
        <v>1573425.1400000001</v>
      </c>
      <c r="AU30" s="52" t="s">
        <v>96</v>
      </c>
      <c r="AV30" s="42" t="s">
        <v>52</v>
      </c>
      <c r="AW30" s="30"/>
      <c r="AX30" s="100"/>
      <c r="AY30" s="100"/>
      <c r="AZ30" s="124"/>
      <c r="BA30" s="169"/>
      <c r="BB30" s="116"/>
      <c r="BC30" s="116"/>
      <c r="BD30" s="247"/>
      <c r="BE30" s="124"/>
      <c r="BF30" s="124"/>
      <c r="BG30" s="116"/>
      <c r="BH30" s="116"/>
      <c r="BI30" s="116"/>
      <c r="BJ30" s="124"/>
      <c r="BK30" s="124"/>
      <c r="BL30" s="124"/>
      <c r="BM30" s="116"/>
      <c r="BN30" s="116"/>
      <c r="BO30" s="116"/>
      <c r="BP30" s="124"/>
      <c r="BQ30" s="116"/>
      <c r="BR30" s="116"/>
      <c r="BS30" s="116"/>
      <c r="BT30" s="116"/>
      <c r="BU30" s="116"/>
      <c r="BV30" s="240">
        <v>1411900</v>
      </c>
      <c r="BW30" s="124">
        <f t="shared" si="12"/>
        <v>268261</v>
      </c>
      <c r="BX30" s="97">
        <f t="shared" si="13"/>
        <v>1680161</v>
      </c>
      <c r="BY30" s="237" t="s">
        <v>92</v>
      </c>
      <c r="BZ30" s="237" t="s">
        <v>111</v>
      </c>
      <c r="CA30" s="116"/>
      <c r="CB30" s="247"/>
      <c r="CC30" s="125"/>
      <c r="CD30" s="247"/>
      <c r="CE30" s="116"/>
      <c r="CF30" s="116"/>
      <c r="CG30" s="116"/>
      <c r="CH30" s="236"/>
      <c r="CI30" s="238"/>
      <c r="CJ30" s="236"/>
      <c r="CK30" s="237"/>
      <c r="CL30" s="237"/>
      <c r="CM30" s="116"/>
      <c r="CN30" s="247"/>
      <c r="CO30" s="125"/>
      <c r="CP30" s="247"/>
      <c r="CQ30" s="116"/>
      <c r="CR30" s="116"/>
      <c r="CS30" s="116"/>
      <c r="CT30" s="247">
        <v>209000</v>
      </c>
      <c r="CU30" s="125">
        <v>39710</v>
      </c>
      <c r="CV30" s="125">
        <f t="shared" si="9"/>
        <v>248710</v>
      </c>
      <c r="CW30" s="116"/>
      <c r="CX30" s="116"/>
      <c r="CY30" s="116"/>
      <c r="CZ30" s="102"/>
      <c r="DA30" s="125"/>
      <c r="DB30" s="102"/>
      <c r="DC30" s="31"/>
      <c r="DD30" s="17"/>
      <c r="DE30" s="11"/>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
      <c r="EU30" s="11"/>
      <c r="EV30" s="11"/>
      <c r="EW30" s="11"/>
      <c r="EX30" s="11"/>
      <c r="EY30" s="11"/>
      <c r="EZ30" s="11"/>
      <c r="FA30" s="11"/>
      <c r="FB30" s="11"/>
      <c r="FC30" s="11"/>
      <c r="FD30" s="11"/>
      <c r="FE30" s="11"/>
      <c r="FF30" s="11"/>
      <c r="FG30" s="11"/>
      <c r="FH30" s="17">
        <f t="shared" si="4"/>
        <v>8872866.0999999996</v>
      </c>
      <c r="FI30" s="31">
        <f t="shared" si="2"/>
        <v>6</v>
      </c>
      <c r="FJ30" s="68">
        <f t="shared" si="3"/>
        <v>1478811.0166666666</v>
      </c>
    </row>
    <row r="31" spans="1:166" ht="13.5" x14ac:dyDescent="0.25">
      <c r="A31" s="248">
        <f>Distribución_Reactivos!A31</f>
        <v>29</v>
      </c>
      <c r="B31" s="248" t="str">
        <f>Distribución_Reactivos!B31</f>
        <v>Ácido peryódico</v>
      </c>
      <c r="C31" s="248" t="str">
        <f>Distribución_Reactivos!C31</f>
        <v>Merck / JT Baker</v>
      </c>
      <c r="D31" s="248" t="str">
        <f>Distribución_Reactivos!D31</f>
        <v>Frasco x 25g</v>
      </c>
      <c r="E31" s="29">
        <v>1</v>
      </c>
      <c r="F31" s="212">
        <v>0</v>
      </c>
      <c r="G31" s="214">
        <v>0</v>
      </c>
      <c r="H31" s="221">
        <v>776234.83333333337</v>
      </c>
      <c r="I31" s="221">
        <v>0</v>
      </c>
      <c r="J31" s="221">
        <v>0</v>
      </c>
      <c r="K31" s="221">
        <v>0</v>
      </c>
      <c r="L31" s="247">
        <f>H31</f>
        <v>776234.83333333337</v>
      </c>
      <c r="M31" s="247"/>
      <c r="N31" s="217"/>
      <c r="O31" s="97"/>
      <c r="P31" s="97"/>
      <c r="Q31" s="115"/>
      <c r="R31" s="115"/>
      <c r="S31" s="53"/>
      <c r="T31" s="105"/>
      <c r="U31" s="105"/>
      <c r="V31" s="97"/>
      <c r="W31" s="115"/>
      <c r="X31" s="115"/>
      <c r="Y31" s="11"/>
      <c r="Z31" s="97"/>
      <c r="AA31" s="97"/>
      <c r="AB31" s="97"/>
      <c r="AC31" s="44"/>
      <c r="AD31" s="44"/>
      <c r="AE31" s="11"/>
      <c r="AF31" s="102">
        <v>850000</v>
      </c>
      <c r="AG31" s="125">
        <f>AF31*19%</f>
        <v>161500</v>
      </c>
      <c r="AH31" s="97">
        <f>+AF31+AG31</f>
        <v>1011500</v>
      </c>
      <c r="AI31" s="11"/>
      <c r="AJ31" s="11"/>
      <c r="AK31" s="17"/>
      <c r="AL31" s="97">
        <v>543000</v>
      </c>
      <c r="AM31" s="97">
        <f t="shared" si="16"/>
        <v>103170</v>
      </c>
      <c r="AN31" s="103">
        <f t="shared" si="17"/>
        <v>646170</v>
      </c>
      <c r="AO31" s="248" t="s">
        <v>61</v>
      </c>
      <c r="AP31" s="239" t="s">
        <v>52</v>
      </c>
      <c r="AQ31" s="17"/>
      <c r="AR31" s="252">
        <f>573123/4</f>
        <v>143280.75</v>
      </c>
      <c r="AS31" s="97">
        <f t="shared" si="18"/>
        <v>27223.342499999999</v>
      </c>
      <c r="AT31" s="103">
        <f t="shared" si="19"/>
        <v>170504.0925</v>
      </c>
      <c r="AU31" s="52" t="s">
        <v>61</v>
      </c>
      <c r="AV31" s="42" t="s">
        <v>52</v>
      </c>
      <c r="AW31" s="30"/>
      <c r="AX31" s="100"/>
      <c r="AY31" s="172"/>
      <c r="AZ31" s="124"/>
      <c r="BA31" s="169"/>
      <c r="BB31" s="116"/>
      <c r="BC31" s="116"/>
      <c r="BD31" s="247"/>
      <c r="BE31" s="124"/>
      <c r="BF31" s="124"/>
      <c r="BG31" s="116"/>
      <c r="BH31" s="116"/>
      <c r="BI31" s="116"/>
      <c r="BJ31" s="124"/>
      <c r="BK31" s="124"/>
      <c r="BL31" s="124"/>
      <c r="BM31" s="116"/>
      <c r="BN31" s="116"/>
      <c r="BO31" s="116"/>
      <c r="BP31" s="124"/>
      <c r="BQ31" s="116"/>
      <c r="BR31" s="116"/>
      <c r="BS31" s="116"/>
      <c r="BT31" s="116"/>
      <c r="BU31" s="116"/>
      <c r="BV31" s="240">
        <v>1874100</v>
      </c>
      <c r="BW31" s="124">
        <f t="shared" si="12"/>
        <v>356079</v>
      </c>
      <c r="BX31" s="97">
        <f t="shared" si="13"/>
        <v>2230179</v>
      </c>
      <c r="BY31" s="237" t="s">
        <v>105</v>
      </c>
      <c r="BZ31" s="237" t="s">
        <v>93</v>
      </c>
      <c r="CA31" s="116"/>
      <c r="CB31" s="247"/>
      <c r="CC31" s="125"/>
      <c r="CD31" s="247"/>
      <c r="CE31" s="116"/>
      <c r="CF31" s="116"/>
      <c r="CG31" s="116"/>
      <c r="CH31" s="236"/>
      <c r="CI31" s="238"/>
      <c r="CJ31" s="236"/>
      <c r="CK31" s="237"/>
      <c r="CL31" s="237"/>
      <c r="CM31" s="116"/>
      <c r="CN31" s="247"/>
      <c r="CO31" s="125"/>
      <c r="CP31" s="247"/>
      <c r="CQ31" s="116"/>
      <c r="CR31" s="116"/>
      <c r="CS31" s="116"/>
      <c r="CT31" s="247">
        <v>331840</v>
      </c>
      <c r="CU31" s="125">
        <v>63049.599999999999</v>
      </c>
      <c r="CV31" s="125">
        <f t="shared" si="9"/>
        <v>394889.6</v>
      </c>
      <c r="CW31" s="116"/>
      <c r="CX31" s="116"/>
      <c r="CY31" s="116"/>
      <c r="CZ31" s="102"/>
      <c r="DA31" s="125"/>
      <c r="DB31" s="102"/>
      <c r="DC31" s="31"/>
      <c r="DD31" s="17"/>
      <c r="DE31" s="11"/>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
      <c r="EU31" s="11"/>
      <c r="EV31" s="11"/>
      <c r="EW31" s="11"/>
      <c r="EX31" s="11"/>
      <c r="EY31" s="11"/>
      <c r="EZ31" s="11"/>
      <c r="FA31" s="11"/>
      <c r="FB31" s="11"/>
      <c r="FC31" s="11"/>
      <c r="FD31" s="11"/>
      <c r="FE31" s="11"/>
      <c r="FF31" s="11"/>
      <c r="FG31" s="11"/>
      <c r="FH31" s="17">
        <f t="shared" si="4"/>
        <v>4453242.6924999999</v>
      </c>
      <c r="FI31" s="31">
        <f t="shared" si="2"/>
        <v>5</v>
      </c>
      <c r="FJ31" s="68">
        <f t="shared" si="3"/>
        <v>890648.53850000002</v>
      </c>
    </row>
    <row r="32" spans="1:166" ht="25.5" x14ac:dyDescent="0.25">
      <c r="A32" s="248">
        <f>Distribución_Reactivos!A32</f>
        <v>30</v>
      </c>
      <c r="B32" s="248" t="str">
        <f>Distribución_Reactivos!B32</f>
        <v>Acido Pícrico</v>
      </c>
      <c r="C32" s="248" t="str">
        <f>Distribución_Reactivos!C32</f>
        <v>Sigma Aldrich / Merck / JT Baker</v>
      </c>
      <c r="D32" s="248" t="str">
        <f>Distribución_Reactivos!D32</f>
        <v>Frasco X 25g</v>
      </c>
      <c r="E32" s="29">
        <v>1</v>
      </c>
      <c r="F32" s="212">
        <v>0</v>
      </c>
      <c r="G32" s="214">
        <v>0</v>
      </c>
      <c r="H32" s="221">
        <v>775007.33333333337</v>
      </c>
      <c r="I32" s="221">
        <v>0</v>
      </c>
      <c r="J32" s="221">
        <v>952221.93500000006</v>
      </c>
      <c r="K32" s="221">
        <v>0</v>
      </c>
      <c r="L32" s="247">
        <f>AVERAGE(H32,J32)</f>
        <v>863614.63416666677</v>
      </c>
      <c r="M32" s="247"/>
      <c r="N32" s="217"/>
      <c r="O32" s="97"/>
      <c r="P32" s="97"/>
      <c r="Q32" s="115"/>
      <c r="R32" s="115"/>
      <c r="S32" s="53"/>
      <c r="T32" s="105"/>
      <c r="U32" s="105"/>
      <c r="V32" s="97"/>
      <c r="W32" s="115"/>
      <c r="X32" s="115"/>
      <c r="Y32" s="11"/>
      <c r="Z32" s="97"/>
      <c r="AA32" s="97"/>
      <c r="AB32" s="97"/>
      <c r="AC32" s="44"/>
      <c r="AD32" s="44"/>
      <c r="AE32" s="11"/>
      <c r="AF32" s="102"/>
      <c r="AG32" s="125"/>
      <c r="AH32" s="97"/>
      <c r="AI32" s="11"/>
      <c r="AJ32" s="11"/>
      <c r="AK32" s="17"/>
      <c r="AL32" s="97">
        <v>798000</v>
      </c>
      <c r="AM32" s="97">
        <f t="shared" si="16"/>
        <v>151620</v>
      </c>
      <c r="AN32" s="103">
        <f t="shared" si="17"/>
        <v>949620</v>
      </c>
      <c r="AO32" s="248" t="s">
        <v>77</v>
      </c>
      <c r="AP32" s="239" t="s">
        <v>52</v>
      </c>
      <c r="AQ32" s="17"/>
      <c r="AR32" s="252">
        <v>802373</v>
      </c>
      <c r="AS32" s="97">
        <f t="shared" si="18"/>
        <v>152450.87</v>
      </c>
      <c r="AT32" s="103">
        <f t="shared" si="19"/>
        <v>954823.87</v>
      </c>
      <c r="AU32" s="52" t="s">
        <v>77</v>
      </c>
      <c r="AV32" s="42" t="s">
        <v>52</v>
      </c>
      <c r="AW32" s="30"/>
      <c r="AX32" s="100"/>
      <c r="AY32" s="172"/>
      <c r="AZ32" s="124"/>
      <c r="BA32" s="169"/>
      <c r="BB32" s="116"/>
      <c r="BC32" s="116"/>
      <c r="BD32" s="247"/>
      <c r="BE32" s="124"/>
      <c r="BF32" s="124"/>
      <c r="BG32" s="116"/>
      <c r="BH32" s="116"/>
      <c r="BI32" s="116"/>
      <c r="BJ32" s="124"/>
      <c r="BK32" s="124"/>
      <c r="BL32" s="124"/>
      <c r="BM32" s="116"/>
      <c r="BN32" s="116"/>
      <c r="BO32" s="116"/>
      <c r="BP32" s="124"/>
      <c r="BQ32" s="116"/>
      <c r="BR32" s="116"/>
      <c r="BS32" s="116"/>
      <c r="BT32" s="116"/>
      <c r="BU32" s="116"/>
      <c r="BV32" s="240">
        <v>1345500</v>
      </c>
      <c r="BW32" s="124">
        <f t="shared" si="12"/>
        <v>255645</v>
      </c>
      <c r="BX32" s="97">
        <f t="shared" si="13"/>
        <v>1601145</v>
      </c>
      <c r="BY32" s="237" t="s">
        <v>105</v>
      </c>
      <c r="BZ32" s="237" t="s">
        <v>44</v>
      </c>
      <c r="CA32" s="116"/>
      <c r="CB32" s="247"/>
      <c r="CC32" s="125"/>
      <c r="CD32" s="247"/>
      <c r="CE32" s="116"/>
      <c r="CF32" s="116"/>
      <c r="CG32" s="116"/>
      <c r="CH32" s="236"/>
      <c r="CI32" s="238"/>
      <c r="CJ32" s="236"/>
      <c r="CK32" s="237"/>
      <c r="CL32" s="237"/>
      <c r="CM32" s="116"/>
      <c r="CN32" s="247"/>
      <c r="CO32" s="125"/>
      <c r="CP32" s="247"/>
      <c r="CQ32" s="116"/>
      <c r="CR32" s="116"/>
      <c r="CS32" s="116"/>
      <c r="CT32" s="247">
        <v>212160</v>
      </c>
      <c r="CU32" s="125">
        <v>40310.400000000001</v>
      </c>
      <c r="CV32" s="125">
        <f t="shared" si="9"/>
        <v>252470.39999999999</v>
      </c>
      <c r="CW32" s="116"/>
      <c r="CX32" s="116"/>
      <c r="CY32" s="116"/>
      <c r="CZ32" s="102"/>
      <c r="DA32" s="125"/>
      <c r="DB32" s="102"/>
      <c r="DC32" s="31"/>
      <c r="DD32" s="17"/>
      <c r="DE32" s="11"/>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
      <c r="EU32" s="11"/>
      <c r="EV32" s="11"/>
      <c r="EW32" s="11"/>
      <c r="EX32" s="11"/>
      <c r="EY32" s="11"/>
      <c r="EZ32" s="11"/>
      <c r="FA32" s="11"/>
      <c r="FB32" s="11"/>
      <c r="FC32" s="11"/>
      <c r="FD32" s="11"/>
      <c r="FE32" s="11"/>
      <c r="FF32" s="11"/>
      <c r="FG32" s="11"/>
      <c r="FH32" s="17">
        <f t="shared" si="4"/>
        <v>3758059.27</v>
      </c>
      <c r="FI32" s="31">
        <f t="shared" si="2"/>
        <v>4</v>
      </c>
      <c r="FJ32" s="68">
        <f t="shared" si="3"/>
        <v>939514.8175</v>
      </c>
    </row>
    <row r="33" spans="1:166" ht="38.25" x14ac:dyDescent="0.25">
      <c r="A33" s="248">
        <f>Distribución_Reactivos!A33</f>
        <v>31</v>
      </c>
      <c r="B33" s="248" t="str">
        <f>Distribución_Reactivos!B33</f>
        <v>Ácido sulfúrico 97-98% analítico  con certificado de análisis y ficha de seguridad</v>
      </c>
      <c r="C33" s="248" t="str">
        <f>Distribución_Reactivos!C33</f>
        <v>Sigma Aldrich / Merck / JT Baker o equivalente</v>
      </c>
      <c r="D33" s="248" t="str">
        <f>Distribución_Reactivos!D33</f>
        <v>Frasco x 2.5 litros</v>
      </c>
      <c r="E33" s="29">
        <v>1</v>
      </c>
      <c r="F33" s="212">
        <v>0</v>
      </c>
      <c r="G33" s="214">
        <v>0</v>
      </c>
      <c r="H33" s="221">
        <v>0</v>
      </c>
      <c r="I33" s="221">
        <v>0</v>
      </c>
      <c r="J33" s="221">
        <v>0</v>
      </c>
      <c r="K33" s="221">
        <v>0</v>
      </c>
      <c r="L33" s="247"/>
      <c r="M33" s="247"/>
      <c r="N33" s="217"/>
      <c r="O33" s="97"/>
      <c r="P33" s="97"/>
      <c r="Q33" s="115"/>
      <c r="R33" s="115"/>
      <c r="S33" s="53"/>
      <c r="T33" s="105"/>
      <c r="U33" s="101"/>
      <c r="V33" s="97"/>
      <c r="W33" s="115"/>
      <c r="X33" s="115"/>
      <c r="Y33" s="11"/>
      <c r="Z33" s="97"/>
      <c r="AA33" s="97"/>
      <c r="AB33" s="97"/>
      <c r="AC33" s="44"/>
      <c r="AD33" s="44"/>
      <c r="AE33" s="11"/>
      <c r="AF33" s="102">
        <v>175000</v>
      </c>
      <c r="AG33" s="125">
        <f>AF33*19%</f>
        <v>33250</v>
      </c>
      <c r="AH33" s="97">
        <f>+AF33+AG33</f>
        <v>208250</v>
      </c>
      <c r="AI33" s="11"/>
      <c r="AJ33" s="11"/>
      <c r="AK33" s="17"/>
      <c r="AL33" s="97">
        <v>192000</v>
      </c>
      <c r="AM33" s="97">
        <f t="shared" si="16"/>
        <v>36480</v>
      </c>
      <c r="AN33" s="103">
        <f t="shared" si="17"/>
        <v>228480</v>
      </c>
      <c r="AO33" s="248" t="s">
        <v>96</v>
      </c>
      <c r="AP33" s="239" t="s">
        <v>52</v>
      </c>
      <c r="AQ33" s="17"/>
      <c r="AR33" s="252"/>
      <c r="AS33" s="135"/>
      <c r="AT33" s="137"/>
      <c r="AU33" s="52"/>
      <c r="AV33" s="52"/>
      <c r="AW33" s="30"/>
      <c r="AX33" s="100"/>
      <c r="AY33" s="174"/>
      <c r="AZ33" s="124"/>
      <c r="BA33" s="169"/>
      <c r="BB33" s="116"/>
      <c r="BC33" s="116"/>
      <c r="BD33" s="247"/>
      <c r="BE33" s="124"/>
      <c r="BF33" s="124"/>
      <c r="BG33" s="116"/>
      <c r="BH33" s="116"/>
      <c r="BI33" s="116"/>
      <c r="BJ33" s="124"/>
      <c r="BK33" s="124"/>
      <c r="BL33" s="124"/>
      <c r="BM33" s="116"/>
      <c r="BN33" s="116"/>
      <c r="BO33" s="116"/>
      <c r="BP33" s="124"/>
      <c r="BQ33" s="116"/>
      <c r="BR33" s="116"/>
      <c r="BS33" s="116"/>
      <c r="BT33" s="116"/>
      <c r="BU33" s="116"/>
      <c r="BV33" s="240">
        <v>202500</v>
      </c>
      <c r="BW33" s="124">
        <f t="shared" si="12"/>
        <v>38475</v>
      </c>
      <c r="BX33" s="97">
        <f t="shared" si="13"/>
        <v>240975</v>
      </c>
      <c r="BY33" s="237" t="s">
        <v>92</v>
      </c>
      <c r="BZ33" s="237" t="s">
        <v>83</v>
      </c>
      <c r="CA33" s="116"/>
      <c r="CB33" s="247"/>
      <c r="CC33" s="125"/>
      <c r="CD33" s="247"/>
      <c r="CE33" s="116"/>
      <c r="CF33" s="116"/>
      <c r="CG33" s="116"/>
      <c r="CH33" s="236">
        <v>206550</v>
      </c>
      <c r="CI33" s="238">
        <f>+CH33*0.19</f>
        <v>39244.5</v>
      </c>
      <c r="CJ33" s="236">
        <f>+CH33+CI33</f>
        <v>245794.5</v>
      </c>
      <c r="CK33" s="237" t="s">
        <v>92</v>
      </c>
      <c r="CL33" s="237" t="s">
        <v>83</v>
      </c>
      <c r="CM33" s="116"/>
      <c r="CN33" s="247"/>
      <c r="CO33" s="125"/>
      <c r="CP33" s="247"/>
      <c r="CQ33" s="116"/>
      <c r="CR33" s="116"/>
      <c r="CS33" s="116"/>
      <c r="CT33" s="247">
        <v>250239.99999999997</v>
      </c>
      <c r="CU33" s="125">
        <v>47545.599999999999</v>
      </c>
      <c r="CV33" s="125">
        <f t="shared" si="9"/>
        <v>297785.59999999998</v>
      </c>
      <c r="CW33" s="116"/>
      <c r="CX33" s="116"/>
      <c r="CY33" s="116"/>
      <c r="CZ33" s="102">
        <v>208000</v>
      </c>
      <c r="DA33" s="125">
        <f>+CZ33*0.19</f>
        <v>39520</v>
      </c>
      <c r="DB33" s="102">
        <f>+CZ33+DA33</f>
        <v>247520</v>
      </c>
      <c r="DC33" s="31" t="s">
        <v>112</v>
      </c>
      <c r="DD33" s="17" t="s">
        <v>65</v>
      </c>
      <c r="DE33" s="11" t="s">
        <v>113</v>
      </c>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
      <c r="EU33" s="11"/>
      <c r="EV33" s="11"/>
      <c r="EW33" s="11"/>
      <c r="EX33" s="11"/>
      <c r="EY33" s="11"/>
      <c r="EZ33" s="11"/>
      <c r="FA33" s="11"/>
      <c r="FB33" s="11"/>
      <c r="FC33" s="11"/>
      <c r="FD33" s="11"/>
      <c r="FE33" s="11"/>
      <c r="FF33" s="11"/>
      <c r="FG33" s="11"/>
      <c r="FH33" s="17">
        <f t="shared" si="4"/>
        <v>1468805.1</v>
      </c>
      <c r="FI33" s="31">
        <f t="shared" si="2"/>
        <v>6</v>
      </c>
      <c r="FJ33" s="68">
        <f t="shared" si="3"/>
        <v>244800.85</v>
      </c>
    </row>
    <row r="34" spans="1:166" ht="55.5" customHeight="1" x14ac:dyDescent="0.25">
      <c r="A34" s="248">
        <f>Distribución_Reactivos!A34</f>
        <v>32</v>
      </c>
      <c r="B34" s="248" t="str">
        <f>Distribución_Reactivos!B34</f>
        <v>Acido tricloroacético, Con certificado de análisis e incertidumbre. Fecha de vencimiento no inferior a 2 años</v>
      </c>
      <c r="C34" s="248" t="str">
        <f>Distribución_Reactivos!C34</f>
        <v>Merck</v>
      </c>
      <c r="D34" s="248" t="str">
        <f>Distribución_Reactivos!D34</f>
        <v>Frasco x 250g</v>
      </c>
      <c r="E34" s="29">
        <v>1</v>
      </c>
      <c r="F34" s="212">
        <v>329630</v>
      </c>
      <c r="G34" s="214">
        <v>321300</v>
      </c>
      <c r="H34" s="221">
        <v>284563.18699999998</v>
      </c>
      <c r="I34" s="221">
        <v>0</v>
      </c>
      <c r="J34" s="221">
        <v>252869.44666666666</v>
      </c>
      <c r="K34" s="221">
        <v>247758</v>
      </c>
      <c r="L34" s="247">
        <f>AVERAGE(F34,H34,J34)</f>
        <v>289020.87788888888</v>
      </c>
      <c r="M34" s="247">
        <f>AVERAGE(G34,K34)*1.03</f>
        <v>293064.87</v>
      </c>
      <c r="N34" s="217"/>
      <c r="O34" s="97"/>
      <c r="P34" s="97"/>
      <c r="Q34" s="115"/>
      <c r="R34" s="115"/>
      <c r="S34" s="53"/>
      <c r="T34" s="105"/>
      <c r="U34" s="101"/>
      <c r="V34" s="97"/>
      <c r="W34" s="115"/>
      <c r="X34" s="115"/>
      <c r="Y34" s="11"/>
      <c r="Z34" s="97"/>
      <c r="AA34" s="97"/>
      <c r="AB34" s="97"/>
      <c r="AC34" s="44"/>
      <c r="AD34" s="44"/>
      <c r="AE34" s="11"/>
      <c r="AF34" s="102">
        <v>300000</v>
      </c>
      <c r="AG34" s="125">
        <f>AF34*19%</f>
        <v>57000</v>
      </c>
      <c r="AH34" s="97">
        <f>+AF34+AG34</f>
        <v>357000</v>
      </c>
      <c r="AI34" s="11"/>
      <c r="AJ34" s="11"/>
      <c r="AK34" s="17"/>
      <c r="AL34" s="97">
        <v>173000</v>
      </c>
      <c r="AM34" s="97">
        <f t="shared" si="16"/>
        <v>32870</v>
      </c>
      <c r="AN34" s="103">
        <f t="shared" si="17"/>
        <v>205870</v>
      </c>
      <c r="AO34" s="248" t="s">
        <v>82</v>
      </c>
      <c r="AP34" s="239" t="s">
        <v>52</v>
      </c>
      <c r="AQ34" s="17"/>
      <c r="AR34" s="252">
        <v>180986</v>
      </c>
      <c r="AS34" s="97">
        <f>+AR34*0.19</f>
        <v>34387.340000000004</v>
      </c>
      <c r="AT34" s="103">
        <f>+AR34+AS34</f>
        <v>215373.34</v>
      </c>
      <c r="AU34" s="52" t="s">
        <v>77</v>
      </c>
      <c r="AV34" s="42" t="s">
        <v>52</v>
      </c>
      <c r="AW34" s="30"/>
      <c r="AX34" s="100"/>
      <c r="AY34" s="100"/>
      <c r="AZ34" s="124"/>
      <c r="BA34" s="169"/>
      <c r="BB34" s="116"/>
      <c r="BC34" s="116"/>
      <c r="BD34" s="247"/>
      <c r="BE34" s="124"/>
      <c r="BF34" s="124"/>
      <c r="BG34" s="116"/>
      <c r="BH34" s="116"/>
      <c r="BI34" s="116"/>
      <c r="BJ34" s="124"/>
      <c r="BK34" s="124"/>
      <c r="BL34" s="124"/>
      <c r="BM34" s="116"/>
      <c r="BN34" s="116"/>
      <c r="BO34" s="116"/>
      <c r="BP34" s="124"/>
      <c r="BQ34" s="116"/>
      <c r="BR34" s="116"/>
      <c r="BS34" s="116"/>
      <c r="BT34" s="116"/>
      <c r="BU34" s="116"/>
      <c r="BV34" s="240">
        <v>349200</v>
      </c>
      <c r="BW34" s="124">
        <f t="shared" si="12"/>
        <v>66348</v>
      </c>
      <c r="BX34" s="97">
        <f t="shared" si="13"/>
        <v>415548</v>
      </c>
      <c r="BY34" s="237" t="s">
        <v>84</v>
      </c>
      <c r="BZ34" s="237" t="s">
        <v>93</v>
      </c>
      <c r="CA34" s="116"/>
      <c r="CB34" s="247"/>
      <c r="CC34" s="125"/>
      <c r="CD34" s="247"/>
      <c r="CE34" s="116"/>
      <c r="CF34" s="116"/>
      <c r="CG34" s="116"/>
      <c r="CH34" s="236">
        <v>356184</v>
      </c>
      <c r="CI34" s="238">
        <f>+CH34*0.19</f>
        <v>67674.960000000006</v>
      </c>
      <c r="CJ34" s="236">
        <f>+CH34+CI34</f>
        <v>423858.96</v>
      </c>
      <c r="CK34" s="237" t="s">
        <v>84</v>
      </c>
      <c r="CL34" s="237" t="s">
        <v>93</v>
      </c>
      <c r="CM34" s="116"/>
      <c r="CN34" s="247"/>
      <c r="CO34" s="125"/>
      <c r="CP34" s="247"/>
      <c r="CQ34" s="116"/>
      <c r="CR34" s="116"/>
      <c r="CS34" s="116"/>
      <c r="CT34" s="247">
        <v>1408960</v>
      </c>
      <c r="CU34" s="125">
        <v>267702.40000000002</v>
      </c>
      <c r="CV34" s="125">
        <f t="shared" si="9"/>
        <v>1676662.4</v>
      </c>
      <c r="CW34" s="116"/>
      <c r="CX34" s="116"/>
      <c r="CY34" s="116"/>
      <c r="CZ34" s="102">
        <v>172690</v>
      </c>
      <c r="DA34" s="125">
        <f>+CZ34*0.19</f>
        <v>32811.1</v>
      </c>
      <c r="DB34" s="102">
        <f>+CZ34+DA34</f>
        <v>205501.1</v>
      </c>
      <c r="DC34" s="31" t="s">
        <v>85</v>
      </c>
      <c r="DD34" s="17" t="s">
        <v>65</v>
      </c>
      <c r="DE34" s="11">
        <v>1008070250</v>
      </c>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
      <c r="EU34" s="11"/>
      <c r="EV34" s="11"/>
      <c r="EW34" s="11"/>
      <c r="EX34" s="11"/>
      <c r="EY34" s="11"/>
      <c r="EZ34" s="11"/>
      <c r="FA34" s="11"/>
      <c r="FB34" s="11"/>
      <c r="FC34" s="11"/>
      <c r="FD34" s="11"/>
      <c r="FE34" s="11"/>
      <c r="FF34" s="11"/>
      <c r="FG34" s="11"/>
      <c r="FH34" s="17">
        <f t="shared" si="4"/>
        <v>3792878.67</v>
      </c>
      <c r="FI34" s="31">
        <f t="shared" si="2"/>
        <v>8</v>
      </c>
      <c r="FJ34" s="68">
        <f t="shared" si="3"/>
        <v>474109.83374999999</v>
      </c>
    </row>
    <row r="35" spans="1:166" ht="55.5" customHeight="1" x14ac:dyDescent="0.25">
      <c r="A35" s="248">
        <f>Distribución_Reactivos!A35</f>
        <v>33</v>
      </c>
      <c r="B35" s="248" t="str">
        <f>Distribución_Reactivos!B35</f>
        <v>Actinobacillus pleuropneumoniae (Shope) Pohl et al. (ATCC® 27088D™)</v>
      </c>
      <c r="C35" s="248" t="str">
        <f>Distribución_Reactivos!C35</f>
        <v>ATCC</v>
      </c>
      <c r="D35" s="248">
        <f>Distribución_Reactivos!D35</f>
        <v>0</v>
      </c>
      <c r="E35" s="29">
        <v>1</v>
      </c>
      <c r="F35" s="212">
        <v>0</v>
      </c>
      <c r="G35" s="214">
        <v>0</v>
      </c>
      <c r="H35" s="221">
        <v>0</v>
      </c>
      <c r="I35" s="221">
        <v>0</v>
      </c>
      <c r="J35" s="221">
        <v>0</v>
      </c>
      <c r="K35" s="221">
        <v>0</v>
      </c>
      <c r="L35" s="247"/>
      <c r="M35" s="247"/>
      <c r="N35" s="217"/>
      <c r="O35" s="97"/>
      <c r="P35" s="97"/>
      <c r="Q35" s="44"/>
      <c r="R35" s="44"/>
      <c r="S35" s="5"/>
      <c r="T35" s="97"/>
      <c r="U35" s="97"/>
      <c r="V35" s="97"/>
      <c r="W35" s="11"/>
      <c r="X35" s="11"/>
      <c r="Y35" s="11"/>
      <c r="Z35" s="97"/>
      <c r="AA35" s="97"/>
      <c r="AB35" s="97"/>
      <c r="AC35" s="44"/>
      <c r="AD35" s="44"/>
      <c r="AE35" s="11"/>
      <c r="AF35" s="97"/>
      <c r="AG35" s="125"/>
      <c r="AH35" s="97"/>
      <c r="AI35" s="11"/>
      <c r="AJ35" s="11"/>
      <c r="AK35" s="11"/>
      <c r="AL35" s="97"/>
      <c r="AM35" s="97"/>
      <c r="AN35" s="97"/>
      <c r="AO35" s="248"/>
      <c r="AP35" s="11"/>
      <c r="AQ35" s="11"/>
      <c r="AR35" s="252"/>
      <c r="AS35" s="252"/>
      <c r="AT35" s="252"/>
      <c r="AU35" s="42"/>
      <c r="AV35" s="42"/>
      <c r="AW35" s="11"/>
      <c r="AX35" s="252"/>
      <c r="AY35" s="252"/>
      <c r="AZ35" s="252"/>
      <c r="BA35" s="11"/>
      <c r="BB35" s="11"/>
      <c r="BC35" s="11"/>
      <c r="BD35" s="252"/>
      <c r="BE35" s="124"/>
      <c r="BF35" s="124"/>
      <c r="BG35" s="116"/>
      <c r="BH35" s="11"/>
      <c r="BI35" s="116"/>
      <c r="BJ35" s="252">
        <v>3297000</v>
      </c>
      <c r="BK35" s="102">
        <f>+BJ35*0.19</f>
        <v>626430</v>
      </c>
      <c r="BL35" s="97">
        <f>+BK35+BJ35</f>
        <v>3923430</v>
      </c>
      <c r="BM35" s="116"/>
      <c r="BN35" s="116"/>
      <c r="BO35" s="116"/>
      <c r="BP35" s="124"/>
      <c r="BQ35" s="116"/>
      <c r="BR35" s="116"/>
      <c r="BS35" s="116"/>
      <c r="BT35" s="116"/>
      <c r="BU35" s="116"/>
      <c r="BV35" s="240">
        <v>1100000</v>
      </c>
      <c r="BW35" s="124">
        <v>0</v>
      </c>
      <c r="BX35" s="97">
        <f t="shared" si="13"/>
        <v>1100000</v>
      </c>
      <c r="BY35" s="237" t="s">
        <v>114</v>
      </c>
      <c r="BZ35" s="237" t="s">
        <v>115</v>
      </c>
      <c r="CA35" s="116"/>
      <c r="CB35" s="252"/>
      <c r="CC35" s="124"/>
      <c r="CD35" s="252"/>
      <c r="CE35" s="116"/>
      <c r="CF35" s="116"/>
      <c r="CG35" s="116"/>
      <c r="CH35" s="240">
        <v>1166000</v>
      </c>
      <c r="CI35" s="238">
        <f>+CH35*0</f>
        <v>0</v>
      </c>
      <c r="CJ35" s="236">
        <f>+CH35+CI35</f>
        <v>1166000</v>
      </c>
      <c r="CK35" s="237" t="s">
        <v>114</v>
      </c>
      <c r="CL35" s="237" t="s">
        <v>115</v>
      </c>
      <c r="CM35" s="116"/>
      <c r="CN35" s="252"/>
      <c r="CO35" s="124"/>
      <c r="CP35" s="252"/>
      <c r="CQ35" s="116"/>
      <c r="CR35" s="116"/>
      <c r="CS35" s="116"/>
      <c r="CT35" s="252">
        <v>3410880</v>
      </c>
      <c r="CU35" s="124">
        <v>648067.19999999995</v>
      </c>
      <c r="CV35" s="125">
        <f t="shared" si="9"/>
        <v>4058947.2</v>
      </c>
      <c r="CW35" s="116"/>
      <c r="CX35" s="116"/>
      <c r="CY35" s="116"/>
      <c r="CZ35" s="97"/>
      <c r="DA35" s="124"/>
      <c r="DB35" s="97"/>
      <c r="DC35" s="31"/>
      <c r="DD35" s="17"/>
      <c r="DE35" s="11"/>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
      <c r="EU35" s="11"/>
      <c r="EV35" s="11"/>
      <c r="EW35" s="11"/>
      <c r="EX35" s="11"/>
      <c r="EY35" s="11"/>
      <c r="EZ35" s="11"/>
      <c r="FA35" s="11"/>
      <c r="FB35" s="11"/>
      <c r="FC35" s="11"/>
      <c r="FD35" s="11"/>
      <c r="FE35" s="11"/>
      <c r="FF35" s="11"/>
      <c r="FG35" s="11"/>
      <c r="FH35" s="17">
        <f t="shared" si="4"/>
        <v>10248377.199999999</v>
      </c>
      <c r="FI35" s="31">
        <f t="shared" si="2"/>
        <v>4</v>
      </c>
      <c r="FJ35" s="68">
        <f t="shared" si="3"/>
        <v>2562094.2999999998</v>
      </c>
    </row>
    <row r="36" spans="1:166" ht="40.5" x14ac:dyDescent="0.25">
      <c r="A36" s="248">
        <f>Distribución_Reactivos!A36</f>
        <v>34</v>
      </c>
      <c r="B36" s="248" t="str">
        <f>Distribución_Reactivos!B36</f>
        <v>Agar  Medio  de cultivo Glucosa OF Medium</v>
      </c>
      <c r="C36" s="248" t="str">
        <f>Distribución_Reactivos!C36</f>
        <v>Pronadisa o  equivalente</v>
      </c>
      <c r="D36" s="248" t="str">
        <f>Distribución_Reactivos!D36</f>
        <v>Frasco x 500g</v>
      </c>
      <c r="E36" s="29">
        <v>1</v>
      </c>
      <c r="F36" s="212">
        <v>0</v>
      </c>
      <c r="G36" s="214">
        <v>0</v>
      </c>
      <c r="H36" s="221">
        <v>0</v>
      </c>
      <c r="I36" s="221">
        <v>0</v>
      </c>
      <c r="J36" s="221">
        <v>0</v>
      </c>
      <c r="K36" s="221">
        <v>0</v>
      </c>
      <c r="L36" s="247"/>
      <c r="M36" s="247"/>
      <c r="N36" s="217"/>
      <c r="O36" s="97"/>
      <c r="P36" s="97"/>
      <c r="Q36" s="115"/>
      <c r="R36" s="115"/>
      <c r="S36" s="53"/>
      <c r="T36" s="97"/>
      <c r="U36" s="97"/>
      <c r="V36" s="97"/>
      <c r="W36" s="115"/>
      <c r="X36" s="115"/>
      <c r="Y36" s="11"/>
      <c r="Z36" s="97"/>
      <c r="AA36" s="97"/>
      <c r="AB36" s="97"/>
      <c r="AC36" s="44"/>
      <c r="AD36" s="44"/>
      <c r="AE36" s="11"/>
      <c r="AF36" s="97"/>
      <c r="AG36" s="125"/>
      <c r="AH36" s="97"/>
      <c r="AI36" s="11"/>
      <c r="AJ36" s="11"/>
      <c r="AK36" s="17"/>
      <c r="AL36" s="97"/>
      <c r="AM36" s="97"/>
      <c r="AN36" s="103"/>
      <c r="AO36" s="248"/>
      <c r="AP36" s="17"/>
      <c r="AQ36" s="17"/>
      <c r="AR36" s="252"/>
      <c r="AS36" s="135"/>
      <c r="AT36" s="124"/>
      <c r="AU36" s="52"/>
      <c r="AV36" s="52"/>
      <c r="AW36" s="30"/>
      <c r="AX36" s="100"/>
      <c r="AY36" s="174"/>
      <c r="AZ36" s="124"/>
      <c r="BA36" s="169"/>
      <c r="BB36" s="116"/>
      <c r="BC36" s="116"/>
      <c r="BD36" s="252"/>
      <c r="BE36" s="124"/>
      <c r="BF36" s="124"/>
      <c r="BG36" s="116"/>
      <c r="BH36" s="116"/>
      <c r="BI36" s="116"/>
      <c r="BJ36" s="252">
        <v>425000</v>
      </c>
      <c r="BK36" s="102">
        <f>+BJ36*0.19</f>
        <v>80750</v>
      </c>
      <c r="BL36" s="97">
        <f>+BK36+BJ36</f>
        <v>505750</v>
      </c>
      <c r="BM36" s="11" t="s">
        <v>116</v>
      </c>
      <c r="BN36" s="116"/>
      <c r="BO36" s="116"/>
      <c r="BP36" s="124"/>
      <c r="BQ36" s="116"/>
      <c r="BR36" s="116"/>
      <c r="BS36" s="116"/>
      <c r="BT36" s="116"/>
      <c r="BU36" s="116"/>
      <c r="BV36" s="240">
        <v>1038000</v>
      </c>
      <c r="BW36" s="124">
        <f t="shared" ref="BW36:BW44" si="20">BV36*19%</f>
        <v>197220</v>
      </c>
      <c r="BX36" s="97">
        <f t="shared" si="13"/>
        <v>1235220</v>
      </c>
      <c r="BY36" s="237" t="s">
        <v>78</v>
      </c>
      <c r="BZ36" s="237" t="s">
        <v>117</v>
      </c>
      <c r="CA36" s="116"/>
      <c r="CB36" s="252">
        <v>506144</v>
      </c>
      <c r="CC36" s="125">
        <f>+CB36*19%</f>
        <v>96167.360000000001</v>
      </c>
      <c r="CD36" s="247">
        <f>+CC36+CB36</f>
        <v>602311.36</v>
      </c>
      <c r="CE36" s="116"/>
      <c r="CF36" s="116"/>
      <c r="CG36" s="116"/>
      <c r="CH36" s="240"/>
      <c r="CI36" s="238"/>
      <c r="CJ36" s="236"/>
      <c r="CK36" s="237"/>
      <c r="CL36" s="237"/>
      <c r="CM36" s="116"/>
      <c r="CN36" s="252"/>
      <c r="CO36" s="124"/>
      <c r="CP36" s="252"/>
      <c r="CQ36" s="116"/>
      <c r="CR36" s="116"/>
      <c r="CS36" s="116"/>
      <c r="CT36" s="252">
        <v>326400</v>
      </c>
      <c r="CU36" s="124">
        <v>62016</v>
      </c>
      <c r="CV36" s="125">
        <f t="shared" si="9"/>
        <v>388416</v>
      </c>
      <c r="CW36" s="116"/>
      <c r="CX36" s="116"/>
      <c r="CY36" s="116"/>
      <c r="CZ36" s="97"/>
      <c r="DA36" s="124"/>
      <c r="DB36" s="97"/>
      <c r="DC36" s="31"/>
      <c r="DD36" s="17"/>
      <c r="DE36" s="11"/>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
      <c r="EU36" s="11"/>
      <c r="EV36" s="11"/>
      <c r="EW36" s="11"/>
      <c r="EX36" s="11"/>
      <c r="EY36" s="11"/>
      <c r="EZ36" s="11"/>
      <c r="FA36" s="11"/>
      <c r="FB36" s="11"/>
      <c r="FC36" s="11"/>
      <c r="FD36" s="11"/>
      <c r="FE36" s="11"/>
      <c r="FF36" s="11"/>
      <c r="FG36" s="11"/>
      <c r="FH36" s="17">
        <f t="shared" si="4"/>
        <v>2731697.36</v>
      </c>
      <c r="FI36" s="31">
        <f t="shared" si="2"/>
        <v>4</v>
      </c>
      <c r="FJ36" s="68">
        <f t="shared" si="3"/>
        <v>682924.34</v>
      </c>
    </row>
    <row r="37" spans="1:166" ht="63.75" x14ac:dyDescent="0.25">
      <c r="A37" s="248">
        <f>Distribución_Reactivos!A37</f>
        <v>35</v>
      </c>
      <c r="B37" s="248" t="str">
        <f>Distribución_Reactivos!B37</f>
        <v>Agar agar</v>
      </c>
      <c r="C37" s="248" t="str">
        <f>Distribución_Reactivos!C37</f>
        <v xml:space="preserve">Merck, Oxoid, BBL, Difco, Acumedia, Scharlau, Sigma-Aldrich </v>
      </c>
      <c r="D37" s="248" t="str">
        <f>Distribución_Reactivos!D37</f>
        <v>Frasco x 500g</v>
      </c>
      <c r="E37" s="29">
        <v>1</v>
      </c>
      <c r="F37" s="212">
        <v>0</v>
      </c>
      <c r="G37" s="214">
        <v>0</v>
      </c>
      <c r="H37" s="221">
        <v>0</v>
      </c>
      <c r="I37" s="221">
        <v>0</v>
      </c>
      <c r="J37" s="221">
        <v>797300</v>
      </c>
      <c r="K37" s="221">
        <v>773500</v>
      </c>
      <c r="L37" s="247">
        <f>J37</f>
        <v>797300</v>
      </c>
      <c r="M37" s="247">
        <f>K37*1.03</f>
        <v>796705</v>
      </c>
      <c r="N37" s="218">
        <v>795000</v>
      </c>
      <c r="O37" s="102">
        <f>+N37*0.19</f>
        <v>151050</v>
      </c>
      <c r="P37" s="97">
        <f>+O37+N37</f>
        <v>946050</v>
      </c>
      <c r="Q37" s="34" t="s">
        <v>118</v>
      </c>
      <c r="R37" s="116" t="s">
        <v>119</v>
      </c>
      <c r="S37" s="53"/>
      <c r="T37" s="97"/>
      <c r="U37" s="97"/>
      <c r="V37" s="97"/>
      <c r="W37" s="115"/>
      <c r="X37" s="115"/>
      <c r="Y37" s="11"/>
      <c r="Z37" s="97"/>
      <c r="AA37" s="97"/>
      <c r="AB37" s="97"/>
      <c r="AC37" s="44"/>
      <c r="AD37" s="44"/>
      <c r="AE37" s="11"/>
      <c r="AF37" s="102"/>
      <c r="AG37" s="125"/>
      <c r="AH37" s="97"/>
      <c r="AI37" s="11"/>
      <c r="AJ37" s="11"/>
      <c r="AK37" s="17"/>
      <c r="AL37" s="97">
        <v>498000</v>
      </c>
      <c r="AM37" s="97">
        <f>+AL37*0.19</f>
        <v>94620</v>
      </c>
      <c r="AN37" s="103">
        <f>+AL37+AM37</f>
        <v>592620</v>
      </c>
      <c r="AO37" s="248" t="s">
        <v>120</v>
      </c>
      <c r="AP37" s="239" t="s">
        <v>52</v>
      </c>
      <c r="AQ37" s="17"/>
      <c r="AR37" s="252">
        <v>648000</v>
      </c>
      <c r="AS37" s="97">
        <f>+AR37*0.19</f>
        <v>123120</v>
      </c>
      <c r="AT37" s="103">
        <f>+AR37+AS37</f>
        <v>771120</v>
      </c>
      <c r="AU37" s="52" t="s">
        <v>77</v>
      </c>
      <c r="AV37" s="42" t="s">
        <v>42</v>
      </c>
      <c r="AW37" s="30"/>
      <c r="AX37" s="100"/>
      <c r="AY37" s="100"/>
      <c r="AZ37" s="124"/>
      <c r="BA37" s="169"/>
      <c r="BB37" s="116"/>
      <c r="BC37" s="116"/>
      <c r="BD37" s="247"/>
      <c r="BE37" s="124"/>
      <c r="BF37" s="124"/>
      <c r="BG37" s="116"/>
      <c r="BH37" s="116"/>
      <c r="BI37" s="116"/>
      <c r="BJ37" s="124"/>
      <c r="BK37" s="124"/>
      <c r="BL37" s="124"/>
      <c r="BM37" s="116"/>
      <c r="BN37" s="116"/>
      <c r="BO37" s="116"/>
      <c r="BP37" s="124"/>
      <c r="BQ37" s="116"/>
      <c r="BR37" s="116"/>
      <c r="BS37" s="116"/>
      <c r="BT37" s="116"/>
      <c r="BU37" s="116"/>
      <c r="BV37" s="240">
        <v>1872300</v>
      </c>
      <c r="BW37" s="124">
        <f t="shared" si="20"/>
        <v>355737</v>
      </c>
      <c r="BX37" s="97">
        <f t="shared" si="13"/>
        <v>2228037</v>
      </c>
      <c r="BY37" s="237" t="s">
        <v>78</v>
      </c>
      <c r="BZ37" s="237" t="s">
        <v>93</v>
      </c>
      <c r="CA37" s="116"/>
      <c r="CB37" s="247">
        <v>678500</v>
      </c>
      <c r="CC37" s="125">
        <f>+CB37*19%</f>
        <v>128915</v>
      </c>
      <c r="CD37" s="247">
        <f>+CC37+CB37</f>
        <v>807415</v>
      </c>
      <c r="CE37" s="116"/>
      <c r="CF37" s="116"/>
      <c r="CG37" s="116"/>
      <c r="CH37" s="236"/>
      <c r="CI37" s="238"/>
      <c r="CJ37" s="236"/>
      <c r="CK37" s="237"/>
      <c r="CL37" s="237"/>
      <c r="CM37" s="116"/>
      <c r="CN37" s="247"/>
      <c r="CO37" s="125"/>
      <c r="CP37" s="247"/>
      <c r="CQ37" s="116"/>
      <c r="CR37" s="116"/>
      <c r="CS37" s="116"/>
      <c r="CT37" s="247">
        <v>225000</v>
      </c>
      <c r="CU37" s="125">
        <v>42750</v>
      </c>
      <c r="CV37" s="125">
        <f t="shared" si="9"/>
        <v>267750</v>
      </c>
      <c r="CW37" s="116"/>
      <c r="CX37" s="116"/>
      <c r="CY37" s="116"/>
      <c r="CZ37" s="102">
        <v>1135359</v>
      </c>
      <c r="DA37" s="125">
        <f>+CZ37*0.19</f>
        <v>215718.21</v>
      </c>
      <c r="DB37" s="102">
        <f>+CZ37+DA37</f>
        <v>1351077.21</v>
      </c>
      <c r="DC37" s="17" t="s">
        <v>121</v>
      </c>
      <c r="DD37" s="27" t="s">
        <v>65</v>
      </c>
      <c r="DE37" s="11">
        <v>1016141000</v>
      </c>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
      <c r="EU37" s="11"/>
      <c r="EV37" s="11"/>
      <c r="EW37" s="11"/>
      <c r="EX37" s="11"/>
      <c r="EY37" s="11"/>
      <c r="EZ37" s="11"/>
      <c r="FA37" s="11"/>
      <c r="FB37" s="11"/>
      <c r="FC37" s="11"/>
      <c r="FD37" s="11"/>
      <c r="FE37" s="11"/>
      <c r="FF37" s="11"/>
      <c r="FG37" s="11"/>
      <c r="FH37" s="17">
        <f t="shared" si="4"/>
        <v>7760774.21</v>
      </c>
      <c r="FI37" s="31">
        <f t="shared" si="2"/>
        <v>8</v>
      </c>
      <c r="FJ37" s="68">
        <f t="shared" si="3"/>
        <v>970096.77625</v>
      </c>
    </row>
    <row r="38" spans="1:166" ht="27" x14ac:dyDescent="0.25">
      <c r="A38" s="248">
        <f>Distribución_Reactivos!A38</f>
        <v>36</v>
      </c>
      <c r="B38" s="248" t="str">
        <f>Distribución_Reactivos!B38</f>
        <v>Agar casman</v>
      </c>
      <c r="C38" s="248" t="str">
        <f>Distribución_Reactivos!C38</f>
        <v>BBL BD 211106</v>
      </c>
      <c r="D38" s="248" t="str">
        <f>Distribución_Reactivos!D38</f>
        <v>Frasco x 500g</v>
      </c>
      <c r="E38" s="29">
        <v>1</v>
      </c>
      <c r="F38" s="212">
        <v>757137.5</v>
      </c>
      <c r="G38" s="214">
        <v>0</v>
      </c>
      <c r="H38" s="221">
        <v>783107.31625000003</v>
      </c>
      <c r="I38" s="221">
        <v>0</v>
      </c>
      <c r="J38" s="221">
        <v>1606500</v>
      </c>
      <c r="K38" s="221">
        <v>1583890</v>
      </c>
      <c r="L38" s="247">
        <f>AVERAGE(F38,H38,J38)</f>
        <v>1048914.93875</v>
      </c>
      <c r="M38" s="247">
        <f>K38*1.03</f>
        <v>1631406.7</v>
      </c>
      <c r="N38" s="217"/>
      <c r="O38" s="97"/>
      <c r="P38" s="97"/>
      <c r="Q38" s="115"/>
      <c r="R38" s="115"/>
      <c r="S38" s="53"/>
      <c r="T38" s="97"/>
      <c r="U38" s="97"/>
      <c r="V38" s="97"/>
      <c r="W38" s="115"/>
      <c r="X38" s="115"/>
      <c r="Y38" s="11"/>
      <c r="Z38" s="97"/>
      <c r="AA38" s="97"/>
      <c r="AB38" s="97"/>
      <c r="AC38" s="44"/>
      <c r="AD38" s="44"/>
      <c r="AE38" s="11"/>
      <c r="AF38" s="102"/>
      <c r="AG38" s="125"/>
      <c r="AH38" s="97"/>
      <c r="AI38" s="11"/>
      <c r="AJ38" s="11"/>
      <c r="AK38" s="17"/>
      <c r="AL38" s="97"/>
      <c r="AM38" s="97"/>
      <c r="AN38" s="101"/>
      <c r="AO38" s="248"/>
      <c r="AP38" s="17"/>
      <c r="AQ38" s="17"/>
      <c r="AR38" s="252"/>
      <c r="AS38" s="136"/>
      <c r="AT38" s="137"/>
      <c r="AU38" s="52"/>
      <c r="AV38" s="52"/>
      <c r="AW38" s="30"/>
      <c r="AX38" s="100"/>
      <c r="AY38" s="174"/>
      <c r="AZ38" s="124"/>
      <c r="BA38" s="169"/>
      <c r="BB38" s="116"/>
      <c r="BC38" s="116"/>
      <c r="BD38" s="247"/>
      <c r="BE38" s="124"/>
      <c r="BF38" s="124"/>
      <c r="BG38" s="116"/>
      <c r="BH38" s="116"/>
      <c r="BI38" s="116"/>
      <c r="BJ38" s="124"/>
      <c r="BK38" s="124"/>
      <c r="BL38" s="124"/>
      <c r="BM38" s="116"/>
      <c r="BN38" s="116"/>
      <c r="BO38" s="116"/>
      <c r="BP38" s="124"/>
      <c r="BQ38" s="116"/>
      <c r="BR38" s="116"/>
      <c r="BS38" s="116"/>
      <c r="BT38" s="116"/>
      <c r="BU38" s="116"/>
      <c r="BV38" s="240">
        <v>2540000</v>
      </c>
      <c r="BW38" s="124">
        <f t="shared" si="20"/>
        <v>482600</v>
      </c>
      <c r="BX38" s="97">
        <f t="shared" si="13"/>
        <v>3022600</v>
      </c>
      <c r="BY38" s="237" t="s">
        <v>78</v>
      </c>
      <c r="BZ38" s="237" t="s">
        <v>27</v>
      </c>
      <c r="CA38" s="116"/>
      <c r="CB38" s="247"/>
      <c r="CC38" s="125"/>
      <c r="CD38" s="247"/>
      <c r="CE38" s="116"/>
      <c r="CF38" s="116"/>
      <c r="CG38" s="116"/>
      <c r="CH38" s="236"/>
      <c r="CI38" s="238"/>
      <c r="CJ38" s="236"/>
      <c r="CK38" s="237"/>
      <c r="CL38" s="237"/>
      <c r="CM38" s="116"/>
      <c r="CN38" s="247"/>
      <c r="CO38" s="125"/>
      <c r="CP38" s="247"/>
      <c r="CQ38" s="116"/>
      <c r="CR38" s="116"/>
      <c r="CS38" s="116"/>
      <c r="CT38" s="247">
        <v>238000</v>
      </c>
      <c r="CU38" s="125">
        <v>45220</v>
      </c>
      <c r="CV38" s="125">
        <f t="shared" si="9"/>
        <v>283220</v>
      </c>
      <c r="CW38" s="116"/>
      <c r="CX38" s="116"/>
      <c r="CY38" s="116"/>
      <c r="CZ38" s="102">
        <v>734358</v>
      </c>
      <c r="DA38" s="125">
        <f>+CZ38*0.19</f>
        <v>139528.01999999999</v>
      </c>
      <c r="DB38" s="102">
        <f>+CZ38+DA38</f>
        <v>873886.02</v>
      </c>
      <c r="DC38" s="17" t="s">
        <v>122</v>
      </c>
      <c r="DD38" s="27" t="s">
        <v>65</v>
      </c>
      <c r="DE38" s="11">
        <v>1039150500</v>
      </c>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
      <c r="EU38" s="11"/>
      <c r="EV38" s="11"/>
      <c r="EW38" s="11"/>
      <c r="EX38" s="11"/>
      <c r="EY38" s="11"/>
      <c r="EZ38" s="11"/>
      <c r="FA38" s="11"/>
      <c r="FB38" s="11"/>
      <c r="FC38" s="11"/>
      <c r="FD38" s="11"/>
      <c r="FE38" s="11"/>
      <c r="FF38" s="11"/>
      <c r="FG38" s="11"/>
      <c r="FH38" s="17">
        <f t="shared" si="4"/>
        <v>5811112.7200000007</v>
      </c>
      <c r="FI38" s="31">
        <f t="shared" si="2"/>
        <v>4</v>
      </c>
      <c r="FJ38" s="68">
        <f t="shared" si="3"/>
        <v>1452778.1800000002</v>
      </c>
    </row>
    <row r="39" spans="1:166" ht="38.25" x14ac:dyDescent="0.25">
      <c r="A39" s="248">
        <f>Distribución_Reactivos!A39</f>
        <v>37</v>
      </c>
      <c r="B39" s="248" t="str">
        <f>Distribución_Reactivos!B39</f>
        <v xml:space="preserve">Agar Extracto de levadura </v>
      </c>
      <c r="C39" s="248" t="str">
        <f>Distribución_Reactivos!C39</f>
        <v>Sigma</v>
      </c>
      <c r="D39" s="248" t="str">
        <f>Distribución_Reactivos!D39</f>
        <v>Frasco x 500g</v>
      </c>
      <c r="E39" s="29">
        <v>1</v>
      </c>
      <c r="F39" s="212">
        <v>0</v>
      </c>
      <c r="G39" s="214">
        <v>0</v>
      </c>
      <c r="H39" s="221">
        <v>776701.1</v>
      </c>
      <c r="I39" s="221">
        <v>0</v>
      </c>
      <c r="J39" s="221">
        <v>869890</v>
      </c>
      <c r="K39" s="221">
        <v>0</v>
      </c>
      <c r="L39" s="247">
        <f>AVERAGE(H39,J39)</f>
        <v>823295.55</v>
      </c>
      <c r="M39" s="247"/>
      <c r="N39" s="218">
        <v>1413000</v>
      </c>
      <c r="O39" s="102">
        <f>+N39*0.19</f>
        <v>268470</v>
      </c>
      <c r="P39" s="97">
        <f>+O39+N39</f>
        <v>1681470</v>
      </c>
      <c r="Q39" s="34" t="s">
        <v>118</v>
      </c>
      <c r="R39" s="116" t="s">
        <v>119</v>
      </c>
      <c r="S39" s="53"/>
      <c r="T39" s="97"/>
      <c r="U39" s="105"/>
      <c r="V39" s="97"/>
      <c r="W39" s="115"/>
      <c r="X39" s="115"/>
      <c r="Y39" s="11"/>
      <c r="Z39" s="97"/>
      <c r="AA39" s="97"/>
      <c r="AB39" s="97"/>
      <c r="AC39" s="44"/>
      <c r="AD39" s="44"/>
      <c r="AE39" s="11"/>
      <c r="AF39" s="102"/>
      <c r="AG39" s="125"/>
      <c r="AH39" s="97"/>
      <c r="AI39" s="11"/>
      <c r="AJ39" s="11"/>
      <c r="AK39" s="17"/>
      <c r="AL39" s="97"/>
      <c r="AM39" s="97"/>
      <c r="AN39" s="103"/>
      <c r="AO39" s="248"/>
      <c r="AP39" s="17"/>
      <c r="AQ39" s="17"/>
      <c r="AR39" s="252"/>
      <c r="AS39" s="135"/>
      <c r="AT39" s="124"/>
      <c r="AU39" s="52"/>
      <c r="AV39" s="52"/>
      <c r="AW39" s="30"/>
      <c r="AX39" s="100"/>
      <c r="AY39" s="174"/>
      <c r="AZ39" s="124"/>
      <c r="BA39" s="169"/>
      <c r="BB39" s="116"/>
      <c r="BC39" s="116"/>
      <c r="BD39" s="247"/>
      <c r="BE39" s="124"/>
      <c r="BF39" s="124"/>
      <c r="BG39" s="116"/>
      <c r="BH39" s="116"/>
      <c r="BI39" s="116"/>
      <c r="BJ39" s="124"/>
      <c r="BK39" s="124"/>
      <c r="BL39" s="124"/>
      <c r="BM39" s="116"/>
      <c r="BN39" s="116"/>
      <c r="BO39" s="116"/>
      <c r="BP39" s="102">
        <v>556235</v>
      </c>
      <c r="BQ39" s="125">
        <f>BP39*19%</f>
        <v>105684.65</v>
      </c>
      <c r="BR39" s="97">
        <f>+BP39+BQ39</f>
        <v>661919.65</v>
      </c>
      <c r="BS39" s="31" t="s">
        <v>123</v>
      </c>
      <c r="BT39" s="34" t="s">
        <v>124</v>
      </c>
      <c r="BU39" s="5" t="s">
        <v>125</v>
      </c>
      <c r="BV39" s="240">
        <v>1997700</v>
      </c>
      <c r="BW39" s="124">
        <f t="shared" si="20"/>
        <v>379563</v>
      </c>
      <c r="BX39" s="97">
        <f t="shared" si="13"/>
        <v>2377263</v>
      </c>
      <c r="BY39" s="237" t="s">
        <v>78</v>
      </c>
      <c r="BZ39" s="237" t="s">
        <v>126</v>
      </c>
      <c r="CA39" s="116"/>
      <c r="CB39" s="247"/>
      <c r="CC39" s="125"/>
      <c r="CD39" s="247"/>
      <c r="CE39" s="116"/>
      <c r="CF39" s="116"/>
      <c r="CG39" s="116"/>
      <c r="CH39" s="236"/>
      <c r="CI39" s="238"/>
      <c r="CJ39" s="236"/>
      <c r="CK39" s="237"/>
      <c r="CL39" s="237"/>
      <c r="CM39" s="116"/>
      <c r="CN39" s="247"/>
      <c r="CO39" s="125"/>
      <c r="CP39" s="247"/>
      <c r="CQ39" s="116"/>
      <c r="CR39" s="116"/>
      <c r="CS39" s="116"/>
      <c r="CT39" s="247">
        <v>315520</v>
      </c>
      <c r="CU39" s="125">
        <v>59948.800000000003</v>
      </c>
      <c r="CV39" s="125">
        <f t="shared" si="9"/>
        <v>375468.79999999999</v>
      </c>
      <c r="CW39" s="116"/>
      <c r="CX39" s="116"/>
      <c r="CY39" s="116"/>
      <c r="CZ39" s="102"/>
      <c r="DA39" s="125"/>
      <c r="DB39" s="102"/>
      <c r="DC39" s="31"/>
      <c r="DD39" s="17"/>
      <c r="DE39" s="11"/>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
      <c r="EU39" s="11"/>
      <c r="EV39" s="11"/>
      <c r="EW39" s="11"/>
      <c r="EX39" s="11"/>
      <c r="EY39" s="11"/>
      <c r="EZ39" s="11"/>
      <c r="FA39" s="11"/>
      <c r="FB39" s="11"/>
      <c r="FC39" s="11"/>
      <c r="FD39" s="254"/>
      <c r="FE39" s="254"/>
      <c r="FF39" s="61"/>
      <c r="FG39" s="61"/>
      <c r="FH39" s="17">
        <f t="shared" si="4"/>
        <v>5096121.45</v>
      </c>
      <c r="FI39" s="31">
        <f t="shared" si="2"/>
        <v>4</v>
      </c>
      <c r="FJ39" s="68">
        <f t="shared" si="3"/>
        <v>1274030.3625</v>
      </c>
    </row>
    <row r="40" spans="1:166" ht="27" x14ac:dyDescent="0.25">
      <c r="A40" s="248">
        <f>Distribución_Reactivos!A40</f>
        <v>38</v>
      </c>
      <c r="B40" s="248" t="str">
        <f>Distribución_Reactivos!B40</f>
        <v>Agar Hugh- Leifson (OF)</v>
      </c>
      <c r="C40" s="248" t="str">
        <f>Distribución_Reactivos!C40</f>
        <v>Pronadisa o  equivalente</v>
      </c>
      <c r="D40" s="248" t="str">
        <f>Distribución_Reactivos!D40</f>
        <v>Frasco x 500g</v>
      </c>
      <c r="E40" s="29">
        <v>1</v>
      </c>
      <c r="F40" s="212">
        <v>0</v>
      </c>
      <c r="G40" s="214">
        <v>0</v>
      </c>
      <c r="H40" s="221">
        <v>0</v>
      </c>
      <c r="I40" s="221">
        <v>0</v>
      </c>
      <c r="J40" s="221">
        <v>0</v>
      </c>
      <c r="K40" s="221">
        <v>0</v>
      </c>
      <c r="L40" s="247"/>
      <c r="M40" s="247"/>
      <c r="N40" s="217"/>
      <c r="O40" s="97"/>
      <c r="P40" s="97"/>
      <c r="Q40" s="115"/>
      <c r="R40" s="115"/>
      <c r="S40" s="53"/>
      <c r="T40" s="97"/>
      <c r="U40" s="105"/>
      <c r="V40" s="97"/>
      <c r="W40" s="115"/>
      <c r="X40" s="115"/>
      <c r="Y40" s="11"/>
      <c r="Z40" s="97"/>
      <c r="AA40" s="97"/>
      <c r="AB40" s="97"/>
      <c r="AC40" s="44"/>
      <c r="AD40" s="44"/>
      <c r="AE40" s="11"/>
      <c r="AF40" s="97"/>
      <c r="AG40" s="125"/>
      <c r="AH40" s="97"/>
      <c r="AI40" s="11"/>
      <c r="AJ40" s="11"/>
      <c r="AK40" s="17"/>
      <c r="AL40" s="97"/>
      <c r="AM40" s="97"/>
      <c r="AN40" s="103"/>
      <c r="AO40" s="248"/>
      <c r="AP40" s="17"/>
      <c r="AQ40" s="17"/>
      <c r="AR40" s="252"/>
      <c r="AS40" s="135"/>
      <c r="AT40" s="124"/>
      <c r="AU40" s="52"/>
      <c r="AV40" s="52"/>
      <c r="AW40" s="30"/>
      <c r="AX40" s="100"/>
      <c r="AY40" s="174"/>
      <c r="AZ40" s="124"/>
      <c r="BA40" s="169"/>
      <c r="BB40" s="116"/>
      <c r="BC40" s="116"/>
      <c r="BD40" s="252"/>
      <c r="BE40" s="124"/>
      <c r="BF40" s="124"/>
      <c r="BG40" s="116"/>
      <c r="BH40" s="116"/>
      <c r="BI40" s="116"/>
      <c r="BJ40" s="124"/>
      <c r="BK40" s="124"/>
      <c r="BL40" s="124"/>
      <c r="BM40" s="116"/>
      <c r="BN40" s="116"/>
      <c r="BO40" s="116"/>
      <c r="BP40" s="124"/>
      <c r="BQ40" s="116"/>
      <c r="BR40" s="116"/>
      <c r="BS40" s="116"/>
      <c r="BT40" s="116"/>
      <c r="BU40" s="116"/>
      <c r="BV40" s="240">
        <v>2046900</v>
      </c>
      <c r="BW40" s="124">
        <f t="shared" si="20"/>
        <v>388911</v>
      </c>
      <c r="BX40" s="97">
        <f t="shared" si="13"/>
        <v>2435811</v>
      </c>
      <c r="BY40" s="237" t="s">
        <v>78</v>
      </c>
      <c r="BZ40" s="237" t="s">
        <v>126</v>
      </c>
      <c r="CA40" s="116"/>
      <c r="CB40" s="252"/>
      <c r="CC40" s="124"/>
      <c r="CD40" s="252"/>
      <c r="CE40" s="116"/>
      <c r="CF40" s="116"/>
      <c r="CG40" s="116"/>
      <c r="CH40" s="240"/>
      <c r="CI40" s="238"/>
      <c r="CJ40" s="236"/>
      <c r="CK40" s="237"/>
      <c r="CL40" s="237"/>
      <c r="CM40" s="116"/>
      <c r="CN40" s="252"/>
      <c r="CO40" s="124"/>
      <c r="CP40" s="252"/>
      <c r="CQ40" s="116"/>
      <c r="CR40" s="116"/>
      <c r="CS40" s="116"/>
      <c r="CT40" s="252">
        <v>293760</v>
      </c>
      <c r="CU40" s="124">
        <v>55814.400000000001</v>
      </c>
      <c r="CV40" s="125">
        <f t="shared" si="9"/>
        <v>349574.40000000002</v>
      </c>
      <c r="CW40" s="116"/>
      <c r="CX40" s="116"/>
      <c r="CY40" s="116"/>
      <c r="CZ40" s="97"/>
      <c r="DA40" s="124"/>
      <c r="DB40" s="97"/>
      <c r="DC40" s="31"/>
      <c r="DD40" s="17"/>
      <c r="DE40" s="11"/>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
      <c r="EU40" s="11"/>
      <c r="EV40" s="11"/>
      <c r="EW40" s="11"/>
      <c r="EX40" s="11"/>
      <c r="EY40" s="11"/>
      <c r="EZ40" s="11"/>
      <c r="FA40" s="11"/>
      <c r="FB40" s="11"/>
      <c r="FC40" s="11"/>
      <c r="FD40" s="11"/>
      <c r="FE40" s="11"/>
      <c r="FF40" s="11"/>
      <c r="FG40" s="11"/>
      <c r="FH40" s="17">
        <f t="shared" si="4"/>
        <v>2785385.4</v>
      </c>
      <c r="FI40" s="31">
        <f t="shared" si="2"/>
        <v>2</v>
      </c>
      <c r="FJ40" s="68">
        <f t="shared" si="3"/>
        <v>1392692.7</v>
      </c>
    </row>
    <row r="41" spans="1:166" ht="27" x14ac:dyDescent="0.25">
      <c r="A41" s="248">
        <f>Distribución_Reactivos!A41</f>
        <v>39</v>
      </c>
      <c r="B41" s="248" t="str">
        <f>Distribución_Reactivos!B41</f>
        <v xml:space="preserve">Agar MacConkey  </v>
      </c>
      <c r="C41" s="248" t="str">
        <f>Distribución_Reactivos!C41</f>
        <v>Merck</v>
      </c>
      <c r="D41" s="248" t="str">
        <f>Distribución_Reactivos!D41</f>
        <v>FRASCO x 500g</v>
      </c>
      <c r="E41" s="29">
        <v>1</v>
      </c>
      <c r="F41" s="212">
        <v>0</v>
      </c>
      <c r="G41" s="214">
        <v>0</v>
      </c>
      <c r="H41" s="221">
        <v>0</v>
      </c>
      <c r="I41" s="221">
        <v>0</v>
      </c>
      <c r="J41" s="221">
        <v>587860</v>
      </c>
      <c r="K41" s="221">
        <v>493850</v>
      </c>
      <c r="L41" s="247">
        <f>J41</f>
        <v>587860</v>
      </c>
      <c r="M41" s="247">
        <f>K41*1.03</f>
        <v>508665.5</v>
      </c>
      <c r="N41" s="217"/>
      <c r="O41" s="97"/>
      <c r="P41" s="97"/>
      <c r="Q41" s="115"/>
      <c r="R41" s="115"/>
      <c r="S41" s="53"/>
      <c r="T41" s="97"/>
      <c r="U41" s="101"/>
      <c r="V41" s="97"/>
      <c r="W41" s="115"/>
      <c r="X41" s="115"/>
      <c r="Y41" s="11"/>
      <c r="Z41" s="97"/>
      <c r="AA41" s="97"/>
      <c r="AB41" s="97"/>
      <c r="AC41" s="44"/>
      <c r="AD41" s="44"/>
      <c r="AE41" s="11"/>
      <c r="AF41" s="102"/>
      <c r="AG41" s="125"/>
      <c r="AH41" s="97"/>
      <c r="AI41" s="11"/>
      <c r="AJ41" s="11"/>
      <c r="AK41" s="17"/>
      <c r="AL41" s="97">
        <v>340000</v>
      </c>
      <c r="AM41" s="97">
        <f>+AL41*0.19</f>
        <v>64600</v>
      </c>
      <c r="AN41" s="103">
        <f>+AL41+AM41</f>
        <v>404600</v>
      </c>
      <c r="AO41" s="248" t="s">
        <v>120</v>
      </c>
      <c r="AP41" s="239" t="s">
        <v>52</v>
      </c>
      <c r="AQ41" s="17"/>
      <c r="AR41" s="252"/>
      <c r="AS41" s="136"/>
      <c r="AT41" s="137"/>
      <c r="AU41" s="52"/>
      <c r="AV41" s="52"/>
      <c r="AW41" s="30"/>
      <c r="AX41" s="100"/>
      <c r="AY41" s="100"/>
      <c r="AZ41" s="124"/>
      <c r="BA41" s="169"/>
      <c r="BB41" s="116"/>
      <c r="BC41" s="116"/>
      <c r="BD41" s="247"/>
      <c r="BE41" s="124"/>
      <c r="BF41" s="124"/>
      <c r="BG41" s="116"/>
      <c r="BH41" s="116"/>
      <c r="BI41" s="116"/>
      <c r="BJ41" s="124"/>
      <c r="BK41" s="124"/>
      <c r="BL41" s="124"/>
      <c r="BM41" s="116"/>
      <c r="BN41" s="116"/>
      <c r="BO41" s="116"/>
      <c r="BP41" s="124"/>
      <c r="BQ41" s="116"/>
      <c r="BR41" s="116"/>
      <c r="BS41" s="116"/>
      <c r="BT41" s="116"/>
      <c r="BU41" s="116"/>
      <c r="BV41" s="240">
        <v>545200</v>
      </c>
      <c r="BW41" s="124">
        <f t="shared" si="20"/>
        <v>103588</v>
      </c>
      <c r="BX41" s="97">
        <f t="shared" si="13"/>
        <v>648788</v>
      </c>
      <c r="BY41" s="237" t="s">
        <v>78</v>
      </c>
      <c r="BZ41" s="237" t="s">
        <v>126</v>
      </c>
      <c r="CA41" s="116"/>
      <c r="CB41" s="247">
        <v>315000</v>
      </c>
      <c r="CC41" s="125">
        <f>+CB41*19%</f>
        <v>59850</v>
      </c>
      <c r="CD41" s="247">
        <f>+CC41+CB41</f>
        <v>374850</v>
      </c>
      <c r="CE41" s="116"/>
      <c r="CF41" s="116"/>
      <c r="CG41" s="116"/>
      <c r="CH41" s="236">
        <v>556104</v>
      </c>
      <c r="CI41" s="238">
        <f>+CH41*0.19</f>
        <v>105659.76</v>
      </c>
      <c r="CJ41" s="236">
        <f>+CH41+CI41</f>
        <v>661763.76</v>
      </c>
      <c r="CK41" s="237" t="s">
        <v>78</v>
      </c>
      <c r="CL41" s="237" t="s">
        <v>126</v>
      </c>
      <c r="CM41" s="116"/>
      <c r="CN41" s="247"/>
      <c r="CO41" s="125"/>
      <c r="CP41" s="247"/>
      <c r="CQ41" s="116"/>
      <c r="CR41" s="116"/>
      <c r="CS41" s="116"/>
      <c r="CT41" s="247">
        <v>505920.00000000006</v>
      </c>
      <c r="CU41" s="125">
        <v>96124.800000000017</v>
      </c>
      <c r="CV41" s="125">
        <f t="shared" si="9"/>
        <v>602044.80000000005</v>
      </c>
      <c r="CW41" s="116"/>
      <c r="CX41" s="116"/>
      <c r="CY41" s="116"/>
      <c r="CZ41" s="102">
        <v>305707</v>
      </c>
      <c r="DA41" s="125">
        <f>+CZ41*0.19</f>
        <v>58084.33</v>
      </c>
      <c r="DB41" s="102">
        <f>+CZ41+DA41</f>
        <v>363791.33</v>
      </c>
      <c r="DC41" s="31" t="s">
        <v>122</v>
      </c>
      <c r="DD41" s="17" t="s">
        <v>65</v>
      </c>
      <c r="DE41" s="11">
        <v>1054650500</v>
      </c>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
      <c r="EU41" s="11"/>
      <c r="EV41" s="11"/>
      <c r="EW41" s="11"/>
      <c r="EX41" s="11"/>
      <c r="EY41" s="11"/>
      <c r="EZ41" s="11"/>
      <c r="FA41" s="11"/>
      <c r="FB41" s="11"/>
      <c r="FC41" s="11"/>
      <c r="FD41" s="11"/>
      <c r="FE41" s="11"/>
      <c r="FF41" s="11"/>
      <c r="FG41" s="11"/>
      <c r="FH41" s="17">
        <f t="shared" si="4"/>
        <v>3564503.3899999997</v>
      </c>
      <c r="FI41" s="31">
        <f t="shared" si="2"/>
        <v>7</v>
      </c>
      <c r="FJ41" s="68">
        <f t="shared" si="3"/>
        <v>509214.76999999996</v>
      </c>
    </row>
    <row r="42" spans="1:166" ht="40.5" x14ac:dyDescent="0.25">
      <c r="A42" s="248">
        <f>Distribución_Reactivos!A42</f>
        <v>40</v>
      </c>
      <c r="B42" s="248" t="str">
        <f>Distribución_Reactivos!B42</f>
        <v>Agar Mueller Hinton II (Cation-Adjusted)</v>
      </c>
      <c r="C42" s="248" t="str">
        <f>Distribución_Reactivos!C42</f>
        <v>BBL 211438</v>
      </c>
      <c r="D42" s="248" t="str">
        <f>Distribución_Reactivos!D42</f>
        <v>Frasco x 500g</v>
      </c>
      <c r="E42" s="29">
        <v>1</v>
      </c>
      <c r="F42" s="212">
        <v>710787</v>
      </c>
      <c r="G42" s="214">
        <v>685797</v>
      </c>
      <c r="H42" s="221">
        <v>0</v>
      </c>
      <c r="I42" s="221">
        <v>0</v>
      </c>
      <c r="J42" s="221">
        <v>522171.10750000004</v>
      </c>
      <c r="K42" s="221">
        <v>515270</v>
      </c>
      <c r="L42" s="247">
        <f>AVERAGE(F42,J42)</f>
        <v>616479.05374999996</v>
      </c>
      <c r="M42" s="247">
        <f>AVERAGE(G42,K42)*1.03</f>
        <v>618549.505</v>
      </c>
      <c r="N42" s="217"/>
      <c r="O42" s="100"/>
      <c r="P42" s="97"/>
      <c r="Q42" s="115"/>
      <c r="R42" s="115"/>
      <c r="S42" s="53"/>
      <c r="T42" s="97"/>
      <c r="U42" s="101"/>
      <c r="V42" s="97"/>
      <c r="W42" s="115"/>
      <c r="X42" s="115"/>
      <c r="Y42" s="11"/>
      <c r="Z42" s="97"/>
      <c r="AA42" s="97"/>
      <c r="AB42" s="97"/>
      <c r="AC42" s="44"/>
      <c r="AD42" s="44"/>
      <c r="AE42" s="11"/>
      <c r="AF42" s="102"/>
      <c r="AG42" s="125"/>
      <c r="AH42" s="97"/>
      <c r="AI42" s="11"/>
      <c r="AJ42" s="11"/>
      <c r="AK42" s="17"/>
      <c r="AL42" s="97">
        <v>398000</v>
      </c>
      <c r="AM42" s="97">
        <f>+AL42*0.19</f>
        <v>75620</v>
      </c>
      <c r="AN42" s="103">
        <f>+AL42+AM42</f>
        <v>473620</v>
      </c>
      <c r="AO42" s="248" t="s">
        <v>120</v>
      </c>
      <c r="AP42" s="239" t="s">
        <v>52</v>
      </c>
      <c r="AQ42" s="17"/>
      <c r="AR42" s="252">
        <v>382082</v>
      </c>
      <c r="AS42" s="97">
        <f t="shared" ref="AS42:AS48" si="21">+AR42*0.19</f>
        <v>72595.58</v>
      </c>
      <c r="AT42" s="103">
        <f t="shared" ref="AT42:AT48" si="22">+AR42+AS42</f>
        <v>454677.58</v>
      </c>
      <c r="AU42" s="52" t="s">
        <v>77</v>
      </c>
      <c r="AV42" s="52" t="s">
        <v>52</v>
      </c>
      <c r="AW42" s="30"/>
      <c r="AX42" s="100"/>
      <c r="AY42" s="100"/>
      <c r="AZ42" s="124"/>
      <c r="BA42" s="169"/>
      <c r="BB42" s="116"/>
      <c r="BC42" s="116"/>
      <c r="BD42" s="247"/>
      <c r="BE42" s="124"/>
      <c r="BF42" s="124"/>
      <c r="BG42" s="116"/>
      <c r="BH42" s="116"/>
      <c r="BI42" s="116"/>
      <c r="BJ42" s="124"/>
      <c r="BK42" s="124"/>
      <c r="BL42" s="124"/>
      <c r="BM42" s="116"/>
      <c r="BN42" s="116"/>
      <c r="BO42" s="116"/>
      <c r="BP42" s="124"/>
      <c r="BQ42" s="116"/>
      <c r="BR42" s="116"/>
      <c r="BS42" s="116"/>
      <c r="BT42" s="116"/>
      <c r="BU42" s="116"/>
      <c r="BV42" s="240">
        <v>576000</v>
      </c>
      <c r="BW42" s="124">
        <f t="shared" si="20"/>
        <v>109440</v>
      </c>
      <c r="BX42" s="97">
        <f t="shared" si="13"/>
        <v>685440</v>
      </c>
      <c r="BY42" s="237" t="s">
        <v>78</v>
      </c>
      <c r="BZ42" s="237" t="s">
        <v>117</v>
      </c>
      <c r="CA42" s="116"/>
      <c r="CB42" s="247"/>
      <c r="CC42" s="125"/>
      <c r="CD42" s="247"/>
      <c r="CE42" s="116"/>
      <c r="CF42" s="116"/>
      <c r="CG42" s="116"/>
      <c r="CH42" s="236">
        <v>593280</v>
      </c>
      <c r="CI42" s="238">
        <f>+CH42*0.19</f>
        <v>112723.2</v>
      </c>
      <c r="CJ42" s="236">
        <f>+CH42+CI42</f>
        <v>706003.2</v>
      </c>
      <c r="CK42" s="237" t="s">
        <v>78</v>
      </c>
      <c r="CL42" s="237" t="s">
        <v>117</v>
      </c>
      <c r="CM42" s="116"/>
      <c r="CN42" s="247"/>
      <c r="CO42" s="125"/>
      <c r="CP42" s="247"/>
      <c r="CQ42" s="116"/>
      <c r="CR42" s="116"/>
      <c r="CS42" s="116"/>
      <c r="CT42" s="247">
        <v>320960</v>
      </c>
      <c r="CU42" s="125">
        <v>60982.400000000001</v>
      </c>
      <c r="CV42" s="125">
        <f t="shared" si="9"/>
        <v>381942.4</v>
      </c>
      <c r="CW42" s="116"/>
      <c r="CX42" s="116"/>
      <c r="CY42" s="116"/>
      <c r="CZ42" s="102">
        <v>446033</v>
      </c>
      <c r="DA42" s="125">
        <f>+CZ42*0.19</f>
        <v>84746.27</v>
      </c>
      <c r="DB42" s="102">
        <f>+CZ42+DA42</f>
        <v>530779.27</v>
      </c>
      <c r="DC42" s="31" t="s">
        <v>122</v>
      </c>
      <c r="DD42" s="17" t="s">
        <v>65</v>
      </c>
      <c r="DE42" s="11">
        <v>1054370500</v>
      </c>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
      <c r="EU42" s="11"/>
      <c r="EV42" s="11"/>
      <c r="EW42" s="11"/>
      <c r="EX42" s="11"/>
      <c r="EY42" s="11"/>
      <c r="EZ42" s="11"/>
      <c r="FA42" s="11"/>
      <c r="FB42" s="11"/>
      <c r="FC42" s="11"/>
      <c r="FD42" s="11"/>
      <c r="FE42" s="11"/>
      <c r="FF42" s="11"/>
      <c r="FG42" s="11"/>
      <c r="FH42" s="17">
        <f t="shared" si="4"/>
        <v>3851011.9550000001</v>
      </c>
      <c r="FI42" s="31">
        <f t="shared" si="2"/>
        <v>7</v>
      </c>
      <c r="FJ42" s="68">
        <f t="shared" si="3"/>
        <v>550144.56500000006</v>
      </c>
    </row>
    <row r="43" spans="1:166" ht="40.5" x14ac:dyDescent="0.25">
      <c r="A43" s="248">
        <f>Distribución_Reactivos!A43</f>
        <v>41</v>
      </c>
      <c r="B43" s="248" t="str">
        <f>Distribución_Reactivos!B43</f>
        <v>Agar Sabouraud dextrosa al 4%</v>
      </c>
      <c r="C43" s="248" t="str">
        <f>Distribución_Reactivos!C43</f>
        <v>BD o equivalente</v>
      </c>
      <c r="D43" s="248" t="str">
        <f>Distribución_Reactivos!D43</f>
        <v>Frasco x 500g</v>
      </c>
      <c r="E43" s="29">
        <v>1</v>
      </c>
      <c r="F43" s="212">
        <v>0</v>
      </c>
      <c r="G43" s="214">
        <v>0</v>
      </c>
      <c r="H43" s="221">
        <v>0</v>
      </c>
      <c r="I43" s="221">
        <v>0</v>
      </c>
      <c r="J43" s="221">
        <v>365166.97000000003</v>
      </c>
      <c r="K43" s="221">
        <v>360570</v>
      </c>
      <c r="L43" s="247">
        <f>J43</f>
        <v>365166.97000000003</v>
      </c>
      <c r="M43" s="247">
        <f>K43*1.03</f>
        <v>371387.10000000003</v>
      </c>
      <c r="N43" s="218">
        <v>258750</v>
      </c>
      <c r="O43" s="102">
        <f>+N43*0.19</f>
        <v>49162.5</v>
      </c>
      <c r="P43" s="97">
        <f>+O43+N43</f>
        <v>307912.5</v>
      </c>
      <c r="Q43" s="34" t="s">
        <v>118</v>
      </c>
      <c r="R43" s="116" t="s">
        <v>119</v>
      </c>
      <c r="S43" s="53"/>
      <c r="T43" s="97"/>
      <c r="U43" s="101"/>
      <c r="V43" s="97"/>
      <c r="W43" s="115"/>
      <c r="X43" s="115"/>
      <c r="Y43" s="11"/>
      <c r="Z43" s="97"/>
      <c r="AA43" s="97"/>
      <c r="AB43" s="97"/>
      <c r="AC43" s="44"/>
      <c r="AD43" s="44"/>
      <c r="AE43" s="11"/>
      <c r="AF43" s="102"/>
      <c r="AG43" s="125"/>
      <c r="AH43" s="97"/>
      <c r="AI43" s="11"/>
      <c r="AJ43" s="11"/>
      <c r="AK43" s="17"/>
      <c r="AL43" s="97">
        <v>335000</v>
      </c>
      <c r="AM43" s="97">
        <f>+AL43*0.19</f>
        <v>63650</v>
      </c>
      <c r="AN43" s="103">
        <f>+AL43+AM43</f>
        <v>398650</v>
      </c>
      <c r="AO43" s="248" t="s">
        <v>120</v>
      </c>
      <c r="AP43" s="239" t="s">
        <v>52</v>
      </c>
      <c r="AQ43" s="17"/>
      <c r="AR43" s="252">
        <v>291589</v>
      </c>
      <c r="AS43" s="97">
        <f t="shared" si="21"/>
        <v>55401.91</v>
      </c>
      <c r="AT43" s="103">
        <f t="shared" si="22"/>
        <v>346990.91000000003</v>
      </c>
      <c r="AU43" s="52" t="s">
        <v>77</v>
      </c>
      <c r="AV43" s="52" t="s">
        <v>52</v>
      </c>
      <c r="AW43" s="30"/>
      <c r="AX43" s="100"/>
      <c r="AY43" s="172"/>
      <c r="AZ43" s="124"/>
      <c r="BA43" s="169"/>
      <c r="BB43" s="116"/>
      <c r="BC43" s="116"/>
      <c r="BD43" s="247"/>
      <c r="BE43" s="124"/>
      <c r="BF43" s="124"/>
      <c r="BG43" s="116"/>
      <c r="BH43" s="116"/>
      <c r="BI43" s="116"/>
      <c r="BJ43" s="247">
        <v>138550</v>
      </c>
      <c r="BK43" s="102">
        <f>+BJ43*0.19</f>
        <v>26324.5</v>
      </c>
      <c r="BL43" s="97">
        <f>+BK43+BJ43</f>
        <v>164874.5</v>
      </c>
      <c r="BM43" s="11" t="s">
        <v>116</v>
      </c>
      <c r="BN43" s="116"/>
      <c r="BO43" s="116"/>
      <c r="BP43" s="124"/>
      <c r="BQ43" s="116"/>
      <c r="BR43" s="116"/>
      <c r="BS43" s="116"/>
      <c r="BT43" s="116"/>
      <c r="BU43" s="116"/>
      <c r="BV43" s="240">
        <v>298000</v>
      </c>
      <c r="BW43" s="124">
        <f t="shared" si="20"/>
        <v>56620</v>
      </c>
      <c r="BX43" s="97">
        <f t="shared" si="13"/>
        <v>354620</v>
      </c>
      <c r="BY43" s="237" t="s">
        <v>78</v>
      </c>
      <c r="BZ43" s="237" t="s">
        <v>117</v>
      </c>
      <c r="CA43" s="116"/>
      <c r="CB43" s="247">
        <v>212000</v>
      </c>
      <c r="CC43" s="125">
        <f>+CB43*19%</f>
        <v>40280</v>
      </c>
      <c r="CD43" s="247">
        <f>+CC43+CB43</f>
        <v>252280</v>
      </c>
      <c r="CE43" s="116"/>
      <c r="CF43" s="116"/>
      <c r="CG43" s="116"/>
      <c r="CH43" s="236">
        <v>306940</v>
      </c>
      <c r="CI43" s="238">
        <f>+CH43*0.19</f>
        <v>58318.6</v>
      </c>
      <c r="CJ43" s="236">
        <f>+CH43+CI43</f>
        <v>365258.6</v>
      </c>
      <c r="CK43" s="237" t="s">
        <v>78</v>
      </c>
      <c r="CL43" s="237" t="s">
        <v>117</v>
      </c>
      <c r="CM43" s="116"/>
      <c r="CN43" s="247"/>
      <c r="CO43" s="125"/>
      <c r="CP43" s="247"/>
      <c r="CQ43" s="116"/>
      <c r="CR43" s="116"/>
      <c r="CS43" s="116"/>
      <c r="CT43" s="247">
        <v>2197760</v>
      </c>
      <c r="CU43" s="125">
        <v>417574.40000000002</v>
      </c>
      <c r="CV43" s="125">
        <f t="shared" si="9"/>
        <v>2615334.4</v>
      </c>
      <c r="CW43" s="116"/>
      <c r="CX43" s="116"/>
      <c r="CY43" s="116"/>
      <c r="CZ43" s="102">
        <v>233202</v>
      </c>
      <c r="DA43" s="125">
        <f>+CZ43*0.19</f>
        <v>44308.38</v>
      </c>
      <c r="DB43" s="102">
        <f>+CZ43+DA43</f>
        <v>277510.38</v>
      </c>
      <c r="DC43" s="31" t="s">
        <v>122</v>
      </c>
      <c r="DD43" s="17" t="s">
        <v>65</v>
      </c>
      <c r="DE43" s="11">
        <v>1039150500</v>
      </c>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
      <c r="EU43" s="11"/>
      <c r="EV43" s="11"/>
      <c r="EW43" s="11"/>
      <c r="EX43" s="11"/>
      <c r="EY43" s="11"/>
      <c r="EZ43" s="11"/>
      <c r="FA43" s="11"/>
      <c r="FB43" s="11"/>
      <c r="FC43" s="11"/>
      <c r="FD43" s="11"/>
      <c r="FE43" s="11"/>
      <c r="FF43" s="11"/>
      <c r="FG43" s="11"/>
      <c r="FH43" s="17">
        <f t="shared" si="4"/>
        <v>5454818.3899999997</v>
      </c>
      <c r="FI43" s="31">
        <f t="shared" si="2"/>
        <v>10</v>
      </c>
      <c r="FJ43" s="68">
        <f t="shared" si="3"/>
        <v>545481.83899999992</v>
      </c>
    </row>
    <row r="44" spans="1:166" ht="40.5" x14ac:dyDescent="0.25">
      <c r="A44" s="248">
        <f>Distribución_Reactivos!A44</f>
        <v>42</v>
      </c>
      <c r="B44" s="248" t="str">
        <f>Distribución_Reactivos!B44</f>
        <v>Agar triple azúcar hierro (TSI)</v>
      </c>
      <c r="C44" s="248" t="str">
        <f>Distribución_Reactivos!C44</f>
        <v>Scharlau, Dibico, Sigma-Aldrich</v>
      </c>
      <c r="D44" s="248" t="str">
        <f>Distribución_Reactivos!D44</f>
        <v>Frasco x 100g</v>
      </c>
      <c r="E44" s="29">
        <v>1</v>
      </c>
      <c r="F44" s="212">
        <v>114240</v>
      </c>
      <c r="G44" s="214">
        <v>0</v>
      </c>
      <c r="H44" s="221">
        <v>449962.8</v>
      </c>
      <c r="I44" s="221">
        <v>0</v>
      </c>
      <c r="J44" s="221">
        <v>605325.15399999998</v>
      </c>
      <c r="K44" s="221">
        <v>595000</v>
      </c>
      <c r="L44" s="247">
        <f>AVERAGE(F44,H44,J44)</f>
        <v>389842.65133333328</v>
      </c>
      <c r="M44" s="247">
        <f>K44*1.03</f>
        <v>612850</v>
      </c>
      <c r="N44" s="218">
        <v>396000</v>
      </c>
      <c r="O44" s="102">
        <f>+N44*0.19</f>
        <v>75240</v>
      </c>
      <c r="P44" s="97">
        <f>+O44+N44</f>
        <v>471240</v>
      </c>
      <c r="Q44" s="34" t="s">
        <v>118</v>
      </c>
      <c r="R44" s="116" t="s">
        <v>119</v>
      </c>
      <c r="S44" s="53" t="s">
        <v>127</v>
      </c>
      <c r="T44" s="97"/>
      <c r="U44" s="97"/>
      <c r="V44" s="97"/>
      <c r="W44" s="115"/>
      <c r="X44" s="115"/>
      <c r="Y44" s="44"/>
      <c r="Z44" s="101"/>
      <c r="AA44" s="97"/>
      <c r="AB44" s="97"/>
      <c r="AC44" s="115"/>
      <c r="AD44" s="44"/>
      <c r="AE44" s="11"/>
      <c r="AF44" s="102">
        <v>650000</v>
      </c>
      <c r="AG44" s="125">
        <f>AF44*19%</f>
        <v>123500</v>
      </c>
      <c r="AH44" s="97">
        <f>+AF44+AG44</f>
        <v>773500</v>
      </c>
      <c r="AI44" s="11"/>
      <c r="AJ44" s="11"/>
      <c r="AK44" s="17"/>
      <c r="AL44" s="97">
        <v>280000</v>
      </c>
      <c r="AM44" s="97">
        <f>+AL44*0.19</f>
        <v>53200</v>
      </c>
      <c r="AN44" s="103">
        <f>+AL44+AM44</f>
        <v>333200</v>
      </c>
      <c r="AO44" s="248" t="s">
        <v>120</v>
      </c>
      <c r="AP44" s="239" t="s">
        <v>52</v>
      </c>
      <c r="AQ44" s="17"/>
      <c r="AR44" s="252">
        <v>437383</v>
      </c>
      <c r="AS44" s="97">
        <f t="shared" si="21"/>
        <v>83102.77</v>
      </c>
      <c r="AT44" s="103">
        <f t="shared" si="22"/>
        <v>520485.77</v>
      </c>
      <c r="AU44" s="52" t="s">
        <v>77</v>
      </c>
      <c r="AV44" s="52" t="s">
        <v>52</v>
      </c>
      <c r="AW44" s="30"/>
      <c r="AX44" s="100"/>
      <c r="AY44" s="100"/>
      <c r="AZ44" s="124"/>
      <c r="BA44" s="169"/>
      <c r="BB44" s="116"/>
      <c r="BC44" s="116"/>
      <c r="BD44" s="247"/>
      <c r="BE44" s="124"/>
      <c r="BF44" s="124"/>
      <c r="BG44" s="116"/>
      <c r="BH44" s="116"/>
      <c r="BI44" s="116"/>
      <c r="BJ44" s="247">
        <v>68000</v>
      </c>
      <c r="BK44" s="102">
        <f>+BJ44*0.19</f>
        <v>12920</v>
      </c>
      <c r="BL44" s="97">
        <f>+BK44+BJ44</f>
        <v>80920</v>
      </c>
      <c r="BM44" s="11" t="s">
        <v>116</v>
      </c>
      <c r="BN44" s="116"/>
      <c r="BO44" s="116"/>
      <c r="BP44" s="124"/>
      <c r="BQ44" s="116"/>
      <c r="BR44" s="116"/>
      <c r="BS44" s="116"/>
      <c r="BT44" s="116"/>
      <c r="BU44" s="116"/>
      <c r="BV44" s="240">
        <v>492000</v>
      </c>
      <c r="BW44" s="124">
        <f t="shared" si="20"/>
        <v>93480</v>
      </c>
      <c r="BX44" s="97">
        <f t="shared" si="13"/>
        <v>585480</v>
      </c>
      <c r="BY44" s="237" t="s">
        <v>63</v>
      </c>
      <c r="BZ44" s="237" t="s">
        <v>117</v>
      </c>
      <c r="CA44" s="116"/>
      <c r="CB44" s="247"/>
      <c r="CC44" s="125"/>
      <c r="CD44" s="247"/>
      <c r="CE44" s="116"/>
      <c r="CF44" s="116"/>
      <c r="CG44" s="116"/>
      <c r="CH44" s="236">
        <v>496920</v>
      </c>
      <c r="CI44" s="238">
        <f>+CH44*0.19</f>
        <v>94414.8</v>
      </c>
      <c r="CJ44" s="236">
        <f>+CH44+CI44</f>
        <v>591334.80000000005</v>
      </c>
      <c r="CK44" s="237" t="s">
        <v>63</v>
      </c>
      <c r="CL44" s="237" t="s">
        <v>117</v>
      </c>
      <c r="CM44" s="116"/>
      <c r="CN44" s="247"/>
      <c r="CO44" s="125"/>
      <c r="CP44" s="247"/>
      <c r="CQ44" s="116"/>
      <c r="CR44" s="116"/>
      <c r="CS44" s="116"/>
      <c r="CT44" s="247">
        <v>391680</v>
      </c>
      <c r="CU44" s="125">
        <v>74419.199999999997</v>
      </c>
      <c r="CV44" s="125">
        <f t="shared" si="9"/>
        <v>466099.20000000001</v>
      </c>
      <c r="CW44" s="116"/>
      <c r="CX44" s="116"/>
      <c r="CY44" s="116"/>
      <c r="CZ44" s="102"/>
      <c r="DA44" s="125"/>
      <c r="DB44" s="102"/>
      <c r="DC44" s="31"/>
      <c r="DD44" s="17"/>
      <c r="DE44" s="11"/>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
      <c r="EU44" s="11"/>
      <c r="EV44" s="11"/>
      <c r="EW44" s="11"/>
      <c r="EX44" s="11"/>
      <c r="EY44" s="11"/>
      <c r="EZ44" s="11"/>
      <c r="FA44" s="11"/>
      <c r="FB44" s="11"/>
      <c r="FC44" s="11"/>
      <c r="FD44" s="11"/>
      <c r="FE44" s="11"/>
      <c r="FF44" s="252"/>
      <c r="FG44" s="61"/>
      <c r="FH44" s="17">
        <f t="shared" si="4"/>
        <v>4435109.7700000005</v>
      </c>
      <c r="FI44" s="31">
        <f t="shared" si="2"/>
        <v>9</v>
      </c>
      <c r="FJ44" s="68">
        <f t="shared" si="3"/>
        <v>492789.97444444452</v>
      </c>
    </row>
    <row r="45" spans="1:166" ht="38.25" x14ac:dyDescent="0.25">
      <c r="A45" s="248">
        <f>Distribución_Reactivos!A45</f>
        <v>43</v>
      </c>
      <c r="B45" s="248" t="str">
        <f>Distribución_Reactivos!B45</f>
        <v>Agarosa grado biología molecular Cas 9012-36-6</v>
      </c>
      <c r="C45" s="248" t="str">
        <f>Distribución_Reactivos!C45</f>
        <v>Merck, Acumedia, BBL, Sharlau, Sigma</v>
      </c>
      <c r="D45" s="248" t="str">
        <f>Distribución_Reactivos!D45</f>
        <v>Frasco x 500g</v>
      </c>
      <c r="E45" s="29">
        <v>1</v>
      </c>
      <c r="F45" s="212">
        <v>3099156.666666667</v>
      </c>
      <c r="G45" s="214">
        <v>3021648</v>
      </c>
      <c r="H45" s="221">
        <v>2500257.1057619047</v>
      </c>
      <c r="I45" s="221">
        <v>979965</v>
      </c>
      <c r="J45" s="221">
        <v>2442685.6715944665</v>
      </c>
      <c r="K45" s="221">
        <v>0</v>
      </c>
      <c r="L45" s="247">
        <f>AVERAGE(F45,H45,J45)</f>
        <v>2680699.8146743462</v>
      </c>
      <c r="M45" s="247">
        <f>AVERAGE(G45,I45)*1.03</f>
        <v>2060830.6950000001</v>
      </c>
      <c r="N45" s="217"/>
      <c r="O45" s="103"/>
      <c r="P45" s="97"/>
      <c r="Q45" s="115"/>
      <c r="R45" s="115"/>
      <c r="S45" s="53"/>
      <c r="T45" s="97">
        <v>3382000</v>
      </c>
      <c r="U45" s="102">
        <f>+T45*0.19</f>
        <v>642580</v>
      </c>
      <c r="V45" s="97">
        <f>+U45+T45</f>
        <v>4024580</v>
      </c>
      <c r="W45" s="115" t="s">
        <v>128</v>
      </c>
      <c r="X45" s="115" t="s">
        <v>129</v>
      </c>
      <c r="Y45" s="44"/>
      <c r="Z45" s="103"/>
      <c r="AA45" s="97"/>
      <c r="AB45" s="97"/>
      <c r="AC45" s="115"/>
      <c r="AD45" s="44"/>
      <c r="AE45" s="11"/>
      <c r="AF45" s="102"/>
      <c r="AG45" s="125"/>
      <c r="AH45" s="97"/>
      <c r="AI45" s="11"/>
      <c r="AJ45" s="11"/>
      <c r="AK45" s="17"/>
      <c r="AL45" s="97">
        <f>755000*2</f>
        <v>1510000</v>
      </c>
      <c r="AM45" s="97">
        <f>+AL45*0.19</f>
        <v>286900</v>
      </c>
      <c r="AN45" s="103">
        <f>+AL45+AM45</f>
        <v>1796900</v>
      </c>
      <c r="AO45" s="248" t="s">
        <v>82</v>
      </c>
      <c r="AP45" s="234" t="s">
        <v>52</v>
      </c>
      <c r="AQ45" s="17"/>
      <c r="AR45" s="252">
        <f>793323*2</f>
        <v>1586646</v>
      </c>
      <c r="AS45" s="97">
        <f t="shared" si="21"/>
        <v>301462.74</v>
      </c>
      <c r="AT45" s="103">
        <f t="shared" si="22"/>
        <v>1888108.74</v>
      </c>
      <c r="AU45" s="52" t="s">
        <v>82</v>
      </c>
      <c r="AV45" s="52" t="s">
        <v>52</v>
      </c>
      <c r="AW45" s="30"/>
      <c r="AX45" s="100"/>
      <c r="AY45" s="100"/>
      <c r="AZ45" s="124"/>
      <c r="BA45" s="169"/>
      <c r="BB45" s="116"/>
      <c r="BC45" s="116"/>
      <c r="BD45" s="125">
        <v>10187000</v>
      </c>
      <c r="BE45" s="100">
        <f>+BD45*0.19</f>
        <v>1935530</v>
      </c>
      <c r="BF45" s="124">
        <f>+BD45+BE45</f>
        <v>12122530</v>
      </c>
      <c r="BG45" s="31" t="s">
        <v>123</v>
      </c>
      <c r="BH45" s="116" t="s">
        <v>130</v>
      </c>
      <c r="BI45" s="116"/>
      <c r="BJ45" s="124"/>
      <c r="BK45" s="124"/>
      <c r="BL45" s="124"/>
      <c r="BM45" s="44"/>
      <c r="BN45" s="22"/>
      <c r="BO45" s="115"/>
      <c r="BP45" s="97">
        <v>1046664</v>
      </c>
      <c r="BQ45" s="125">
        <f>BP45*19%</f>
        <v>198866.16</v>
      </c>
      <c r="BR45" s="97">
        <f>+BP45+BQ45</f>
        <v>1245530.1599999999</v>
      </c>
      <c r="BS45" s="31" t="s">
        <v>123</v>
      </c>
      <c r="BT45" s="34" t="s">
        <v>131</v>
      </c>
      <c r="BU45" s="5" t="s">
        <v>132</v>
      </c>
      <c r="BV45" s="188"/>
      <c r="BW45" s="124"/>
      <c r="BX45" s="97"/>
      <c r="BY45" s="246"/>
      <c r="BZ45" s="246"/>
      <c r="CA45" s="116"/>
      <c r="CB45" s="247"/>
      <c r="CC45" s="125"/>
      <c r="CD45" s="247"/>
      <c r="CE45" s="116"/>
      <c r="CF45" s="116"/>
      <c r="CG45" s="116"/>
      <c r="CH45" s="188"/>
      <c r="CI45" s="189"/>
      <c r="CJ45" s="188"/>
      <c r="CK45" s="246"/>
      <c r="CL45" s="246"/>
      <c r="CM45" s="116"/>
      <c r="CN45" s="247"/>
      <c r="CO45" s="125"/>
      <c r="CP45" s="247"/>
      <c r="CQ45" s="116"/>
      <c r="CR45" s="116"/>
      <c r="CS45" s="116"/>
      <c r="CT45" s="247">
        <v>734400</v>
      </c>
      <c r="CU45" s="125">
        <v>139536</v>
      </c>
      <c r="CV45" s="125">
        <f t="shared" si="9"/>
        <v>873936</v>
      </c>
      <c r="CW45" s="116"/>
      <c r="CX45" s="116"/>
      <c r="CY45" s="116"/>
      <c r="CZ45" s="102">
        <v>3480000</v>
      </c>
      <c r="DA45" s="125">
        <f>+CZ45*0.19</f>
        <v>661200</v>
      </c>
      <c r="DB45" s="102">
        <f>+CZ45+DA45</f>
        <v>4141200</v>
      </c>
      <c r="DC45" s="31" t="s">
        <v>133</v>
      </c>
      <c r="DD45" s="17" t="s">
        <v>65</v>
      </c>
      <c r="DE45" s="11" t="s">
        <v>134</v>
      </c>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
      <c r="EU45" s="11"/>
      <c r="EV45" s="11"/>
      <c r="EW45" s="11"/>
      <c r="EX45" s="11"/>
      <c r="EY45" s="11"/>
      <c r="EZ45" s="11"/>
      <c r="FA45" s="11"/>
      <c r="FB45" s="11"/>
      <c r="FC45" s="11"/>
      <c r="FD45" s="11"/>
      <c r="FE45" s="11"/>
      <c r="FF45" s="11"/>
      <c r="FG45" s="11"/>
      <c r="FH45" s="17">
        <f t="shared" si="4"/>
        <v>28153615.595000003</v>
      </c>
      <c r="FI45" s="31">
        <f t="shared" si="2"/>
        <v>8</v>
      </c>
      <c r="FJ45" s="68">
        <f t="shared" si="3"/>
        <v>3519201.9493750003</v>
      </c>
    </row>
    <row r="46" spans="1:166" ht="38.25" x14ac:dyDescent="0.25">
      <c r="A46" s="248">
        <f>Distribución_Reactivos!A46</f>
        <v>44</v>
      </c>
      <c r="B46" s="248" t="str">
        <f>Distribución_Reactivos!B46</f>
        <v>AgPath-ID(TM) One-step RT-PCR Kit; (100 rxn);</v>
      </c>
      <c r="C46" s="248" t="str">
        <f>Distribución_Reactivos!C46</f>
        <v>Applied Biosystem Ref. AM1005</v>
      </c>
      <c r="D46" s="248" t="str">
        <f>Distribución_Reactivos!D46</f>
        <v>Kit x 100 rxn</v>
      </c>
      <c r="E46" s="29">
        <v>1</v>
      </c>
      <c r="F46" s="212">
        <v>0</v>
      </c>
      <c r="G46" s="214">
        <v>0</v>
      </c>
      <c r="H46" s="221">
        <v>1454160</v>
      </c>
      <c r="I46" s="221">
        <v>0</v>
      </c>
      <c r="J46" s="221">
        <v>849322.5</v>
      </c>
      <c r="K46" s="221">
        <v>0</v>
      </c>
      <c r="L46" s="247">
        <f>AVERAGE(H46,J46)</f>
        <v>1151741.25</v>
      </c>
      <c r="M46" s="247"/>
      <c r="N46" s="217"/>
      <c r="O46" s="101"/>
      <c r="P46" s="97"/>
      <c r="Q46" s="115"/>
      <c r="R46" s="115"/>
      <c r="S46" s="53"/>
      <c r="T46" s="97">
        <v>1144000</v>
      </c>
      <c r="U46" s="102">
        <f>+T46*0</f>
        <v>0</v>
      </c>
      <c r="V46" s="97">
        <f>+U46+T46</f>
        <v>1144000</v>
      </c>
      <c r="W46" s="115" t="s">
        <v>135</v>
      </c>
      <c r="X46" s="115" t="s">
        <v>136</v>
      </c>
      <c r="Y46" s="44"/>
      <c r="Z46" s="103"/>
      <c r="AA46" s="97"/>
      <c r="AB46" s="97"/>
      <c r="AC46" s="115"/>
      <c r="AD46" s="44"/>
      <c r="AE46" s="11"/>
      <c r="AF46" s="102"/>
      <c r="AG46" s="125"/>
      <c r="AH46" s="97"/>
      <c r="AI46" s="11"/>
      <c r="AJ46" s="11"/>
      <c r="AK46" s="17"/>
      <c r="AL46" s="97"/>
      <c r="AM46" s="97"/>
      <c r="AN46" s="101"/>
      <c r="AO46" s="248"/>
      <c r="AP46" s="17"/>
      <c r="AQ46" s="17"/>
      <c r="AR46" s="252">
        <v>1170288</v>
      </c>
      <c r="AS46" s="97">
        <f t="shared" si="21"/>
        <v>222354.72</v>
      </c>
      <c r="AT46" s="103">
        <f t="shared" si="22"/>
        <v>1392642.72</v>
      </c>
      <c r="AU46" s="52" t="s">
        <v>137</v>
      </c>
      <c r="AV46" s="52" t="s">
        <v>138</v>
      </c>
      <c r="AW46" s="30"/>
      <c r="AX46" s="100"/>
      <c r="AY46" s="174"/>
      <c r="AZ46" s="124"/>
      <c r="BA46" s="169"/>
      <c r="BB46" s="116"/>
      <c r="BC46" s="116"/>
      <c r="BD46" s="247"/>
      <c r="BE46" s="124"/>
      <c r="BF46" s="124"/>
      <c r="BG46" s="116"/>
      <c r="BH46" s="116"/>
      <c r="BI46" s="116"/>
      <c r="BJ46" s="124"/>
      <c r="BK46" s="124"/>
      <c r="BL46" s="124"/>
      <c r="BM46" s="44"/>
      <c r="BN46" s="248"/>
      <c r="BO46" s="115"/>
      <c r="BP46" s="97"/>
      <c r="BQ46" s="125"/>
      <c r="BR46" s="97"/>
      <c r="BS46" s="31"/>
      <c r="BT46" s="182"/>
      <c r="BU46" s="5"/>
      <c r="BV46" s="187"/>
      <c r="BW46" s="125"/>
      <c r="BX46" s="97"/>
      <c r="BY46" s="246"/>
      <c r="BZ46" s="246"/>
      <c r="CA46" s="116"/>
      <c r="CB46" s="247"/>
      <c r="CC46" s="125"/>
      <c r="CD46" s="247"/>
      <c r="CE46" s="116"/>
      <c r="CF46" s="116"/>
      <c r="CG46" s="116"/>
      <c r="CH46" s="187"/>
      <c r="CI46" s="195"/>
      <c r="CJ46" s="187"/>
      <c r="CK46" s="246"/>
      <c r="CL46" s="246"/>
      <c r="CM46" s="116"/>
      <c r="CN46" s="247"/>
      <c r="CO46" s="125"/>
      <c r="CP46" s="247"/>
      <c r="CQ46" s="116"/>
      <c r="CR46" s="116"/>
      <c r="CS46" s="116"/>
      <c r="CT46" s="247">
        <v>1185920</v>
      </c>
      <c r="CU46" s="125">
        <v>225324.79999999999</v>
      </c>
      <c r="CV46" s="125">
        <f t="shared" si="9"/>
        <v>1411244.8</v>
      </c>
      <c r="CW46" s="116"/>
      <c r="CX46" s="116"/>
      <c r="CY46" s="116"/>
      <c r="CZ46" s="102"/>
      <c r="DA46" s="125"/>
      <c r="DB46" s="102"/>
      <c r="DC46" s="31"/>
      <c r="DD46" s="17"/>
      <c r="DE46" s="11"/>
      <c r="DF46" s="116">
        <v>1136300</v>
      </c>
      <c r="DG46" s="116">
        <f>+DF46*0</f>
        <v>0</v>
      </c>
      <c r="DH46" s="116">
        <f>+DF46+DG46</f>
        <v>1136300</v>
      </c>
      <c r="DI46" s="116" t="s">
        <v>135</v>
      </c>
      <c r="DJ46" s="116" t="s">
        <v>139</v>
      </c>
      <c r="DK46" s="116"/>
      <c r="DL46" s="97">
        <v>1144000</v>
      </c>
      <c r="DM46" s="101">
        <v>0</v>
      </c>
      <c r="DN46" s="97">
        <f>+DL46+DM46</f>
        <v>1144000</v>
      </c>
      <c r="DO46" s="115" t="s">
        <v>140</v>
      </c>
      <c r="DP46" s="116"/>
      <c r="DQ46" s="116"/>
      <c r="DR46" s="97">
        <v>939300</v>
      </c>
      <c r="DS46" s="125">
        <f>+DR46*0</f>
        <v>0</v>
      </c>
      <c r="DT46" s="97">
        <f>+DR46+DS46</f>
        <v>939300</v>
      </c>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
      <c r="EU46" s="11"/>
      <c r="EV46" s="11"/>
      <c r="EW46" s="11"/>
      <c r="EX46" s="11"/>
      <c r="EY46" s="11"/>
      <c r="EZ46" s="11"/>
      <c r="FA46" s="11"/>
      <c r="FB46" s="11"/>
      <c r="FC46" s="11"/>
      <c r="FD46" s="11"/>
      <c r="FE46" s="11"/>
      <c r="FF46" s="252"/>
      <c r="FG46" s="61"/>
      <c r="FH46" s="17">
        <f>SUM(M46,P46,V46,AB46,AH46,AN46,AT46,AZ46,BF46,BL46,BR46,BX46,CD46,CJ46,CP46,CV46,DB46,DH46,DN46,DT46,DZ46,EF46,EL46,ER46,EX46,FD46)</f>
        <v>7167487.5199999996</v>
      </c>
      <c r="FI46" s="31">
        <f>COUNTA(M46,N46,T46,Z46,AF46,AL46,AR46,AX46,BD46,BJ46,BP46,BV46,CB46,CH46,CN46,CT46,CZ46,DF46,DL46,DR46,DX46,ED46,EJ46,EP46,EV46,FB46)</f>
        <v>6</v>
      </c>
      <c r="FJ46" s="68">
        <f t="shared" si="3"/>
        <v>1194581.2533333332</v>
      </c>
    </row>
    <row r="47" spans="1:166" ht="27" x14ac:dyDescent="0.25">
      <c r="A47" s="248">
        <f>Distribución_Reactivos!A47</f>
        <v>45</v>
      </c>
      <c r="B47" s="248" t="str">
        <f>Distribución_Reactivos!B47</f>
        <v>Agua oxigenada Concentracion 3.5 %</v>
      </c>
      <c r="C47" s="248" t="str">
        <f>Distribución_Reactivos!C47</f>
        <v>JGB</v>
      </c>
      <c r="D47" s="248" t="str">
        <f>Distribución_Reactivos!D47</f>
        <v>Botella x 500ml</v>
      </c>
      <c r="E47" s="29">
        <v>1</v>
      </c>
      <c r="F47" s="212">
        <v>0</v>
      </c>
      <c r="G47" s="214">
        <v>0</v>
      </c>
      <c r="H47" s="221">
        <v>0</v>
      </c>
      <c r="I47" s="221">
        <v>0</v>
      </c>
      <c r="J47" s="221">
        <v>308920.43</v>
      </c>
      <c r="K47" s="221">
        <v>0</v>
      </c>
      <c r="L47" s="247">
        <f>J47</f>
        <v>308920.43</v>
      </c>
      <c r="M47" s="247"/>
      <c r="N47" s="217"/>
      <c r="O47" s="101"/>
      <c r="P47" s="97"/>
      <c r="Q47" s="115"/>
      <c r="R47" s="115"/>
      <c r="S47" s="53"/>
      <c r="T47" s="97"/>
      <c r="U47" s="97"/>
      <c r="V47" s="97"/>
      <c r="W47" s="115"/>
      <c r="X47" s="115"/>
      <c r="Y47" s="11"/>
      <c r="Z47" s="97"/>
      <c r="AA47" s="97"/>
      <c r="AB47" s="97"/>
      <c r="AC47" s="44"/>
      <c r="AD47" s="44"/>
      <c r="AE47" s="11"/>
      <c r="AF47" s="102">
        <v>15000</v>
      </c>
      <c r="AG47" s="125">
        <v>0</v>
      </c>
      <c r="AH47" s="97">
        <f t="shared" ref="AH47:AH53" si="23">+AF47+AG47</f>
        <v>15000</v>
      </c>
      <c r="AI47" s="11"/>
      <c r="AJ47" s="11"/>
      <c r="AK47" s="17"/>
      <c r="AL47" s="97"/>
      <c r="AM47" s="97"/>
      <c r="AN47" s="101"/>
      <c r="AO47" s="248"/>
      <c r="AP47" s="17"/>
      <c r="AQ47" s="17"/>
      <c r="AR47" s="252">
        <v>219194</v>
      </c>
      <c r="AS47" s="97">
        <f t="shared" si="21"/>
        <v>41646.86</v>
      </c>
      <c r="AT47" s="103">
        <f t="shared" si="22"/>
        <v>260840.86</v>
      </c>
      <c r="AU47" s="52" t="s">
        <v>56</v>
      </c>
      <c r="AV47" s="52" t="s">
        <v>53</v>
      </c>
      <c r="AW47" s="30"/>
      <c r="AX47" s="100"/>
      <c r="AY47" s="100"/>
      <c r="AZ47" s="124"/>
      <c r="BA47" s="169"/>
      <c r="BB47" s="116"/>
      <c r="BC47" s="116"/>
      <c r="BD47" s="247"/>
      <c r="BE47" s="124"/>
      <c r="BF47" s="124"/>
      <c r="BG47" s="116"/>
      <c r="BH47" s="116"/>
      <c r="BI47" s="116"/>
      <c r="BJ47" s="124"/>
      <c r="BK47" s="124"/>
      <c r="BL47" s="124"/>
      <c r="BM47" s="116"/>
      <c r="BN47" s="116"/>
      <c r="BO47" s="116"/>
      <c r="BP47" s="124"/>
      <c r="BQ47" s="116"/>
      <c r="BR47" s="116"/>
      <c r="BS47" s="116"/>
      <c r="BT47" s="116"/>
      <c r="BU47" s="116"/>
      <c r="BV47" s="236">
        <v>122200</v>
      </c>
      <c r="BW47" s="125">
        <f t="shared" ref="BW47:BW58" si="24">BV47*19%</f>
        <v>23218</v>
      </c>
      <c r="BX47" s="97">
        <f t="shared" ref="BX47:BX61" si="25">+BV47+BW47</f>
        <v>145418</v>
      </c>
      <c r="BY47" s="237" t="s">
        <v>141</v>
      </c>
      <c r="BZ47" s="237" t="s">
        <v>142</v>
      </c>
      <c r="CA47" s="116"/>
      <c r="CB47" s="247"/>
      <c r="CC47" s="125"/>
      <c r="CD47" s="247"/>
      <c r="CE47" s="116"/>
      <c r="CF47" s="116"/>
      <c r="CG47" s="116"/>
      <c r="CH47" s="236">
        <v>129532</v>
      </c>
      <c r="CI47" s="238">
        <f>+CH47*0.19</f>
        <v>24611.08</v>
      </c>
      <c r="CJ47" s="236">
        <f>+CH47+CI47</f>
        <v>154143.08000000002</v>
      </c>
      <c r="CK47" s="237" t="s">
        <v>141</v>
      </c>
      <c r="CL47" s="237" t="s">
        <v>142</v>
      </c>
      <c r="CM47" s="116"/>
      <c r="CN47" s="247"/>
      <c r="CO47" s="125"/>
      <c r="CP47" s="247"/>
      <c r="CQ47" s="116"/>
      <c r="CR47" s="116"/>
      <c r="CS47" s="116"/>
      <c r="CT47" s="247"/>
      <c r="CU47" s="125"/>
      <c r="CV47" s="125"/>
      <c r="CW47" s="116"/>
      <c r="CX47" s="116"/>
      <c r="CY47" s="116"/>
      <c r="CZ47" s="102"/>
      <c r="DA47" s="125"/>
      <c r="DB47" s="102"/>
      <c r="DC47" s="31"/>
      <c r="DD47" s="17"/>
      <c r="DE47" s="11"/>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
      <c r="EU47" s="11"/>
      <c r="EV47" s="11"/>
      <c r="EW47" s="11"/>
      <c r="EX47" s="11"/>
      <c r="EY47" s="11"/>
      <c r="EZ47" s="11"/>
      <c r="FA47" s="11"/>
      <c r="FB47" s="11"/>
      <c r="FC47" s="11"/>
      <c r="FD47" s="11"/>
      <c r="FE47" s="11"/>
      <c r="FF47" s="11"/>
      <c r="FG47" s="11"/>
      <c r="FH47" s="17">
        <f t="shared" si="4"/>
        <v>575401.93999999994</v>
      </c>
      <c r="FI47" s="31">
        <f t="shared" si="2"/>
        <v>4</v>
      </c>
      <c r="FJ47" s="68">
        <f t="shared" si="3"/>
        <v>143850.48499999999</v>
      </c>
    </row>
    <row r="48" spans="1:166" ht="40.5" x14ac:dyDescent="0.25">
      <c r="A48" s="248">
        <f>Distribución_Reactivos!A48</f>
        <v>46</v>
      </c>
      <c r="B48" s="248" t="str">
        <f>Distribución_Reactivos!B48</f>
        <v>Agua peptonada buferada</v>
      </c>
      <c r="C48" s="248" t="str">
        <f>Distribución_Reactivos!C48</f>
        <v>Cualquier marca</v>
      </c>
      <c r="D48" s="248" t="str">
        <f>Distribución_Reactivos!D48</f>
        <v>Frasco x 500g</v>
      </c>
      <c r="E48" s="29">
        <v>1</v>
      </c>
      <c r="F48" s="212">
        <v>0</v>
      </c>
      <c r="G48" s="214">
        <v>0</v>
      </c>
      <c r="H48" s="221">
        <v>288559.71428571426</v>
      </c>
      <c r="I48" s="221">
        <v>220150</v>
      </c>
      <c r="J48" s="221">
        <v>298782.42333333334</v>
      </c>
      <c r="K48" s="221">
        <v>297500</v>
      </c>
      <c r="L48" s="247">
        <f>AVERAGE(H48,J48)</f>
        <v>293671.06880952383</v>
      </c>
      <c r="M48" s="247">
        <f>AVERAGE(I48,K48)*1.03</f>
        <v>266589.75</v>
      </c>
      <c r="N48" s="217"/>
      <c r="O48" s="97"/>
      <c r="P48" s="97"/>
      <c r="Q48" s="115"/>
      <c r="R48" s="115"/>
      <c r="S48" s="53"/>
      <c r="T48" s="97"/>
      <c r="U48" s="97"/>
      <c r="V48" s="97"/>
      <c r="W48" s="115"/>
      <c r="X48" s="115"/>
      <c r="Y48" s="11"/>
      <c r="Z48" s="97"/>
      <c r="AA48" s="97"/>
      <c r="AB48" s="97"/>
      <c r="AC48" s="44"/>
      <c r="AD48" s="44"/>
      <c r="AE48" s="11"/>
      <c r="AF48" s="102">
        <v>300000</v>
      </c>
      <c r="AG48" s="125">
        <f>AF48*19%</f>
        <v>57000</v>
      </c>
      <c r="AH48" s="97">
        <f t="shared" si="23"/>
        <v>357000</v>
      </c>
      <c r="AI48" s="11"/>
      <c r="AJ48" s="11"/>
      <c r="AK48" s="17"/>
      <c r="AL48" s="97"/>
      <c r="AM48" s="97"/>
      <c r="AN48" s="101"/>
      <c r="AO48" s="248"/>
      <c r="AP48" s="17"/>
      <c r="AQ48" s="17"/>
      <c r="AR48" s="252">
        <v>226233</v>
      </c>
      <c r="AS48" s="97">
        <f t="shared" si="21"/>
        <v>42984.270000000004</v>
      </c>
      <c r="AT48" s="103">
        <f t="shared" si="22"/>
        <v>269217.27</v>
      </c>
      <c r="AU48" s="52" t="s">
        <v>77</v>
      </c>
      <c r="AV48" s="52" t="s">
        <v>53</v>
      </c>
      <c r="AW48" s="30"/>
      <c r="AX48" s="100"/>
      <c r="AY48" s="174"/>
      <c r="AZ48" s="124"/>
      <c r="BA48" s="169"/>
      <c r="BB48" s="116"/>
      <c r="BC48" s="116"/>
      <c r="BD48" s="247"/>
      <c r="BE48" s="124"/>
      <c r="BF48" s="124"/>
      <c r="BG48" s="116"/>
      <c r="BH48" s="116"/>
      <c r="BI48" s="116"/>
      <c r="BJ48" s="247">
        <v>182750</v>
      </c>
      <c r="BK48" s="102">
        <f>+BJ48*0.19</f>
        <v>34722.5</v>
      </c>
      <c r="BL48" s="97">
        <f>+BK48+BJ48</f>
        <v>217472.5</v>
      </c>
      <c r="BM48" s="11" t="s">
        <v>116</v>
      </c>
      <c r="BN48" s="116"/>
      <c r="BO48" s="116"/>
      <c r="BP48" s="124"/>
      <c r="BQ48" s="116"/>
      <c r="BR48" s="116"/>
      <c r="BS48" s="116"/>
      <c r="BT48" s="116"/>
      <c r="BU48" s="116"/>
      <c r="BV48" s="236">
        <v>747600</v>
      </c>
      <c r="BW48" s="125">
        <f t="shared" si="24"/>
        <v>142044</v>
      </c>
      <c r="BX48" s="97">
        <f t="shared" si="25"/>
        <v>889644</v>
      </c>
      <c r="BY48" s="237" t="s">
        <v>78</v>
      </c>
      <c r="BZ48" s="237" t="s">
        <v>143</v>
      </c>
      <c r="CA48" s="116"/>
      <c r="CB48" s="247">
        <v>234000</v>
      </c>
      <c r="CC48" s="125">
        <f>+CB48*19%</f>
        <v>44460</v>
      </c>
      <c r="CD48" s="247">
        <f>+CC48+CB48</f>
        <v>278460</v>
      </c>
      <c r="CE48" s="116"/>
      <c r="CF48" s="116"/>
      <c r="CG48" s="116"/>
      <c r="CH48" s="236"/>
      <c r="CI48" s="238"/>
      <c r="CJ48" s="236"/>
      <c r="CK48" s="237"/>
      <c r="CL48" s="237"/>
      <c r="CM48" s="116"/>
      <c r="CN48" s="247"/>
      <c r="CO48" s="125"/>
      <c r="CP48" s="247"/>
      <c r="CQ48" s="116"/>
      <c r="CR48" s="116"/>
      <c r="CS48" s="116"/>
      <c r="CT48" s="247">
        <v>125000</v>
      </c>
      <c r="CU48" s="125">
        <v>23750</v>
      </c>
      <c r="CV48" s="125">
        <f>+CT48+CU48</f>
        <v>148750</v>
      </c>
      <c r="CW48" s="116"/>
      <c r="CX48" s="116"/>
      <c r="CY48" s="116"/>
      <c r="CZ48" s="102">
        <v>194010</v>
      </c>
      <c r="DA48" s="125">
        <f>+CZ48*0.19</f>
        <v>36861.9</v>
      </c>
      <c r="DB48" s="102">
        <f>+CZ48+DA48</f>
        <v>230871.9</v>
      </c>
      <c r="DC48" s="31" t="s">
        <v>133</v>
      </c>
      <c r="DD48" s="17" t="s">
        <v>65</v>
      </c>
      <c r="DE48" s="11">
        <v>1072280500</v>
      </c>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
      <c r="EU48" s="11"/>
      <c r="EV48" s="11"/>
      <c r="EW48" s="11"/>
      <c r="EX48" s="11"/>
      <c r="EY48" s="11"/>
      <c r="EZ48" s="11"/>
      <c r="FA48" s="11"/>
      <c r="FB48" s="11"/>
      <c r="FC48" s="11"/>
      <c r="FD48" s="11"/>
      <c r="FE48" s="11"/>
      <c r="FF48" s="252"/>
      <c r="FG48" s="61"/>
      <c r="FH48" s="17">
        <f t="shared" si="4"/>
        <v>2658005.42</v>
      </c>
      <c r="FI48" s="31">
        <f t="shared" si="2"/>
        <v>8</v>
      </c>
      <c r="FJ48" s="68">
        <f t="shared" si="3"/>
        <v>332250.67749999999</v>
      </c>
    </row>
    <row r="49" spans="1:166" ht="89.25" x14ac:dyDescent="0.25">
      <c r="A49" s="248">
        <f>Distribución_Reactivos!A49</f>
        <v>47</v>
      </c>
      <c r="B49" s="248" t="str">
        <f>Distribución_Reactivos!B49</f>
        <v>Agua ultrapura destilada para uso en Biología Molecular con certificado de libre de RNAsas y DNAsas</v>
      </c>
      <c r="C49" s="248" t="str">
        <f>Distribución_Reactivos!C49</f>
        <v>Gibco o equivalente</v>
      </c>
      <c r="D49" s="248" t="str">
        <f>Distribución_Reactivos!D49</f>
        <v>Frasco x 500 ml</v>
      </c>
      <c r="E49" s="29">
        <v>1</v>
      </c>
      <c r="F49" s="212">
        <v>171524.696</v>
      </c>
      <c r="G49" s="214">
        <v>145180</v>
      </c>
      <c r="H49" s="221">
        <v>363457.49861456</v>
      </c>
      <c r="I49" s="221">
        <v>0</v>
      </c>
      <c r="J49" s="221">
        <v>0</v>
      </c>
      <c r="K49" s="221">
        <v>0</v>
      </c>
      <c r="L49" s="247">
        <f>AVERAGE(F49,H49)</f>
        <v>267491.09730728</v>
      </c>
      <c r="M49" s="247">
        <f>G49*1.03</f>
        <v>149535.4</v>
      </c>
      <c r="N49" s="217"/>
      <c r="O49" s="97"/>
      <c r="P49" s="97"/>
      <c r="Q49" s="115"/>
      <c r="R49" s="115"/>
      <c r="S49" s="53"/>
      <c r="T49" s="97"/>
      <c r="U49" s="101"/>
      <c r="V49" s="97"/>
      <c r="W49" s="115"/>
      <c r="X49" s="115"/>
      <c r="Y49" s="11"/>
      <c r="Z49" s="97"/>
      <c r="AA49" s="97"/>
      <c r="AB49" s="97"/>
      <c r="AC49" s="44"/>
      <c r="AD49" s="44"/>
      <c r="AE49" s="11"/>
      <c r="AF49" s="102">
        <v>100000</v>
      </c>
      <c r="AG49" s="125">
        <f>AF49*19%</f>
        <v>19000</v>
      </c>
      <c r="AH49" s="97">
        <f t="shared" si="23"/>
        <v>119000</v>
      </c>
      <c r="AI49" s="11"/>
      <c r="AJ49" s="11"/>
      <c r="AK49" s="17"/>
      <c r="AL49" s="97"/>
      <c r="AM49" s="97"/>
      <c r="AN49" s="103"/>
      <c r="AO49" s="248"/>
      <c r="AP49" s="17"/>
      <c r="AQ49" s="17"/>
      <c r="AR49" s="252"/>
      <c r="AS49" s="135"/>
      <c r="AT49" s="137"/>
      <c r="AU49" s="52"/>
      <c r="AV49" s="52"/>
      <c r="AW49" s="30"/>
      <c r="AX49" s="100"/>
      <c r="AY49" s="174"/>
      <c r="AZ49" s="124"/>
      <c r="BA49" s="169"/>
      <c r="BB49" s="116"/>
      <c r="BC49" s="116"/>
      <c r="BD49" s="125">
        <v>499000</v>
      </c>
      <c r="BE49" s="100">
        <f>+BD49*0.19</f>
        <v>94810</v>
      </c>
      <c r="BF49" s="124">
        <f>+BD49+BE49</f>
        <v>593810</v>
      </c>
      <c r="BG49" s="31" t="s">
        <v>144</v>
      </c>
      <c r="BH49" s="116" t="s">
        <v>130</v>
      </c>
      <c r="BI49" s="116"/>
      <c r="BJ49" s="124"/>
      <c r="BK49" s="124"/>
      <c r="BL49" s="124"/>
      <c r="BM49" s="116"/>
      <c r="BN49" s="116"/>
      <c r="BO49" s="116"/>
      <c r="BP49" s="124">
        <f>379054/2</f>
        <v>189527</v>
      </c>
      <c r="BQ49" s="125">
        <f>BP49*19%</f>
        <v>36010.129999999997</v>
      </c>
      <c r="BR49" s="97">
        <f>+BP49+BQ49</f>
        <v>225537.13</v>
      </c>
      <c r="BS49" s="31" t="s">
        <v>145</v>
      </c>
      <c r="BT49" s="182" t="s">
        <v>146</v>
      </c>
      <c r="BU49" s="5" t="s">
        <v>147</v>
      </c>
      <c r="BV49" s="236">
        <v>313600</v>
      </c>
      <c r="BW49" s="125">
        <f t="shared" si="24"/>
        <v>59584</v>
      </c>
      <c r="BX49" s="97">
        <f t="shared" si="25"/>
        <v>373184</v>
      </c>
      <c r="BY49" s="237" t="s">
        <v>148</v>
      </c>
      <c r="BZ49" s="237" t="s">
        <v>149</v>
      </c>
      <c r="CA49" s="116"/>
      <c r="CB49" s="247"/>
      <c r="CC49" s="125"/>
      <c r="CD49" s="247"/>
      <c r="CE49" s="116"/>
      <c r="CF49" s="116"/>
      <c r="CG49" s="116"/>
      <c r="CH49" s="236">
        <v>323008</v>
      </c>
      <c r="CI49" s="238">
        <f t="shared" ref="CI49:CI58" si="26">+CH49*0.19</f>
        <v>61371.520000000004</v>
      </c>
      <c r="CJ49" s="236">
        <f t="shared" ref="CJ49:CJ61" si="27">+CH49+CI49</f>
        <v>384379.52</v>
      </c>
      <c r="CK49" s="237" t="s">
        <v>148</v>
      </c>
      <c r="CL49" s="237" t="s">
        <v>149</v>
      </c>
      <c r="CM49" s="116"/>
      <c r="CN49" s="247"/>
      <c r="CO49" s="125"/>
      <c r="CP49" s="247"/>
      <c r="CQ49" s="116"/>
      <c r="CR49" s="116"/>
      <c r="CS49" s="116"/>
      <c r="CT49" s="247">
        <v>231000</v>
      </c>
      <c r="CU49" s="125">
        <f>+CT49*0</f>
        <v>0</v>
      </c>
      <c r="CV49" s="125">
        <f>+CT49+CU49</f>
        <v>231000</v>
      </c>
      <c r="CW49" s="116"/>
      <c r="CX49" s="116"/>
      <c r="CY49" s="116"/>
      <c r="CZ49" s="102"/>
      <c r="DA49" s="125"/>
      <c r="DB49" s="102"/>
      <c r="DC49" s="31"/>
      <c r="DD49" s="17"/>
      <c r="DE49" s="11"/>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
      <c r="EU49" s="11"/>
      <c r="EV49" s="11"/>
      <c r="EW49" s="11"/>
      <c r="EX49" s="11"/>
      <c r="EY49" s="11"/>
      <c r="EZ49" s="11"/>
      <c r="FA49" s="11"/>
      <c r="FB49" s="11"/>
      <c r="FC49" s="11"/>
      <c r="FD49" s="11"/>
      <c r="FE49" s="11"/>
      <c r="FF49" s="11"/>
      <c r="FG49" s="11"/>
      <c r="FH49" s="17">
        <f t="shared" si="4"/>
        <v>2076446.05</v>
      </c>
      <c r="FI49" s="31">
        <f t="shared" si="2"/>
        <v>7</v>
      </c>
      <c r="FJ49" s="68">
        <f t="shared" si="3"/>
        <v>296635.15000000002</v>
      </c>
    </row>
    <row r="50" spans="1:166" ht="40.5" x14ac:dyDescent="0.25">
      <c r="A50" s="248">
        <f>Distribución_Reactivos!A50</f>
        <v>48</v>
      </c>
      <c r="B50" s="248" t="str">
        <f>Distribución_Reactivos!B50</f>
        <v>Alcohol ácido Ziehl Neelsen</v>
      </c>
      <c r="C50" s="248" t="str">
        <f>Distribución_Reactivos!C50</f>
        <v>Cualquier marca</v>
      </c>
      <c r="D50" s="248" t="str">
        <f>Distribución_Reactivos!D50</f>
        <v>Frasco x 1 litro</v>
      </c>
      <c r="E50" s="29">
        <v>1</v>
      </c>
      <c r="F50" s="212">
        <v>57857</v>
      </c>
      <c r="G50" s="214">
        <v>56100</v>
      </c>
      <c r="H50" s="221">
        <v>74729.070728571431</v>
      </c>
      <c r="I50" s="221">
        <v>0</v>
      </c>
      <c r="J50" s="221">
        <v>61787.5</v>
      </c>
      <c r="K50" s="221">
        <v>49300</v>
      </c>
      <c r="L50" s="247">
        <f>AVERAGE(F50,H50,J50)</f>
        <v>64791.190242857148</v>
      </c>
      <c r="M50" s="247">
        <f>AVERAGE(G50,K50)*1.03</f>
        <v>54281</v>
      </c>
      <c r="N50" s="217"/>
      <c r="O50" s="97"/>
      <c r="P50" s="97"/>
      <c r="Q50" s="115"/>
      <c r="R50" s="115"/>
      <c r="S50" s="53"/>
      <c r="T50" s="97"/>
      <c r="U50" s="97"/>
      <c r="V50" s="97"/>
      <c r="W50" s="115"/>
      <c r="X50" s="115"/>
      <c r="Y50" s="11"/>
      <c r="Z50" s="97"/>
      <c r="AA50" s="97"/>
      <c r="AB50" s="97"/>
      <c r="AC50" s="44"/>
      <c r="AD50" s="44"/>
      <c r="AE50" s="11"/>
      <c r="AF50" s="102">
        <v>70000</v>
      </c>
      <c r="AG50" s="125">
        <f>AF50*19%</f>
        <v>13300</v>
      </c>
      <c r="AH50" s="97">
        <f t="shared" si="23"/>
        <v>83300</v>
      </c>
      <c r="AI50" s="11"/>
      <c r="AJ50" s="11"/>
      <c r="AK50" s="17"/>
      <c r="AL50" s="97"/>
      <c r="AM50" s="97"/>
      <c r="AN50" s="103"/>
      <c r="AO50" s="248"/>
      <c r="AP50" s="17"/>
      <c r="AQ50" s="17"/>
      <c r="AR50" s="252"/>
      <c r="AS50" s="135"/>
      <c r="AT50" s="137"/>
      <c r="AU50" s="52"/>
      <c r="AV50" s="52"/>
      <c r="AW50" s="30"/>
      <c r="AX50" s="100"/>
      <c r="AY50" s="100"/>
      <c r="AZ50" s="124"/>
      <c r="BA50" s="169"/>
      <c r="BB50" s="116"/>
      <c r="BC50" s="116"/>
      <c r="BD50" s="247"/>
      <c r="BE50" s="124"/>
      <c r="BF50" s="124"/>
      <c r="BG50" s="116"/>
      <c r="BH50" s="116"/>
      <c r="BI50" s="116"/>
      <c r="BJ50" s="124"/>
      <c r="BK50" s="124"/>
      <c r="BL50" s="124"/>
      <c r="BM50" s="116"/>
      <c r="BN50" s="116"/>
      <c r="BO50" s="116"/>
      <c r="BP50" s="124"/>
      <c r="BQ50" s="116"/>
      <c r="BR50" s="116"/>
      <c r="BS50" s="116"/>
      <c r="BT50" s="116"/>
      <c r="BU50" s="116"/>
      <c r="BV50" s="236">
        <v>94300</v>
      </c>
      <c r="BW50" s="125">
        <f t="shared" si="24"/>
        <v>17917</v>
      </c>
      <c r="BX50" s="97">
        <f t="shared" si="25"/>
        <v>112217</v>
      </c>
      <c r="BY50" s="237" t="s">
        <v>67</v>
      </c>
      <c r="BZ50" s="237" t="s">
        <v>55</v>
      </c>
      <c r="CA50" s="116"/>
      <c r="CB50" s="247">
        <v>162000</v>
      </c>
      <c r="CC50" s="125">
        <f>+CB50*19%</f>
        <v>30780</v>
      </c>
      <c r="CD50" s="247">
        <f>+CC50+CB50</f>
        <v>192780</v>
      </c>
      <c r="CE50" s="116"/>
      <c r="CF50" s="116"/>
      <c r="CG50" s="116"/>
      <c r="CH50" s="236">
        <v>98072</v>
      </c>
      <c r="CI50" s="238">
        <f t="shared" si="26"/>
        <v>18633.68</v>
      </c>
      <c r="CJ50" s="236">
        <f t="shared" si="27"/>
        <v>116705.68</v>
      </c>
      <c r="CK50" s="237" t="s">
        <v>67</v>
      </c>
      <c r="CL50" s="237" t="s">
        <v>55</v>
      </c>
      <c r="CM50" s="116"/>
      <c r="CN50" s="247"/>
      <c r="CO50" s="125"/>
      <c r="CP50" s="247"/>
      <c r="CQ50" s="116"/>
      <c r="CR50" s="116"/>
      <c r="CS50" s="116"/>
      <c r="CT50" s="247">
        <v>92000</v>
      </c>
      <c r="CU50" s="125">
        <v>17480</v>
      </c>
      <c r="CV50" s="125">
        <f>+CT50+CU50</f>
        <v>109480</v>
      </c>
      <c r="CW50" s="116"/>
      <c r="CX50" s="116"/>
      <c r="CY50" s="116"/>
      <c r="CZ50" s="102"/>
      <c r="DA50" s="125"/>
      <c r="DB50" s="102"/>
      <c r="DC50" s="31"/>
      <c r="DD50" s="17"/>
      <c r="DE50" s="11"/>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
      <c r="EU50" s="11"/>
      <c r="EV50" s="11"/>
      <c r="EW50" s="11"/>
      <c r="EX50" s="11"/>
      <c r="EY50" s="11"/>
      <c r="EZ50" s="11"/>
      <c r="FA50" s="11"/>
      <c r="FB50" s="11"/>
      <c r="FC50" s="11"/>
      <c r="FD50" s="11"/>
      <c r="FE50" s="11"/>
      <c r="FF50" s="11"/>
      <c r="FG50" s="11"/>
      <c r="FH50" s="17">
        <f t="shared" si="4"/>
        <v>668763.67999999993</v>
      </c>
      <c r="FI50" s="31">
        <f t="shared" si="2"/>
        <v>6</v>
      </c>
      <c r="FJ50" s="68">
        <f t="shared" si="3"/>
        <v>111460.61333333333</v>
      </c>
    </row>
    <row r="51" spans="1:166" ht="27" x14ac:dyDescent="0.25">
      <c r="A51" s="248">
        <f>Distribución_Reactivos!A51</f>
        <v>49</v>
      </c>
      <c r="B51" s="248" t="str">
        <f>Distribución_Reactivos!B51</f>
        <v>Alcohol antiséptico al 70%</v>
      </c>
      <c r="C51" s="248" t="str">
        <f>Distribución_Reactivos!C51</f>
        <v>Cualquier marca</v>
      </c>
      <c r="D51" s="248" t="str">
        <f>Distribución_Reactivos!D51</f>
        <v>Frasco x 700 o 750 ml</v>
      </c>
      <c r="E51" s="29">
        <v>1</v>
      </c>
      <c r="F51" s="212">
        <v>5018</v>
      </c>
      <c r="G51" s="214">
        <v>4900</v>
      </c>
      <c r="H51" s="221">
        <v>5942.4362333333338</v>
      </c>
      <c r="I51" s="221">
        <v>0</v>
      </c>
      <c r="J51" s="221">
        <v>6222.25</v>
      </c>
      <c r="K51" s="221">
        <v>0</v>
      </c>
      <c r="L51" s="247">
        <f>AVERAGE(F51,H51,J51)</f>
        <v>5727.5620777777776</v>
      </c>
      <c r="M51" s="247">
        <f>G51*1.03</f>
        <v>5047</v>
      </c>
      <c r="N51" s="218"/>
      <c r="O51" s="102"/>
      <c r="P51" s="102"/>
      <c r="Q51" s="44"/>
      <c r="R51" s="44"/>
      <c r="S51" s="5"/>
      <c r="T51" s="102"/>
      <c r="U51" s="102"/>
      <c r="V51" s="102"/>
      <c r="W51" s="11"/>
      <c r="X51" s="11"/>
      <c r="Y51" s="11"/>
      <c r="Z51" s="102"/>
      <c r="AA51" s="102"/>
      <c r="AB51" s="102"/>
      <c r="AC51" s="44"/>
      <c r="AD51" s="44"/>
      <c r="AE51" s="11"/>
      <c r="AF51" s="102">
        <v>4500</v>
      </c>
      <c r="AG51" s="125">
        <v>0</v>
      </c>
      <c r="AH51" s="97">
        <f t="shared" si="23"/>
        <v>4500</v>
      </c>
      <c r="AI51" s="11"/>
      <c r="AJ51" s="11"/>
      <c r="AK51" s="11"/>
      <c r="AL51" s="102"/>
      <c r="AM51" s="102"/>
      <c r="AN51" s="102"/>
      <c r="AO51" s="248"/>
      <c r="AP51" s="11"/>
      <c r="AQ51" s="11"/>
      <c r="AR51" s="247">
        <v>6000</v>
      </c>
      <c r="AS51" s="97">
        <f>+AR51*0.19</f>
        <v>1140</v>
      </c>
      <c r="AT51" s="103">
        <f>+AR51+AS51</f>
        <v>7140</v>
      </c>
      <c r="AU51" s="52" t="s">
        <v>150</v>
      </c>
      <c r="AV51" s="42" t="s">
        <v>151</v>
      </c>
      <c r="AW51" s="11"/>
      <c r="AX51" s="247"/>
      <c r="AY51" s="247"/>
      <c r="AZ51" s="247"/>
      <c r="BA51" s="11"/>
      <c r="BB51" s="11"/>
      <c r="BC51" s="11"/>
      <c r="BD51" s="247"/>
      <c r="BE51" s="247"/>
      <c r="BF51" s="247"/>
      <c r="BG51" s="11"/>
      <c r="BH51" s="11"/>
      <c r="BI51" s="11"/>
      <c r="BJ51" s="247"/>
      <c r="BK51" s="247"/>
      <c r="BL51" s="247"/>
      <c r="BM51" s="11"/>
      <c r="BN51" s="11"/>
      <c r="BO51" s="11"/>
      <c r="BP51" s="252"/>
      <c r="BQ51" s="11"/>
      <c r="BR51" s="11"/>
      <c r="BS51" s="11"/>
      <c r="BT51" s="11"/>
      <c r="BU51" s="11"/>
      <c r="BV51" s="236">
        <v>7400</v>
      </c>
      <c r="BW51" s="125">
        <f t="shared" si="24"/>
        <v>1406</v>
      </c>
      <c r="BX51" s="97">
        <f t="shared" si="25"/>
        <v>8806</v>
      </c>
      <c r="BY51" s="237" t="s">
        <v>152</v>
      </c>
      <c r="BZ51" s="237" t="s">
        <v>151</v>
      </c>
      <c r="CA51" s="11"/>
      <c r="CB51" s="247">
        <v>3000</v>
      </c>
      <c r="CC51" s="125"/>
      <c r="CD51" s="247">
        <f>+CB51</f>
        <v>3000</v>
      </c>
      <c r="CE51" s="11"/>
      <c r="CF51" s="11"/>
      <c r="CG51" s="11"/>
      <c r="CH51" s="236">
        <v>7696</v>
      </c>
      <c r="CI51" s="238">
        <f t="shared" si="26"/>
        <v>1462.24</v>
      </c>
      <c r="CJ51" s="236">
        <f t="shared" si="27"/>
        <v>9158.24</v>
      </c>
      <c r="CK51" s="237" t="s">
        <v>152</v>
      </c>
      <c r="CL51" s="237" t="s">
        <v>151</v>
      </c>
      <c r="CM51" s="11"/>
      <c r="CN51" s="247"/>
      <c r="CO51" s="125"/>
      <c r="CP51" s="247"/>
      <c r="CQ51" s="11"/>
      <c r="CR51" s="11"/>
      <c r="CS51" s="11"/>
      <c r="CT51" s="247"/>
      <c r="CU51" s="125"/>
      <c r="CV51" s="125"/>
      <c r="CW51" s="11"/>
      <c r="CX51" s="11"/>
      <c r="CY51" s="11"/>
      <c r="CZ51" s="102"/>
      <c r="DA51" s="125"/>
      <c r="DB51" s="102"/>
      <c r="DC51" s="31"/>
      <c r="DD51" s="17"/>
      <c r="DE51" s="11"/>
      <c r="DF51" s="11"/>
      <c r="DG51" s="11"/>
      <c r="DH51" s="11"/>
      <c r="DI51" s="11"/>
      <c r="DJ51" s="11"/>
      <c r="DK51" s="11"/>
      <c r="DL51" s="11"/>
      <c r="DM51" s="11"/>
      <c r="DN51" s="11"/>
      <c r="DO51" s="11"/>
      <c r="DP51" s="11"/>
      <c r="DQ51" s="11"/>
      <c r="DR51" s="11"/>
      <c r="DS51" s="11"/>
      <c r="DT51" s="11"/>
      <c r="DU51" s="11"/>
      <c r="DV51" s="11"/>
      <c r="DW51" s="11"/>
      <c r="DX51" s="11"/>
      <c r="DY51" s="11"/>
      <c r="DZ51" s="11"/>
      <c r="EA51" s="11"/>
      <c r="EB51" s="17"/>
      <c r="EC51" s="17"/>
      <c r="ED51" s="17"/>
      <c r="EE51" s="11"/>
      <c r="EF51" s="11"/>
      <c r="EG51" s="17"/>
      <c r="EH51" s="17"/>
      <c r="EI51" s="32"/>
      <c r="EJ51" s="11"/>
      <c r="EK51" s="11"/>
      <c r="EL51" s="11"/>
      <c r="EM51" s="11"/>
      <c r="EN51" s="11"/>
      <c r="EO51" s="11"/>
      <c r="EP51" s="11"/>
      <c r="EQ51" s="17"/>
      <c r="ER51" s="17"/>
      <c r="ES51" s="32"/>
      <c r="ET51" s="11"/>
      <c r="EU51" s="11"/>
      <c r="EV51" s="11"/>
      <c r="EW51" s="11"/>
      <c r="EX51" s="11"/>
      <c r="EY51" s="11"/>
      <c r="EZ51" s="11"/>
      <c r="FA51" s="11"/>
      <c r="FB51" s="11"/>
      <c r="FC51" s="11"/>
      <c r="FD51" s="11"/>
      <c r="FE51" s="11"/>
      <c r="FF51" s="11"/>
      <c r="FG51" s="11"/>
      <c r="FH51" s="17">
        <f t="shared" si="4"/>
        <v>37651.24</v>
      </c>
      <c r="FI51" s="31">
        <f t="shared" si="2"/>
        <v>6</v>
      </c>
      <c r="FJ51" s="68">
        <f t="shared" si="3"/>
        <v>6275.206666666666</v>
      </c>
    </row>
    <row r="52" spans="1:166" ht="40.5" x14ac:dyDescent="0.25">
      <c r="A52" s="248">
        <f>Distribución_Reactivos!A52</f>
        <v>50</v>
      </c>
      <c r="B52" s="248" t="str">
        <f>Distribución_Reactivos!B52</f>
        <v>Alcohol Etilico grado técnico al 96 %</v>
      </c>
      <c r="C52" s="248" t="str">
        <f>Distribución_Reactivos!C52</f>
        <v>Cualquier marca</v>
      </c>
      <c r="D52" s="248" t="str">
        <f>Distribución_Reactivos!D52</f>
        <v>Frasco x 4 litros</v>
      </c>
      <c r="E52" s="29">
        <v>1</v>
      </c>
      <c r="F52" s="212">
        <v>0</v>
      </c>
      <c r="G52" s="214">
        <v>0</v>
      </c>
      <c r="H52" s="221">
        <v>0</v>
      </c>
      <c r="I52" s="221">
        <v>0</v>
      </c>
      <c r="J52" s="221">
        <v>152671.52499999999</v>
      </c>
      <c r="K52" s="221">
        <v>145061</v>
      </c>
      <c r="L52" s="247">
        <f>J52</f>
        <v>152671.52499999999</v>
      </c>
      <c r="M52" s="247">
        <f>K52*1.03</f>
        <v>149412.83000000002</v>
      </c>
      <c r="N52" s="217"/>
      <c r="O52" s="97"/>
      <c r="P52" s="97"/>
      <c r="Q52" s="115"/>
      <c r="R52" s="115"/>
      <c r="S52" s="53"/>
      <c r="T52" s="97"/>
      <c r="U52" s="101"/>
      <c r="V52" s="97"/>
      <c r="W52" s="115"/>
      <c r="X52" s="115"/>
      <c r="Y52" s="11"/>
      <c r="Z52" s="97"/>
      <c r="AA52" s="97"/>
      <c r="AB52" s="97"/>
      <c r="AC52" s="44"/>
      <c r="AD52" s="44"/>
      <c r="AE52" s="11"/>
      <c r="AF52" s="102">
        <v>30000</v>
      </c>
      <c r="AG52" s="125">
        <f>AF52*19%</f>
        <v>5700</v>
      </c>
      <c r="AH52" s="97">
        <f t="shared" si="23"/>
        <v>35700</v>
      </c>
      <c r="AI52" s="11"/>
      <c r="AJ52" s="11"/>
      <c r="AK52" s="17"/>
      <c r="AL52" s="97">
        <v>75000</v>
      </c>
      <c r="AM52" s="97">
        <f>+AL52*0.19</f>
        <v>14250</v>
      </c>
      <c r="AN52" s="103">
        <f>+AL52+AM52</f>
        <v>89250</v>
      </c>
      <c r="AO52" s="248" t="s">
        <v>86</v>
      </c>
      <c r="AP52" s="239" t="s">
        <v>57</v>
      </c>
      <c r="AQ52" s="17"/>
      <c r="AR52" s="252">
        <v>272490</v>
      </c>
      <c r="AS52" s="97">
        <f>+AR52*0.19</f>
        <v>51773.1</v>
      </c>
      <c r="AT52" s="103">
        <f>+AR52+AS52</f>
        <v>324263.09999999998</v>
      </c>
      <c r="AU52" s="52" t="s">
        <v>86</v>
      </c>
      <c r="AV52" s="52" t="s">
        <v>52</v>
      </c>
      <c r="AW52" s="30"/>
      <c r="AX52" s="100"/>
      <c r="AY52" s="174"/>
      <c r="AZ52" s="124"/>
      <c r="BA52" s="169"/>
      <c r="BB52" s="116"/>
      <c r="BC52" s="116"/>
      <c r="BD52" s="247"/>
      <c r="BE52" s="124"/>
      <c r="BF52" s="124"/>
      <c r="BG52" s="116"/>
      <c r="BH52" s="116"/>
      <c r="BI52" s="116"/>
      <c r="BJ52" s="124"/>
      <c r="BK52" s="124"/>
      <c r="BL52" s="124"/>
      <c r="BM52" s="116"/>
      <c r="BN52" s="116"/>
      <c r="BO52" s="116"/>
      <c r="BP52" s="124"/>
      <c r="BQ52" s="116"/>
      <c r="BR52" s="116"/>
      <c r="BS52" s="116"/>
      <c r="BT52" s="116"/>
      <c r="BU52" s="116"/>
      <c r="BV52" s="236">
        <v>162900</v>
      </c>
      <c r="BW52" s="125">
        <f t="shared" si="24"/>
        <v>30951</v>
      </c>
      <c r="BX52" s="97">
        <f t="shared" si="25"/>
        <v>193851</v>
      </c>
      <c r="BY52" s="237" t="s">
        <v>73</v>
      </c>
      <c r="BZ52" s="237" t="s">
        <v>55</v>
      </c>
      <c r="CA52" s="116"/>
      <c r="CB52" s="247">
        <v>45200</v>
      </c>
      <c r="CC52" s="125"/>
      <c r="CD52" s="247">
        <f>+CC52+CB52</f>
        <v>45200</v>
      </c>
      <c r="CE52" s="116"/>
      <c r="CF52" s="116"/>
      <c r="CG52" s="116"/>
      <c r="CH52" s="236">
        <v>174303</v>
      </c>
      <c r="CI52" s="238">
        <f t="shared" si="26"/>
        <v>33117.57</v>
      </c>
      <c r="CJ52" s="236">
        <f t="shared" si="27"/>
        <v>207420.57</v>
      </c>
      <c r="CK52" s="237" t="s">
        <v>73</v>
      </c>
      <c r="CL52" s="237" t="s">
        <v>55</v>
      </c>
      <c r="CM52" s="116"/>
      <c r="CN52" s="247"/>
      <c r="CO52" s="125"/>
      <c r="CP52" s="247"/>
      <c r="CQ52" s="116"/>
      <c r="CR52" s="116"/>
      <c r="CS52" s="116"/>
      <c r="CT52" s="247"/>
      <c r="CU52" s="125"/>
      <c r="CV52" s="125"/>
      <c r="CW52" s="116"/>
      <c r="CX52" s="116"/>
      <c r="CY52" s="116"/>
      <c r="CZ52" s="102"/>
      <c r="DA52" s="125"/>
      <c r="DB52" s="102"/>
      <c r="DC52" s="31"/>
      <c r="DD52" s="17"/>
      <c r="DE52" s="11"/>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
      <c r="EU52" s="11"/>
      <c r="EV52" s="11"/>
      <c r="EW52" s="11"/>
      <c r="EX52" s="11"/>
      <c r="EY52" s="11"/>
      <c r="EZ52" s="11"/>
      <c r="FA52" s="11"/>
      <c r="FB52" s="11"/>
      <c r="FC52" s="11"/>
      <c r="FD52" s="11"/>
      <c r="FE52" s="11"/>
      <c r="FF52" s="11"/>
      <c r="FG52" s="11"/>
      <c r="FH52" s="17">
        <f t="shared" si="4"/>
        <v>1045097.5</v>
      </c>
      <c r="FI52" s="31">
        <f t="shared" si="2"/>
        <v>7</v>
      </c>
      <c r="FJ52" s="68">
        <f t="shared" si="3"/>
        <v>149299.64285714287</v>
      </c>
    </row>
    <row r="53" spans="1:166" ht="40.5" x14ac:dyDescent="0.25">
      <c r="A53" s="248">
        <f>Distribución_Reactivos!A53</f>
        <v>51</v>
      </c>
      <c r="B53" s="248" t="str">
        <f>Distribución_Reactivos!B53</f>
        <v>Alcohol industrial para mechero</v>
      </c>
      <c r="C53" s="248" t="str">
        <f>Distribución_Reactivos!C53</f>
        <v>Cualquier marca</v>
      </c>
      <c r="D53" s="248" t="str">
        <f>Distribución_Reactivos!D53</f>
        <v>Frasco x 1 litro</v>
      </c>
      <c r="E53" s="29">
        <v>1</v>
      </c>
      <c r="F53" s="212">
        <v>32254.95</v>
      </c>
      <c r="G53" s="214">
        <v>14280</v>
      </c>
      <c r="H53" s="221">
        <v>38807.764928333338</v>
      </c>
      <c r="I53" s="221">
        <v>13500</v>
      </c>
      <c r="J53" s="221">
        <v>50271.333333333336</v>
      </c>
      <c r="K53" s="221">
        <v>47719</v>
      </c>
      <c r="L53" s="247">
        <f>AVERAGE(F53,H53,J53)</f>
        <v>40444.68275388889</v>
      </c>
      <c r="M53" s="247">
        <f>AVERAGE(G53,I53,K53)*1.03</f>
        <v>25921.323333333334</v>
      </c>
      <c r="N53" s="217"/>
      <c r="O53" s="97"/>
      <c r="P53" s="97"/>
      <c r="Q53" s="115"/>
      <c r="R53" s="115"/>
      <c r="S53" s="53"/>
      <c r="T53" s="97"/>
      <c r="U53" s="101"/>
      <c r="V53" s="97"/>
      <c r="W53" s="115"/>
      <c r="X53" s="115"/>
      <c r="Y53" s="11"/>
      <c r="Z53" s="97"/>
      <c r="AA53" s="97"/>
      <c r="AB53" s="97"/>
      <c r="AC53" s="44"/>
      <c r="AD53" s="44"/>
      <c r="AE53" s="11"/>
      <c r="AF53" s="102">
        <v>10000</v>
      </c>
      <c r="AG53" s="125">
        <f>AF53*19%</f>
        <v>1900</v>
      </c>
      <c r="AH53" s="97">
        <f t="shared" si="23"/>
        <v>11900</v>
      </c>
      <c r="AI53" s="11"/>
      <c r="AJ53" s="11"/>
      <c r="AK53" s="17"/>
      <c r="AL53" s="97">
        <v>75000</v>
      </c>
      <c r="AM53" s="97">
        <f>+AL53*0.19</f>
        <v>14250</v>
      </c>
      <c r="AN53" s="103">
        <f>+AL53+AM53</f>
        <v>89250</v>
      </c>
      <c r="AO53" s="248" t="s">
        <v>86</v>
      </c>
      <c r="AP53" s="239" t="s">
        <v>57</v>
      </c>
      <c r="AQ53" s="17"/>
      <c r="AR53" s="252"/>
      <c r="AS53" s="135"/>
      <c r="AT53" s="137"/>
      <c r="AU53" s="52"/>
      <c r="AV53" s="52"/>
      <c r="AW53" s="30"/>
      <c r="AX53" s="100"/>
      <c r="AY53" s="100"/>
      <c r="AZ53" s="124"/>
      <c r="BA53" s="169"/>
      <c r="BB53" s="116"/>
      <c r="BC53" s="116"/>
      <c r="BD53" s="247"/>
      <c r="BE53" s="124"/>
      <c r="BF53" s="124"/>
      <c r="BG53" s="116"/>
      <c r="BH53" s="116"/>
      <c r="BI53" s="116"/>
      <c r="BJ53" s="124"/>
      <c r="BK53" s="124"/>
      <c r="BL53" s="124"/>
      <c r="BM53" s="116"/>
      <c r="BN53" s="116"/>
      <c r="BO53" s="116"/>
      <c r="BP53" s="124"/>
      <c r="BQ53" s="116"/>
      <c r="BR53" s="116"/>
      <c r="BS53" s="116"/>
      <c r="BT53" s="116"/>
      <c r="BU53" s="116"/>
      <c r="BV53" s="236">
        <v>38800</v>
      </c>
      <c r="BW53" s="125">
        <f t="shared" si="24"/>
        <v>7372</v>
      </c>
      <c r="BX53" s="97">
        <f t="shared" si="25"/>
        <v>46172</v>
      </c>
      <c r="BY53" s="237" t="s">
        <v>67</v>
      </c>
      <c r="BZ53" s="237" t="s">
        <v>153</v>
      </c>
      <c r="CA53" s="116"/>
      <c r="CB53" s="247">
        <v>18000</v>
      </c>
      <c r="CC53" s="125"/>
      <c r="CD53" s="247">
        <f>+CC53+CB53</f>
        <v>18000</v>
      </c>
      <c r="CE53" s="116"/>
      <c r="CF53" s="116"/>
      <c r="CG53" s="116"/>
      <c r="CH53" s="236">
        <v>39188</v>
      </c>
      <c r="CI53" s="238">
        <f t="shared" si="26"/>
        <v>7445.72</v>
      </c>
      <c r="CJ53" s="236">
        <f t="shared" si="27"/>
        <v>46633.72</v>
      </c>
      <c r="CK53" s="237" t="s">
        <v>67</v>
      </c>
      <c r="CL53" s="237" t="s">
        <v>153</v>
      </c>
      <c r="CM53" s="116"/>
      <c r="CN53" s="247"/>
      <c r="CO53" s="125"/>
      <c r="CP53" s="247"/>
      <c r="CQ53" s="116"/>
      <c r="CR53" s="116"/>
      <c r="CS53" s="116"/>
      <c r="CT53" s="247"/>
      <c r="CU53" s="125"/>
      <c r="CV53" s="125"/>
      <c r="CW53" s="116"/>
      <c r="CX53" s="116"/>
      <c r="CY53" s="116"/>
      <c r="CZ53" s="102"/>
      <c r="DA53" s="125"/>
      <c r="DB53" s="102"/>
      <c r="DC53" s="31"/>
      <c r="DD53" s="17"/>
      <c r="DE53" s="11"/>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
      <c r="EU53" s="11"/>
      <c r="EV53" s="11"/>
      <c r="EW53" s="11"/>
      <c r="EX53" s="11"/>
      <c r="EY53" s="11"/>
      <c r="EZ53" s="11"/>
      <c r="FA53" s="11"/>
      <c r="FB53" s="11"/>
      <c r="FC53" s="11"/>
      <c r="FD53" s="11"/>
      <c r="FE53" s="11"/>
      <c r="FF53" s="11"/>
      <c r="FG53" s="11"/>
      <c r="FH53" s="17">
        <f t="shared" si="4"/>
        <v>237877.04333333333</v>
      </c>
      <c r="FI53" s="31">
        <f t="shared" si="2"/>
        <v>6</v>
      </c>
      <c r="FJ53" s="68">
        <f t="shared" si="3"/>
        <v>39646.173888888887</v>
      </c>
    </row>
    <row r="54" spans="1:166" ht="27" x14ac:dyDescent="0.25">
      <c r="A54" s="248">
        <f>Distribución_Reactivos!A54</f>
        <v>52</v>
      </c>
      <c r="B54" s="248" t="str">
        <f>Distribución_Reactivos!B54</f>
        <v>Alcohol isoamilico</v>
      </c>
      <c r="C54" s="248" t="str">
        <f>Distribución_Reactivos!C54</f>
        <v>Cualquier marca</v>
      </c>
      <c r="D54" s="248" t="str">
        <f>Distribución_Reactivos!D54</f>
        <v>Frasco x 500 ml</v>
      </c>
      <c r="E54" s="29">
        <v>1</v>
      </c>
      <c r="F54" s="212">
        <v>168397.37599999999</v>
      </c>
      <c r="G54" s="214">
        <v>89964</v>
      </c>
      <c r="H54" s="221">
        <v>403232.30074959999</v>
      </c>
      <c r="I54" s="221">
        <v>403172</v>
      </c>
      <c r="J54" s="221">
        <v>238307.97200000001</v>
      </c>
      <c r="K54" s="221">
        <v>232407</v>
      </c>
      <c r="L54" s="247">
        <f>AVERAGE(F54,H54,J54)</f>
        <v>269979.21624986664</v>
      </c>
      <c r="M54" s="247">
        <f>AVERAGE(G54,I54,K54)*1.03</f>
        <v>249103.09666666665</v>
      </c>
      <c r="N54" s="217"/>
      <c r="O54" s="97"/>
      <c r="P54" s="97"/>
      <c r="Q54" s="115"/>
      <c r="R54" s="115"/>
      <c r="S54" s="53"/>
      <c r="T54" s="97"/>
      <c r="U54" s="97"/>
      <c r="V54" s="97"/>
      <c r="W54" s="115"/>
      <c r="X54" s="115"/>
      <c r="Y54" s="11"/>
      <c r="Z54" s="97"/>
      <c r="AA54" s="97"/>
      <c r="AB54" s="97"/>
      <c r="AC54" s="44"/>
      <c r="AD54" s="44"/>
      <c r="AE54" s="11"/>
      <c r="AF54" s="102"/>
      <c r="AG54" s="125"/>
      <c r="AH54" s="97"/>
      <c r="AI54" s="11"/>
      <c r="AJ54" s="11"/>
      <c r="AK54" s="17"/>
      <c r="AL54" s="97">
        <v>480000</v>
      </c>
      <c r="AM54" s="97">
        <f>+AL54*0.19</f>
        <v>91200</v>
      </c>
      <c r="AN54" s="103">
        <f>+AL54+AM54</f>
        <v>571200</v>
      </c>
      <c r="AO54" s="248" t="s">
        <v>56</v>
      </c>
      <c r="AP54" s="239" t="s">
        <v>52</v>
      </c>
      <c r="AQ54" s="17"/>
      <c r="AR54" s="252">
        <v>140767</v>
      </c>
      <c r="AS54" s="97">
        <f>+AR54*0.19</f>
        <v>26745.73</v>
      </c>
      <c r="AT54" s="103">
        <f>+AR54+AS54</f>
        <v>167512.73000000001</v>
      </c>
      <c r="AU54" s="52" t="s">
        <v>56</v>
      </c>
      <c r="AV54" s="52" t="s">
        <v>52</v>
      </c>
      <c r="AW54" s="30"/>
      <c r="AX54" s="100"/>
      <c r="AY54" s="100"/>
      <c r="AZ54" s="124"/>
      <c r="BA54" s="169"/>
      <c r="BB54" s="116"/>
      <c r="BC54" s="116"/>
      <c r="BD54" s="247"/>
      <c r="BE54" s="124"/>
      <c r="BF54" s="124"/>
      <c r="BG54" s="116"/>
      <c r="BH54" s="116"/>
      <c r="BI54" s="116"/>
      <c r="BJ54" s="124"/>
      <c r="BK54" s="124"/>
      <c r="BL54" s="124"/>
      <c r="BM54" s="116"/>
      <c r="BN54" s="116"/>
      <c r="BO54" s="116"/>
      <c r="BP54" s="124"/>
      <c r="BQ54" s="116"/>
      <c r="BR54" s="116"/>
      <c r="BS54" s="116"/>
      <c r="BT54" s="116"/>
      <c r="BU54" s="116"/>
      <c r="BV54" s="236">
        <v>337400</v>
      </c>
      <c r="BW54" s="125">
        <f t="shared" si="24"/>
        <v>64106</v>
      </c>
      <c r="BX54" s="97">
        <f t="shared" si="25"/>
        <v>401506</v>
      </c>
      <c r="BY54" s="237" t="s">
        <v>148</v>
      </c>
      <c r="BZ54" s="237" t="s">
        <v>83</v>
      </c>
      <c r="CA54" s="116"/>
      <c r="CB54" s="247">
        <v>113000</v>
      </c>
      <c r="CC54" s="125">
        <f>+CB54*19%</f>
        <v>21470</v>
      </c>
      <c r="CD54" s="247">
        <f>+CC54+CB54</f>
        <v>134470</v>
      </c>
      <c r="CE54" s="116"/>
      <c r="CF54" s="116"/>
      <c r="CG54" s="116"/>
      <c r="CH54" s="236">
        <v>350896</v>
      </c>
      <c r="CI54" s="238">
        <f t="shared" si="26"/>
        <v>66670.240000000005</v>
      </c>
      <c r="CJ54" s="236">
        <f t="shared" si="27"/>
        <v>417566.24</v>
      </c>
      <c r="CK54" s="237" t="s">
        <v>148</v>
      </c>
      <c r="CL54" s="237" t="s">
        <v>83</v>
      </c>
      <c r="CM54" s="116"/>
      <c r="CN54" s="247"/>
      <c r="CO54" s="125"/>
      <c r="CP54" s="247"/>
      <c r="CQ54" s="116"/>
      <c r="CR54" s="116"/>
      <c r="CS54" s="116"/>
      <c r="CT54" s="247"/>
      <c r="CU54" s="125"/>
      <c r="CV54" s="125"/>
      <c r="CW54" s="116"/>
      <c r="CX54" s="116"/>
      <c r="CY54" s="116"/>
      <c r="CZ54" s="102"/>
      <c r="DA54" s="125"/>
      <c r="DB54" s="102"/>
      <c r="DC54" s="31"/>
      <c r="DD54" s="17"/>
      <c r="DE54" s="11"/>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
      <c r="EU54" s="11"/>
      <c r="EV54" s="11"/>
      <c r="EW54" s="11"/>
      <c r="EX54" s="11"/>
      <c r="EY54" s="11"/>
      <c r="EZ54" s="11"/>
      <c r="FA54" s="11"/>
      <c r="FB54" s="11"/>
      <c r="FC54" s="11"/>
      <c r="FD54" s="11"/>
      <c r="FE54" s="11"/>
      <c r="FF54" s="11"/>
      <c r="FG54" s="11"/>
      <c r="FH54" s="17">
        <f t="shared" si="4"/>
        <v>1941358.0666666667</v>
      </c>
      <c r="FI54" s="31">
        <f t="shared" si="2"/>
        <v>6</v>
      </c>
      <c r="FJ54" s="68">
        <f t="shared" si="3"/>
        <v>323559.67777777778</v>
      </c>
    </row>
    <row r="55" spans="1:166" ht="27" x14ac:dyDescent="0.25">
      <c r="A55" s="248">
        <f>Distribución_Reactivos!A55</f>
        <v>53</v>
      </c>
      <c r="B55" s="248" t="str">
        <f>Distribución_Reactivos!B55</f>
        <v xml:space="preserve">Alcohol polivinílico </v>
      </c>
      <c r="C55" s="248" t="str">
        <f>Distribución_Reactivos!C55</f>
        <v xml:space="preserve">Merck </v>
      </c>
      <c r="D55" s="248" t="str">
        <f>Distribución_Reactivos!D55</f>
        <v>Frasco x 100 g</v>
      </c>
      <c r="E55" s="29">
        <v>1</v>
      </c>
      <c r="F55" s="212">
        <v>347658.5</v>
      </c>
      <c r="G55" s="214">
        <v>342363</v>
      </c>
      <c r="H55" s="221">
        <v>257238.33333333334</v>
      </c>
      <c r="I55" s="221">
        <v>0</v>
      </c>
      <c r="J55" s="221">
        <v>318953.71666666667</v>
      </c>
      <c r="K55" s="221">
        <v>312613</v>
      </c>
      <c r="L55" s="247">
        <f>AVERAGE(F55,H55,J55)</f>
        <v>307950.18333333335</v>
      </c>
      <c r="M55" s="247">
        <f>AVERAGE(G55,K55)*1.03</f>
        <v>337312.64</v>
      </c>
      <c r="N55" s="217"/>
      <c r="O55" s="97"/>
      <c r="P55" s="97"/>
      <c r="Q55" s="115"/>
      <c r="R55" s="115"/>
      <c r="S55" s="53"/>
      <c r="T55" s="97"/>
      <c r="U55" s="105"/>
      <c r="V55" s="97"/>
      <c r="W55" s="115"/>
      <c r="X55" s="115"/>
      <c r="Y55" s="11"/>
      <c r="Z55" s="97"/>
      <c r="AA55" s="97"/>
      <c r="AB55" s="97"/>
      <c r="AC55" s="44"/>
      <c r="AD55" s="44"/>
      <c r="AE55" s="11"/>
      <c r="AF55" s="102">
        <v>270000</v>
      </c>
      <c r="AG55" s="125">
        <f>AF55*19%</f>
        <v>51300</v>
      </c>
      <c r="AH55" s="97">
        <f>+AF55+AG55</f>
        <v>321300</v>
      </c>
      <c r="AI55" s="11"/>
      <c r="AJ55" s="11"/>
      <c r="AK55" s="17"/>
      <c r="AL55" s="97"/>
      <c r="AM55" s="97"/>
      <c r="AN55" s="103"/>
      <c r="AO55" s="248"/>
      <c r="AP55" s="17"/>
      <c r="AQ55" s="17"/>
      <c r="AR55" s="252">
        <v>676800</v>
      </c>
      <c r="AS55" s="97">
        <f>+AR55*0.19</f>
        <v>128592</v>
      </c>
      <c r="AT55" s="103">
        <f>+AR55+AS55</f>
        <v>805392</v>
      </c>
      <c r="AU55" s="52" t="s">
        <v>61</v>
      </c>
      <c r="AV55" s="52" t="s">
        <v>42</v>
      </c>
      <c r="AW55" s="30"/>
      <c r="AX55" s="100"/>
      <c r="AY55" s="100"/>
      <c r="AZ55" s="124"/>
      <c r="BA55" s="169"/>
      <c r="BB55" s="116"/>
      <c r="BC55" s="116"/>
      <c r="BD55" s="247"/>
      <c r="BE55" s="124"/>
      <c r="BF55" s="124"/>
      <c r="BG55" s="116"/>
      <c r="BH55" s="116"/>
      <c r="BI55" s="116"/>
      <c r="BJ55" s="124"/>
      <c r="BK55" s="124"/>
      <c r="BL55" s="124"/>
      <c r="BM55" s="116"/>
      <c r="BN55" s="116"/>
      <c r="BO55" s="116"/>
      <c r="BP55" s="124"/>
      <c r="BQ55" s="116"/>
      <c r="BR55" s="116"/>
      <c r="BS55" s="116"/>
      <c r="BT55" s="116"/>
      <c r="BU55" s="116"/>
      <c r="BV55" s="236">
        <v>447900</v>
      </c>
      <c r="BW55" s="125">
        <f t="shared" si="24"/>
        <v>85101</v>
      </c>
      <c r="BX55" s="97">
        <f t="shared" si="25"/>
        <v>533001</v>
      </c>
      <c r="BY55" s="237" t="s">
        <v>63</v>
      </c>
      <c r="BZ55" s="237" t="s">
        <v>93</v>
      </c>
      <c r="CA55" s="116"/>
      <c r="CB55" s="247"/>
      <c r="CC55" s="125"/>
      <c r="CD55" s="247"/>
      <c r="CE55" s="116"/>
      <c r="CF55" s="116"/>
      <c r="CG55" s="116"/>
      <c r="CH55" s="236">
        <v>456858</v>
      </c>
      <c r="CI55" s="238">
        <f t="shared" si="26"/>
        <v>86803.02</v>
      </c>
      <c r="CJ55" s="236">
        <f t="shared" si="27"/>
        <v>543661.02</v>
      </c>
      <c r="CK55" s="237" t="s">
        <v>63</v>
      </c>
      <c r="CL55" s="237" t="s">
        <v>93</v>
      </c>
      <c r="CM55" s="116"/>
      <c r="CN55" s="247"/>
      <c r="CO55" s="125"/>
      <c r="CP55" s="247"/>
      <c r="CQ55" s="116"/>
      <c r="CR55" s="116"/>
      <c r="CS55" s="116"/>
      <c r="CT55" s="247"/>
      <c r="CU55" s="125"/>
      <c r="CV55" s="125"/>
      <c r="CW55" s="116"/>
      <c r="CX55" s="116"/>
      <c r="CY55" s="116"/>
      <c r="CZ55" s="102">
        <v>185931</v>
      </c>
      <c r="DA55" s="125">
        <f>+CZ55*0.19</f>
        <v>35326.89</v>
      </c>
      <c r="DB55" s="102">
        <f>+CZ55+DA55</f>
        <v>221257.89</v>
      </c>
      <c r="DC55" s="31" t="s">
        <v>154</v>
      </c>
      <c r="DD55" s="17" t="s">
        <v>65</v>
      </c>
      <c r="DE55" s="11">
        <v>1142660100</v>
      </c>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
      <c r="EU55" s="11"/>
      <c r="EV55" s="11"/>
      <c r="EW55" s="11"/>
      <c r="EX55" s="11"/>
      <c r="EY55" s="11"/>
      <c r="EZ55" s="11"/>
      <c r="FA55" s="11"/>
      <c r="FB55" s="11"/>
      <c r="FC55" s="11"/>
      <c r="FD55" s="11"/>
      <c r="FE55" s="11"/>
      <c r="FF55" s="11"/>
      <c r="FG55" s="11"/>
      <c r="FH55" s="17">
        <f t="shared" si="4"/>
        <v>2761924.5500000003</v>
      </c>
      <c r="FI55" s="31">
        <f t="shared" si="2"/>
        <v>6</v>
      </c>
      <c r="FJ55" s="68">
        <f t="shared" si="3"/>
        <v>460320.75833333336</v>
      </c>
    </row>
    <row r="56" spans="1:166" ht="51" x14ac:dyDescent="0.25">
      <c r="A56" s="248">
        <f>Distribución_Reactivos!A56</f>
        <v>54</v>
      </c>
      <c r="B56" s="248" t="str">
        <f>Distribución_Reactivos!B56</f>
        <v>Almidón soluble para análisis con certificado de análisis trazable por lote y descargable mediante el website del fabricante</v>
      </c>
      <c r="C56" s="248" t="str">
        <f>Distribución_Reactivos!C56</f>
        <v>Cualquier marca</v>
      </c>
      <c r="D56" s="248" t="str">
        <f>Distribución_Reactivos!D56</f>
        <v>Frasco x 100 g</v>
      </c>
      <c r="E56" s="29">
        <v>1</v>
      </c>
      <c r="F56" s="212">
        <v>171908.39166666666</v>
      </c>
      <c r="G56" s="214">
        <v>167552</v>
      </c>
      <c r="H56" s="221">
        <v>326899.35618760419</v>
      </c>
      <c r="I56" s="221">
        <v>297500</v>
      </c>
      <c r="J56" s="221">
        <v>309460.21399999998</v>
      </c>
      <c r="K56" s="221">
        <v>301665</v>
      </c>
      <c r="L56" s="247">
        <f>AVERAGE(F56,H56,J56)</f>
        <v>269422.65395142365</v>
      </c>
      <c r="M56" s="247">
        <f>AVERAGE(G56,I56,K56)*1.03</f>
        <v>263239.50333333336</v>
      </c>
      <c r="N56" s="217"/>
      <c r="O56" s="97"/>
      <c r="P56" s="97"/>
      <c r="Q56" s="115"/>
      <c r="R56" s="115"/>
      <c r="S56" s="53"/>
      <c r="T56" s="97"/>
      <c r="U56" s="97"/>
      <c r="V56" s="97"/>
      <c r="W56" s="115"/>
      <c r="X56" s="115"/>
      <c r="Y56" s="11"/>
      <c r="Z56" s="97"/>
      <c r="AA56" s="97"/>
      <c r="AB56" s="97"/>
      <c r="AC56" s="44"/>
      <c r="AD56" s="44"/>
      <c r="AE56" s="11"/>
      <c r="AF56" s="102">
        <v>300000</v>
      </c>
      <c r="AG56" s="125">
        <f>AF56*19%</f>
        <v>57000</v>
      </c>
      <c r="AH56" s="97">
        <f>+AF56+AG56</f>
        <v>357000</v>
      </c>
      <c r="AI56" s="11"/>
      <c r="AJ56" s="11"/>
      <c r="AK56" s="17"/>
      <c r="AL56" s="97">
        <v>224000</v>
      </c>
      <c r="AM56" s="97">
        <f>+AL56*0.19</f>
        <v>42560</v>
      </c>
      <c r="AN56" s="103">
        <f>+AL56+AM56</f>
        <v>266560</v>
      </c>
      <c r="AO56" s="248" t="s">
        <v>77</v>
      </c>
      <c r="AP56" s="239" t="s">
        <v>52</v>
      </c>
      <c r="AQ56" s="17"/>
      <c r="AR56" s="252">
        <v>151200</v>
      </c>
      <c r="AS56" s="97">
        <f>+AR56*0.19</f>
        <v>28728</v>
      </c>
      <c r="AT56" s="103">
        <f>+AR56+AS56</f>
        <v>179928</v>
      </c>
      <c r="AU56" s="52" t="s">
        <v>61</v>
      </c>
      <c r="AV56" s="52" t="s">
        <v>42</v>
      </c>
      <c r="AW56" s="30"/>
      <c r="AX56" s="100">
        <f>649191.57/5</f>
        <v>129838.31399999998</v>
      </c>
      <c r="AY56" s="100">
        <f>+AX56*0.19</f>
        <v>24669.279659999997</v>
      </c>
      <c r="AZ56" s="124">
        <f>+AX56+AY56</f>
        <v>154507.59365999998</v>
      </c>
      <c r="BA56" s="169" t="s">
        <v>77</v>
      </c>
      <c r="BB56" s="116" t="s">
        <v>72</v>
      </c>
      <c r="BC56" s="116"/>
      <c r="BD56" s="247"/>
      <c r="BE56" s="124"/>
      <c r="BF56" s="124"/>
      <c r="BG56" s="116"/>
      <c r="BH56" s="116"/>
      <c r="BI56" s="116"/>
      <c r="BJ56" s="124"/>
      <c r="BK56" s="124"/>
      <c r="BL56" s="124"/>
      <c r="BM56" s="116"/>
      <c r="BN56" s="116"/>
      <c r="BO56" s="116"/>
      <c r="BP56" s="124"/>
      <c r="BQ56" s="116"/>
      <c r="BR56" s="116"/>
      <c r="BS56" s="116"/>
      <c r="BT56" s="116"/>
      <c r="BU56" s="116"/>
      <c r="BV56" s="236">
        <v>329700</v>
      </c>
      <c r="BW56" s="125">
        <f t="shared" si="24"/>
        <v>62643</v>
      </c>
      <c r="BX56" s="97">
        <f t="shared" si="25"/>
        <v>392343</v>
      </c>
      <c r="BY56" s="237" t="s">
        <v>63</v>
      </c>
      <c r="BZ56" s="237" t="s">
        <v>83</v>
      </c>
      <c r="CA56" s="116"/>
      <c r="CB56" s="247"/>
      <c r="CC56" s="125"/>
      <c r="CD56" s="247"/>
      <c r="CE56" s="116"/>
      <c r="CF56" s="116"/>
      <c r="CG56" s="116"/>
      <c r="CH56" s="236">
        <v>332997</v>
      </c>
      <c r="CI56" s="238">
        <f t="shared" si="26"/>
        <v>63269.43</v>
      </c>
      <c r="CJ56" s="236">
        <f t="shared" si="27"/>
        <v>396266.43</v>
      </c>
      <c r="CK56" s="237" t="s">
        <v>63</v>
      </c>
      <c r="CL56" s="237" t="s">
        <v>83</v>
      </c>
      <c r="CM56" s="116"/>
      <c r="CN56" s="247"/>
      <c r="CO56" s="125"/>
      <c r="CP56" s="247"/>
      <c r="CQ56" s="116"/>
      <c r="CR56" s="116"/>
      <c r="CS56" s="116"/>
      <c r="CT56" s="247">
        <v>1446250</v>
      </c>
      <c r="CU56" s="125">
        <v>274787.5</v>
      </c>
      <c r="CV56" s="125">
        <f>+CT56+CU56</f>
        <v>1721037.5</v>
      </c>
      <c r="CW56" s="116"/>
      <c r="CX56" s="116"/>
      <c r="CY56" s="116"/>
      <c r="CZ56" s="102"/>
      <c r="DA56" s="125"/>
      <c r="DB56" s="102"/>
      <c r="DC56" s="31"/>
      <c r="DD56" s="17"/>
      <c r="DE56" s="11"/>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
      <c r="EU56" s="11"/>
      <c r="EV56" s="11"/>
      <c r="EW56" s="11"/>
      <c r="EX56" s="11"/>
      <c r="EY56" s="11"/>
      <c r="EZ56" s="11"/>
      <c r="FA56" s="11"/>
      <c r="FB56" s="11"/>
      <c r="FC56" s="11"/>
      <c r="FD56" s="11"/>
      <c r="FE56" s="11"/>
      <c r="FF56" s="11"/>
      <c r="FG56" s="11"/>
      <c r="FH56" s="17">
        <f t="shared" si="4"/>
        <v>3730882.0269933334</v>
      </c>
      <c r="FI56" s="31">
        <f t="shared" si="2"/>
        <v>8</v>
      </c>
      <c r="FJ56" s="68">
        <f t="shared" si="3"/>
        <v>466360.25337416667</v>
      </c>
    </row>
    <row r="57" spans="1:166" ht="27" x14ac:dyDescent="0.25">
      <c r="A57" s="248">
        <f>Distribución_Reactivos!A57</f>
        <v>55</v>
      </c>
      <c r="B57" s="248" t="str">
        <f>Distribución_Reactivos!B57</f>
        <v>Aminoácidos NO esenciales</v>
      </c>
      <c r="C57" s="248" t="str">
        <f>Distribución_Reactivos!C57</f>
        <v>Gibco 11140-050</v>
      </c>
      <c r="D57" s="248" t="str">
        <f>Distribución_Reactivos!D57</f>
        <v>Frasco x 100 ml</v>
      </c>
      <c r="E57" s="29">
        <v>1</v>
      </c>
      <c r="F57" s="212">
        <v>0</v>
      </c>
      <c r="G57" s="214">
        <v>0</v>
      </c>
      <c r="H57" s="221">
        <v>209440</v>
      </c>
      <c r="I57" s="221">
        <v>0</v>
      </c>
      <c r="J57" s="221">
        <v>175385</v>
      </c>
      <c r="K57" s="221">
        <v>0</v>
      </c>
      <c r="L57" s="247">
        <f>AVERAGE(H57,J57)</f>
        <v>192412.5</v>
      </c>
      <c r="M57" s="247"/>
      <c r="N57" s="217"/>
      <c r="O57" s="97"/>
      <c r="P57" s="97"/>
      <c r="Q57" s="115"/>
      <c r="R57" s="115"/>
      <c r="S57" s="53"/>
      <c r="T57" s="105">
        <v>418000</v>
      </c>
      <c r="U57" s="102">
        <f>+T57*0.19</f>
        <v>79420</v>
      </c>
      <c r="V57" s="97">
        <f>+U57+T57</f>
        <v>497420</v>
      </c>
      <c r="W57" s="115" t="s">
        <v>51</v>
      </c>
      <c r="X57" s="115" t="s">
        <v>155</v>
      </c>
      <c r="Y57" s="11"/>
      <c r="Z57" s="97"/>
      <c r="AA57" s="97"/>
      <c r="AB57" s="97"/>
      <c r="AC57" s="44"/>
      <c r="AD57" s="44"/>
      <c r="AE57" s="11"/>
      <c r="AF57" s="102"/>
      <c r="AG57" s="125"/>
      <c r="AH57" s="97"/>
      <c r="AI57" s="11"/>
      <c r="AJ57" s="11"/>
      <c r="AK57" s="17"/>
      <c r="AL57" s="97"/>
      <c r="AM57" s="97"/>
      <c r="AN57" s="103"/>
      <c r="AO57" s="248"/>
      <c r="AP57" s="17"/>
      <c r="AQ57" s="17"/>
      <c r="AR57" s="252"/>
      <c r="AS57" s="135"/>
      <c r="AT57" s="137"/>
      <c r="AU57" s="52"/>
      <c r="AV57" s="52"/>
      <c r="AW57" s="30"/>
      <c r="AX57" s="100"/>
      <c r="AY57" s="174"/>
      <c r="AZ57" s="124"/>
      <c r="BA57" s="169"/>
      <c r="BB57" s="116"/>
      <c r="BC57" s="116"/>
      <c r="BD57" s="247"/>
      <c r="BE57" s="124"/>
      <c r="BF57" s="124"/>
      <c r="BG57" s="116"/>
      <c r="BH57" s="116"/>
      <c r="BI57" s="116"/>
      <c r="BJ57" s="124"/>
      <c r="BK57" s="124"/>
      <c r="BL57" s="124"/>
      <c r="BM57" s="116"/>
      <c r="BN57" s="116"/>
      <c r="BO57" s="116"/>
      <c r="BP57" s="124"/>
      <c r="BQ57" s="116"/>
      <c r="BR57" s="116"/>
      <c r="BS57" s="116"/>
      <c r="BT57" s="116"/>
      <c r="BU57" s="116"/>
      <c r="BV57" s="236">
        <v>297800</v>
      </c>
      <c r="BW57" s="125">
        <f t="shared" si="24"/>
        <v>56582</v>
      </c>
      <c r="BX57" s="97">
        <f t="shared" si="25"/>
        <v>354382</v>
      </c>
      <c r="BY57" s="237" t="s">
        <v>54</v>
      </c>
      <c r="BZ57" s="237" t="s">
        <v>44</v>
      </c>
      <c r="CA57" s="116"/>
      <c r="CB57" s="247"/>
      <c r="CC57" s="125"/>
      <c r="CD57" s="247"/>
      <c r="CE57" s="116"/>
      <c r="CF57" s="116"/>
      <c r="CG57" s="116"/>
      <c r="CH57" s="236">
        <v>312690</v>
      </c>
      <c r="CI57" s="238">
        <f t="shared" si="26"/>
        <v>59411.1</v>
      </c>
      <c r="CJ57" s="236">
        <f t="shared" si="27"/>
        <v>372101.1</v>
      </c>
      <c r="CK57" s="237" t="s">
        <v>54</v>
      </c>
      <c r="CL57" s="237" t="s">
        <v>44</v>
      </c>
      <c r="CM57" s="116"/>
      <c r="CN57" s="247"/>
      <c r="CO57" s="125"/>
      <c r="CP57" s="247"/>
      <c r="CQ57" s="116"/>
      <c r="CR57" s="116"/>
      <c r="CS57" s="116"/>
      <c r="CT57" s="247"/>
      <c r="CU57" s="125"/>
      <c r="CV57" s="125"/>
      <c r="CW57" s="116"/>
      <c r="CX57" s="116"/>
      <c r="CY57" s="116"/>
      <c r="CZ57" s="102"/>
      <c r="DA57" s="125"/>
      <c r="DB57" s="102"/>
      <c r="DC57" s="31"/>
      <c r="DD57" s="17"/>
      <c r="DE57" s="11"/>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
      <c r="EU57" s="11"/>
      <c r="EV57" s="11"/>
      <c r="EW57" s="11"/>
      <c r="EX57" s="11"/>
      <c r="EY57" s="11"/>
      <c r="EZ57" s="11"/>
      <c r="FA57" s="11"/>
      <c r="FB57" s="11"/>
      <c r="FC57" s="11"/>
      <c r="FD57" s="11"/>
      <c r="FE57" s="11"/>
      <c r="FF57" s="11"/>
      <c r="FG57" s="11"/>
      <c r="FH57" s="17">
        <f t="shared" ref="FH57:FH100" si="28">SUM(M57,P57,V57,AB57,AH57,AN57,AT57,AZ57,BF57,BL57,BR57,BX57,CD57,CJ57,CP57,CV57,DB57,DH57,DN57,DT57,DZ57,EF57,EL57,ER57,EX57,FD57)</f>
        <v>1223903.1000000001</v>
      </c>
      <c r="FI57" s="31">
        <f t="shared" ref="FI57:FI100" si="29">COUNTA(M57,N57,T57,Z57,AF57,AL57,AR57,AX57,BD57,BJ57,BP57,BV57,CB57,CH57,CN57,CT57,CZ57,DF57,DL57,DR57,DX57,ED57,EJ57,EP57,EV57,FB57)</f>
        <v>3</v>
      </c>
      <c r="FJ57" s="68">
        <f t="shared" ref="FJ57:FJ100" si="30">IFERROR(FH57/FI57," ")</f>
        <v>407967.7</v>
      </c>
    </row>
    <row r="58" spans="1:166" ht="40.5" x14ac:dyDescent="0.25">
      <c r="A58" s="248">
        <f>Distribución_Reactivos!A58</f>
        <v>56</v>
      </c>
      <c r="B58" s="248" t="str">
        <f>Distribución_Reactivos!B58</f>
        <v>Amoniaco 25 % para análisis   con certificado de análisis y ficha de seguridad</v>
      </c>
      <c r="C58" s="248" t="str">
        <f>Distribución_Reactivos!C58</f>
        <v>Cualquier marca</v>
      </c>
      <c r="D58" s="248" t="str">
        <f>Distribución_Reactivos!D58</f>
        <v>Frasco x 1 litro</v>
      </c>
      <c r="E58" s="29">
        <v>1</v>
      </c>
      <c r="F58" s="212">
        <v>0</v>
      </c>
      <c r="G58" s="214">
        <v>0</v>
      </c>
      <c r="H58" s="221">
        <v>0</v>
      </c>
      <c r="I58" s="221">
        <v>0</v>
      </c>
      <c r="J58" s="221">
        <v>0</v>
      </c>
      <c r="K58" s="221">
        <v>0</v>
      </c>
      <c r="L58" s="247"/>
      <c r="M58" s="247"/>
      <c r="N58" s="217"/>
      <c r="O58" s="97"/>
      <c r="P58" s="97"/>
      <c r="Q58" s="115"/>
      <c r="R58" s="115"/>
      <c r="S58" s="53"/>
      <c r="T58" s="97"/>
      <c r="U58" s="97"/>
      <c r="V58" s="97"/>
      <c r="W58" s="115"/>
      <c r="X58" s="115"/>
      <c r="Y58" s="11"/>
      <c r="Z58" s="97"/>
      <c r="AA58" s="97"/>
      <c r="AB58" s="97"/>
      <c r="AC58" s="115"/>
      <c r="AD58" s="44"/>
      <c r="AE58" s="11"/>
      <c r="AF58" s="102">
        <v>110000</v>
      </c>
      <c r="AG58" s="125">
        <f>AF58*19%</f>
        <v>20900</v>
      </c>
      <c r="AH58" s="97">
        <f>+AF58+AG58</f>
        <v>130900</v>
      </c>
      <c r="AI58" s="11"/>
      <c r="AJ58" s="11"/>
      <c r="AK58" s="17"/>
      <c r="AL58" s="97">
        <v>109000</v>
      </c>
      <c r="AM58" s="97">
        <f>+AL58*0.19</f>
        <v>20710</v>
      </c>
      <c r="AN58" s="103">
        <f>+AL58+AM58</f>
        <v>129710</v>
      </c>
      <c r="AO58" s="248" t="s">
        <v>56</v>
      </c>
      <c r="AP58" s="239" t="s">
        <v>52</v>
      </c>
      <c r="AQ58" s="17"/>
      <c r="AR58" s="252"/>
      <c r="AS58" s="136"/>
      <c r="AT58" s="137"/>
      <c r="AU58" s="52"/>
      <c r="AV58" s="52"/>
      <c r="AW58" s="30"/>
      <c r="AX58" s="100"/>
      <c r="AY58" s="100"/>
      <c r="AZ58" s="124"/>
      <c r="BA58" s="169"/>
      <c r="BB58" s="116"/>
      <c r="BC58" s="116"/>
      <c r="BD58" s="247"/>
      <c r="BE58" s="124"/>
      <c r="BF58" s="124"/>
      <c r="BG58" s="116"/>
      <c r="BH58" s="116"/>
      <c r="BI58" s="116"/>
      <c r="BJ58" s="124"/>
      <c r="BK58" s="124"/>
      <c r="BL58" s="124"/>
      <c r="BM58" s="116"/>
      <c r="BN58" s="116"/>
      <c r="BO58" s="116"/>
      <c r="BP58" s="124"/>
      <c r="BQ58" s="116"/>
      <c r="BR58" s="116"/>
      <c r="BS58" s="116"/>
      <c r="BT58" s="116"/>
      <c r="BU58" s="116"/>
      <c r="BV58" s="236">
        <v>305200</v>
      </c>
      <c r="BW58" s="125">
        <f t="shared" si="24"/>
        <v>57988</v>
      </c>
      <c r="BX58" s="97">
        <f t="shared" si="25"/>
        <v>363188</v>
      </c>
      <c r="BY58" s="237" t="s">
        <v>67</v>
      </c>
      <c r="BZ58" s="237" t="s">
        <v>143</v>
      </c>
      <c r="CA58" s="116"/>
      <c r="CB58" s="247"/>
      <c r="CC58" s="125"/>
      <c r="CD58" s="247"/>
      <c r="CE58" s="116"/>
      <c r="CF58" s="116"/>
      <c r="CG58" s="116"/>
      <c r="CH58" s="236">
        <v>317408</v>
      </c>
      <c r="CI58" s="238">
        <f t="shared" si="26"/>
        <v>60307.520000000004</v>
      </c>
      <c r="CJ58" s="236">
        <f t="shared" si="27"/>
        <v>377715.52</v>
      </c>
      <c r="CK58" s="237" t="s">
        <v>67</v>
      </c>
      <c r="CL58" s="237" t="s">
        <v>143</v>
      </c>
      <c r="CM58" s="116"/>
      <c r="CN58" s="247"/>
      <c r="CO58" s="125"/>
      <c r="CP58" s="247"/>
      <c r="CQ58" s="116"/>
      <c r="CR58" s="116"/>
      <c r="CS58" s="116"/>
      <c r="CT58" s="247"/>
      <c r="CU58" s="125"/>
      <c r="CV58" s="125"/>
      <c r="CW58" s="116"/>
      <c r="CX58" s="116"/>
      <c r="CY58" s="116"/>
      <c r="CZ58" s="102">
        <v>413241</v>
      </c>
      <c r="DA58" s="125">
        <f>+CZ58*0.19</f>
        <v>78515.790000000008</v>
      </c>
      <c r="DB58" s="102">
        <f>+CZ58+DA58</f>
        <v>491756.79000000004</v>
      </c>
      <c r="DC58" s="31" t="s">
        <v>69</v>
      </c>
      <c r="DD58" s="17" t="s">
        <v>65</v>
      </c>
      <c r="DE58" s="11" t="s">
        <v>156</v>
      </c>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
      <c r="EU58" s="11"/>
      <c r="EV58" s="11"/>
      <c r="EW58" s="11"/>
      <c r="EX58" s="11"/>
      <c r="EY58" s="11"/>
      <c r="EZ58" s="11"/>
      <c r="FA58" s="11"/>
      <c r="FB58" s="11"/>
      <c r="FC58" s="11"/>
      <c r="FD58" s="11"/>
      <c r="FE58" s="11"/>
      <c r="FF58" s="11"/>
      <c r="FG58" s="11"/>
      <c r="FH58" s="17">
        <f t="shared" si="28"/>
        <v>1493270.31</v>
      </c>
      <c r="FI58" s="31">
        <f t="shared" si="29"/>
        <v>5</v>
      </c>
      <c r="FJ58" s="68">
        <f t="shared" si="30"/>
        <v>298654.06200000003</v>
      </c>
    </row>
    <row r="59" spans="1:166" ht="25.5" x14ac:dyDescent="0.25">
      <c r="A59" s="248">
        <f>Distribución_Reactivos!A59</f>
        <v>57</v>
      </c>
      <c r="B59" s="248" t="str">
        <f>Distribución_Reactivos!B59</f>
        <v>Ampicilina</v>
      </c>
      <c r="C59" s="248" t="str">
        <f>Distribución_Reactivos!C59</f>
        <v>Sigma A9518-5G</v>
      </c>
      <c r="D59" s="248" t="str">
        <f>Distribución_Reactivos!D59</f>
        <v>Frasco x 5 g</v>
      </c>
      <c r="E59" s="29">
        <v>1</v>
      </c>
      <c r="F59" s="212">
        <v>273210.61249999999</v>
      </c>
      <c r="G59" s="214">
        <v>273105</v>
      </c>
      <c r="H59" s="221">
        <v>293610.53378696425</v>
      </c>
      <c r="I59" s="221">
        <v>293573</v>
      </c>
      <c r="J59" s="221">
        <v>226512.05</v>
      </c>
      <c r="K59" s="221">
        <v>0</v>
      </c>
      <c r="L59" s="247">
        <f>AVERAGE(F59,H59,J59)</f>
        <v>264444.39876232139</v>
      </c>
      <c r="M59" s="247">
        <f>AVERAGE(G59,I59)*1.03</f>
        <v>291839.17</v>
      </c>
      <c r="N59" s="217"/>
      <c r="O59" s="101"/>
      <c r="P59" s="97"/>
      <c r="Q59" s="115"/>
      <c r="R59" s="115"/>
      <c r="S59" s="53"/>
      <c r="T59" s="97"/>
      <c r="U59" s="97"/>
      <c r="V59" s="97"/>
      <c r="W59" s="115"/>
      <c r="X59" s="115"/>
      <c r="Y59" s="11"/>
      <c r="Z59" s="97"/>
      <c r="AA59" s="97"/>
      <c r="AB59" s="97"/>
      <c r="AC59" s="44"/>
      <c r="AD59" s="44"/>
      <c r="AE59" s="11"/>
      <c r="AF59" s="102">
        <v>220000</v>
      </c>
      <c r="AG59" s="125">
        <f>AF59*19%</f>
        <v>41800</v>
      </c>
      <c r="AH59" s="97">
        <f>+AF59+AG59</f>
        <v>261800</v>
      </c>
      <c r="AI59" s="11"/>
      <c r="AJ59" s="11"/>
      <c r="AK59" s="17"/>
      <c r="AL59" s="97"/>
      <c r="AM59" s="97"/>
      <c r="AN59" s="101"/>
      <c r="AO59" s="248"/>
      <c r="AP59" s="17"/>
      <c r="AQ59" s="17"/>
      <c r="AR59" s="252">
        <v>468000</v>
      </c>
      <c r="AS59" s="97">
        <f>+AR59*0</f>
        <v>0</v>
      </c>
      <c r="AT59" s="103">
        <f>+AR59+AS59</f>
        <v>468000</v>
      </c>
      <c r="AU59" s="52" t="s">
        <v>157</v>
      </c>
      <c r="AV59" s="52" t="s">
        <v>42</v>
      </c>
      <c r="AW59" s="30"/>
      <c r="AX59" s="100"/>
      <c r="AY59" s="174"/>
      <c r="AZ59" s="124"/>
      <c r="BA59" s="169"/>
      <c r="BB59" s="116"/>
      <c r="BC59" s="116"/>
      <c r="BD59" s="247"/>
      <c r="BE59" s="124"/>
      <c r="BF59" s="124"/>
      <c r="BG59" s="116"/>
      <c r="BH59" s="116"/>
      <c r="BI59" s="116"/>
      <c r="BJ59" s="124"/>
      <c r="BK59" s="124"/>
      <c r="BL59" s="124"/>
      <c r="BM59" s="116"/>
      <c r="BN59" s="116"/>
      <c r="BO59" s="116"/>
      <c r="BP59" s="124"/>
      <c r="BQ59" s="116"/>
      <c r="BR59" s="116"/>
      <c r="BS59" s="116"/>
      <c r="BT59" s="116"/>
      <c r="BU59" s="116"/>
      <c r="BV59" s="236">
        <v>485100</v>
      </c>
      <c r="BW59" s="125">
        <f>BV59*0</f>
        <v>0</v>
      </c>
      <c r="BX59" s="97">
        <f t="shared" si="25"/>
        <v>485100</v>
      </c>
      <c r="BY59" s="237" t="s">
        <v>158</v>
      </c>
      <c r="BZ59" s="237" t="s">
        <v>159</v>
      </c>
      <c r="CA59" s="116"/>
      <c r="CB59" s="247"/>
      <c r="CC59" s="125"/>
      <c r="CD59" s="247"/>
      <c r="CE59" s="116"/>
      <c r="CF59" s="116"/>
      <c r="CG59" s="116"/>
      <c r="CH59" s="236">
        <v>509355</v>
      </c>
      <c r="CI59" s="238">
        <f>+CH59*0</f>
        <v>0</v>
      </c>
      <c r="CJ59" s="236">
        <f t="shared" si="27"/>
        <v>509355</v>
      </c>
      <c r="CK59" s="237" t="s">
        <v>158</v>
      </c>
      <c r="CL59" s="237" t="s">
        <v>159</v>
      </c>
      <c r="CM59" s="116"/>
      <c r="CN59" s="247"/>
      <c r="CO59" s="125"/>
      <c r="CP59" s="247"/>
      <c r="CQ59" s="116"/>
      <c r="CR59" s="116"/>
      <c r="CS59" s="116"/>
      <c r="CT59" s="125">
        <v>419000</v>
      </c>
      <c r="CU59" s="125">
        <v>79610</v>
      </c>
      <c r="CV59" s="125">
        <f>+CT59+CU59</f>
        <v>498610</v>
      </c>
      <c r="CW59" s="116"/>
      <c r="CX59" s="116"/>
      <c r="CY59" s="116"/>
      <c r="CZ59" s="102">
        <v>300011</v>
      </c>
      <c r="DA59" s="125">
        <v>0</v>
      </c>
      <c r="DB59" s="102">
        <v>300011</v>
      </c>
      <c r="DC59" s="31" t="s">
        <v>160</v>
      </c>
      <c r="DD59" s="17" t="s">
        <v>161</v>
      </c>
      <c r="DE59" s="11" t="s">
        <v>162</v>
      </c>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
      <c r="EU59" s="11"/>
      <c r="EV59" s="11"/>
      <c r="EW59" s="11"/>
      <c r="EX59" s="11"/>
      <c r="EY59" s="11"/>
      <c r="EZ59" s="11"/>
      <c r="FA59" s="11"/>
      <c r="FB59" s="11"/>
      <c r="FC59" s="11"/>
      <c r="FD59" s="11"/>
      <c r="FE59" s="11"/>
      <c r="FF59" s="11"/>
      <c r="FG59" s="11"/>
      <c r="FH59" s="17">
        <f t="shared" si="28"/>
        <v>2814715.17</v>
      </c>
      <c r="FI59" s="31">
        <f t="shared" si="29"/>
        <v>7</v>
      </c>
      <c r="FJ59" s="68">
        <f t="shared" si="30"/>
        <v>402102.16714285716</v>
      </c>
    </row>
    <row r="60" spans="1:166" ht="13.5" x14ac:dyDescent="0.25">
      <c r="A60" s="248">
        <f>Distribución_Reactivos!A60</f>
        <v>58</v>
      </c>
      <c r="B60" s="248" t="str">
        <f>Distribución_Reactivos!B60</f>
        <v>Anaerocult A</v>
      </c>
      <c r="C60" s="248" t="str">
        <f>Distribución_Reactivos!C60</f>
        <v>Merck</v>
      </c>
      <c r="D60" s="248" t="str">
        <f>Distribución_Reactivos!D60</f>
        <v>Caja x 10</v>
      </c>
      <c r="E60" s="29">
        <v>1</v>
      </c>
      <c r="F60" s="212">
        <v>246171.33333333331</v>
      </c>
      <c r="G60" s="214">
        <v>239904</v>
      </c>
      <c r="H60" s="221">
        <v>324389.00201333332</v>
      </c>
      <c r="I60" s="221">
        <v>324275</v>
      </c>
      <c r="J60" s="221">
        <v>331524.8</v>
      </c>
      <c r="K60" s="221">
        <v>256445</v>
      </c>
      <c r="L60" s="247">
        <f>AVERAGE(F60,H60,J60)</f>
        <v>300695.04511555558</v>
      </c>
      <c r="M60" s="247">
        <f>AVERAGE(G60,I60,K60)*1.03</f>
        <v>281747.5733333333</v>
      </c>
      <c r="N60" s="219">
        <v>214500</v>
      </c>
      <c r="O60" s="97">
        <f>+N60*0</f>
        <v>0</v>
      </c>
      <c r="P60" s="97">
        <f>+O60+N60</f>
        <v>214500</v>
      </c>
      <c r="Q60" s="34" t="s">
        <v>163</v>
      </c>
      <c r="R60" s="116" t="s">
        <v>119</v>
      </c>
      <c r="S60" s="53" t="s">
        <v>164</v>
      </c>
      <c r="T60" s="97"/>
      <c r="U60" s="97"/>
      <c r="V60" s="97"/>
      <c r="W60" s="115"/>
      <c r="X60" s="115"/>
      <c r="Y60" s="11"/>
      <c r="Z60" s="97"/>
      <c r="AA60" s="97"/>
      <c r="AB60" s="97"/>
      <c r="AC60" s="44"/>
      <c r="AD60" s="44"/>
      <c r="AE60" s="11"/>
      <c r="AF60" s="102">
        <v>440000</v>
      </c>
      <c r="AG60" s="125">
        <f>AF60*19%</f>
        <v>83600</v>
      </c>
      <c r="AH60" s="97">
        <f>+AF60+AG60</f>
        <v>523600</v>
      </c>
      <c r="AI60" s="11"/>
      <c r="AJ60" s="11"/>
      <c r="AK60" s="17"/>
      <c r="AL60" s="97"/>
      <c r="AM60" s="97"/>
      <c r="AN60" s="101"/>
      <c r="AO60" s="248"/>
      <c r="AP60" s="17"/>
      <c r="AQ60" s="17"/>
      <c r="AR60" s="252"/>
      <c r="AS60" s="136"/>
      <c r="AT60" s="137"/>
      <c r="AU60" s="52"/>
      <c r="AV60" s="52"/>
      <c r="AW60" s="30"/>
      <c r="AX60" s="100"/>
      <c r="AY60" s="174"/>
      <c r="AZ60" s="124"/>
      <c r="BA60" s="169"/>
      <c r="BB60" s="116"/>
      <c r="BC60" s="116"/>
      <c r="BD60" s="247"/>
      <c r="BE60" s="124"/>
      <c r="BF60" s="124"/>
      <c r="BG60" s="116"/>
      <c r="BH60" s="116"/>
      <c r="BI60" s="116"/>
      <c r="BJ60" s="124"/>
      <c r="BK60" s="124"/>
      <c r="BL60" s="124"/>
      <c r="BM60" s="116"/>
      <c r="BN60" s="116"/>
      <c r="BO60" s="116"/>
      <c r="BP60" s="124"/>
      <c r="BQ60" s="116"/>
      <c r="BR60" s="116"/>
      <c r="BS60" s="116"/>
      <c r="BT60" s="116"/>
      <c r="BU60" s="116"/>
      <c r="BV60" s="236">
        <v>293000</v>
      </c>
      <c r="BW60" s="125">
        <f>BV60*19%</f>
        <v>55670</v>
      </c>
      <c r="BX60" s="97">
        <f t="shared" si="25"/>
        <v>348670</v>
      </c>
      <c r="BY60" s="237" t="s">
        <v>165</v>
      </c>
      <c r="BZ60" s="237" t="s">
        <v>93</v>
      </c>
      <c r="CA60" s="116"/>
      <c r="CB60" s="247"/>
      <c r="CC60" s="125"/>
      <c r="CD60" s="247"/>
      <c r="CE60" s="116"/>
      <c r="CF60" s="116"/>
      <c r="CG60" s="116"/>
      <c r="CH60" s="236">
        <v>304720</v>
      </c>
      <c r="CI60" s="238">
        <f>+CH60*0.19</f>
        <v>57896.800000000003</v>
      </c>
      <c r="CJ60" s="236">
        <f t="shared" si="27"/>
        <v>362616.8</v>
      </c>
      <c r="CK60" s="237" t="s">
        <v>165</v>
      </c>
      <c r="CL60" s="237" t="s">
        <v>93</v>
      </c>
      <c r="CM60" s="116"/>
      <c r="CN60" s="247"/>
      <c r="CO60" s="125"/>
      <c r="CP60" s="247"/>
      <c r="CQ60" s="116"/>
      <c r="CR60" s="116"/>
      <c r="CS60" s="116"/>
      <c r="CT60" s="247">
        <v>592500</v>
      </c>
      <c r="CU60" s="125">
        <f>+CT60*0</f>
        <v>0</v>
      </c>
      <c r="CV60" s="125">
        <f>+CT60+CU60</f>
        <v>592500</v>
      </c>
      <c r="CW60" s="116"/>
      <c r="CX60" s="116"/>
      <c r="CY60" s="116"/>
      <c r="CZ60" s="102">
        <v>164607</v>
      </c>
      <c r="DA60" s="125">
        <f t="shared" ref="DA60:DA65" si="31">+CZ60*0.19</f>
        <v>31275.33</v>
      </c>
      <c r="DB60" s="102">
        <f t="shared" ref="DB60:DB65" si="32">+CZ60+DA60</f>
        <v>195882.33000000002</v>
      </c>
      <c r="DC60" s="31" t="s">
        <v>166</v>
      </c>
      <c r="DD60" s="17" t="s">
        <v>65</v>
      </c>
      <c r="DE60" s="11">
        <v>1138290001</v>
      </c>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
      <c r="EU60" s="11"/>
      <c r="EV60" s="11"/>
      <c r="EW60" s="11"/>
      <c r="EX60" s="11"/>
      <c r="EY60" s="11"/>
      <c r="EZ60" s="11"/>
      <c r="FA60" s="11"/>
      <c r="FB60" s="11"/>
      <c r="FC60" s="11"/>
      <c r="FD60" s="11"/>
      <c r="FE60" s="11"/>
      <c r="FF60" s="11"/>
      <c r="FG60" s="11"/>
      <c r="FH60" s="17">
        <f t="shared" si="28"/>
        <v>2519516.7033333331</v>
      </c>
      <c r="FI60" s="31">
        <f t="shared" si="29"/>
        <v>7</v>
      </c>
      <c r="FJ60" s="68">
        <f t="shared" si="30"/>
        <v>359930.95761904761</v>
      </c>
    </row>
    <row r="61" spans="1:166" ht="25.5" x14ac:dyDescent="0.25">
      <c r="A61" s="248">
        <f>Distribución_Reactivos!A61</f>
        <v>59</v>
      </c>
      <c r="B61" s="248" t="str">
        <f>Distribución_Reactivos!B61</f>
        <v xml:space="preserve">Anaerocult C </v>
      </c>
      <c r="C61" s="248" t="str">
        <f>Distribución_Reactivos!C61</f>
        <v>Merck 16275</v>
      </c>
      <c r="D61" s="248" t="str">
        <f>Distribución_Reactivos!D61</f>
        <v>Caja x 5</v>
      </c>
      <c r="E61" s="29">
        <v>1</v>
      </c>
      <c r="F61" s="212">
        <v>601743.33333333337</v>
      </c>
      <c r="G61" s="214">
        <v>586670</v>
      </c>
      <c r="H61" s="221">
        <v>527723.72593333328</v>
      </c>
      <c r="I61" s="221">
        <v>527646</v>
      </c>
      <c r="J61" s="221">
        <v>540517.83333333337</v>
      </c>
      <c r="K61" s="221">
        <v>0</v>
      </c>
      <c r="L61" s="247">
        <f>AVERAGE(F61,H61,J61)</f>
        <v>556661.63086666667</v>
      </c>
      <c r="M61" s="247">
        <f>AVERAGE(G61,I61)*1.03</f>
        <v>573872.74</v>
      </c>
      <c r="N61" s="219">
        <v>283000</v>
      </c>
      <c r="O61" s="97">
        <f>+N61*0</f>
        <v>0</v>
      </c>
      <c r="P61" s="97">
        <f>+O61+N61</f>
        <v>283000</v>
      </c>
      <c r="Q61" s="34" t="s">
        <v>163</v>
      </c>
      <c r="R61" s="116" t="s">
        <v>119</v>
      </c>
      <c r="S61" s="53" t="s">
        <v>167</v>
      </c>
      <c r="T61" s="97"/>
      <c r="U61" s="97"/>
      <c r="V61" s="97"/>
      <c r="W61" s="115"/>
      <c r="X61" s="115"/>
      <c r="Y61" s="11"/>
      <c r="Z61" s="97"/>
      <c r="AA61" s="97"/>
      <c r="AB61" s="97"/>
      <c r="AC61" s="44"/>
      <c r="AD61" s="44"/>
      <c r="AE61" s="11"/>
      <c r="AF61" s="102">
        <v>540000</v>
      </c>
      <c r="AG61" s="125">
        <f>AF61*19%</f>
        <v>102600</v>
      </c>
      <c r="AH61" s="97">
        <f>+AF61+AG61</f>
        <v>642600</v>
      </c>
      <c r="AI61" s="11"/>
      <c r="AJ61" s="11"/>
      <c r="AK61" s="17"/>
      <c r="AL61" s="97"/>
      <c r="AM61" s="97"/>
      <c r="AN61" s="101"/>
      <c r="AO61" s="248"/>
      <c r="AP61" s="17"/>
      <c r="AQ61" s="17"/>
      <c r="AR61" s="252"/>
      <c r="AS61" s="136"/>
      <c r="AT61" s="137"/>
      <c r="AU61" s="52"/>
      <c r="AV61" s="52"/>
      <c r="AW61" s="30"/>
      <c r="AX61" s="100"/>
      <c r="AY61" s="174"/>
      <c r="AZ61" s="124"/>
      <c r="BA61" s="169"/>
      <c r="BB61" s="116"/>
      <c r="BC61" s="116"/>
      <c r="BD61" s="247"/>
      <c r="BE61" s="124"/>
      <c r="BF61" s="124"/>
      <c r="BG61" s="116"/>
      <c r="BH61" s="116"/>
      <c r="BI61" s="116"/>
      <c r="BJ61" s="124"/>
      <c r="BK61" s="124"/>
      <c r="BL61" s="124"/>
      <c r="BM61" s="116"/>
      <c r="BN61" s="116"/>
      <c r="BO61" s="116"/>
      <c r="BP61" s="124"/>
      <c r="BQ61" s="116"/>
      <c r="BR61" s="116"/>
      <c r="BS61" s="116"/>
      <c r="BT61" s="116"/>
      <c r="BU61" s="116"/>
      <c r="BV61" s="236">
        <v>728200</v>
      </c>
      <c r="BW61" s="125">
        <f>BV61*19%</f>
        <v>138358</v>
      </c>
      <c r="BX61" s="97">
        <f t="shared" si="25"/>
        <v>866558</v>
      </c>
      <c r="BY61" s="237" t="s">
        <v>168</v>
      </c>
      <c r="BZ61" s="237" t="s">
        <v>93</v>
      </c>
      <c r="CA61" s="116"/>
      <c r="CB61" s="247"/>
      <c r="CC61" s="125"/>
      <c r="CD61" s="247"/>
      <c r="CE61" s="116"/>
      <c r="CF61" s="116"/>
      <c r="CG61" s="116"/>
      <c r="CH61" s="236">
        <v>771892</v>
      </c>
      <c r="CI61" s="238">
        <f>+CH61*0.19</f>
        <v>146659.48000000001</v>
      </c>
      <c r="CJ61" s="236">
        <f t="shared" si="27"/>
        <v>918551.48</v>
      </c>
      <c r="CK61" s="237" t="s">
        <v>168</v>
      </c>
      <c r="CL61" s="237" t="s">
        <v>93</v>
      </c>
      <c r="CM61" s="116"/>
      <c r="CN61" s="247"/>
      <c r="CO61" s="125"/>
      <c r="CP61" s="247"/>
      <c r="CQ61" s="116"/>
      <c r="CR61" s="116"/>
      <c r="CS61" s="116"/>
      <c r="CT61" s="247"/>
      <c r="CU61" s="125"/>
      <c r="CV61" s="125"/>
      <c r="CW61" s="116"/>
      <c r="CX61" s="116"/>
      <c r="CY61" s="116"/>
      <c r="CZ61" s="102">
        <v>436544</v>
      </c>
      <c r="DA61" s="125">
        <f t="shared" si="31"/>
        <v>82943.360000000001</v>
      </c>
      <c r="DB61" s="102">
        <f t="shared" si="32"/>
        <v>519487.36</v>
      </c>
      <c r="DC61" s="31" t="s">
        <v>169</v>
      </c>
      <c r="DD61" s="17" t="s">
        <v>65</v>
      </c>
      <c r="DE61" s="11">
        <v>1162750001</v>
      </c>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
      <c r="EU61" s="11"/>
      <c r="EV61" s="11"/>
      <c r="EW61" s="11"/>
      <c r="EX61" s="11"/>
      <c r="EY61" s="11"/>
      <c r="EZ61" s="11"/>
      <c r="FA61" s="11"/>
      <c r="FB61" s="11"/>
      <c r="FC61" s="11"/>
      <c r="FD61" s="11"/>
      <c r="FE61" s="11"/>
      <c r="FF61" s="11"/>
      <c r="FG61" s="11"/>
      <c r="FH61" s="17">
        <f t="shared" si="28"/>
        <v>3804069.58</v>
      </c>
      <c r="FI61" s="31">
        <f t="shared" si="29"/>
        <v>6</v>
      </c>
      <c r="FJ61" s="68">
        <f t="shared" si="30"/>
        <v>634011.59666666668</v>
      </c>
    </row>
    <row r="62" spans="1:166" ht="25.5" x14ac:dyDescent="0.25">
      <c r="A62" s="248">
        <f>Distribución_Reactivos!A62</f>
        <v>60</v>
      </c>
      <c r="B62" s="248" t="str">
        <f>Distribución_Reactivos!B62</f>
        <v>Anaerotest indicador anaerobiosis</v>
      </c>
      <c r="C62" s="248" t="str">
        <f>Distribución_Reactivos!C62</f>
        <v xml:space="preserve">Merck </v>
      </c>
      <c r="D62" s="248" t="str">
        <f>Distribución_Reactivos!D62</f>
        <v>Frasco x 50 tiras</v>
      </c>
      <c r="E62" s="29">
        <v>1</v>
      </c>
      <c r="F62" s="212">
        <v>0</v>
      </c>
      <c r="G62" s="214">
        <v>0</v>
      </c>
      <c r="H62" s="221">
        <v>220700</v>
      </c>
      <c r="I62" s="221">
        <v>0</v>
      </c>
      <c r="J62" s="221">
        <v>220910</v>
      </c>
      <c r="K62" s="221">
        <v>216461</v>
      </c>
      <c r="L62" s="247">
        <f>AVERAGE(H62,J62)</f>
        <v>220805</v>
      </c>
      <c r="M62" s="247">
        <f>K62*1.03</f>
        <v>222954.83000000002</v>
      </c>
      <c r="N62" s="219">
        <v>255750</v>
      </c>
      <c r="O62" s="97">
        <f>+N62*0</f>
        <v>0</v>
      </c>
      <c r="P62" s="97">
        <f>+O62+N62</f>
        <v>255750</v>
      </c>
      <c r="Q62" s="34" t="s">
        <v>170</v>
      </c>
      <c r="R62" s="116" t="s">
        <v>119</v>
      </c>
      <c r="S62" s="53" t="s">
        <v>167</v>
      </c>
      <c r="T62" s="97"/>
      <c r="U62" s="97"/>
      <c r="V62" s="97"/>
      <c r="W62" s="115"/>
      <c r="X62" s="115"/>
      <c r="Y62" s="11"/>
      <c r="Z62" s="101"/>
      <c r="AA62" s="97"/>
      <c r="AB62" s="97"/>
      <c r="AC62" s="115"/>
      <c r="AD62" s="44"/>
      <c r="AE62" s="11"/>
      <c r="AF62" s="102">
        <v>210000</v>
      </c>
      <c r="AG62" s="125">
        <f>AF62*19%</f>
        <v>39900</v>
      </c>
      <c r="AH62" s="97">
        <f>+AF62+AG62</f>
        <v>249900</v>
      </c>
      <c r="AI62" s="11"/>
      <c r="AJ62" s="11"/>
      <c r="AK62" s="17"/>
      <c r="AL62" s="97"/>
      <c r="AM62" s="97"/>
      <c r="AN62" s="101"/>
      <c r="AO62" s="248"/>
      <c r="AP62" s="17"/>
      <c r="AQ62" s="17"/>
      <c r="AR62" s="252"/>
      <c r="AS62" s="136"/>
      <c r="AT62" s="137"/>
      <c r="AU62" s="52"/>
      <c r="AV62" s="52"/>
      <c r="AW62" s="30"/>
      <c r="AX62" s="100"/>
      <c r="AY62" s="100"/>
      <c r="AZ62" s="124"/>
      <c r="BA62" s="169"/>
      <c r="BB62" s="116"/>
      <c r="BC62" s="116"/>
      <c r="BD62" s="247"/>
      <c r="BE62" s="124"/>
      <c r="BF62" s="124"/>
      <c r="BG62" s="116"/>
      <c r="BH62" s="116"/>
      <c r="BI62" s="116"/>
      <c r="BJ62" s="124"/>
      <c r="BK62" s="124"/>
      <c r="BL62" s="124"/>
      <c r="BM62" s="116"/>
      <c r="BN62" s="116"/>
      <c r="BO62" s="116"/>
      <c r="BP62" s="124"/>
      <c r="BQ62" s="116"/>
      <c r="BR62" s="116"/>
      <c r="BS62" s="116"/>
      <c r="BT62" s="116"/>
      <c r="BU62" s="116"/>
      <c r="BV62" s="187"/>
      <c r="BW62" s="125"/>
      <c r="BX62" s="97"/>
      <c r="BY62" s="246"/>
      <c r="BZ62" s="246"/>
      <c r="CA62" s="116"/>
      <c r="CB62" s="247"/>
      <c r="CC62" s="125"/>
      <c r="CD62" s="247"/>
      <c r="CE62" s="116"/>
      <c r="CF62" s="116"/>
      <c r="CG62" s="116"/>
      <c r="CH62" s="187"/>
      <c r="CI62" s="195"/>
      <c r="CJ62" s="187"/>
      <c r="CK62" s="246" t="s">
        <v>171</v>
      </c>
      <c r="CL62" s="246" t="s">
        <v>171</v>
      </c>
      <c r="CM62" s="116"/>
      <c r="CN62" s="247"/>
      <c r="CO62" s="125"/>
      <c r="CP62" s="247"/>
      <c r="CQ62" s="116"/>
      <c r="CR62" s="116"/>
      <c r="CS62" s="116"/>
      <c r="CT62" s="247">
        <v>266250</v>
      </c>
      <c r="CU62" s="125">
        <v>50587.5</v>
      </c>
      <c r="CV62" s="125">
        <f t="shared" ref="CV62:CV76" si="33">+CT62+CU62</f>
        <v>316837.5</v>
      </c>
      <c r="CW62" s="116"/>
      <c r="CX62" s="116"/>
      <c r="CY62" s="116"/>
      <c r="CZ62" s="102">
        <v>165645</v>
      </c>
      <c r="DA62" s="125">
        <f t="shared" si="31"/>
        <v>31472.55</v>
      </c>
      <c r="DB62" s="102">
        <f t="shared" si="32"/>
        <v>197117.55</v>
      </c>
      <c r="DC62" s="31" t="s">
        <v>172</v>
      </c>
      <c r="DD62" s="17" t="s">
        <v>65</v>
      </c>
      <c r="DE62" s="11">
        <v>1151120001</v>
      </c>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
      <c r="EU62" s="11"/>
      <c r="EV62" s="11"/>
      <c r="EW62" s="11"/>
      <c r="EX62" s="11"/>
      <c r="EY62" s="11"/>
      <c r="EZ62" s="11"/>
      <c r="FA62" s="11"/>
      <c r="FB62" s="11"/>
      <c r="FC62" s="11"/>
      <c r="FD62" s="11"/>
      <c r="FE62" s="11"/>
      <c r="FF62" s="252"/>
      <c r="FG62" s="61"/>
      <c r="FH62" s="17">
        <f t="shared" si="28"/>
        <v>1242559.8800000001</v>
      </c>
      <c r="FI62" s="31">
        <f t="shared" si="29"/>
        <v>5</v>
      </c>
      <c r="FJ62" s="68">
        <f t="shared" si="30"/>
        <v>248511.97600000002</v>
      </c>
    </row>
    <row r="63" spans="1:166" ht="38.25" x14ac:dyDescent="0.25">
      <c r="A63" s="248">
        <f>Distribución_Reactivos!A63</f>
        <v>61</v>
      </c>
      <c r="B63" s="248" t="str">
        <f>Distribución_Reactivos!B63</f>
        <v>Anfotericina B solución para cultivo celular</v>
      </c>
      <c r="C63" s="248" t="str">
        <f>Distribución_Reactivos!C63</f>
        <v>Sigma</v>
      </c>
      <c r="D63" s="248" t="str">
        <f>Distribución_Reactivos!D63</f>
        <v>Frasco x 50 ml</v>
      </c>
      <c r="E63" s="29">
        <v>1</v>
      </c>
      <c r="F63" s="212">
        <v>700593.85666666669</v>
      </c>
      <c r="G63" s="214">
        <v>679490</v>
      </c>
      <c r="H63" s="221">
        <v>462688.55648758332</v>
      </c>
      <c r="I63" s="221">
        <v>0</v>
      </c>
      <c r="J63" s="221">
        <v>270398.09119800001</v>
      </c>
      <c r="K63" s="221">
        <v>0</v>
      </c>
      <c r="L63" s="247">
        <f>AVERAGE(F63,H63,J63)</f>
        <v>477893.50145075005</v>
      </c>
      <c r="M63" s="247">
        <f>G63*1.03</f>
        <v>699874.70000000007</v>
      </c>
      <c r="N63" s="217"/>
      <c r="O63" s="97"/>
      <c r="P63" s="97"/>
      <c r="Q63" s="115"/>
      <c r="R63" s="115"/>
      <c r="S63" s="53"/>
      <c r="T63" s="97">
        <f>+(258000/20)*50</f>
        <v>645000</v>
      </c>
      <c r="U63" s="102">
        <f>+T63*0</f>
        <v>0</v>
      </c>
      <c r="V63" s="97">
        <f>+U63+T63</f>
        <v>645000</v>
      </c>
      <c r="W63" s="115" t="s">
        <v>173</v>
      </c>
      <c r="X63" s="115" t="s">
        <v>155</v>
      </c>
      <c r="Y63" s="4"/>
      <c r="Z63" s="101"/>
      <c r="AA63" s="97"/>
      <c r="AB63" s="97"/>
      <c r="AC63" s="115"/>
      <c r="AD63" s="44"/>
      <c r="AE63" s="11"/>
      <c r="AF63" s="102"/>
      <c r="AG63" s="125"/>
      <c r="AH63" s="97"/>
      <c r="AI63" s="11"/>
      <c r="AJ63" s="11"/>
      <c r="AK63" s="17"/>
      <c r="AL63" s="97"/>
      <c r="AM63" s="97"/>
      <c r="AN63" s="101"/>
      <c r="AO63" s="248"/>
      <c r="AP63" s="17"/>
      <c r="AQ63" s="17"/>
      <c r="AR63" s="252"/>
      <c r="AS63" s="97"/>
      <c r="AT63" s="103"/>
      <c r="AU63" s="52"/>
      <c r="AV63" s="52"/>
      <c r="AW63" s="30"/>
      <c r="AX63" s="100"/>
      <c r="AY63" s="174"/>
      <c r="AZ63" s="124"/>
      <c r="BA63" s="169"/>
      <c r="BB63" s="116"/>
      <c r="BC63" s="116"/>
      <c r="BD63" s="247"/>
      <c r="BE63" s="124"/>
      <c r="BF63" s="124"/>
      <c r="BG63" s="116"/>
      <c r="BH63" s="116"/>
      <c r="BI63" s="116"/>
      <c r="BJ63" s="124"/>
      <c r="BK63" s="124"/>
      <c r="BL63" s="124"/>
      <c r="BM63" s="116"/>
      <c r="BN63" s="116"/>
      <c r="BO63" s="116"/>
      <c r="BP63" s="124">
        <v>253252</v>
      </c>
      <c r="BQ63" s="125">
        <f>BP63*19%</f>
        <v>48117.88</v>
      </c>
      <c r="BR63" s="97">
        <f>+BP63+BQ63</f>
        <v>301369.88</v>
      </c>
      <c r="BS63" s="116" t="s">
        <v>174</v>
      </c>
      <c r="BT63" s="34" t="s">
        <v>175</v>
      </c>
      <c r="BU63" s="5" t="s">
        <v>176</v>
      </c>
      <c r="BV63" s="236">
        <v>441000</v>
      </c>
      <c r="BW63" s="125">
        <f>BV63*0</f>
        <v>0</v>
      </c>
      <c r="BX63" s="97">
        <f t="shared" ref="BX63:BX68" si="34">+BV63+BW63</f>
        <v>441000</v>
      </c>
      <c r="BY63" s="237" t="s">
        <v>59</v>
      </c>
      <c r="BZ63" s="237" t="s">
        <v>177</v>
      </c>
      <c r="CA63" s="116"/>
      <c r="CB63" s="247"/>
      <c r="CC63" s="125"/>
      <c r="CD63" s="247"/>
      <c r="CE63" s="116"/>
      <c r="CF63" s="116"/>
      <c r="CG63" s="116"/>
      <c r="CH63" s="236">
        <v>449820</v>
      </c>
      <c r="CI63" s="238">
        <f>+CH63*0</f>
        <v>0</v>
      </c>
      <c r="CJ63" s="236">
        <f>+CH63+CI63</f>
        <v>449820</v>
      </c>
      <c r="CK63" s="237" t="s">
        <v>59</v>
      </c>
      <c r="CL63" s="237" t="s">
        <v>177</v>
      </c>
      <c r="CM63" s="116"/>
      <c r="CN63" s="247"/>
      <c r="CO63" s="125"/>
      <c r="CP63" s="247"/>
      <c r="CQ63" s="116"/>
      <c r="CR63" s="116"/>
      <c r="CS63" s="116"/>
      <c r="CT63" s="247">
        <v>209000</v>
      </c>
      <c r="CU63" s="125">
        <v>39710</v>
      </c>
      <c r="CV63" s="125">
        <f t="shared" si="33"/>
        <v>248710</v>
      </c>
      <c r="CW63" s="116"/>
      <c r="CX63" s="116"/>
      <c r="CY63" s="116"/>
      <c r="CZ63" s="102">
        <v>276571</v>
      </c>
      <c r="DA63" s="125">
        <f t="shared" si="31"/>
        <v>52548.49</v>
      </c>
      <c r="DB63" s="102">
        <f t="shared" si="32"/>
        <v>329119.49</v>
      </c>
      <c r="DC63" s="31" t="s">
        <v>178</v>
      </c>
      <c r="DD63" s="17" t="s">
        <v>161</v>
      </c>
      <c r="DE63" s="11" t="s">
        <v>179</v>
      </c>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
      <c r="EU63" s="11"/>
      <c r="EV63" s="11"/>
      <c r="EW63" s="11"/>
      <c r="EX63" s="11"/>
      <c r="EY63" s="11"/>
      <c r="EZ63" s="11"/>
      <c r="FA63" s="11"/>
      <c r="FB63" s="11"/>
      <c r="FC63" s="11"/>
      <c r="FD63" s="11"/>
      <c r="FE63" s="11"/>
      <c r="FF63" s="252"/>
      <c r="FG63" s="61"/>
      <c r="FH63" s="17">
        <f t="shared" si="28"/>
        <v>3114894.0700000003</v>
      </c>
      <c r="FI63" s="31">
        <f t="shared" si="29"/>
        <v>7</v>
      </c>
      <c r="FJ63" s="68">
        <f t="shared" si="30"/>
        <v>444984.86714285717</v>
      </c>
    </row>
    <row r="64" spans="1:166" ht="63.75" x14ac:dyDescent="0.25">
      <c r="A64" s="248">
        <f>Distribución_Reactivos!A64</f>
        <v>62</v>
      </c>
      <c r="B64" s="248" t="str">
        <f>Distribución_Reactivos!B64</f>
        <v>Antibiotic Antimycotic Solution (100×), Stabilized . with 10,000 units penicillin, 10 mg streptomycin and 25 μg amphotericin B per mL, sterile-filtered, BioReagent, suitable for cell culture</v>
      </c>
      <c r="C64" s="248" t="str">
        <f>Distribución_Reactivos!C64</f>
        <v>Sigma A5955; Gibco 15240062</v>
      </c>
      <c r="D64" s="248" t="str">
        <f>Distribución_Reactivos!D64</f>
        <v>Frasco x 100 ml</v>
      </c>
      <c r="E64" s="29">
        <v>1</v>
      </c>
      <c r="F64" s="212">
        <v>343750.09375</v>
      </c>
      <c r="G64" s="214">
        <v>331653</v>
      </c>
      <c r="H64" s="221">
        <v>380911.18049140624</v>
      </c>
      <c r="I64" s="221">
        <v>0</v>
      </c>
      <c r="J64" s="221">
        <v>263105.59119800001</v>
      </c>
      <c r="K64" s="221">
        <v>0</v>
      </c>
      <c r="L64" s="247">
        <f>AVERAGE(F64,H64,J64)</f>
        <v>329255.6218131354</v>
      </c>
      <c r="M64" s="247">
        <f>G64*1.03</f>
        <v>341602.59</v>
      </c>
      <c r="N64" s="217"/>
      <c r="O64" s="97"/>
      <c r="P64" s="97"/>
      <c r="Q64" s="115"/>
      <c r="R64" s="115"/>
      <c r="S64" s="53"/>
      <c r="T64" s="97">
        <v>328000</v>
      </c>
      <c r="U64" s="102">
        <f>+T64*0</f>
        <v>0</v>
      </c>
      <c r="V64" s="97">
        <f>+U64+T64</f>
        <v>328000</v>
      </c>
      <c r="W64" s="115" t="s">
        <v>51</v>
      </c>
      <c r="X64" s="115" t="s">
        <v>155</v>
      </c>
      <c r="Y64" s="11"/>
      <c r="Z64" s="97"/>
      <c r="AA64" s="97"/>
      <c r="AB64" s="97"/>
      <c r="AC64" s="44"/>
      <c r="AD64" s="44"/>
      <c r="AE64" s="11"/>
      <c r="AF64" s="102"/>
      <c r="AG64" s="125"/>
      <c r="AH64" s="97"/>
      <c r="AI64" s="11"/>
      <c r="AJ64" s="11"/>
      <c r="AK64" s="17"/>
      <c r="AL64" s="97"/>
      <c r="AM64" s="97"/>
      <c r="AN64" s="101"/>
      <c r="AO64" s="248"/>
      <c r="AP64" s="17"/>
      <c r="AQ64" s="17"/>
      <c r="AR64" s="252"/>
      <c r="AS64" s="136"/>
      <c r="AT64" s="137"/>
      <c r="AU64" s="52"/>
      <c r="AV64" s="52"/>
      <c r="AW64" s="30"/>
      <c r="AX64" s="100"/>
      <c r="AY64" s="100"/>
      <c r="AZ64" s="124"/>
      <c r="BA64" s="169"/>
      <c r="BB64" s="116"/>
      <c r="BC64" s="116"/>
      <c r="BD64" s="247"/>
      <c r="BE64" s="124"/>
      <c r="BF64" s="124"/>
      <c r="BG64" s="116"/>
      <c r="BH64" s="116"/>
      <c r="BI64" s="116"/>
      <c r="BJ64" s="124"/>
      <c r="BK64" s="124"/>
      <c r="BL64" s="124"/>
      <c r="BM64" s="116"/>
      <c r="BN64" s="116"/>
      <c r="BO64" s="116"/>
      <c r="BP64" s="124"/>
      <c r="BQ64" s="116"/>
      <c r="BR64" s="116"/>
      <c r="BS64" s="116"/>
      <c r="BT64" s="116"/>
      <c r="BU64" s="116"/>
      <c r="BV64" s="236">
        <v>280000</v>
      </c>
      <c r="BW64" s="125">
        <f>BV64*19%</f>
        <v>53200</v>
      </c>
      <c r="BX64" s="97">
        <f t="shared" si="34"/>
        <v>333200</v>
      </c>
      <c r="BY64" s="237" t="s">
        <v>54</v>
      </c>
      <c r="BZ64" s="237" t="s">
        <v>177</v>
      </c>
      <c r="CA64" s="116"/>
      <c r="CB64" s="247"/>
      <c r="CC64" s="125"/>
      <c r="CD64" s="247"/>
      <c r="CE64" s="116"/>
      <c r="CF64" s="116"/>
      <c r="CG64" s="116"/>
      <c r="CH64" s="236">
        <v>288400</v>
      </c>
      <c r="CI64" s="238">
        <f>+CH64*0.19</f>
        <v>54796</v>
      </c>
      <c r="CJ64" s="236">
        <f>+CH64+CI64</f>
        <v>343196</v>
      </c>
      <c r="CK64" s="237" t="s">
        <v>54</v>
      </c>
      <c r="CL64" s="237" t="s">
        <v>177</v>
      </c>
      <c r="CM64" s="116"/>
      <c r="CN64" s="247"/>
      <c r="CO64" s="125"/>
      <c r="CP64" s="247"/>
      <c r="CQ64" s="116"/>
      <c r="CR64" s="116"/>
      <c r="CS64" s="116"/>
      <c r="CT64" s="125">
        <v>290000</v>
      </c>
      <c r="CU64" s="125">
        <v>55100</v>
      </c>
      <c r="CV64" s="125">
        <f t="shared" si="33"/>
        <v>345100</v>
      </c>
      <c r="CW64" s="116"/>
      <c r="CX64" s="116"/>
      <c r="CY64" s="116"/>
      <c r="CZ64" s="102">
        <v>146000</v>
      </c>
      <c r="DA64" s="125">
        <f t="shared" si="31"/>
        <v>27740</v>
      </c>
      <c r="DB64" s="102">
        <f t="shared" si="32"/>
        <v>173740</v>
      </c>
      <c r="DC64" s="31" t="s">
        <v>180</v>
      </c>
      <c r="DD64" s="17" t="s">
        <v>161</v>
      </c>
      <c r="DE64" s="11" t="s">
        <v>181</v>
      </c>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
      <c r="EU64" s="11"/>
      <c r="EV64" s="11"/>
      <c r="EW64" s="11"/>
      <c r="EX64" s="11"/>
      <c r="EY64" s="11"/>
      <c r="EZ64" s="11"/>
      <c r="FA64" s="11"/>
      <c r="FB64" s="11"/>
      <c r="FC64" s="11"/>
      <c r="FD64" s="11"/>
      <c r="FE64" s="11"/>
      <c r="FF64" s="11"/>
      <c r="FG64" s="11"/>
      <c r="FH64" s="17">
        <f t="shared" si="28"/>
        <v>1864838.59</v>
      </c>
      <c r="FI64" s="31">
        <f t="shared" si="29"/>
        <v>6</v>
      </c>
      <c r="FJ64" s="68">
        <f t="shared" si="30"/>
        <v>310806.4316666667</v>
      </c>
    </row>
    <row r="65" spans="1:166" ht="25.5" x14ac:dyDescent="0.25">
      <c r="A65" s="248">
        <f>Distribución_Reactivos!A65</f>
        <v>63</v>
      </c>
      <c r="B65" s="248" t="str">
        <f>Distribución_Reactivos!B65</f>
        <v>Antibiótico ácido Nalidíxico Cas 389-08-2  N8878. 5g</v>
      </c>
      <c r="C65" s="248" t="str">
        <f>Distribución_Reactivos!C65</f>
        <v>Santa cruz o Sigma</v>
      </c>
      <c r="D65" s="248" t="str">
        <f>Distribución_Reactivos!D65</f>
        <v>Frasco x 5 g</v>
      </c>
      <c r="E65" s="29">
        <v>1</v>
      </c>
      <c r="F65" s="212">
        <v>0</v>
      </c>
      <c r="G65" s="214">
        <v>0</v>
      </c>
      <c r="H65" s="221">
        <v>135485.41053635001</v>
      </c>
      <c r="I65" s="221">
        <v>0</v>
      </c>
      <c r="J65" s="221">
        <v>51170</v>
      </c>
      <c r="K65" s="221">
        <v>0</v>
      </c>
      <c r="L65" s="247">
        <f>AVERAGE(H65,J65)</f>
        <v>93327.705268175006</v>
      </c>
      <c r="M65" s="247"/>
      <c r="N65" s="217"/>
      <c r="O65" s="97"/>
      <c r="P65" s="97"/>
      <c r="Q65" s="115"/>
      <c r="R65" s="115"/>
      <c r="S65" s="53"/>
      <c r="T65" s="97"/>
      <c r="U65" s="97"/>
      <c r="V65" s="97"/>
      <c r="W65" s="115"/>
      <c r="X65" s="115"/>
      <c r="Y65" s="11"/>
      <c r="Z65" s="97"/>
      <c r="AA65" s="97"/>
      <c r="AB65" s="97"/>
      <c r="AC65" s="44"/>
      <c r="AD65" s="44"/>
      <c r="AE65" s="11"/>
      <c r="AF65" s="102"/>
      <c r="AG65" s="125"/>
      <c r="AH65" s="97"/>
      <c r="AI65" s="11"/>
      <c r="AJ65" s="11"/>
      <c r="AK65" s="17"/>
      <c r="AL65" s="97"/>
      <c r="AM65" s="97"/>
      <c r="AN65" s="101"/>
      <c r="AO65" s="248"/>
      <c r="AP65" s="17"/>
      <c r="AQ65" s="17"/>
      <c r="AR65" s="252">
        <v>144000</v>
      </c>
      <c r="AS65" s="97">
        <f>+AR65*0</f>
        <v>0</v>
      </c>
      <c r="AT65" s="103">
        <f>+AR65+AS65</f>
        <v>144000</v>
      </c>
      <c r="AU65" s="52" t="s">
        <v>157</v>
      </c>
      <c r="AV65" s="52" t="s">
        <v>42</v>
      </c>
      <c r="AW65" s="30"/>
      <c r="AX65" s="100"/>
      <c r="AY65" s="172"/>
      <c r="AZ65" s="124"/>
      <c r="BA65" s="169"/>
      <c r="BB65" s="116"/>
      <c r="BC65" s="116"/>
      <c r="BD65" s="247"/>
      <c r="BE65" s="124"/>
      <c r="BF65" s="124"/>
      <c r="BG65" s="116"/>
      <c r="BH65" s="116"/>
      <c r="BI65" s="116"/>
      <c r="BJ65" s="124"/>
      <c r="BK65" s="124"/>
      <c r="BL65" s="124"/>
      <c r="BM65" s="116"/>
      <c r="BN65" s="116"/>
      <c r="BO65" s="116"/>
      <c r="BP65" s="124"/>
      <c r="BQ65" s="116"/>
      <c r="BR65" s="116"/>
      <c r="BS65" s="116"/>
      <c r="BT65" s="116"/>
      <c r="BU65" s="116"/>
      <c r="BV65" s="236">
        <v>369600</v>
      </c>
      <c r="BW65" s="125">
        <f>BV65*19%</f>
        <v>70224</v>
      </c>
      <c r="BX65" s="97">
        <f t="shared" si="34"/>
        <v>439824</v>
      </c>
      <c r="BY65" s="237" t="s">
        <v>158</v>
      </c>
      <c r="BZ65" s="237" t="s">
        <v>159</v>
      </c>
      <c r="CA65" s="116"/>
      <c r="CB65" s="247"/>
      <c r="CC65" s="125"/>
      <c r="CD65" s="247"/>
      <c r="CE65" s="116"/>
      <c r="CF65" s="116"/>
      <c r="CG65" s="116"/>
      <c r="CH65" s="236">
        <v>388080</v>
      </c>
      <c r="CI65" s="238">
        <f>+CH65*0.19</f>
        <v>73735.199999999997</v>
      </c>
      <c r="CJ65" s="236">
        <f>+CH65+CI65</f>
        <v>461815.2</v>
      </c>
      <c r="CK65" s="237" t="s">
        <v>158</v>
      </c>
      <c r="CL65" s="237" t="s">
        <v>159</v>
      </c>
      <c r="CM65" s="116"/>
      <c r="CN65" s="247"/>
      <c r="CO65" s="125"/>
      <c r="CP65" s="247"/>
      <c r="CQ65" s="116"/>
      <c r="CR65" s="116"/>
      <c r="CS65" s="116"/>
      <c r="CT65" s="247">
        <v>248000</v>
      </c>
      <c r="CU65" s="125">
        <v>47120</v>
      </c>
      <c r="CV65" s="125">
        <f t="shared" si="33"/>
        <v>295120</v>
      </c>
      <c r="CW65" s="116"/>
      <c r="CX65" s="116"/>
      <c r="CY65" s="116"/>
      <c r="CZ65" s="102">
        <v>91771</v>
      </c>
      <c r="DA65" s="125">
        <f t="shared" si="31"/>
        <v>17436.490000000002</v>
      </c>
      <c r="DB65" s="102">
        <f t="shared" si="32"/>
        <v>109207.49</v>
      </c>
      <c r="DC65" s="31" t="s">
        <v>182</v>
      </c>
      <c r="DD65" s="17" t="s">
        <v>161</v>
      </c>
      <c r="DE65" s="11" t="s">
        <v>183</v>
      </c>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
      <c r="EU65" s="11"/>
      <c r="EV65" s="11"/>
      <c r="EW65" s="11"/>
      <c r="EX65" s="11"/>
      <c r="EY65" s="11"/>
      <c r="EZ65" s="11"/>
      <c r="FA65" s="11"/>
      <c r="FB65" s="11"/>
      <c r="FC65" s="11"/>
      <c r="FD65" s="11"/>
      <c r="FE65" s="11"/>
      <c r="FF65" s="11"/>
      <c r="FG65" s="11"/>
      <c r="FH65" s="17">
        <f t="shared" si="28"/>
        <v>1449966.69</v>
      </c>
      <c r="FI65" s="31">
        <f t="shared" si="29"/>
        <v>5</v>
      </c>
      <c r="FJ65" s="68">
        <f t="shared" si="30"/>
        <v>289993.33799999999</v>
      </c>
    </row>
    <row r="66" spans="1:166" ht="27" x14ac:dyDescent="0.25">
      <c r="A66" s="248">
        <f>Distribución_Reactivos!A66</f>
        <v>64</v>
      </c>
      <c r="B66" s="248" t="str">
        <f>Distribución_Reactivos!B66</f>
        <v>Antibiótico natamicina=Piramicina  Cas 7681-93-8</v>
      </c>
      <c r="C66" s="248" t="str">
        <f>Distribución_Reactivos!C66</f>
        <v>Santa cruz o Sigma</v>
      </c>
      <c r="D66" s="248" t="str">
        <f>Distribución_Reactivos!D66</f>
        <v>Frasco x 25 mg</v>
      </c>
      <c r="E66" s="29">
        <v>1</v>
      </c>
      <c r="F66" s="212">
        <v>1357833.554</v>
      </c>
      <c r="G66" s="214">
        <v>1357790</v>
      </c>
      <c r="H66" s="221">
        <v>1105701.4489804399</v>
      </c>
      <c r="I66" s="221">
        <v>0</v>
      </c>
      <c r="J66" s="221">
        <v>525750</v>
      </c>
      <c r="K66" s="221">
        <v>0</v>
      </c>
      <c r="L66" s="247">
        <f>AVERAGE(F66,H66,J66)</f>
        <v>996428.33432681335</v>
      </c>
      <c r="M66" s="247">
        <f>G66*1.03</f>
        <v>1398523.7</v>
      </c>
      <c r="N66" s="217"/>
      <c r="O66" s="97"/>
      <c r="P66" s="97"/>
      <c r="Q66" s="115"/>
      <c r="R66" s="115"/>
      <c r="S66" s="53"/>
      <c r="T66" s="97"/>
      <c r="U66" s="97"/>
      <c r="V66" s="97"/>
      <c r="W66" s="115"/>
      <c r="X66" s="115"/>
      <c r="Y66" s="11"/>
      <c r="Z66" s="97"/>
      <c r="AA66" s="97"/>
      <c r="AB66" s="97"/>
      <c r="AC66" s="44"/>
      <c r="AD66" s="44"/>
      <c r="AE66" s="11"/>
      <c r="AF66" s="102"/>
      <c r="AG66" s="125"/>
      <c r="AH66" s="97"/>
      <c r="AI66" s="11"/>
      <c r="AJ66" s="11"/>
      <c r="AK66" s="17"/>
      <c r="AL66" s="97"/>
      <c r="AM66" s="97"/>
      <c r="AN66" s="101"/>
      <c r="AO66" s="248"/>
      <c r="AP66" s="17"/>
      <c r="AQ66" s="17"/>
      <c r="AR66" s="252">
        <f>1800000/4</f>
        <v>450000</v>
      </c>
      <c r="AS66" s="97">
        <f>+AR66*0</f>
        <v>0</v>
      </c>
      <c r="AT66" s="103">
        <f>+AR66+AS66</f>
        <v>450000</v>
      </c>
      <c r="AU66" s="52" t="s">
        <v>184</v>
      </c>
      <c r="AV66" s="52" t="s">
        <v>42</v>
      </c>
      <c r="AW66" s="30"/>
      <c r="AX66" s="100"/>
      <c r="AY66" s="100"/>
      <c r="AZ66" s="124"/>
      <c r="BA66" s="169"/>
      <c r="BB66" s="116"/>
      <c r="BC66" s="116"/>
      <c r="BD66" s="247"/>
      <c r="BE66" s="124"/>
      <c r="BF66" s="124"/>
      <c r="BG66" s="116"/>
      <c r="BH66" s="116"/>
      <c r="BI66" s="116"/>
      <c r="BJ66" s="124"/>
      <c r="BK66" s="124"/>
      <c r="BL66" s="124"/>
      <c r="BM66" s="116"/>
      <c r="BN66" s="116"/>
      <c r="BO66" s="116"/>
      <c r="BP66" s="124"/>
      <c r="BQ66" s="116"/>
      <c r="BR66" s="116"/>
      <c r="BS66" s="116"/>
      <c r="BT66" s="116"/>
      <c r="BU66" s="116"/>
      <c r="BV66" s="236">
        <v>1920300</v>
      </c>
      <c r="BW66" s="125">
        <f>BV66*19%</f>
        <v>364857</v>
      </c>
      <c r="BX66" s="97">
        <f t="shared" si="34"/>
        <v>2285157</v>
      </c>
      <c r="BY66" s="237" t="s">
        <v>185</v>
      </c>
      <c r="BZ66" s="237" t="s">
        <v>177</v>
      </c>
      <c r="CA66" s="116"/>
      <c r="CB66" s="247"/>
      <c r="CC66" s="125"/>
      <c r="CD66" s="247"/>
      <c r="CE66" s="116"/>
      <c r="CF66" s="116"/>
      <c r="CG66" s="116"/>
      <c r="CH66" s="236"/>
      <c r="CI66" s="238"/>
      <c r="CJ66" s="236"/>
      <c r="CK66" s="237"/>
      <c r="CL66" s="237"/>
      <c r="CM66" s="116"/>
      <c r="CN66" s="247"/>
      <c r="CO66" s="125"/>
      <c r="CP66" s="247"/>
      <c r="CQ66" s="116"/>
      <c r="CR66" s="116"/>
      <c r="CS66" s="116"/>
      <c r="CT66" s="247">
        <v>229000</v>
      </c>
      <c r="CU66" s="125">
        <v>43510</v>
      </c>
      <c r="CV66" s="125">
        <f t="shared" si="33"/>
        <v>272510</v>
      </c>
      <c r="CW66" s="116"/>
      <c r="CX66" s="116"/>
      <c r="CY66" s="116"/>
      <c r="CZ66" s="102"/>
      <c r="DA66" s="125"/>
      <c r="DB66" s="102"/>
      <c r="DC66" s="31"/>
      <c r="DD66" s="17"/>
      <c r="DE66" s="11"/>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
      <c r="EU66" s="11"/>
      <c r="EV66" s="11"/>
      <c r="EW66" s="11"/>
      <c r="EX66" s="11"/>
      <c r="EY66" s="11"/>
      <c r="EZ66" s="11"/>
      <c r="FA66" s="11"/>
      <c r="FB66" s="11"/>
      <c r="FC66" s="11"/>
      <c r="FD66" s="11"/>
      <c r="FE66" s="11"/>
      <c r="FF66" s="11"/>
      <c r="FG66" s="11"/>
      <c r="FH66" s="17">
        <f t="shared" si="28"/>
        <v>4406190.7</v>
      </c>
      <c r="FI66" s="31">
        <f t="shared" si="29"/>
        <v>4</v>
      </c>
      <c r="FJ66" s="68">
        <f t="shared" si="30"/>
        <v>1101547.675</v>
      </c>
    </row>
    <row r="67" spans="1:166" ht="27" x14ac:dyDescent="0.25">
      <c r="A67" s="248">
        <f>Distribución_Reactivos!A67</f>
        <v>65</v>
      </c>
      <c r="B67" s="248" t="str">
        <f>Distribución_Reactivos!B67</f>
        <v>Antibiotico polimixina B Cas 1405-20-5 P4932-1MU</v>
      </c>
      <c r="C67" s="248" t="str">
        <f>Distribución_Reactivos!C67</f>
        <v>Santa cruz o Sigma</v>
      </c>
      <c r="D67" s="248" t="str">
        <f>Distribución_Reactivos!D67</f>
        <v>Frasco x 500 mg o 1MU</v>
      </c>
      <c r="E67" s="29">
        <v>1</v>
      </c>
      <c r="F67" s="212">
        <v>0</v>
      </c>
      <c r="G67" s="214">
        <v>0</v>
      </c>
      <c r="H67" s="221">
        <v>237470.37570305</v>
      </c>
      <c r="I67" s="221">
        <v>0</v>
      </c>
      <c r="J67" s="221">
        <v>129616.66666666667</v>
      </c>
      <c r="K67" s="221">
        <v>0</v>
      </c>
      <c r="L67" s="247">
        <f>AVERAGE(H67,J67)</f>
        <v>183543.52118485834</v>
      </c>
      <c r="M67" s="247"/>
      <c r="N67" s="217"/>
      <c r="O67" s="97"/>
      <c r="P67" s="97"/>
      <c r="Q67" s="115"/>
      <c r="R67" s="115"/>
      <c r="S67" s="53"/>
      <c r="T67" s="97"/>
      <c r="U67" s="97"/>
      <c r="V67" s="97"/>
      <c r="W67" s="115"/>
      <c r="X67" s="115"/>
      <c r="Y67" s="11"/>
      <c r="Z67" s="97"/>
      <c r="AA67" s="97"/>
      <c r="AB67" s="97"/>
      <c r="AC67" s="44"/>
      <c r="AD67" s="44"/>
      <c r="AE67" s="11"/>
      <c r="AF67" s="102"/>
      <c r="AG67" s="125"/>
      <c r="AH67" s="97"/>
      <c r="AI67" s="11"/>
      <c r="AJ67" s="11"/>
      <c r="AK67" s="17"/>
      <c r="AL67" s="97"/>
      <c r="AM67" s="97"/>
      <c r="AN67" s="127"/>
      <c r="AO67" s="248"/>
      <c r="AP67" s="17"/>
      <c r="AQ67" s="17"/>
      <c r="AR67" s="252">
        <v>403200</v>
      </c>
      <c r="AS67" s="97">
        <f>+AR67*0</f>
        <v>0</v>
      </c>
      <c r="AT67" s="103">
        <f>+AR67+AS67</f>
        <v>403200</v>
      </c>
      <c r="AU67" s="52" t="s">
        <v>186</v>
      </c>
      <c r="AV67" s="52" t="s">
        <v>42</v>
      </c>
      <c r="AW67" s="30"/>
      <c r="AX67" s="100"/>
      <c r="AY67" s="100"/>
      <c r="AZ67" s="124"/>
      <c r="BA67" s="169"/>
      <c r="BB67" s="116"/>
      <c r="BC67" s="116"/>
      <c r="BD67" s="247"/>
      <c r="BE67" s="124"/>
      <c r="BF67" s="124"/>
      <c r="BG67" s="116"/>
      <c r="BH67" s="116"/>
      <c r="BI67" s="116"/>
      <c r="BJ67" s="124"/>
      <c r="BK67" s="124"/>
      <c r="BL67" s="124"/>
      <c r="BM67" s="116"/>
      <c r="BN67" s="116"/>
      <c r="BO67" s="116"/>
      <c r="BP67" s="124"/>
      <c r="BQ67" s="116"/>
      <c r="BR67" s="116"/>
      <c r="BS67" s="116"/>
      <c r="BT67" s="116"/>
      <c r="BU67" s="116"/>
      <c r="BV67" s="236">
        <v>203600</v>
      </c>
      <c r="BW67" s="125">
        <f>BV67*0</f>
        <v>0</v>
      </c>
      <c r="BX67" s="97">
        <f t="shared" si="34"/>
        <v>203600</v>
      </c>
      <c r="BY67" s="237" t="s">
        <v>187</v>
      </c>
      <c r="BZ67" s="237" t="s">
        <v>177</v>
      </c>
      <c r="CA67" s="116"/>
      <c r="CB67" s="247"/>
      <c r="CC67" s="125"/>
      <c r="CD67" s="247"/>
      <c r="CE67" s="116"/>
      <c r="CF67" s="116"/>
      <c r="CG67" s="116"/>
      <c r="CH67" s="236">
        <v>215816</v>
      </c>
      <c r="CI67" s="238">
        <f>+CH67*0</f>
        <v>0</v>
      </c>
      <c r="CJ67" s="236">
        <f>+CH67+CI67</f>
        <v>215816</v>
      </c>
      <c r="CK67" s="237" t="s">
        <v>187</v>
      </c>
      <c r="CL67" s="237" t="s">
        <v>177</v>
      </c>
      <c r="CM67" s="116"/>
      <c r="CN67" s="247"/>
      <c r="CO67" s="125"/>
      <c r="CP67" s="247"/>
      <c r="CQ67" s="116"/>
      <c r="CR67" s="116"/>
      <c r="CS67" s="116"/>
      <c r="CT67" s="247">
        <v>238000</v>
      </c>
      <c r="CU67" s="125">
        <v>45220</v>
      </c>
      <c r="CV67" s="125">
        <f t="shared" si="33"/>
        <v>283220</v>
      </c>
      <c r="CW67" s="116"/>
      <c r="CX67" s="116"/>
      <c r="CY67" s="116"/>
      <c r="CZ67" s="102">
        <v>149129</v>
      </c>
      <c r="DA67" s="125">
        <v>0</v>
      </c>
      <c r="DB67" s="102">
        <v>149129</v>
      </c>
      <c r="DC67" s="31"/>
      <c r="DD67" s="17" t="s">
        <v>161</v>
      </c>
      <c r="DE67" s="11" t="s">
        <v>188</v>
      </c>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
      <c r="EU67" s="11"/>
      <c r="EV67" s="11"/>
      <c r="EW67" s="11"/>
      <c r="EX67" s="11"/>
      <c r="EY67" s="11"/>
      <c r="EZ67" s="11"/>
      <c r="FA67" s="11"/>
      <c r="FB67" s="11"/>
      <c r="FC67" s="11"/>
      <c r="FD67" s="11"/>
      <c r="FE67" s="11"/>
      <c r="FF67" s="11"/>
      <c r="FG67" s="11"/>
      <c r="FH67" s="17">
        <f t="shared" si="28"/>
        <v>1254965</v>
      </c>
      <c r="FI67" s="31">
        <f t="shared" si="29"/>
        <v>5</v>
      </c>
      <c r="FJ67" s="68">
        <f t="shared" si="30"/>
        <v>250993</v>
      </c>
    </row>
    <row r="68" spans="1:166" ht="38.25" x14ac:dyDescent="0.25">
      <c r="A68" s="248">
        <f>Distribución_Reactivos!A68</f>
        <v>66</v>
      </c>
      <c r="B68" s="248" t="str">
        <f>Distribución_Reactivos!B68</f>
        <v>Anti-Bovine IgG (whole molecule)−Peroxidase antibody produced in rabbit</v>
      </c>
      <c r="C68" s="248" t="str">
        <f>Distribución_Reactivos!C68</f>
        <v>SIGMA A8917</v>
      </c>
      <c r="D68" s="248" t="str">
        <f>Distribución_Reactivos!D68</f>
        <v>Frascos x 1 ml</v>
      </c>
      <c r="E68" s="29">
        <v>1</v>
      </c>
      <c r="F68" s="212">
        <v>0</v>
      </c>
      <c r="G68" s="214">
        <v>0</v>
      </c>
      <c r="H68" s="221">
        <v>0</v>
      </c>
      <c r="I68" s="221">
        <v>0</v>
      </c>
      <c r="J68" s="221">
        <v>0</v>
      </c>
      <c r="K68" s="221">
        <v>0</v>
      </c>
      <c r="L68" s="247"/>
      <c r="M68" s="247"/>
      <c r="N68" s="217"/>
      <c r="O68" s="97"/>
      <c r="P68" s="97"/>
      <c r="Q68" s="115"/>
      <c r="R68" s="115"/>
      <c r="S68" s="53"/>
      <c r="T68" s="97"/>
      <c r="U68" s="97"/>
      <c r="V68" s="97"/>
      <c r="W68" s="115"/>
      <c r="X68" s="115"/>
      <c r="Y68" s="11"/>
      <c r="Z68" s="97"/>
      <c r="AA68" s="97"/>
      <c r="AB68" s="97"/>
      <c r="AC68" s="44"/>
      <c r="AD68" s="44"/>
      <c r="AE68" s="11"/>
      <c r="AF68" s="97"/>
      <c r="AG68" s="125"/>
      <c r="AH68" s="97"/>
      <c r="AI68" s="11"/>
      <c r="AJ68" s="11"/>
      <c r="AK68" s="17"/>
      <c r="AL68" s="97"/>
      <c r="AM68" s="97"/>
      <c r="AN68" s="127"/>
      <c r="AO68" s="24"/>
      <c r="AP68" s="17"/>
      <c r="AQ68" s="17"/>
      <c r="AR68" s="252"/>
      <c r="AS68" s="138"/>
      <c r="AT68" s="139"/>
      <c r="AU68" s="52"/>
      <c r="AV68" s="52"/>
      <c r="AW68" s="30"/>
      <c r="AX68" s="100"/>
      <c r="AY68" s="100"/>
      <c r="AZ68" s="124"/>
      <c r="BA68" s="169"/>
      <c r="BB68" s="116"/>
      <c r="BC68" s="116"/>
      <c r="BD68" s="252"/>
      <c r="BE68" s="124"/>
      <c r="BF68" s="124"/>
      <c r="BG68" s="116"/>
      <c r="BH68" s="116"/>
      <c r="BI68" s="116"/>
      <c r="BJ68" s="124"/>
      <c r="BK68" s="124"/>
      <c r="BL68" s="124"/>
      <c r="BM68" s="116"/>
      <c r="BN68" s="116"/>
      <c r="BO68" s="116"/>
      <c r="BP68" s="124"/>
      <c r="BQ68" s="116"/>
      <c r="BR68" s="116"/>
      <c r="BS68" s="116"/>
      <c r="BT68" s="116"/>
      <c r="BU68" s="116"/>
      <c r="BV68" s="240">
        <v>927500</v>
      </c>
      <c r="BW68" s="125">
        <f>BV68*19%</f>
        <v>176225</v>
      </c>
      <c r="BX68" s="97">
        <f t="shared" si="34"/>
        <v>1103725</v>
      </c>
      <c r="BY68" s="237" t="s">
        <v>189</v>
      </c>
      <c r="BZ68" s="237" t="s">
        <v>177</v>
      </c>
      <c r="CA68" s="116"/>
      <c r="CB68" s="252"/>
      <c r="CC68" s="124"/>
      <c r="CD68" s="252"/>
      <c r="CE68" s="116"/>
      <c r="CF68" s="116"/>
      <c r="CG68" s="116"/>
      <c r="CH68" s="241"/>
      <c r="CI68" s="238"/>
      <c r="CJ68" s="236"/>
      <c r="CK68" s="237"/>
      <c r="CL68" s="237"/>
      <c r="CM68" s="116"/>
      <c r="CN68" s="252"/>
      <c r="CO68" s="124"/>
      <c r="CP68" s="252"/>
      <c r="CQ68" s="116"/>
      <c r="CR68" s="116"/>
      <c r="CS68" s="116"/>
      <c r="CT68" s="125">
        <v>201000</v>
      </c>
      <c r="CU68" s="124">
        <v>38190</v>
      </c>
      <c r="CV68" s="125">
        <f t="shared" si="33"/>
        <v>239190</v>
      </c>
      <c r="CW68" s="116"/>
      <c r="CX68" s="116"/>
      <c r="CY68" s="116"/>
      <c r="CZ68" s="97"/>
      <c r="DA68" s="124"/>
      <c r="DB68" s="97"/>
      <c r="DC68" s="31"/>
      <c r="DD68" s="17"/>
      <c r="DE68" s="11"/>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
      <c r="EU68" s="11"/>
      <c r="EV68" s="11"/>
      <c r="EW68" s="11"/>
      <c r="EX68" s="11"/>
      <c r="EY68" s="11"/>
      <c r="EZ68" s="11"/>
      <c r="FA68" s="11"/>
      <c r="FB68" s="11"/>
      <c r="FC68" s="11"/>
      <c r="FD68" s="11"/>
      <c r="FE68" s="11"/>
      <c r="FF68" s="11"/>
      <c r="FG68" s="11"/>
      <c r="FH68" s="17">
        <f t="shared" si="28"/>
        <v>1342915</v>
      </c>
      <c r="FI68" s="31">
        <f t="shared" si="29"/>
        <v>2</v>
      </c>
      <c r="FJ68" s="68">
        <f t="shared" si="30"/>
        <v>671457.5</v>
      </c>
    </row>
    <row r="69" spans="1:166" ht="25.5" x14ac:dyDescent="0.25">
      <c r="A69" s="248">
        <f>Distribución_Reactivos!A69</f>
        <v>67</v>
      </c>
      <c r="B69" s="248" t="str">
        <f>Distribución_Reactivos!B69</f>
        <v>Antigeno Brucelosis para el test de FC 100 ml</v>
      </c>
      <c r="C69" s="248" t="str">
        <f>Distribución_Reactivos!C69</f>
        <v>ID VET</v>
      </c>
      <c r="D69" s="248" t="str">
        <f>Distribución_Reactivos!D69</f>
        <v>Frasco  X 40000 reacciones</v>
      </c>
      <c r="E69" s="29">
        <v>1</v>
      </c>
      <c r="F69" s="212">
        <v>1237500</v>
      </c>
      <c r="G69" s="214">
        <v>0</v>
      </c>
      <c r="H69" s="221">
        <v>0</v>
      </c>
      <c r="I69" s="221">
        <v>0</v>
      </c>
      <c r="J69" s="221">
        <v>571200</v>
      </c>
      <c r="K69" s="221">
        <v>0</v>
      </c>
      <c r="L69" s="247">
        <f>AVERAGE(F69,J69)</f>
        <v>904350</v>
      </c>
      <c r="M69" s="247"/>
      <c r="N69" s="217"/>
      <c r="O69" s="97"/>
      <c r="P69" s="97"/>
      <c r="Q69" s="115"/>
      <c r="R69" s="115"/>
      <c r="S69" s="53"/>
      <c r="T69" s="97"/>
      <c r="U69" s="97"/>
      <c r="V69" s="97"/>
      <c r="W69" s="115"/>
      <c r="X69" s="115"/>
      <c r="Y69" s="11"/>
      <c r="Z69" s="97">
        <v>534000</v>
      </c>
      <c r="AA69" s="97">
        <v>0</v>
      </c>
      <c r="AB69" s="97">
        <f>+Z69+AA69</f>
        <v>534000</v>
      </c>
      <c r="AC69" s="44" t="s">
        <v>190</v>
      </c>
      <c r="AD69" s="44" t="s">
        <v>191</v>
      </c>
      <c r="AE69" s="11"/>
      <c r="AF69" s="102"/>
      <c r="AG69" s="125"/>
      <c r="AH69" s="97"/>
      <c r="AI69" s="11"/>
      <c r="AJ69" s="11"/>
      <c r="AK69" s="17"/>
      <c r="AL69" s="97"/>
      <c r="AM69" s="97"/>
      <c r="AN69" s="127"/>
      <c r="AO69" s="248"/>
      <c r="AP69" s="17"/>
      <c r="AQ69" s="17"/>
      <c r="AR69" s="252"/>
      <c r="AS69" s="140"/>
      <c r="AT69" s="137"/>
      <c r="AU69" s="52"/>
      <c r="AV69" s="52"/>
      <c r="AW69" s="30"/>
      <c r="AX69" s="100"/>
      <c r="AY69" s="174"/>
      <c r="AZ69" s="124"/>
      <c r="BA69" s="169"/>
      <c r="BB69" s="116"/>
      <c r="BC69" s="116"/>
      <c r="BD69" s="247"/>
      <c r="BE69" s="124"/>
      <c r="BF69" s="124"/>
      <c r="BG69" s="116"/>
      <c r="BH69" s="116"/>
      <c r="BI69" s="116"/>
      <c r="BJ69" s="124"/>
      <c r="BK69" s="124"/>
      <c r="BL69" s="124"/>
      <c r="BM69" s="116"/>
      <c r="BN69" s="116"/>
      <c r="BO69" s="116"/>
      <c r="BP69" s="124"/>
      <c r="BQ69" s="116"/>
      <c r="BR69" s="116"/>
      <c r="BS69" s="116"/>
      <c r="BT69" s="116"/>
      <c r="BU69" s="116"/>
      <c r="BV69" s="188"/>
      <c r="BW69" s="125"/>
      <c r="BX69" s="97"/>
      <c r="BY69" s="246"/>
      <c r="BZ69" s="246"/>
      <c r="CA69" s="116"/>
      <c r="CB69" s="247"/>
      <c r="CC69" s="125"/>
      <c r="CD69" s="247"/>
      <c r="CE69" s="116"/>
      <c r="CF69" s="116"/>
      <c r="CG69" s="34"/>
      <c r="CH69" s="187"/>
      <c r="CI69" s="195"/>
      <c r="CJ69" s="187"/>
      <c r="CK69" s="246"/>
      <c r="CL69" s="246"/>
      <c r="CM69" s="116"/>
      <c r="CN69" s="247"/>
      <c r="CO69" s="125"/>
      <c r="CP69" s="247"/>
      <c r="CQ69" s="116"/>
      <c r="CR69" s="116"/>
      <c r="CS69" s="116"/>
      <c r="CT69" s="247">
        <v>1312000</v>
      </c>
      <c r="CU69" s="125">
        <v>249280</v>
      </c>
      <c r="CV69" s="125">
        <f t="shared" si="33"/>
        <v>1561280</v>
      </c>
      <c r="CW69" s="116"/>
      <c r="CX69" s="116"/>
      <c r="CY69" s="116"/>
      <c r="CZ69" s="102"/>
      <c r="DA69" s="125"/>
      <c r="DB69" s="102"/>
      <c r="DC69" s="31"/>
      <c r="DD69" s="17"/>
      <c r="DE69" s="11"/>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
      <c r="EU69" s="11"/>
      <c r="EV69" s="11"/>
      <c r="EW69" s="11"/>
      <c r="EX69" s="11"/>
      <c r="EY69" s="11"/>
      <c r="EZ69" s="11"/>
      <c r="FA69" s="11"/>
      <c r="FB69" s="11"/>
      <c r="FC69" s="11"/>
      <c r="FD69" s="11"/>
      <c r="FE69" s="11"/>
      <c r="FF69" s="11"/>
      <c r="FG69" s="11"/>
      <c r="FH69" s="17">
        <f t="shared" si="28"/>
        <v>2095280</v>
      </c>
      <c r="FI69" s="31">
        <f t="shared" si="29"/>
        <v>2</v>
      </c>
      <c r="FJ69" s="68">
        <f t="shared" si="30"/>
        <v>1047640</v>
      </c>
    </row>
    <row r="70" spans="1:166" ht="38.25" x14ac:dyDescent="0.25">
      <c r="A70" s="248">
        <f>Distribución_Reactivos!A70</f>
        <v>68</v>
      </c>
      <c r="B70" s="248" t="str">
        <f>Distribución_Reactivos!B70</f>
        <v>Antigeno H5N9 Influenza Aviar</v>
      </c>
      <c r="C70" s="248" t="str">
        <f>Distribución_Reactivos!C70</f>
        <v>INSTITUTO ZOOPROFILACTICO DE VENEZIA</v>
      </c>
      <c r="D70" s="248" t="str">
        <f>Distribución_Reactivos!D70</f>
        <v>Frasco liofilizado  x 1 ml</v>
      </c>
      <c r="E70" s="29">
        <v>1</v>
      </c>
      <c r="F70" s="212">
        <v>0</v>
      </c>
      <c r="G70" s="214">
        <v>0</v>
      </c>
      <c r="H70" s="221">
        <v>0</v>
      </c>
      <c r="I70" s="221">
        <v>0</v>
      </c>
      <c r="J70" s="221">
        <v>922250</v>
      </c>
      <c r="K70" s="221">
        <v>0</v>
      </c>
      <c r="L70" s="247">
        <f>J70</f>
        <v>922250</v>
      </c>
      <c r="M70" s="247"/>
      <c r="N70" s="217"/>
      <c r="O70" s="97"/>
      <c r="P70" s="97"/>
      <c r="Q70" s="115"/>
      <c r="R70" s="115"/>
      <c r="S70" s="53"/>
      <c r="T70" s="97"/>
      <c r="U70" s="97"/>
      <c r="V70" s="97"/>
      <c r="W70" s="115"/>
      <c r="X70" s="115"/>
      <c r="Y70" s="11"/>
      <c r="Z70" s="97"/>
      <c r="AA70" s="97"/>
      <c r="AB70" s="97"/>
      <c r="AC70" s="44"/>
      <c r="AD70" s="44"/>
      <c r="AE70" s="11"/>
      <c r="AF70" s="102"/>
      <c r="AG70" s="125"/>
      <c r="AH70" s="97"/>
      <c r="AI70" s="11"/>
      <c r="AJ70" s="11"/>
      <c r="AK70" s="17"/>
      <c r="AL70" s="97"/>
      <c r="AM70" s="97"/>
      <c r="AN70" s="127"/>
      <c r="AO70" s="248"/>
      <c r="AP70" s="17"/>
      <c r="AQ70" s="17"/>
      <c r="AR70" s="252"/>
      <c r="AS70" s="140"/>
      <c r="AT70" s="137"/>
      <c r="AU70" s="52"/>
      <c r="AV70" s="52"/>
      <c r="AW70" s="30"/>
      <c r="AX70" s="100"/>
      <c r="AY70" s="174"/>
      <c r="AZ70" s="124"/>
      <c r="BA70" s="169"/>
      <c r="BB70" s="116"/>
      <c r="BC70" s="116"/>
      <c r="BD70" s="247"/>
      <c r="BE70" s="124"/>
      <c r="BF70" s="124"/>
      <c r="BG70" s="116"/>
      <c r="BH70" s="116"/>
      <c r="BI70" s="116"/>
      <c r="BJ70" s="124"/>
      <c r="BK70" s="124"/>
      <c r="BL70" s="124"/>
      <c r="BM70" s="116"/>
      <c r="BN70" s="116"/>
      <c r="BO70" s="116"/>
      <c r="BP70" s="124"/>
      <c r="BQ70" s="116"/>
      <c r="BR70" s="116"/>
      <c r="BS70" s="116"/>
      <c r="BT70" s="116"/>
      <c r="BU70" s="116"/>
      <c r="BV70" s="188"/>
      <c r="BW70" s="125"/>
      <c r="BX70" s="97"/>
      <c r="BY70" s="246"/>
      <c r="BZ70" s="246"/>
      <c r="CA70" s="116"/>
      <c r="CB70" s="247"/>
      <c r="CC70" s="125"/>
      <c r="CD70" s="247"/>
      <c r="CE70" s="116"/>
      <c r="CF70" s="116"/>
      <c r="CG70" s="34"/>
      <c r="CH70" s="187"/>
      <c r="CI70" s="195"/>
      <c r="CJ70" s="187"/>
      <c r="CK70" s="246"/>
      <c r="CL70" s="246"/>
      <c r="CM70" s="116"/>
      <c r="CN70" s="247"/>
      <c r="CO70" s="125"/>
      <c r="CP70" s="247"/>
      <c r="CQ70" s="116"/>
      <c r="CR70" s="116"/>
      <c r="CS70" s="116"/>
      <c r="CT70" s="247">
        <v>686000</v>
      </c>
      <c r="CU70" s="125">
        <v>130340</v>
      </c>
      <c r="CV70" s="125">
        <f t="shared" si="33"/>
        <v>816340</v>
      </c>
      <c r="CW70" s="116"/>
      <c r="CX70" s="116"/>
      <c r="CY70" s="116"/>
      <c r="CZ70" s="102"/>
      <c r="DA70" s="125"/>
      <c r="DB70" s="102"/>
      <c r="DC70" s="31"/>
      <c r="DD70" s="17"/>
      <c r="DE70" s="11"/>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
      <c r="EU70" s="11"/>
      <c r="EV70" s="11"/>
      <c r="EW70" s="11"/>
      <c r="EX70" s="11"/>
      <c r="EY70" s="11"/>
      <c r="EZ70" s="11"/>
      <c r="FA70" s="11"/>
      <c r="FB70" s="11"/>
      <c r="FC70" s="11"/>
      <c r="FD70" s="11"/>
      <c r="FE70" s="11"/>
      <c r="FF70" s="11"/>
      <c r="FG70" s="11"/>
      <c r="FH70" s="17">
        <f t="shared" si="28"/>
        <v>816340</v>
      </c>
      <c r="FI70" s="31">
        <f t="shared" si="29"/>
        <v>1</v>
      </c>
      <c r="FJ70" s="68">
        <f t="shared" si="30"/>
        <v>816340</v>
      </c>
    </row>
    <row r="71" spans="1:166" ht="38.25" x14ac:dyDescent="0.25">
      <c r="A71" s="248">
        <f>Distribución_Reactivos!A71</f>
        <v>69</v>
      </c>
      <c r="B71" s="248" t="str">
        <f>Distribución_Reactivos!B71</f>
        <v>Antigeno H6N2  Influenza Aviar</v>
      </c>
      <c r="C71" s="248" t="str">
        <f>Distribución_Reactivos!C71</f>
        <v>INSTITUTO ZOOPROFILACTICO DE VENEZIA</v>
      </c>
      <c r="D71" s="248" t="str">
        <f>Distribución_Reactivos!D71</f>
        <v>Frasco liofilizado  x 1 ml</v>
      </c>
      <c r="E71" s="29">
        <v>1</v>
      </c>
      <c r="F71" s="212">
        <v>0</v>
      </c>
      <c r="G71" s="214">
        <v>0</v>
      </c>
      <c r="H71" s="221">
        <v>0</v>
      </c>
      <c r="I71" s="221">
        <v>0</v>
      </c>
      <c r="J71" s="221">
        <v>922250</v>
      </c>
      <c r="K71" s="221">
        <v>0</v>
      </c>
      <c r="L71" s="247">
        <f>J71</f>
        <v>922250</v>
      </c>
      <c r="M71" s="247"/>
      <c r="N71" s="217"/>
      <c r="O71" s="97"/>
      <c r="P71" s="97"/>
      <c r="Q71" s="115"/>
      <c r="R71" s="115"/>
      <c r="S71" s="53"/>
      <c r="T71" s="97"/>
      <c r="U71" s="97"/>
      <c r="V71" s="97"/>
      <c r="W71" s="115"/>
      <c r="X71" s="115"/>
      <c r="Y71" s="11"/>
      <c r="Z71" s="97"/>
      <c r="AA71" s="97"/>
      <c r="AB71" s="97"/>
      <c r="AC71" s="44"/>
      <c r="AD71" s="44"/>
      <c r="AE71" s="11"/>
      <c r="AF71" s="102"/>
      <c r="AG71" s="125"/>
      <c r="AH71" s="97"/>
      <c r="AI71" s="11"/>
      <c r="AJ71" s="11"/>
      <c r="AK71" s="17"/>
      <c r="AL71" s="97"/>
      <c r="AM71" s="97"/>
      <c r="AN71" s="127"/>
      <c r="AO71" s="248"/>
      <c r="AP71" s="17"/>
      <c r="AQ71" s="17"/>
      <c r="AR71" s="252"/>
      <c r="AS71" s="140"/>
      <c r="AT71" s="137"/>
      <c r="AU71" s="52"/>
      <c r="AV71" s="52"/>
      <c r="AW71" s="30"/>
      <c r="AX71" s="100"/>
      <c r="AY71" s="174"/>
      <c r="AZ71" s="124"/>
      <c r="BA71" s="169"/>
      <c r="BB71" s="116"/>
      <c r="BC71" s="116"/>
      <c r="BD71" s="247"/>
      <c r="BE71" s="124"/>
      <c r="BF71" s="124"/>
      <c r="BG71" s="116"/>
      <c r="BH71" s="116"/>
      <c r="BI71" s="116"/>
      <c r="BJ71" s="124"/>
      <c r="BK71" s="124"/>
      <c r="BL71" s="124"/>
      <c r="BM71" s="116"/>
      <c r="BN71" s="116"/>
      <c r="BO71" s="116"/>
      <c r="BP71" s="124"/>
      <c r="BQ71" s="116"/>
      <c r="BR71" s="116"/>
      <c r="BS71" s="116"/>
      <c r="BT71" s="116"/>
      <c r="BU71" s="116"/>
      <c r="BV71" s="188"/>
      <c r="BW71" s="125"/>
      <c r="BX71" s="97"/>
      <c r="BY71" s="246"/>
      <c r="BZ71" s="246"/>
      <c r="CA71" s="116"/>
      <c r="CB71" s="247"/>
      <c r="CC71" s="125"/>
      <c r="CD71" s="247"/>
      <c r="CE71" s="116"/>
      <c r="CF71" s="116"/>
      <c r="CG71" s="34"/>
      <c r="CH71" s="187"/>
      <c r="CI71" s="195"/>
      <c r="CJ71" s="187"/>
      <c r="CK71" s="246"/>
      <c r="CL71" s="246"/>
      <c r="CM71" s="116"/>
      <c r="CN71" s="247"/>
      <c r="CO71" s="125"/>
      <c r="CP71" s="247"/>
      <c r="CQ71" s="116"/>
      <c r="CR71" s="116"/>
      <c r="CS71" s="116"/>
      <c r="CT71" s="247">
        <v>938000</v>
      </c>
      <c r="CU71" s="125">
        <v>178220</v>
      </c>
      <c r="CV71" s="125">
        <f t="shared" si="33"/>
        <v>1116220</v>
      </c>
      <c r="CW71" s="116"/>
      <c r="CX71" s="116"/>
      <c r="CY71" s="116"/>
      <c r="CZ71" s="102"/>
      <c r="DA71" s="125"/>
      <c r="DB71" s="102"/>
      <c r="DC71" s="31"/>
      <c r="DD71" s="17"/>
      <c r="DE71" s="11"/>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
      <c r="EU71" s="11"/>
      <c r="EV71" s="11"/>
      <c r="EW71" s="11"/>
      <c r="EX71" s="11"/>
      <c r="EY71" s="11"/>
      <c r="EZ71" s="11"/>
      <c r="FA71" s="11"/>
      <c r="FB71" s="11"/>
      <c r="FC71" s="11"/>
      <c r="FD71" s="11"/>
      <c r="FE71" s="11"/>
      <c r="FF71" s="11"/>
      <c r="FG71" s="11"/>
      <c r="FH71" s="17">
        <f t="shared" si="28"/>
        <v>1116220</v>
      </c>
      <c r="FI71" s="31">
        <f t="shared" si="29"/>
        <v>1</v>
      </c>
      <c r="FJ71" s="68">
        <f t="shared" si="30"/>
        <v>1116220</v>
      </c>
    </row>
    <row r="72" spans="1:166" ht="38.25" x14ac:dyDescent="0.25">
      <c r="A72" s="248">
        <f>Distribución_Reactivos!A72</f>
        <v>70</v>
      </c>
      <c r="B72" s="248" t="str">
        <f>Distribución_Reactivos!B72</f>
        <v>Antigeno H7N3  Influenza Aviar</v>
      </c>
      <c r="C72" s="248" t="str">
        <f>Distribución_Reactivos!C72</f>
        <v>INSTITUTO ZOOPROFILACTICO DE VENEZIA</v>
      </c>
      <c r="D72" s="248" t="str">
        <f>Distribución_Reactivos!D72</f>
        <v>Frasco liofilizado  x 1 ml</v>
      </c>
      <c r="E72" s="29">
        <v>1</v>
      </c>
      <c r="F72" s="212">
        <v>0</v>
      </c>
      <c r="G72" s="214">
        <v>0</v>
      </c>
      <c r="H72" s="221">
        <v>0</v>
      </c>
      <c r="I72" s="221">
        <v>0</v>
      </c>
      <c r="J72" s="221">
        <v>922250</v>
      </c>
      <c r="K72" s="221">
        <v>0</v>
      </c>
      <c r="L72" s="247">
        <f>J72</f>
        <v>922250</v>
      </c>
      <c r="M72" s="247"/>
      <c r="N72" s="217"/>
      <c r="O72" s="97"/>
      <c r="P72" s="97"/>
      <c r="Q72" s="115"/>
      <c r="R72" s="115"/>
      <c r="S72" s="53"/>
      <c r="T72" s="97"/>
      <c r="U72" s="97"/>
      <c r="V72" s="97"/>
      <c r="W72" s="115"/>
      <c r="X72" s="115"/>
      <c r="Y72" s="11"/>
      <c r="Z72" s="97"/>
      <c r="AA72" s="97"/>
      <c r="AB72" s="97"/>
      <c r="AC72" s="44"/>
      <c r="AD72" s="44"/>
      <c r="AE72" s="11"/>
      <c r="AF72" s="102"/>
      <c r="AG72" s="125"/>
      <c r="AH72" s="97"/>
      <c r="AI72" s="11"/>
      <c r="AJ72" s="11"/>
      <c r="AK72" s="17"/>
      <c r="AL72" s="97"/>
      <c r="AM72" s="97"/>
      <c r="AN72" s="127"/>
      <c r="AO72" s="248"/>
      <c r="AP72" s="17"/>
      <c r="AQ72" s="17"/>
      <c r="AR72" s="252"/>
      <c r="AS72" s="140"/>
      <c r="AT72" s="137"/>
      <c r="AU72" s="52"/>
      <c r="AV72" s="52"/>
      <c r="AW72" s="30"/>
      <c r="AX72" s="100"/>
      <c r="AY72" s="174"/>
      <c r="AZ72" s="124"/>
      <c r="BA72" s="169"/>
      <c r="BB72" s="116"/>
      <c r="BC72" s="116"/>
      <c r="BD72" s="247"/>
      <c r="BE72" s="124"/>
      <c r="BF72" s="124"/>
      <c r="BG72" s="116"/>
      <c r="BH72" s="116"/>
      <c r="BI72" s="116"/>
      <c r="BJ72" s="124"/>
      <c r="BK72" s="124"/>
      <c r="BL72" s="124"/>
      <c r="BM72" s="116"/>
      <c r="BN72" s="116"/>
      <c r="BO72" s="116"/>
      <c r="BP72" s="124"/>
      <c r="BQ72" s="116"/>
      <c r="BR72" s="116"/>
      <c r="BS72" s="116"/>
      <c r="BT72" s="116"/>
      <c r="BU72" s="116"/>
      <c r="BV72" s="188"/>
      <c r="BW72" s="125"/>
      <c r="BX72" s="97"/>
      <c r="BY72" s="246"/>
      <c r="BZ72" s="246"/>
      <c r="CA72" s="116"/>
      <c r="CB72" s="247"/>
      <c r="CC72" s="125"/>
      <c r="CD72" s="247"/>
      <c r="CE72" s="116"/>
      <c r="CF72" s="116"/>
      <c r="CG72" s="34"/>
      <c r="CH72" s="187"/>
      <c r="CI72" s="195"/>
      <c r="CJ72" s="187"/>
      <c r="CK72" s="246"/>
      <c r="CL72" s="246"/>
      <c r="CM72" s="116"/>
      <c r="CN72" s="247"/>
      <c r="CO72" s="125"/>
      <c r="CP72" s="247"/>
      <c r="CQ72" s="116"/>
      <c r="CR72" s="116"/>
      <c r="CS72" s="116"/>
      <c r="CT72" s="247">
        <v>85000</v>
      </c>
      <c r="CU72" s="125">
        <v>16150</v>
      </c>
      <c r="CV72" s="125">
        <f t="shared" si="33"/>
        <v>101150</v>
      </c>
      <c r="CW72" s="116"/>
      <c r="CX72" s="116"/>
      <c r="CY72" s="116"/>
      <c r="CZ72" s="102"/>
      <c r="DA72" s="125"/>
      <c r="DB72" s="102"/>
      <c r="DC72" s="31"/>
      <c r="DD72" s="17"/>
      <c r="DE72" s="11"/>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
      <c r="EU72" s="11"/>
      <c r="EV72" s="11"/>
      <c r="EW72" s="11"/>
      <c r="EX72" s="11"/>
      <c r="EY72" s="11"/>
      <c r="EZ72" s="11"/>
      <c r="FA72" s="11"/>
      <c r="FB72" s="11"/>
      <c r="FC72" s="11"/>
      <c r="FD72" s="11"/>
      <c r="FE72" s="11"/>
      <c r="FF72" s="11"/>
      <c r="FG72" s="11"/>
      <c r="FH72" s="17">
        <f t="shared" si="28"/>
        <v>101150</v>
      </c>
      <c r="FI72" s="31">
        <f t="shared" si="29"/>
        <v>1</v>
      </c>
      <c r="FJ72" s="68">
        <f t="shared" si="30"/>
        <v>101150</v>
      </c>
    </row>
    <row r="73" spans="1:166" ht="38.25" x14ac:dyDescent="0.25">
      <c r="A73" s="248">
        <f>Distribución_Reactivos!A73</f>
        <v>71</v>
      </c>
      <c r="B73" s="248" t="str">
        <f>Distribución_Reactivos!B73</f>
        <v>Antigeno H9N2  Influenza Aviar</v>
      </c>
      <c r="C73" s="248" t="str">
        <f>Distribución_Reactivos!C73</f>
        <v>INSTITUTO ZOOPROFILACTICO DE VENEZIA</v>
      </c>
      <c r="D73" s="248" t="str">
        <f>Distribución_Reactivos!D73</f>
        <v>Frasco liofilizado  x 1 ml</v>
      </c>
      <c r="E73" s="29">
        <v>1</v>
      </c>
      <c r="F73" s="212">
        <v>0</v>
      </c>
      <c r="G73" s="214">
        <v>0</v>
      </c>
      <c r="H73" s="221">
        <v>0</v>
      </c>
      <c r="I73" s="221">
        <v>0</v>
      </c>
      <c r="J73" s="221">
        <v>922250</v>
      </c>
      <c r="K73" s="221">
        <v>0</v>
      </c>
      <c r="L73" s="247">
        <f>J73</f>
        <v>922250</v>
      </c>
      <c r="M73" s="247"/>
      <c r="N73" s="217"/>
      <c r="O73" s="97"/>
      <c r="P73" s="97"/>
      <c r="Q73" s="115"/>
      <c r="R73" s="115"/>
      <c r="S73" s="53"/>
      <c r="T73" s="97"/>
      <c r="U73" s="97"/>
      <c r="V73" s="97"/>
      <c r="W73" s="115"/>
      <c r="X73" s="115"/>
      <c r="Y73" s="11"/>
      <c r="Z73" s="97"/>
      <c r="AA73" s="97"/>
      <c r="AB73" s="97"/>
      <c r="AC73" s="44"/>
      <c r="AD73" s="44"/>
      <c r="AE73" s="11"/>
      <c r="AF73" s="102"/>
      <c r="AG73" s="125"/>
      <c r="AH73" s="97"/>
      <c r="AI73" s="11"/>
      <c r="AJ73" s="11"/>
      <c r="AK73" s="17"/>
      <c r="AL73" s="97"/>
      <c r="AM73" s="97"/>
      <c r="AN73" s="101"/>
      <c r="AO73" s="248"/>
      <c r="AP73" s="17"/>
      <c r="AQ73" s="17"/>
      <c r="AR73" s="252"/>
      <c r="AS73" s="136"/>
      <c r="AT73" s="137"/>
      <c r="AU73" s="52"/>
      <c r="AV73" s="52"/>
      <c r="AW73" s="30"/>
      <c r="AX73" s="100"/>
      <c r="AY73" s="174"/>
      <c r="AZ73" s="124"/>
      <c r="BA73" s="169"/>
      <c r="BB73" s="116"/>
      <c r="BC73" s="116"/>
      <c r="BD73" s="247"/>
      <c r="BE73" s="124"/>
      <c r="BF73" s="124"/>
      <c r="BG73" s="116"/>
      <c r="BH73" s="116"/>
      <c r="BI73" s="116"/>
      <c r="BJ73" s="124"/>
      <c r="BK73" s="124"/>
      <c r="BL73" s="124"/>
      <c r="BM73" s="116"/>
      <c r="BN73" s="116"/>
      <c r="BO73" s="116"/>
      <c r="BP73" s="124"/>
      <c r="BQ73" s="116"/>
      <c r="BR73" s="116"/>
      <c r="BS73" s="116"/>
      <c r="BT73" s="116"/>
      <c r="BU73" s="116"/>
      <c r="BV73" s="188"/>
      <c r="BW73" s="125"/>
      <c r="BX73" s="97"/>
      <c r="BY73" s="246"/>
      <c r="BZ73" s="246"/>
      <c r="CA73" s="116"/>
      <c r="CB73" s="247"/>
      <c r="CC73" s="125"/>
      <c r="CD73" s="247"/>
      <c r="CE73" s="116"/>
      <c r="CF73" s="116"/>
      <c r="CG73" s="34"/>
      <c r="CH73" s="187"/>
      <c r="CI73" s="195"/>
      <c r="CJ73" s="187"/>
      <c r="CK73" s="246"/>
      <c r="CL73" s="246"/>
      <c r="CM73" s="116"/>
      <c r="CN73" s="247"/>
      <c r="CO73" s="125"/>
      <c r="CP73" s="247"/>
      <c r="CQ73" s="116"/>
      <c r="CR73" s="116"/>
      <c r="CS73" s="116"/>
      <c r="CT73" s="247">
        <v>360000</v>
      </c>
      <c r="CU73" s="125">
        <f>+CT73*0</f>
        <v>0</v>
      </c>
      <c r="CV73" s="125">
        <f t="shared" si="33"/>
        <v>360000</v>
      </c>
      <c r="CW73" s="116"/>
      <c r="CX73" s="116"/>
      <c r="CY73" s="116"/>
      <c r="CZ73" s="102"/>
      <c r="DA73" s="125"/>
      <c r="DB73" s="102"/>
      <c r="DC73" s="31"/>
      <c r="DD73" s="17"/>
      <c r="DE73" s="11"/>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
      <c r="EU73" s="11"/>
      <c r="EV73" s="11"/>
      <c r="EW73" s="11"/>
      <c r="EX73" s="11"/>
      <c r="EY73" s="11"/>
      <c r="EZ73" s="11"/>
      <c r="FA73" s="11"/>
      <c r="FB73" s="11"/>
      <c r="FC73" s="11"/>
      <c r="FD73" s="11"/>
      <c r="FE73" s="11"/>
      <c r="FF73" s="11"/>
      <c r="FG73" s="11"/>
      <c r="FH73" s="17">
        <f t="shared" si="28"/>
        <v>360000</v>
      </c>
      <c r="FI73" s="31">
        <f t="shared" si="29"/>
        <v>1</v>
      </c>
      <c r="FJ73" s="68">
        <f t="shared" si="30"/>
        <v>360000</v>
      </c>
    </row>
    <row r="74" spans="1:166" ht="25.5" x14ac:dyDescent="0.25">
      <c r="A74" s="248">
        <f>Distribución_Reactivos!A74</f>
        <v>72</v>
      </c>
      <c r="B74" s="248" t="str">
        <f>Distribución_Reactivos!B74</f>
        <v>Antiserum Fimbrex F4 (k88)</v>
      </c>
      <c r="C74" s="248" t="str">
        <f>Distribución_Reactivos!C74</f>
        <v>Lesniak PA0263 VLA</v>
      </c>
      <c r="D74" s="248" t="str">
        <f>Distribución_Reactivos!D74</f>
        <v xml:space="preserve">Kit </v>
      </c>
      <c r="E74" s="29">
        <v>1</v>
      </c>
      <c r="F74" s="212">
        <v>0</v>
      </c>
      <c r="G74" s="214">
        <v>0</v>
      </c>
      <c r="H74" s="221">
        <v>5980000.0000000009</v>
      </c>
      <c r="I74" s="221">
        <v>0</v>
      </c>
      <c r="J74" s="221">
        <v>0</v>
      </c>
      <c r="K74" s="221">
        <v>0</v>
      </c>
      <c r="L74" s="247">
        <f>H74</f>
        <v>5980000.0000000009</v>
      </c>
      <c r="M74" s="247"/>
      <c r="N74" s="217"/>
      <c r="O74" s="97"/>
      <c r="P74" s="97"/>
      <c r="Q74" s="115"/>
      <c r="R74" s="115"/>
      <c r="S74" s="53"/>
      <c r="T74" s="97"/>
      <c r="U74" s="97"/>
      <c r="V74" s="97"/>
      <c r="W74" s="115"/>
      <c r="X74" s="115"/>
      <c r="Y74" s="11"/>
      <c r="Z74" s="97"/>
      <c r="AA74" s="97"/>
      <c r="AB74" s="97"/>
      <c r="AC74" s="44"/>
      <c r="AD74" s="44"/>
      <c r="AE74" s="11"/>
      <c r="AF74" s="97"/>
      <c r="AG74" s="125"/>
      <c r="AH74" s="97"/>
      <c r="AI74" s="11"/>
      <c r="AJ74" s="11"/>
      <c r="AK74" s="17"/>
      <c r="AL74" s="97"/>
      <c r="AM74" s="97"/>
      <c r="AN74" s="101"/>
      <c r="AO74" s="248"/>
      <c r="AP74" s="17"/>
      <c r="AQ74" s="17"/>
      <c r="AR74" s="252"/>
      <c r="AS74" s="136"/>
      <c r="AT74" s="137"/>
      <c r="AU74" s="52"/>
      <c r="AV74" s="52"/>
      <c r="AW74" s="30"/>
      <c r="AX74" s="100"/>
      <c r="AY74" s="174"/>
      <c r="AZ74" s="124"/>
      <c r="BA74" s="169"/>
      <c r="BB74" s="116"/>
      <c r="BC74" s="116"/>
      <c r="BD74" s="252"/>
      <c r="BE74" s="124"/>
      <c r="BF74" s="124"/>
      <c r="BG74" s="116"/>
      <c r="BH74" s="116"/>
      <c r="BI74" s="116"/>
      <c r="BJ74" s="124"/>
      <c r="BK74" s="124"/>
      <c r="BL74" s="124"/>
      <c r="BM74" s="116"/>
      <c r="BN74" s="116"/>
      <c r="BO74" s="116"/>
      <c r="BP74" s="124"/>
      <c r="BQ74" s="116"/>
      <c r="BR74" s="116"/>
      <c r="BS74" s="116"/>
      <c r="BT74" s="116"/>
      <c r="BU74" s="116"/>
      <c r="BV74" s="188"/>
      <c r="BW74" s="125"/>
      <c r="BX74" s="97"/>
      <c r="BY74" s="246"/>
      <c r="BZ74" s="246"/>
      <c r="CA74" s="116"/>
      <c r="CB74" s="252"/>
      <c r="CC74" s="124"/>
      <c r="CD74" s="252"/>
      <c r="CE74" s="116"/>
      <c r="CF74" s="116"/>
      <c r="CG74" s="34"/>
      <c r="CH74" s="187"/>
      <c r="CI74" s="195"/>
      <c r="CJ74" s="187"/>
      <c r="CK74" s="246"/>
      <c r="CL74" s="246"/>
      <c r="CM74" s="116"/>
      <c r="CN74" s="252"/>
      <c r="CO74" s="124"/>
      <c r="CP74" s="252"/>
      <c r="CQ74" s="116"/>
      <c r="CR74" s="116"/>
      <c r="CS74" s="116"/>
      <c r="CT74" s="252">
        <v>362500</v>
      </c>
      <c r="CU74" s="124">
        <v>68875</v>
      </c>
      <c r="CV74" s="125">
        <f t="shared" si="33"/>
        <v>431375</v>
      </c>
      <c r="CW74" s="116"/>
      <c r="CX74" s="116"/>
      <c r="CY74" s="116"/>
      <c r="CZ74" s="97"/>
      <c r="DA74" s="124"/>
      <c r="DB74" s="97"/>
      <c r="DC74" s="31"/>
      <c r="DD74" s="17"/>
      <c r="DE74" s="11"/>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
      <c r="EU74" s="11"/>
      <c r="EV74" s="11"/>
      <c r="EW74" s="11"/>
      <c r="EX74" s="11"/>
      <c r="EY74" s="11"/>
      <c r="EZ74" s="11"/>
      <c r="FA74" s="11"/>
      <c r="FB74" s="11"/>
      <c r="FC74" s="11"/>
      <c r="FD74" s="11"/>
      <c r="FE74" s="11"/>
      <c r="FF74" s="11"/>
      <c r="FG74" s="11"/>
      <c r="FH74" s="17">
        <f t="shared" si="28"/>
        <v>431375</v>
      </c>
      <c r="FI74" s="31">
        <f t="shared" si="29"/>
        <v>1</v>
      </c>
      <c r="FJ74" s="68">
        <f t="shared" si="30"/>
        <v>431375</v>
      </c>
    </row>
    <row r="75" spans="1:166" ht="25.5" x14ac:dyDescent="0.25">
      <c r="A75" s="248">
        <f>Distribución_Reactivos!A75</f>
        <v>73</v>
      </c>
      <c r="B75" s="248" t="str">
        <f>Distribución_Reactivos!B75</f>
        <v>Antiserum Fimbrex F41</v>
      </c>
      <c r="C75" s="248" t="str">
        <f>Distribución_Reactivos!C75</f>
        <v>Lesniak PA0262 VLA</v>
      </c>
      <c r="D75" s="248" t="str">
        <f>Distribución_Reactivos!D75</f>
        <v xml:space="preserve">Kit </v>
      </c>
      <c r="E75" s="29">
        <v>1</v>
      </c>
      <c r="F75" s="212">
        <v>0</v>
      </c>
      <c r="G75" s="214">
        <v>0</v>
      </c>
      <c r="H75" s="221">
        <v>5980000.0000000009</v>
      </c>
      <c r="I75" s="221">
        <v>0</v>
      </c>
      <c r="J75" s="221">
        <v>0</v>
      </c>
      <c r="K75" s="221">
        <v>0</v>
      </c>
      <c r="L75" s="247">
        <f>H75</f>
        <v>5980000.0000000009</v>
      </c>
      <c r="M75" s="247"/>
      <c r="N75" s="217"/>
      <c r="O75" s="97"/>
      <c r="P75" s="97"/>
      <c r="Q75" s="115"/>
      <c r="R75" s="115"/>
      <c r="S75" s="53"/>
      <c r="T75" s="97"/>
      <c r="U75" s="97"/>
      <c r="V75" s="97"/>
      <c r="W75" s="115"/>
      <c r="X75" s="115"/>
      <c r="Y75" s="11"/>
      <c r="Z75" s="97"/>
      <c r="AA75" s="97"/>
      <c r="AB75" s="97"/>
      <c r="AC75" s="44"/>
      <c r="AD75" s="44"/>
      <c r="AE75" s="11"/>
      <c r="AF75" s="97"/>
      <c r="AG75" s="125"/>
      <c r="AH75" s="97"/>
      <c r="AI75" s="11"/>
      <c r="AJ75" s="11"/>
      <c r="AK75" s="17"/>
      <c r="AL75" s="97"/>
      <c r="AM75" s="97"/>
      <c r="AN75" s="101"/>
      <c r="AO75" s="248"/>
      <c r="AP75" s="17"/>
      <c r="AQ75" s="17"/>
      <c r="AR75" s="252"/>
      <c r="AS75" s="136"/>
      <c r="AT75" s="137"/>
      <c r="AU75" s="52"/>
      <c r="AV75" s="52"/>
      <c r="AW75" s="30"/>
      <c r="AX75" s="100"/>
      <c r="AY75" s="174"/>
      <c r="AZ75" s="124"/>
      <c r="BA75" s="169"/>
      <c r="BB75" s="116"/>
      <c r="BC75" s="116"/>
      <c r="BD75" s="252"/>
      <c r="BE75" s="124"/>
      <c r="BF75" s="124"/>
      <c r="BG75" s="116"/>
      <c r="BH75" s="116"/>
      <c r="BI75" s="116"/>
      <c r="BJ75" s="124"/>
      <c r="BK75" s="124"/>
      <c r="BL75" s="124"/>
      <c r="BM75" s="116"/>
      <c r="BN75" s="116"/>
      <c r="BO75" s="116"/>
      <c r="BP75" s="124"/>
      <c r="BQ75" s="116"/>
      <c r="BR75" s="116"/>
      <c r="BS75" s="116"/>
      <c r="BT75" s="116"/>
      <c r="BU75" s="116"/>
      <c r="BV75" s="188"/>
      <c r="BW75" s="125"/>
      <c r="BX75" s="97"/>
      <c r="BY75" s="246"/>
      <c r="BZ75" s="246"/>
      <c r="CA75" s="116"/>
      <c r="CB75" s="252"/>
      <c r="CC75" s="124"/>
      <c r="CD75" s="252"/>
      <c r="CE75" s="116"/>
      <c r="CF75" s="116"/>
      <c r="CG75" s="34"/>
      <c r="CH75" s="187"/>
      <c r="CI75" s="195"/>
      <c r="CJ75" s="187"/>
      <c r="CK75" s="246"/>
      <c r="CL75" s="246"/>
      <c r="CM75" s="116"/>
      <c r="CN75" s="252"/>
      <c r="CO75" s="124"/>
      <c r="CP75" s="252"/>
      <c r="CQ75" s="116"/>
      <c r="CR75" s="116"/>
      <c r="CS75" s="116"/>
      <c r="CT75" s="252">
        <v>440000</v>
      </c>
      <c r="CU75" s="125">
        <f>+CT75*0</f>
        <v>0</v>
      </c>
      <c r="CV75" s="125">
        <f t="shared" si="33"/>
        <v>440000</v>
      </c>
      <c r="CW75" s="116"/>
      <c r="CX75" s="116"/>
      <c r="CY75" s="116"/>
      <c r="CZ75" s="97"/>
      <c r="DA75" s="124"/>
      <c r="DB75" s="97"/>
      <c r="DC75" s="31"/>
      <c r="DD75" s="17"/>
      <c r="DE75" s="11"/>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
      <c r="EU75" s="11"/>
      <c r="EV75" s="11"/>
      <c r="EW75" s="11"/>
      <c r="EX75" s="11"/>
      <c r="EY75" s="11"/>
      <c r="EZ75" s="11"/>
      <c r="FA75" s="11"/>
      <c r="FB75" s="11"/>
      <c r="FC75" s="11"/>
      <c r="FD75" s="11"/>
      <c r="FE75" s="11"/>
      <c r="FF75" s="11"/>
      <c r="FG75" s="11"/>
      <c r="FH75" s="17">
        <f t="shared" si="28"/>
        <v>440000</v>
      </c>
      <c r="FI75" s="31">
        <f t="shared" si="29"/>
        <v>1</v>
      </c>
      <c r="FJ75" s="68">
        <f t="shared" si="30"/>
        <v>440000</v>
      </c>
    </row>
    <row r="76" spans="1:166" ht="25.5" x14ac:dyDescent="0.25">
      <c r="A76" s="248">
        <f>Distribución_Reactivos!A76</f>
        <v>74</v>
      </c>
      <c r="B76" s="248" t="str">
        <f>Distribución_Reactivos!B76</f>
        <v>Antiserum Fimbrex F5 (k99)</v>
      </c>
      <c r="C76" s="248" t="str">
        <f>Distribución_Reactivos!C76</f>
        <v>Lesniak PA0261 VLA</v>
      </c>
      <c r="D76" s="248" t="str">
        <f>Distribución_Reactivos!D76</f>
        <v xml:space="preserve">Kit </v>
      </c>
      <c r="E76" s="29">
        <v>1</v>
      </c>
      <c r="F76" s="212">
        <v>0</v>
      </c>
      <c r="G76" s="214">
        <v>0</v>
      </c>
      <c r="H76" s="221">
        <v>5980000.0000000009</v>
      </c>
      <c r="I76" s="221">
        <v>0</v>
      </c>
      <c r="J76" s="221">
        <v>0</v>
      </c>
      <c r="K76" s="221">
        <v>0</v>
      </c>
      <c r="L76" s="247">
        <f>H76</f>
        <v>5980000.0000000009</v>
      </c>
      <c r="M76" s="247"/>
      <c r="N76" s="217"/>
      <c r="O76" s="97"/>
      <c r="P76" s="97"/>
      <c r="Q76" s="115"/>
      <c r="R76" s="115"/>
      <c r="S76" s="53"/>
      <c r="T76" s="97"/>
      <c r="U76" s="97"/>
      <c r="V76" s="97"/>
      <c r="W76" s="115"/>
      <c r="X76" s="115"/>
      <c r="Y76" s="11"/>
      <c r="Z76" s="97"/>
      <c r="AA76" s="97"/>
      <c r="AB76" s="97"/>
      <c r="AC76" s="44"/>
      <c r="AD76" s="44"/>
      <c r="AE76" s="11"/>
      <c r="AF76" s="97"/>
      <c r="AG76" s="125"/>
      <c r="AH76" s="97"/>
      <c r="AI76" s="11"/>
      <c r="AJ76" s="11"/>
      <c r="AK76" s="17"/>
      <c r="AL76" s="97"/>
      <c r="AM76" s="97"/>
      <c r="AN76" s="101"/>
      <c r="AO76" s="248"/>
      <c r="AP76" s="17"/>
      <c r="AQ76" s="17"/>
      <c r="AR76" s="252"/>
      <c r="AS76" s="136"/>
      <c r="AT76" s="137"/>
      <c r="AU76" s="52"/>
      <c r="AV76" s="52"/>
      <c r="AW76" s="30"/>
      <c r="AX76" s="100"/>
      <c r="AY76" s="174"/>
      <c r="AZ76" s="124"/>
      <c r="BA76" s="169"/>
      <c r="BB76" s="116"/>
      <c r="BC76" s="116"/>
      <c r="BD76" s="252"/>
      <c r="BE76" s="247"/>
      <c r="BF76" s="247"/>
      <c r="BG76" s="247"/>
      <c r="BH76" s="116"/>
      <c r="BI76" s="116"/>
      <c r="BJ76" s="124"/>
      <c r="BK76" s="124"/>
      <c r="BL76" s="124"/>
      <c r="BM76" s="116"/>
      <c r="BN76" s="116"/>
      <c r="BO76" s="116"/>
      <c r="BP76" s="124"/>
      <c r="BQ76" s="116"/>
      <c r="BR76" s="116"/>
      <c r="BS76" s="116"/>
      <c r="BT76" s="116"/>
      <c r="BU76" s="116"/>
      <c r="BV76" s="188"/>
      <c r="BW76" s="125"/>
      <c r="BX76" s="97"/>
      <c r="BY76" s="246"/>
      <c r="BZ76" s="246"/>
      <c r="CA76" s="116"/>
      <c r="CB76" s="252"/>
      <c r="CC76" s="124"/>
      <c r="CD76" s="252"/>
      <c r="CE76" s="116"/>
      <c r="CF76" s="116"/>
      <c r="CG76" s="34"/>
      <c r="CH76" s="187"/>
      <c r="CI76" s="195"/>
      <c r="CJ76" s="187"/>
      <c r="CK76" s="246"/>
      <c r="CL76" s="246"/>
      <c r="CM76" s="116"/>
      <c r="CN76" s="252"/>
      <c r="CO76" s="124"/>
      <c r="CP76" s="252"/>
      <c r="CQ76" s="116"/>
      <c r="CR76" s="116"/>
      <c r="CS76" s="116"/>
      <c r="CT76" s="252">
        <v>530000</v>
      </c>
      <c r="CU76" s="124">
        <v>100700</v>
      </c>
      <c r="CV76" s="125">
        <f t="shared" si="33"/>
        <v>630700</v>
      </c>
      <c r="CW76" s="116"/>
      <c r="CX76" s="116"/>
      <c r="CY76" s="116"/>
      <c r="CZ76" s="97"/>
      <c r="DA76" s="124"/>
      <c r="DB76" s="97"/>
      <c r="DC76" s="31"/>
      <c r="DD76" s="17"/>
      <c r="DE76" s="11"/>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
      <c r="EU76" s="11"/>
      <c r="EV76" s="11"/>
      <c r="EW76" s="11"/>
      <c r="EX76" s="11"/>
      <c r="EY76" s="11"/>
      <c r="EZ76" s="11"/>
      <c r="FA76" s="11"/>
      <c r="FB76" s="11"/>
      <c r="FC76" s="11"/>
      <c r="FD76" s="11"/>
      <c r="FE76" s="11"/>
      <c r="FF76" s="11"/>
      <c r="FG76" s="11"/>
      <c r="FH76" s="17">
        <f t="shared" si="28"/>
        <v>630700</v>
      </c>
      <c r="FI76" s="31">
        <f t="shared" si="29"/>
        <v>1</v>
      </c>
      <c r="FJ76" s="68">
        <f t="shared" si="30"/>
        <v>630700</v>
      </c>
    </row>
    <row r="77" spans="1:166" ht="63.75" x14ac:dyDescent="0.25">
      <c r="A77" s="248">
        <f>Distribución_Reactivos!A77</f>
        <v>75</v>
      </c>
      <c r="B77" s="248" t="str">
        <f>Distribución_Reactivos!B77</f>
        <v>API 20 E con reactivos reveladores (James, TDA, VP1,VP2, Solución salina 0,85%)</v>
      </c>
      <c r="C77" s="248" t="str">
        <f>Distribución_Reactivos!C77</f>
        <v>Biomerieux</v>
      </c>
      <c r="D77" s="248" t="str">
        <f>Distribución_Reactivos!D77</f>
        <v>Caja x 25 galerías</v>
      </c>
      <c r="E77" s="29">
        <v>1</v>
      </c>
      <c r="F77" s="212">
        <v>0</v>
      </c>
      <c r="G77" s="214">
        <v>0</v>
      </c>
      <c r="H77" s="221">
        <v>2489361</v>
      </c>
      <c r="I77" s="221">
        <v>2290000</v>
      </c>
      <c r="J77" s="221">
        <v>2208681.3449999997</v>
      </c>
      <c r="K77" s="221">
        <v>2201500</v>
      </c>
      <c r="L77" s="247">
        <f>AVERAGE(H77,J77)</f>
        <v>2349021.1724999999</v>
      </c>
      <c r="M77" s="247">
        <f>AVERAGE(I77,K77)*E1</f>
        <v>2313122.5</v>
      </c>
      <c r="N77" s="219">
        <v>2255000</v>
      </c>
      <c r="O77" s="97">
        <f>+N77*0</f>
        <v>0</v>
      </c>
      <c r="P77" s="97">
        <f>+O77+N77</f>
        <v>2255000</v>
      </c>
      <c r="Q77" s="34" t="s">
        <v>192</v>
      </c>
      <c r="R77" s="116" t="s">
        <v>193</v>
      </c>
      <c r="S77" s="25" t="s">
        <v>194</v>
      </c>
      <c r="T77" s="97"/>
      <c r="U77" s="97"/>
      <c r="V77" s="97"/>
      <c r="W77" s="115"/>
      <c r="X77" s="115"/>
      <c r="Y77" s="11"/>
      <c r="Z77" s="97"/>
      <c r="AA77" s="97"/>
      <c r="AB77" s="97"/>
      <c r="AC77" s="44"/>
      <c r="AD77" s="44"/>
      <c r="AE77" s="11"/>
      <c r="AF77" s="102"/>
      <c r="AG77" s="125"/>
      <c r="AH77" s="97"/>
      <c r="AI77" s="11"/>
      <c r="AJ77" s="11"/>
      <c r="AK77" s="17"/>
      <c r="AL77" s="97"/>
      <c r="AM77" s="97"/>
      <c r="AN77" s="101"/>
      <c r="AO77" s="248"/>
      <c r="AP77" s="17"/>
      <c r="AQ77" s="17"/>
      <c r="AR77" s="252"/>
      <c r="AS77" s="136"/>
      <c r="AT77" s="137"/>
      <c r="AU77" s="52"/>
      <c r="AV77" s="52"/>
      <c r="AW77" s="30"/>
      <c r="AX77" s="100"/>
      <c r="AY77" s="100"/>
      <c r="AZ77" s="124"/>
      <c r="BA77" s="169"/>
      <c r="BB77" s="116"/>
      <c r="BC77" s="116"/>
      <c r="BD77" s="247"/>
      <c r="BE77" s="124"/>
      <c r="BF77" s="124"/>
      <c r="BG77" s="116"/>
      <c r="BH77" s="116"/>
      <c r="BI77" s="116"/>
      <c r="BJ77" s="124"/>
      <c r="BK77" s="124"/>
      <c r="BL77" s="124"/>
      <c r="BM77" s="116"/>
      <c r="BN77" s="116"/>
      <c r="BO77" s="116"/>
      <c r="BP77" s="124"/>
      <c r="BQ77" s="116"/>
      <c r="BR77" s="116"/>
      <c r="BS77" s="116"/>
      <c r="BT77" s="116"/>
      <c r="BU77" s="116"/>
      <c r="BV77" s="240">
        <v>1845600</v>
      </c>
      <c r="BW77" s="125">
        <f>BV77*19%</f>
        <v>350664</v>
      </c>
      <c r="BX77" s="97">
        <f>+BV77+BW77</f>
        <v>2196264</v>
      </c>
      <c r="BY77" s="237" t="s">
        <v>195</v>
      </c>
      <c r="BZ77" s="237" t="s">
        <v>196</v>
      </c>
      <c r="CA77" s="116"/>
      <c r="CB77" s="247"/>
      <c r="CC77" s="125"/>
      <c r="CD77" s="247"/>
      <c r="CE77" s="116"/>
      <c r="CF77" s="116"/>
      <c r="CG77" s="34"/>
      <c r="CH77" s="236">
        <v>1974792</v>
      </c>
      <c r="CI77" s="238">
        <f>+CH77*0.19</f>
        <v>375210.48</v>
      </c>
      <c r="CJ77" s="236">
        <f>+CH77+CI77</f>
        <v>2350002.48</v>
      </c>
      <c r="CK77" s="237" t="s">
        <v>195</v>
      </c>
      <c r="CL77" s="237" t="s">
        <v>196</v>
      </c>
      <c r="CM77" s="116"/>
      <c r="CN77" s="247"/>
      <c r="CO77" s="125"/>
      <c r="CP77" s="247"/>
      <c r="CQ77" s="116"/>
      <c r="CR77" s="116"/>
      <c r="CS77" s="116"/>
      <c r="CT77" s="247"/>
      <c r="CU77" s="125"/>
      <c r="CV77" s="247"/>
      <c r="CW77" s="116"/>
      <c r="CX77" s="116"/>
      <c r="CY77" s="116"/>
      <c r="CZ77" s="102"/>
      <c r="DA77" s="125"/>
      <c r="DB77" s="102"/>
      <c r="DC77" s="31"/>
      <c r="DD77" s="17"/>
      <c r="DE77" s="11"/>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
      <c r="EU77" s="11"/>
      <c r="EV77" s="11"/>
      <c r="EW77" s="11"/>
      <c r="EX77" s="11"/>
      <c r="EY77" s="11"/>
      <c r="EZ77" s="11"/>
      <c r="FA77" s="11"/>
      <c r="FB77" s="11"/>
      <c r="FC77" s="11"/>
      <c r="FD77" s="11"/>
      <c r="FE77" s="11"/>
      <c r="FF77" s="11"/>
      <c r="FG77" s="11"/>
      <c r="FH77" s="17">
        <f t="shared" si="28"/>
        <v>9114388.9800000004</v>
      </c>
      <c r="FI77" s="31">
        <f t="shared" si="29"/>
        <v>4</v>
      </c>
      <c r="FJ77" s="68">
        <f t="shared" si="30"/>
        <v>2278597.2450000001</v>
      </c>
    </row>
    <row r="78" spans="1:166" ht="25.5" x14ac:dyDescent="0.25">
      <c r="A78" s="248">
        <f>Distribución_Reactivos!A78</f>
        <v>76</v>
      </c>
      <c r="B78" s="235" t="str">
        <f>Distribución_Reactivos!B78</f>
        <v>Armored RNA Enterovirus x 250 ult Asuragen. Ref 42050</v>
      </c>
      <c r="C78" s="248" t="str">
        <f>Distribución_Reactivos!C78</f>
        <v>Asuragen Ref 42050</v>
      </c>
      <c r="D78" s="248" t="str">
        <f>Distribución_Reactivos!D78</f>
        <v>kit x 250ul</v>
      </c>
      <c r="E78" s="29">
        <v>1</v>
      </c>
      <c r="F78" s="212">
        <v>0</v>
      </c>
      <c r="G78" s="214">
        <v>0</v>
      </c>
      <c r="H78" s="221">
        <v>2409073.1908320002</v>
      </c>
      <c r="I78" s="221">
        <v>0</v>
      </c>
      <c r="J78" s="221">
        <v>2276400</v>
      </c>
      <c r="K78" s="221">
        <v>0</v>
      </c>
      <c r="L78" s="247">
        <f>AVERAGE(H78,J78)</f>
        <v>2342736.5954160001</v>
      </c>
      <c r="M78" s="247"/>
      <c r="N78" s="217"/>
      <c r="O78" s="103"/>
      <c r="P78" s="97"/>
      <c r="Q78" s="115"/>
      <c r="R78" s="115"/>
      <c r="S78" s="53"/>
      <c r="T78" s="97"/>
      <c r="U78" s="97"/>
      <c r="V78" s="97"/>
      <c r="W78" s="115"/>
      <c r="X78" s="115"/>
      <c r="Y78" s="11"/>
      <c r="Z78" s="97"/>
      <c r="AA78" s="97"/>
      <c r="AB78" s="97"/>
      <c r="AC78" s="44"/>
      <c r="AD78" s="44"/>
      <c r="AE78" s="11"/>
      <c r="AF78" s="102"/>
      <c r="AG78" s="125"/>
      <c r="AH78" s="97"/>
      <c r="AI78" s="11"/>
      <c r="AJ78" s="11"/>
      <c r="AK78" s="17"/>
      <c r="AL78" s="97"/>
      <c r="AM78" s="97"/>
      <c r="AN78" s="127"/>
      <c r="AO78" s="248"/>
      <c r="AP78" s="17"/>
      <c r="AQ78" s="17"/>
      <c r="AR78" s="252"/>
      <c r="AS78" s="138"/>
      <c r="AT78" s="100"/>
      <c r="AU78" s="52"/>
      <c r="AV78" s="52"/>
      <c r="AW78" s="30"/>
      <c r="AX78" s="100"/>
      <c r="AY78" s="174"/>
      <c r="AZ78" s="124"/>
      <c r="BA78" s="169"/>
      <c r="BB78" s="116"/>
      <c r="BC78" s="116"/>
      <c r="BD78" s="247"/>
      <c r="BE78" s="124"/>
      <c r="BF78" s="124"/>
      <c r="BG78" s="116"/>
      <c r="BH78" s="116"/>
      <c r="BI78" s="116"/>
      <c r="BJ78" s="124"/>
      <c r="BK78" s="124"/>
      <c r="BL78" s="124"/>
      <c r="BM78" s="44"/>
      <c r="BN78" s="22"/>
      <c r="BO78" s="115"/>
      <c r="BP78" s="97"/>
      <c r="BQ78" s="115"/>
      <c r="BR78" s="116"/>
      <c r="BS78" s="116"/>
      <c r="BT78" s="116"/>
      <c r="BU78" s="116"/>
      <c r="BV78" s="188"/>
      <c r="BW78" s="125"/>
      <c r="BX78" s="97"/>
      <c r="BY78" s="246"/>
      <c r="BZ78" s="246"/>
      <c r="CA78" s="116"/>
      <c r="CB78" s="247"/>
      <c r="CC78" s="125"/>
      <c r="CD78" s="247"/>
      <c r="CE78" s="116"/>
      <c r="CF78" s="116"/>
      <c r="CG78" s="34"/>
      <c r="CH78" s="187"/>
      <c r="CI78" s="195"/>
      <c r="CJ78" s="187"/>
      <c r="CK78" s="246"/>
      <c r="CL78" s="246"/>
      <c r="CM78" s="116"/>
      <c r="CN78" s="247"/>
      <c r="CO78" s="125"/>
      <c r="CP78" s="247"/>
      <c r="CQ78" s="116"/>
      <c r="CR78" s="116"/>
      <c r="CS78" s="116"/>
      <c r="CT78" s="247"/>
      <c r="CU78" s="125"/>
      <c r="CV78" s="247"/>
      <c r="CW78" s="116"/>
      <c r="CX78" s="116"/>
      <c r="CY78" s="116"/>
      <c r="CZ78" s="102"/>
      <c r="DA78" s="125"/>
      <c r="DB78" s="102"/>
      <c r="DC78" s="31"/>
      <c r="DD78" s="17"/>
      <c r="DE78" s="11"/>
      <c r="DF78" s="116">
        <v>2032800</v>
      </c>
      <c r="DG78" s="116">
        <f>+DF78*0</f>
        <v>0</v>
      </c>
      <c r="DH78" s="116">
        <f>+DF78+DG78</f>
        <v>2032800</v>
      </c>
      <c r="DI78" s="116" t="s">
        <v>197</v>
      </c>
      <c r="DJ78" s="116" t="s">
        <v>198</v>
      </c>
      <c r="DK78" s="116"/>
      <c r="DL78" s="116"/>
      <c r="DM78" s="116"/>
      <c r="DN78" s="116"/>
      <c r="DO78" s="116"/>
      <c r="DP78" s="116"/>
      <c r="DQ78" s="116"/>
      <c r="DR78" s="102">
        <v>1890600</v>
      </c>
      <c r="DS78" s="125">
        <f>+DR78*0</f>
        <v>0</v>
      </c>
      <c r="DT78" s="97">
        <f>+DR78+DS78</f>
        <v>1890600</v>
      </c>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
      <c r="EU78" s="11"/>
      <c r="EV78" s="11"/>
      <c r="EW78" s="11"/>
      <c r="EX78" s="11"/>
      <c r="EY78" s="11"/>
      <c r="EZ78" s="11"/>
      <c r="FA78" s="11"/>
      <c r="FB78" s="11"/>
      <c r="FC78" s="11"/>
      <c r="FD78" s="11"/>
      <c r="FE78" s="11"/>
      <c r="FF78" s="11"/>
      <c r="FG78" s="11"/>
      <c r="FH78" s="17">
        <f t="shared" si="28"/>
        <v>3923400</v>
      </c>
      <c r="FI78" s="31">
        <f t="shared" si="29"/>
        <v>2</v>
      </c>
      <c r="FJ78" s="68">
        <f t="shared" si="30"/>
        <v>1961700</v>
      </c>
    </row>
    <row r="79" spans="1:166" ht="40.5" x14ac:dyDescent="0.25">
      <c r="A79" s="248">
        <f>Distribución_Reactivos!A79</f>
        <v>77</v>
      </c>
      <c r="B79" s="248" t="str">
        <f>Distribución_Reactivos!B79</f>
        <v>Azúcar</v>
      </c>
      <c r="C79" s="248" t="str">
        <f>Distribución_Reactivos!C79</f>
        <v>Cualquier marca</v>
      </c>
      <c r="D79" s="248" t="str">
        <f>Distribución_Reactivos!D79</f>
        <v>Bolsa x 25 Lbs</v>
      </c>
      <c r="E79" s="29">
        <v>1</v>
      </c>
      <c r="F79" s="212">
        <v>107754.5</v>
      </c>
      <c r="G79" s="214">
        <v>103887</v>
      </c>
      <c r="H79" s="221">
        <v>116483.49311666666</v>
      </c>
      <c r="I79" s="221">
        <v>0</v>
      </c>
      <c r="J79" s="221">
        <v>128915.675</v>
      </c>
      <c r="K79" s="221">
        <v>68425</v>
      </c>
      <c r="L79" s="247">
        <f>AVERAGE(F79,H79,J79)</f>
        <v>117717.88937222223</v>
      </c>
      <c r="M79" s="247">
        <f>AVERAGE(G79,K79)*E1</f>
        <v>88740.680000000008</v>
      </c>
      <c r="N79" s="217"/>
      <c r="O79" s="97"/>
      <c r="P79" s="97"/>
      <c r="Q79" s="115"/>
      <c r="R79" s="115"/>
      <c r="S79" s="53"/>
      <c r="T79" s="97"/>
      <c r="U79" s="97"/>
      <c r="V79" s="97"/>
      <c r="W79" s="115"/>
      <c r="X79" s="115"/>
      <c r="Y79" s="11"/>
      <c r="Z79" s="97"/>
      <c r="AA79" s="97"/>
      <c r="AB79" s="97"/>
      <c r="AC79" s="44"/>
      <c r="AD79" s="44"/>
      <c r="AE79" s="11"/>
      <c r="AF79" s="102">
        <v>125000</v>
      </c>
      <c r="AG79" s="125">
        <f>AF79*19%</f>
        <v>23750</v>
      </c>
      <c r="AH79" s="97">
        <f>+AF79+AG79</f>
        <v>148750</v>
      </c>
      <c r="AI79" s="11"/>
      <c r="AJ79" s="11"/>
      <c r="AK79" s="17"/>
      <c r="AL79" s="97"/>
      <c r="AM79" s="97"/>
      <c r="AN79" s="103"/>
      <c r="AO79" s="248"/>
      <c r="AP79" s="17"/>
      <c r="AQ79" s="17"/>
      <c r="AR79" s="252"/>
      <c r="AS79" s="135"/>
      <c r="AT79" s="137"/>
      <c r="AU79" s="52"/>
      <c r="AV79" s="52"/>
      <c r="AW79" s="30"/>
      <c r="AX79" s="100"/>
      <c r="AY79" s="174"/>
      <c r="AZ79" s="124"/>
      <c r="BA79" s="169"/>
      <c r="BB79" s="116"/>
      <c r="BC79" s="116"/>
      <c r="BD79" s="247"/>
      <c r="BE79" s="124"/>
      <c r="BF79" s="124"/>
      <c r="BG79" s="116"/>
      <c r="BH79" s="116"/>
      <c r="BI79" s="116"/>
      <c r="BJ79" s="124"/>
      <c r="BK79" s="124"/>
      <c r="BL79" s="124"/>
      <c r="BM79" s="116"/>
      <c r="BN79" s="116"/>
      <c r="BO79" s="116"/>
      <c r="BP79" s="124"/>
      <c r="BQ79" s="116"/>
      <c r="BR79" s="116"/>
      <c r="BS79" s="116"/>
      <c r="BT79" s="116"/>
      <c r="BU79" s="116"/>
      <c r="BV79" s="240">
        <v>187200</v>
      </c>
      <c r="BW79" s="125">
        <f t="shared" ref="BW79:BW86" si="35">BV79*19%</f>
        <v>35568</v>
      </c>
      <c r="BX79" s="97">
        <f t="shared" ref="BX79:BX86" si="36">+BV79+BW79</f>
        <v>222768</v>
      </c>
      <c r="BY79" s="237" t="s">
        <v>199</v>
      </c>
      <c r="BZ79" s="237" t="s">
        <v>200</v>
      </c>
      <c r="CA79" s="116"/>
      <c r="CB79" s="247">
        <v>85200</v>
      </c>
      <c r="CC79" s="125">
        <f>+CB79*19%</f>
        <v>16188</v>
      </c>
      <c r="CD79" s="247">
        <f>+CC79+CB79</f>
        <v>101388</v>
      </c>
      <c r="CE79" s="116"/>
      <c r="CF79" s="116"/>
      <c r="CG79" s="34"/>
      <c r="CH79" s="236"/>
      <c r="CI79" s="238"/>
      <c r="CJ79" s="236"/>
      <c r="CK79" s="237"/>
      <c r="CL79" s="237"/>
      <c r="CM79" s="116"/>
      <c r="CN79" s="247"/>
      <c r="CO79" s="125"/>
      <c r="CP79" s="247"/>
      <c r="CQ79" s="116"/>
      <c r="CR79" s="116"/>
      <c r="CS79" s="116"/>
      <c r="CT79" s="247"/>
      <c r="CU79" s="125"/>
      <c r="CV79" s="247"/>
      <c r="CW79" s="116"/>
      <c r="CX79" s="116"/>
      <c r="CY79" s="116"/>
      <c r="CZ79" s="102"/>
      <c r="DA79" s="125"/>
      <c r="DB79" s="102"/>
      <c r="DC79" s="31"/>
      <c r="DD79" s="17"/>
      <c r="DE79" s="11"/>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
      <c r="EU79" s="11"/>
      <c r="EV79" s="11"/>
      <c r="EW79" s="11"/>
      <c r="EX79" s="11"/>
      <c r="EY79" s="11"/>
      <c r="EZ79" s="11"/>
      <c r="FA79" s="11"/>
      <c r="FB79" s="11"/>
      <c r="FC79" s="11"/>
      <c r="FD79" s="11"/>
      <c r="FE79" s="11"/>
      <c r="FF79" s="11"/>
      <c r="FG79" s="11"/>
      <c r="FH79" s="17">
        <f t="shared" si="28"/>
        <v>561646.67999999993</v>
      </c>
      <c r="FI79" s="31">
        <f t="shared" si="29"/>
        <v>4</v>
      </c>
      <c r="FJ79" s="68">
        <f t="shared" si="30"/>
        <v>140411.66999999998</v>
      </c>
    </row>
    <row r="80" spans="1:166" ht="40.5" x14ac:dyDescent="0.25">
      <c r="A80" s="248">
        <f>Distribución_Reactivos!A80</f>
        <v>78</v>
      </c>
      <c r="B80" s="248" t="str">
        <f>Distribución_Reactivos!B80</f>
        <v>Azul de Algodón</v>
      </c>
      <c r="C80" s="248" t="str">
        <f>Distribución_Reactivos!C80</f>
        <v>Cualquier marca</v>
      </c>
      <c r="D80" s="248" t="str">
        <f>Distribución_Reactivos!D80</f>
        <v>Frasco x 5 g</v>
      </c>
      <c r="E80" s="29">
        <v>1</v>
      </c>
      <c r="F80" s="212">
        <v>0</v>
      </c>
      <c r="G80" s="214">
        <v>0</v>
      </c>
      <c r="H80" s="221">
        <v>493850</v>
      </c>
      <c r="I80" s="221">
        <v>0</v>
      </c>
      <c r="J80" s="221">
        <v>0</v>
      </c>
      <c r="K80" s="221">
        <v>0</v>
      </c>
      <c r="L80" s="247">
        <f>H80</f>
        <v>493850</v>
      </c>
      <c r="M80" s="247"/>
      <c r="N80" s="217"/>
      <c r="O80" s="97"/>
      <c r="P80" s="97"/>
      <c r="Q80" s="115"/>
      <c r="R80" s="115"/>
      <c r="S80" s="53"/>
      <c r="T80" s="97"/>
      <c r="U80" s="97"/>
      <c r="V80" s="97"/>
      <c r="W80" s="115"/>
      <c r="X80" s="115"/>
      <c r="Y80" s="11"/>
      <c r="Z80" s="97"/>
      <c r="AA80" s="97"/>
      <c r="AB80" s="97"/>
      <c r="AC80" s="44"/>
      <c r="AD80" s="44"/>
      <c r="AE80" s="11"/>
      <c r="AF80" s="97"/>
      <c r="AG80" s="125"/>
      <c r="AH80" s="97"/>
      <c r="AI80" s="11"/>
      <c r="AJ80" s="11"/>
      <c r="AK80" s="17"/>
      <c r="AL80" s="97"/>
      <c r="AM80" s="97"/>
      <c r="AN80" s="103"/>
      <c r="AO80" s="248"/>
      <c r="AP80" s="17"/>
      <c r="AQ80" s="17"/>
      <c r="AR80" s="252"/>
      <c r="AS80" s="135"/>
      <c r="AT80" s="124"/>
      <c r="AU80" s="52"/>
      <c r="AV80" s="52"/>
      <c r="AW80" s="30"/>
      <c r="AX80" s="100"/>
      <c r="AY80" s="172"/>
      <c r="AZ80" s="124"/>
      <c r="BA80" s="169"/>
      <c r="BB80" s="116"/>
      <c r="BC80" s="116"/>
      <c r="BD80" s="252"/>
      <c r="BE80" s="124"/>
      <c r="BF80" s="124"/>
      <c r="BG80" s="116"/>
      <c r="BH80" s="116"/>
      <c r="BI80" s="116"/>
      <c r="BJ80" s="124"/>
      <c r="BK80" s="124"/>
      <c r="BL80" s="124"/>
      <c r="BM80" s="116"/>
      <c r="BN80" s="116"/>
      <c r="BO80" s="116"/>
      <c r="BP80" s="124"/>
      <c r="BQ80" s="116"/>
      <c r="BR80" s="116"/>
      <c r="BS80" s="116"/>
      <c r="BT80" s="116"/>
      <c r="BU80" s="116"/>
      <c r="BV80" s="240">
        <v>546000</v>
      </c>
      <c r="BW80" s="125">
        <f t="shared" si="35"/>
        <v>103740</v>
      </c>
      <c r="BX80" s="97">
        <f t="shared" si="36"/>
        <v>649740</v>
      </c>
      <c r="BY80" s="237" t="s">
        <v>158</v>
      </c>
      <c r="BZ80" s="237" t="s">
        <v>143</v>
      </c>
      <c r="CA80" s="116"/>
      <c r="CB80" s="252"/>
      <c r="CC80" s="124"/>
      <c r="CD80" s="252"/>
      <c r="CE80" s="116"/>
      <c r="CF80" s="116"/>
      <c r="CG80" s="34"/>
      <c r="CH80" s="240">
        <v>562380</v>
      </c>
      <c r="CI80" s="238">
        <f>+CH80*0.19</f>
        <v>106852.2</v>
      </c>
      <c r="CJ80" s="236">
        <f>+CH80+CI80</f>
        <v>669232.19999999995</v>
      </c>
      <c r="CK80" s="237" t="s">
        <v>158</v>
      </c>
      <c r="CL80" s="237" t="s">
        <v>143</v>
      </c>
      <c r="CM80" s="116"/>
      <c r="CN80" s="252"/>
      <c r="CO80" s="124"/>
      <c r="CP80" s="252"/>
      <c r="CQ80" s="116"/>
      <c r="CR80" s="116"/>
      <c r="CS80" s="116"/>
      <c r="CT80" s="252"/>
      <c r="CU80" s="124"/>
      <c r="CV80" s="252"/>
      <c r="CW80" s="116"/>
      <c r="CX80" s="116"/>
      <c r="CY80" s="116"/>
      <c r="CZ80" s="97"/>
      <c r="DA80" s="124"/>
      <c r="DB80" s="97"/>
      <c r="DC80" s="31"/>
      <c r="DD80" s="17"/>
      <c r="DE80" s="11"/>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
      <c r="EU80" s="11"/>
      <c r="EV80" s="11"/>
      <c r="EW80" s="11"/>
      <c r="EX80" s="11"/>
      <c r="EY80" s="11"/>
      <c r="EZ80" s="11"/>
      <c r="FA80" s="11"/>
      <c r="FB80" s="11"/>
      <c r="FC80" s="11"/>
      <c r="FD80" s="11"/>
      <c r="FE80" s="11"/>
      <c r="FF80" s="11"/>
      <c r="FG80" s="11"/>
      <c r="FH80" s="17">
        <f t="shared" si="28"/>
        <v>1318972.2</v>
      </c>
      <c r="FI80" s="31">
        <f t="shared" si="29"/>
        <v>2</v>
      </c>
      <c r="FJ80" s="68">
        <f t="shared" si="30"/>
        <v>659486.1</v>
      </c>
    </row>
    <row r="81" spans="1:166" ht="40.5" x14ac:dyDescent="0.25">
      <c r="A81" s="248">
        <f>Distribución_Reactivos!A81</f>
        <v>79</v>
      </c>
      <c r="B81" s="248" t="str">
        <f>Distribución_Reactivos!B81</f>
        <v>Azul de anilina soluble en agua, de alta pureza, C32H25N3Na2O9S3  F.W.737.72 [28631-66-5]</v>
      </c>
      <c r="C81" s="248" t="str">
        <f>Distribución_Reactivos!C81</f>
        <v>Cualquier marca</v>
      </c>
      <c r="D81" s="248" t="str">
        <f>Distribución_Reactivos!D81</f>
        <v>Frasco x 100 g</v>
      </c>
      <c r="E81" s="29">
        <v>1</v>
      </c>
      <c r="F81" s="212">
        <v>2014372.5</v>
      </c>
      <c r="G81" s="214">
        <v>1984087</v>
      </c>
      <c r="H81" s="221">
        <v>1458856.3294583333</v>
      </c>
      <c r="I81" s="221">
        <v>1113245</v>
      </c>
      <c r="J81" s="221">
        <v>0</v>
      </c>
      <c r="K81" s="221">
        <v>0</v>
      </c>
      <c r="L81" s="247">
        <f>AVERAGE(F81,H81)</f>
        <v>1736614.4147291668</v>
      </c>
      <c r="M81" s="247">
        <f>AVERAGE(G81,I81)*E1</f>
        <v>1595125.98</v>
      </c>
      <c r="N81" s="217"/>
      <c r="O81" s="97"/>
      <c r="P81" s="97"/>
      <c r="Q81" s="115"/>
      <c r="R81" s="115"/>
      <c r="S81" s="53"/>
      <c r="T81" s="97"/>
      <c r="U81" s="101"/>
      <c r="V81" s="97"/>
      <c r="W81" s="115"/>
      <c r="X81" s="115"/>
      <c r="Y81" s="11"/>
      <c r="Z81" s="97"/>
      <c r="AA81" s="97"/>
      <c r="AB81" s="97"/>
      <c r="AC81" s="44"/>
      <c r="AD81" s="44"/>
      <c r="AE81" s="11"/>
      <c r="AF81" s="102">
        <v>1600000</v>
      </c>
      <c r="AG81" s="125">
        <f>AF81*19%</f>
        <v>304000</v>
      </c>
      <c r="AH81" s="97">
        <f>+AF81+AG81</f>
        <v>1904000</v>
      </c>
      <c r="AI81" s="11"/>
      <c r="AJ81" s="11"/>
      <c r="AK81" s="17"/>
      <c r="AL81" s="97"/>
      <c r="AM81" s="97"/>
      <c r="AN81" s="103"/>
      <c r="AO81" s="248"/>
      <c r="AP81" s="17"/>
      <c r="AQ81" s="17"/>
      <c r="AR81" s="252">
        <v>1296000</v>
      </c>
      <c r="AS81" s="97">
        <f t="shared" ref="AS81:AS87" si="37">+AR81*0.19</f>
        <v>246240</v>
      </c>
      <c r="AT81" s="103">
        <f t="shared" ref="AT81:AT88" si="38">+AR81+AS81</f>
        <v>1542240</v>
      </c>
      <c r="AU81" s="52" t="s">
        <v>61</v>
      </c>
      <c r="AV81" s="52" t="s">
        <v>42</v>
      </c>
      <c r="AW81" s="30"/>
      <c r="AX81" s="100"/>
      <c r="AY81" s="100"/>
      <c r="AZ81" s="124"/>
      <c r="BA81" s="169"/>
      <c r="BB81" s="116"/>
      <c r="BC81" s="116"/>
      <c r="BD81" s="247"/>
      <c r="BE81" s="124"/>
      <c r="BF81" s="124"/>
      <c r="BG81" s="116"/>
      <c r="BH81" s="116"/>
      <c r="BI81" s="116"/>
      <c r="BJ81" s="124"/>
      <c r="BK81" s="124"/>
      <c r="BL81" s="124"/>
      <c r="BM81" s="116"/>
      <c r="BN81" s="116"/>
      <c r="BO81" s="116"/>
      <c r="BP81" s="124"/>
      <c r="BQ81" s="116"/>
      <c r="BR81" s="116"/>
      <c r="BS81" s="116"/>
      <c r="BT81" s="116"/>
      <c r="BU81" s="116"/>
      <c r="BV81" s="240">
        <v>896000</v>
      </c>
      <c r="BW81" s="125">
        <f t="shared" si="35"/>
        <v>170240</v>
      </c>
      <c r="BX81" s="97">
        <f t="shared" si="36"/>
        <v>1066240</v>
      </c>
      <c r="BY81" s="237" t="s">
        <v>63</v>
      </c>
      <c r="BZ81" s="237" t="s">
        <v>143</v>
      </c>
      <c r="CA81" s="116"/>
      <c r="CB81" s="247"/>
      <c r="CC81" s="125"/>
      <c r="CD81" s="247"/>
      <c r="CE81" s="116"/>
      <c r="CF81" s="116"/>
      <c r="CG81" s="34"/>
      <c r="CH81" s="236"/>
      <c r="CI81" s="238"/>
      <c r="CJ81" s="236"/>
      <c r="CK81" s="237"/>
      <c r="CL81" s="237"/>
      <c r="CM81" s="116"/>
      <c r="CN81" s="247"/>
      <c r="CO81" s="125"/>
      <c r="CP81" s="247"/>
      <c r="CQ81" s="116"/>
      <c r="CR81" s="116"/>
      <c r="CS81" s="116"/>
      <c r="CT81" s="247"/>
      <c r="CU81" s="125"/>
      <c r="CV81" s="247"/>
      <c r="CW81" s="116"/>
      <c r="CX81" s="116"/>
      <c r="CY81" s="116"/>
      <c r="CZ81" s="102"/>
      <c r="DA81" s="125"/>
      <c r="DB81" s="102"/>
      <c r="DC81" s="31"/>
      <c r="DD81" s="17"/>
      <c r="DE81" s="11"/>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
      <c r="EU81" s="11"/>
      <c r="EV81" s="11"/>
      <c r="EW81" s="11"/>
      <c r="EX81" s="11"/>
      <c r="EY81" s="11"/>
      <c r="EZ81" s="11"/>
      <c r="FA81" s="11"/>
      <c r="FB81" s="11"/>
      <c r="FC81" s="11"/>
      <c r="FD81" s="11"/>
      <c r="FE81" s="11"/>
      <c r="FF81" s="11"/>
      <c r="FG81" s="11"/>
      <c r="FH81" s="17">
        <f t="shared" si="28"/>
        <v>6107605.9800000004</v>
      </c>
      <c r="FI81" s="31">
        <f t="shared" si="29"/>
        <v>4</v>
      </c>
      <c r="FJ81" s="68">
        <f t="shared" si="30"/>
        <v>1526901.4950000001</v>
      </c>
    </row>
    <row r="82" spans="1:166" ht="40.5" x14ac:dyDescent="0.25">
      <c r="A82" s="248">
        <f>Distribución_Reactivos!A82</f>
        <v>80</v>
      </c>
      <c r="B82" s="248" t="str">
        <f>Distribución_Reactivos!B82</f>
        <v>Azul de bromotimol</v>
      </c>
      <c r="C82" s="248" t="str">
        <f>Distribución_Reactivos!C82</f>
        <v>Cualquier marca</v>
      </c>
      <c r="D82" s="248" t="str">
        <f>Distribución_Reactivos!D82</f>
        <v>Frasco x 5 g</v>
      </c>
      <c r="E82" s="29">
        <v>1</v>
      </c>
      <c r="F82" s="212">
        <v>432810.33833333338</v>
      </c>
      <c r="G82" s="214">
        <v>415429</v>
      </c>
      <c r="H82" s="221">
        <v>473940.47329381667</v>
      </c>
      <c r="I82" s="221">
        <v>145775</v>
      </c>
      <c r="J82" s="221">
        <v>407655.64489247306</v>
      </c>
      <c r="K82" s="221">
        <v>397460</v>
      </c>
      <c r="L82" s="247">
        <f>AVERAGE(F82,H82,J82)</f>
        <v>438135.48550654104</v>
      </c>
      <c r="M82" s="247">
        <f>AVERAGE(G82,I82,K82)*E1</f>
        <v>329141.3066666667</v>
      </c>
      <c r="N82" s="217"/>
      <c r="O82" s="97"/>
      <c r="P82" s="97"/>
      <c r="Q82" s="115"/>
      <c r="R82" s="115"/>
      <c r="S82" s="53"/>
      <c r="T82" s="97"/>
      <c r="U82" s="101"/>
      <c r="V82" s="97"/>
      <c r="W82" s="115"/>
      <c r="X82" s="115"/>
      <c r="Y82" s="11"/>
      <c r="Z82" s="97"/>
      <c r="AA82" s="97"/>
      <c r="AB82" s="97"/>
      <c r="AC82" s="44"/>
      <c r="AD82" s="44"/>
      <c r="AE82" s="11"/>
      <c r="AF82" s="102">
        <v>455000</v>
      </c>
      <c r="AG82" s="125">
        <f>AF82*19%</f>
        <v>86450</v>
      </c>
      <c r="AH82" s="97">
        <f>+AF82+AG82</f>
        <v>541450</v>
      </c>
      <c r="AI82" s="11"/>
      <c r="AJ82" s="11"/>
      <c r="AK82" s="17"/>
      <c r="AL82" s="97">
        <v>420000</v>
      </c>
      <c r="AM82" s="97">
        <f>+AL82*0.19</f>
        <v>79800</v>
      </c>
      <c r="AN82" s="103">
        <f>+AL82+AM82</f>
        <v>499800</v>
      </c>
      <c r="AO82" s="248" t="s">
        <v>157</v>
      </c>
      <c r="AP82" s="239" t="s">
        <v>52</v>
      </c>
      <c r="AQ82" s="17"/>
      <c r="AR82" s="252">
        <v>158400</v>
      </c>
      <c r="AS82" s="97">
        <f t="shared" si="37"/>
        <v>30096</v>
      </c>
      <c r="AT82" s="103">
        <f t="shared" si="38"/>
        <v>188496</v>
      </c>
      <c r="AU82" s="52" t="s">
        <v>157</v>
      </c>
      <c r="AV82" s="52" t="s">
        <v>42</v>
      </c>
      <c r="AW82" s="30"/>
      <c r="AX82" s="100">
        <v>529089.54</v>
      </c>
      <c r="AY82" s="100">
        <f>+AX82*0.19</f>
        <v>100527.0126</v>
      </c>
      <c r="AZ82" s="124">
        <f>+AX82+AY82</f>
        <v>629616.55260000005</v>
      </c>
      <c r="BA82" s="169" t="s">
        <v>157</v>
      </c>
      <c r="BB82" s="116" t="s">
        <v>72</v>
      </c>
      <c r="BC82" s="116"/>
      <c r="BD82" s="247"/>
      <c r="BE82" s="124"/>
      <c r="BF82" s="124"/>
      <c r="BG82" s="116"/>
      <c r="BH82" s="116"/>
      <c r="BI82" s="116"/>
      <c r="BJ82" s="124"/>
      <c r="BK82" s="124"/>
      <c r="BL82" s="124"/>
      <c r="BM82" s="116"/>
      <c r="BN82" s="116"/>
      <c r="BO82" s="116"/>
      <c r="BP82" s="124"/>
      <c r="BQ82" s="116"/>
      <c r="BR82" s="116"/>
      <c r="BS82" s="116"/>
      <c r="BT82" s="116"/>
      <c r="BU82" s="116"/>
      <c r="BV82" s="240">
        <v>1176000</v>
      </c>
      <c r="BW82" s="125">
        <f t="shared" si="35"/>
        <v>223440</v>
      </c>
      <c r="BX82" s="97">
        <f t="shared" si="36"/>
        <v>1399440</v>
      </c>
      <c r="BY82" s="237" t="s">
        <v>158</v>
      </c>
      <c r="BZ82" s="237" t="s">
        <v>143</v>
      </c>
      <c r="CA82" s="116"/>
      <c r="CB82" s="247">
        <v>337500</v>
      </c>
      <c r="CC82" s="125">
        <f>+CB82*19%</f>
        <v>64125</v>
      </c>
      <c r="CD82" s="247">
        <f>+CC82+CB82</f>
        <v>401625</v>
      </c>
      <c r="CE82" s="116"/>
      <c r="CF82" s="116"/>
      <c r="CG82" s="34"/>
      <c r="CH82" s="236"/>
      <c r="CI82" s="238"/>
      <c r="CJ82" s="236"/>
      <c r="CK82" s="237"/>
      <c r="CL82" s="237"/>
      <c r="CM82" s="116"/>
      <c r="CN82" s="247"/>
      <c r="CO82" s="125"/>
      <c r="CP82" s="247"/>
      <c r="CQ82" s="116"/>
      <c r="CR82" s="116"/>
      <c r="CS82" s="116"/>
      <c r="CT82" s="247"/>
      <c r="CU82" s="125"/>
      <c r="CV82" s="247"/>
      <c r="CW82" s="116"/>
      <c r="CX82" s="116"/>
      <c r="CY82" s="116"/>
      <c r="CZ82" s="102">
        <v>347586</v>
      </c>
      <c r="DA82" s="125">
        <f>+CZ82*0.19</f>
        <v>66041.34</v>
      </c>
      <c r="DB82" s="102">
        <f>+CZ82+DA82</f>
        <v>413627.33999999997</v>
      </c>
      <c r="DC82" s="31" t="s">
        <v>201</v>
      </c>
      <c r="DD82" s="17" t="s">
        <v>65</v>
      </c>
      <c r="DE82" s="11">
        <v>1030260005</v>
      </c>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
      <c r="EU82" s="11"/>
      <c r="EV82" s="11"/>
      <c r="EW82" s="11"/>
      <c r="EX82" s="11"/>
      <c r="EY82" s="11"/>
      <c r="EZ82" s="11"/>
      <c r="FA82" s="11"/>
      <c r="FB82" s="11"/>
      <c r="FC82" s="11"/>
      <c r="FD82" s="11"/>
      <c r="FE82" s="11"/>
      <c r="FF82" s="11"/>
      <c r="FG82" s="11"/>
      <c r="FH82" s="17">
        <f t="shared" si="28"/>
        <v>4403196.1992666665</v>
      </c>
      <c r="FI82" s="31">
        <f t="shared" si="29"/>
        <v>8</v>
      </c>
      <c r="FJ82" s="68">
        <f t="shared" si="30"/>
        <v>550399.52490833332</v>
      </c>
    </row>
    <row r="83" spans="1:166" ht="40.5" x14ac:dyDescent="0.25">
      <c r="A83" s="248">
        <f>Distribución_Reactivos!A83</f>
        <v>81</v>
      </c>
      <c r="B83" s="248" t="str">
        <f>Distribución_Reactivos!B83</f>
        <v>Azul de lactofenol  con certificado de análisis y ficha de seguridad</v>
      </c>
      <c r="C83" s="248" t="str">
        <f>Distribución_Reactivos!C83</f>
        <v>Cualquier marca</v>
      </c>
      <c r="D83" s="248" t="str">
        <f>Distribución_Reactivos!D83</f>
        <v>Frasco x 100 ml</v>
      </c>
      <c r="E83" s="29">
        <v>1</v>
      </c>
      <c r="F83" s="212">
        <v>0</v>
      </c>
      <c r="G83" s="214">
        <v>0</v>
      </c>
      <c r="H83" s="221">
        <v>0</v>
      </c>
      <c r="I83" s="221">
        <v>0</v>
      </c>
      <c r="J83" s="221">
        <v>0</v>
      </c>
      <c r="K83" s="221">
        <v>0</v>
      </c>
      <c r="L83" s="247"/>
      <c r="M83" s="247"/>
      <c r="N83" s="217"/>
      <c r="O83" s="97"/>
      <c r="P83" s="97"/>
      <c r="Q83" s="115"/>
      <c r="R83" s="115"/>
      <c r="S83" s="53"/>
      <c r="T83" s="97"/>
      <c r="U83" s="101"/>
      <c r="V83" s="97"/>
      <c r="W83" s="115"/>
      <c r="X83" s="115"/>
      <c r="Y83" s="11"/>
      <c r="Z83" s="97"/>
      <c r="AA83" s="97"/>
      <c r="AB83" s="97"/>
      <c r="AC83" s="44"/>
      <c r="AD83" s="44"/>
      <c r="AE83" s="11"/>
      <c r="AF83" s="102">
        <v>180000</v>
      </c>
      <c r="AG83" s="125">
        <f>AF83*19%</f>
        <v>34200</v>
      </c>
      <c r="AH83" s="97">
        <f>+AF83+AG83</f>
        <v>214200</v>
      </c>
      <c r="AI83" s="11"/>
      <c r="AJ83" s="11"/>
      <c r="AK83" s="17"/>
      <c r="AL83" s="97">
        <v>195000</v>
      </c>
      <c r="AM83" s="97">
        <f>+AL83*0.19</f>
        <v>37050</v>
      </c>
      <c r="AN83" s="103">
        <f>+AL83+AM83</f>
        <v>232050</v>
      </c>
      <c r="AO83" s="248" t="s">
        <v>51</v>
      </c>
      <c r="AP83" s="239" t="s">
        <v>52</v>
      </c>
      <c r="AQ83" s="17"/>
      <c r="AR83" s="252">
        <v>180986</v>
      </c>
      <c r="AS83" s="97">
        <f t="shared" si="37"/>
        <v>34387.340000000004</v>
      </c>
      <c r="AT83" s="103">
        <f t="shared" si="38"/>
        <v>215373.34</v>
      </c>
      <c r="AU83" s="52" t="s">
        <v>51</v>
      </c>
      <c r="AV83" s="52" t="s">
        <v>52</v>
      </c>
      <c r="AW83" s="30"/>
      <c r="AX83" s="100"/>
      <c r="AY83" s="100"/>
      <c r="AZ83" s="124"/>
      <c r="BA83" s="169"/>
      <c r="BB83" s="116"/>
      <c r="BC83" s="116"/>
      <c r="BD83" s="247"/>
      <c r="BE83" s="124"/>
      <c r="BF83" s="124"/>
      <c r="BG83" s="116"/>
      <c r="BH83" s="116"/>
      <c r="BI83" s="116"/>
      <c r="BJ83" s="124"/>
      <c r="BK83" s="124"/>
      <c r="BL83" s="124"/>
      <c r="BM83" s="116"/>
      <c r="BN83" s="116"/>
      <c r="BO83" s="116"/>
      <c r="BP83" s="124"/>
      <c r="BQ83" s="116"/>
      <c r="BR83" s="116"/>
      <c r="BS83" s="116"/>
      <c r="BT83" s="116"/>
      <c r="BU83" s="116"/>
      <c r="BV83" s="240">
        <v>94300</v>
      </c>
      <c r="BW83" s="125">
        <f t="shared" si="35"/>
        <v>17917</v>
      </c>
      <c r="BX83" s="97">
        <f t="shared" si="36"/>
        <v>112217</v>
      </c>
      <c r="BY83" s="237" t="s">
        <v>54</v>
      </c>
      <c r="BZ83" s="237" t="s">
        <v>55</v>
      </c>
      <c r="CA83" s="116"/>
      <c r="CB83" s="247">
        <v>118800</v>
      </c>
      <c r="CC83" s="125">
        <f>+CB83*19%</f>
        <v>22572</v>
      </c>
      <c r="CD83" s="247">
        <f>+CC83+CB83</f>
        <v>141372</v>
      </c>
      <c r="CE83" s="116"/>
      <c r="CF83" s="116"/>
      <c r="CG83" s="34"/>
      <c r="CH83" s="236">
        <v>96186</v>
      </c>
      <c r="CI83" s="238">
        <f>+CH83*0.19</f>
        <v>18275.34</v>
      </c>
      <c r="CJ83" s="236">
        <f>+CH83+CI83</f>
        <v>114461.34</v>
      </c>
      <c r="CK83" s="237" t="s">
        <v>54</v>
      </c>
      <c r="CL83" s="237" t="s">
        <v>55</v>
      </c>
      <c r="CM83" s="116"/>
      <c r="CN83" s="247"/>
      <c r="CO83" s="125"/>
      <c r="CP83" s="247"/>
      <c r="CQ83" s="116"/>
      <c r="CR83" s="116"/>
      <c r="CS83" s="116"/>
      <c r="CT83" s="247"/>
      <c r="CU83" s="125"/>
      <c r="CV83" s="247"/>
      <c r="CW83" s="116"/>
      <c r="CX83" s="116"/>
      <c r="CY83" s="116"/>
      <c r="CZ83" s="102"/>
      <c r="DA83" s="125"/>
      <c r="DB83" s="102"/>
      <c r="DC83" s="31"/>
      <c r="DD83" s="17"/>
      <c r="DE83" s="11"/>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
      <c r="EU83" s="11"/>
      <c r="EV83" s="11"/>
      <c r="EW83" s="11"/>
      <c r="EX83" s="11"/>
      <c r="EY83" s="11"/>
      <c r="EZ83" s="11"/>
      <c r="FA83" s="11"/>
      <c r="FB83" s="11"/>
      <c r="FC83" s="11"/>
      <c r="FD83" s="11"/>
      <c r="FE83" s="11"/>
      <c r="FF83" s="11"/>
      <c r="FG83" s="11"/>
      <c r="FH83" s="17">
        <f t="shared" si="28"/>
        <v>1029673.6799999999</v>
      </c>
      <c r="FI83" s="31">
        <f t="shared" si="29"/>
        <v>6</v>
      </c>
      <c r="FJ83" s="68">
        <f t="shared" si="30"/>
        <v>171612.28</v>
      </c>
    </row>
    <row r="84" spans="1:166" ht="27" x14ac:dyDescent="0.25">
      <c r="A84" s="248">
        <f>Distribución_Reactivos!A84</f>
        <v>82</v>
      </c>
      <c r="B84" s="248" t="str">
        <f>Distribución_Reactivos!B84</f>
        <v>Azul de Metileno</v>
      </c>
      <c r="C84" s="248" t="str">
        <f>Distribución_Reactivos!C84</f>
        <v>Sigma Aldrich / Merck / JT Baker</v>
      </c>
      <c r="D84" s="248" t="str">
        <f>Distribución_Reactivos!D84</f>
        <v>Frasco X 25 g</v>
      </c>
      <c r="E84" s="29">
        <v>1</v>
      </c>
      <c r="F84" s="212">
        <v>0</v>
      </c>
      <c r="G84" s="214">
        <v>0</v>
      </c>
      <c r="H84" s="221">
        <v>468241.61111111112</v>
      </c>
      <c r="I84" s="221">
        <v>117215</v>
      </c>
      <c r="J84" s="221">
        <v>330148.22580645158</v>
      </c>
      <c r="K84" s="221">
        <v>323561</v>
      </c>
      <c r="L84" s="247">
        <f>AVERAGE(H84,J84)</f>
        <v>399194.91845878132</v>
      </c>
      <c r="M84" s="247">
        <f>AVERAGE(I84,K84)*E1</f>
        <v>226999.64</v>
      </c>
      <c r="N84" s="217"/>
      <c r="O84" s="97"/>
      <c r="P84" s="97"/>
      <c r="Q84" s="115"/>
      <c r="R84" s="115"/>
      <c r="S84" s="53"/>
      <c r="T84" s="97"/>
      <c r="U84" s="106"/>
      <c r="V84" s="97"/>
      <c r="W84" s="115"/>
      <c r="X84" s="115"/>
      <c r="Y84" s="11"/>
      <c r="Z84" s="97"/>
      <c r="AA84" s="97"/>
      <c r="AB84" s="97"/>
      <c r="AC84" s="44"/>
      <c r="AD84" s="44"/>
      <c r="AE84" s="11"/>
      <c r="AF84" s="102">
        <v>250000</v>
      </c>
      <c r="AG84" s="125">
        <f>AF84*19%</f>
        <v>47500</v>
      </c>
      <c r="AH84" s="97">
        <f>+AF84+AG84</f>
        <v>297500</v>
      </c>
      <c r="AI84" s="11"/>
      <c r="AJ84" s="11"/>
      <c r="AK84" s="17"/>
      <c r="AL84" s="97">
        <v>279000</v>
      </c>
      <c r="AM84" s="97">
        <f>+AL84*0.19</f>
        <v>53010</v>
      </c>
      <c r="AN84" s="103">
        <f>+AL84+AM84</f>
        <v>332010</v>
      </c>
      <c r="AO84" s="248" t="s">
        <v>202</v>
      </c>
      <c r="AP84" s="239" t="s">
        <v>52</v>
      </c>
      <c r="AQ84" s="17"/>
      <c r="AR84" s="252">
        <v>216000</v>
      </c>
      <c r="AS84" s="97">
        <f t="shared" si="37"/>
        <v>41040</v>
      </c>
      <c r="AT84" s="103">
        <f t="shared" si="38"/>
        <v>257040</v>
      </c>
      <c r="AU84" s="52" t="s">
        <v>41</v>
      </c>
      <c r="AV84" s="52" t="s">
        <v>42</v>
      </c>
      <c r="AW84" s="30"/>
      <c r="AX84" s="100">
        <f>743866.054284/4</f>
        <v>185966.51357099999</v>
      </c>
      <c r="AY84" s="100">
        <f>+AX84*0.19</f>
        <v>35333.637578490001</v>
      </c>
      <c r="AZ84" s="124">
        <f>+AX84+AY84</f>
        <v>221300.15114948998</v>
      </c>
      <c r="BA84" s="169" t="s">
        <v>61</v>
      </c>
      <c r="BB84" s="116" t="s">
        <v>203</v>
      </c>
      <c r="BC84" s="116"/>
      <c r="BD84" s="247"/>
      <c r="BE84" s="124"/>
      <c r="BF84" s="124"/>
      <c r="BG84" s="116"/>
      <c r="BH84" s="116"/>
      <c r="BI84" s="116"/>
      <c r="BJ84" s="124"/>
      <c r="BK84" s="124"/>
      <c r="BL84" s="124"/>
      <c r="BM84" s="116"/>
      <c r="BN84" s="116"/>
      <c r="BO84" s="116"/>
      <c r="BP84" s="124"/>
      <c r="BQ84" s="116"/>
      <c r="BR84" s="116"/>
      <c r="BS84" s="116"/>
      <c r="BT84" s="116"/>
      <c r="BU84" s="116"/>
      <c r="BV84" s="240">
        <v>643000</v>
      </c>
      <c r="BW84" s="125">
        <f t="shared" si="35"/>
        <v>122170</v>
      </c>
      <c r="BX84" s="97">
        <f t="shared" si="36"/>
        <v>765170</v>
      </c>
      <c r="BY84" s="237" t="s">
        <v>105</v>
      </c>
      <c r="BZ84" s="237" t="s">
        <v>83</v>
      </c>
      <c r="CA84" s="116"/>
      <c r="CB84" s="247"/>
      <c r="CC84" s="125"/>
      <c r="CD84" s="247"/>
      <c r="CE84" s="116"/>
      <c r="CF84" s="116"/>
      <c r="CG84" s="34"/>
      <c r="CH84" s="236"/>
      <c r="CI84" s="238"/>
      <c r="CJ84" s="236"/>
      <c r="CK84" s="237"/>
      <c r="CL84" s="237"/>
      <c r="CM84" s="116"/>
      <c r="CN84" s="247"/>
      <c r="CO84" s="125"/>
      <c r="CP84" s="247"/>
      <c r="CQ84" s="116"/>
      <c r="CR84" s="116"/>
      <c r="CS84" s="116"/>
      <c r="CT84" s="247"/>
      <c r="CU84" s="125"/>
      <c r="CV84" s="247"/>
      <c r="CW84" s="116"/>
      <c r="CX84" s="116"/>
      <c r="CY84" s="116"/>
      <c r="CZ84" s="102">
        <v>239314</v>
      </c>
      <c r="DA84" s="125">
        <f>+CZ84*0.19</f>
        <v>45469.66</v>
      </c>
      <c r="DB84" s="102">
        <f>+CZ84+DA84</f>
        <v>284783.66000000003</v>
      </c>
      <c r="DC84" s="31"/>
      <c r="DD84" s="17"/>
      <c r="DE84" s="11">
        <v>1159430025</v>
      </c>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
      <c r="EU84" s="11"/>
      <c r="EV84" s="11"/>
      <c r="EW84" s="11"/>
      <c r="EX84" s="11"/>
      <c r="EY84" s="11"/>
      <c r="EZ84" s="11"/>
      <c r="FA84" s="11"/>
      <c r="FB84" s="11"/>
      <c r="FC84" s="11"/>
      <c r="FD84" s="11"/>
      <c r="FE84" s="11"/>
      <c r="FF84" s="11"/>
      <c r="FG84" s="11"/>
      <c r="FH84" s="17">
        <f t="shared" si="28"/>
        <v>2384803.4511494902</v>
      </c>
      <c r="FI84" s="31">
        <f t="shared" si="29"/>
        <v>7</v>
      </c>
      <c r="FJ84" s="68">
        <f t="shared" si="30"/>
        <v>340686.20730707003</v>
      </c>
    </row>
    <row r="85" spans="1:166" ht="40.5" x14ac:dyDescent="0.25">
      <c r="A85" s="248">
        <f>Distribución_Reactivos!A85</f>
        <v>83</v>
      </c>
      <c r="B85" s="248" t="str">
        <f>Distribución_Reactivos!B85</f>
        <v>Azul de metileno Ziehl Neelsen</v>
      </c>
      <c r="C85" s="248" t="str">
        <f>Distribución_Reactivos!C85</f>
        <v>Cualquier marca</v>
      </c>
      <c r="D85" s="248" t="str">
        <f>Distribución_Reactivos!D85</f>
        <v>Frasco x 1 litro</v>
      </c>
      <c r="E85" s="29">
        <v>1</v>
      </c>
      <c r="F85" s="212">
        <v>58251.6</v>
      </c>
      <c r="G85" s="214">
        <v>56200</v>
      </c>
      <c r="H85" s="221">
        <v>124948.17659286666</v>
      </c>
      <c r="I85" s="221">
        <v>0</v>
      </c>
      <c r="J85" s="221">
        <v>94652.256000000008</v>
      </c>
      <c r="K85" s="221">
        <v>75600</v>
      </c>
      <c r="L85" s="247">
        <f>AVERAGE(F85,H85,J85)</f>
        <v>92617.344197622224</v>
      </c>
      <c r="M85" s="247">
        <f>AVERAGE(G85,K85)*E1</f>
        <v>67877</v>
      </c>
      <c r="N85" s="217"/>
      <c r="O85" s="97"/>
      <c r="P85" s="97"/>
      <c r="Q85" s="115"/>
      <c r="R85" s="115"/>
      <c r="S85" s="53"/>
      <c r="T85" s="97"/>
      <c r="U85" s="97"/>
      <c r="V85" s="97"/>
      <c r="W85" s="115"/>
      <c r="X85" s="115"/>
      <c r="Y85" s="11"/>
      <c r="Z85" s="97"/>
      <c r="AA85" s="97"/>
      <c r="AB85" s="97"/>
      <c r="AC85" s="44"/>
      <c r="AD85" s="44"/>
      <c r="AE85" s="11"/>
      <c r="AF85" s="102">
        <v>55000</v>
      </c>
      <c r="AG85" s="125">
        <f>AF85*19%</f>
        <v>10450</v>
      </c>
      <c r="AH85" s="97">
        <f>+AF85+AG85</f>
        <v>65450</v>
      </c>
      <c r="AI85" s="11"/>
      <c r="AJ85" s="11"/>
      <c r="AK85" s="17"/>
      <c r="AL85" s="97"/>
      <c r="AM85" s="97"/>
      <c r="AN85" s="103"/>
      <c r="AO85" s="248"/>
      <c r="AP85" s="17"/>
      <c r="AQ85" s="17"/>
      <c r="AR85" s="252">
        <v>31112</v>
      </c>
      <c r="AS85" s="97">
        <f t="shared" si="37"/>
        <v>5911.28</v>
      </c>
      <c r="AT85" s="103">
        <f t="shared" si="38"/>
        <v>37023.279999999999</v>
      </c>
      <c r="AU85" s="52" t="s">
        <v>204</v>
      </c>
      <c r="AV85" s="52" t="s">
        <v>205</v>
      </c>
      <c r="AW85" s="30"/>
      <c r="AX85" s="100"/>
      <c r="AY85" s="100"/>
      <c r="AZ85" s="124"/>
      <c r="BA85" s="169"/>
      <c r="BB85" s="116"/>
      <c r="BC85" s="116"/>
      <c r="BD85" s="247"/>
      <c r="BE85" s="124"/>
      <c r="BF85" s="124"/>
      <c r="BG85" s="116"/>
      <c r="BH85" s="116"/>
      <c r="BI85" s="116"/>
      <c r="BJ85" s="124"/>
      <c r="BK85" s="124"/>
      <c r="BL85" s="124"/>
      <c r="BM85" s="116"/>
      <c r="BN85" s="116"/>
      <c r="BO85" s="116"/>
      <c r="BP85" s="124"/>
      <c r="BQ85" s="116"/>
      <c r="BR85" s="116"/>
      <c r="BS85" s="116"/>
      <c r="BT85" s="116"/>
      <c r="BU85" s="116"/>
      <c r="BV85" s="240">
        <v>102900</v>
      </c>
      <c r="BW85" s="125">
        <f t="shared" si="35"/>
        <v>19551</v>
      </c>
      <c r="BX85" s="97">
        <f t="shared" si="36"/>
        <v>122451</v>
      </c>
      <c r="BY85" s="237" t="s">
        <v>67</v>
      </c>
      <c r="BZ85" s="237" t="s">
        <v>206</v>
      </c>
      <c r="CA85" s="116"/>
      <c r="CB85" s="247"/>
      <c r="CC85" s="125"/>
      <c r="CD85" s="247"/>
      <c r="CE85" s="116"/>
      <c r="CF85" s="116"/>
      <c r="CG85" s="34"/>
      <c r="CH85" s="236">
        <v>108045</v>
      </c>
      <c r="CI85" s="238">
        <f>+CH85*0.19</f>
        <v>20528.55</v>
      </c>
      <c r="CJ85" s="236">
        <f>+CH85+CI85</f>
        <v>128573.55</v>
      </c>
      <c r="CK85" s="237" t="s">
        <v>67</v>
      </c>
      <c r="CL85" s="237" t="s">
        <v>206</v>
      </c>
      <c r="CM85" s="116"/>
      <c r="CN85" s="247"/>
      <c r="CO85" s="125"/>
      <c r="CP85" s="247"/>
      <c r="CQ85" s="116"/>
      <c r="CR85" s="116"/>
      <c r="CS85" s="116"/>
      <c r="CT85" s="247"/>
      <c r="CU85" s="125"/>
      <c r="CV85" s="247"/>
      <c r="CW85" s="116"/>
      <c r="CX85" s="116"/>
      <c r="CY85" s="116"/>
      <c r="CZ85" s="102"/>
      <c r="DA85" s="125"/>
      <c r="DB85" s="102"/>
      <c r="DC85" s="31"/>
      <c r="DD85" s="17"/>
      <c r="DE85" s="11"/>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
      <c r="EU85" s="11"/>
      <c r="EV85" s="11"/>
      <c r="EW85" s="11"/>
      <c r="EX85" s="11"/>
      <c r="EY85" s="11"/>
      <c r="EZ85" s="11"/>
      <c r="FA85" s="11"/>
      <c r="FB85" s="11"/>
      <c r="FC85" s="11"/>
      <c r="FD85" s="11"/>
      <c r="FE85" s="11"/>
      <c r="FF85" s="11"/>
      <c r="FG85" s="11"/>
      <c r="FH85" s="17">
        <f t="shared" si="28"/>
        <v>421374.83</v>
      </c>
      <c r="FI85" s="31">
        <f t="shared" si="29"/>
        <v>5</v>
      </c>
      <c r="FJ85" s="68">
        <f t="shared" si="30"/>
        <v>84274.966</v>
      </c>
    </row>
    <row r="86" spans="1:166" ht="25.5" x14ac:dyDescent="0.25">
      <c r="A86" s="248">
        <f>Distribución_Reactivos!A86</f>
        <v>84</v>
      </c>
      <c r="B86" s="248" t="str">
        <f>Distribución_Reactivos!B86</f>
        <v>Azul de nilo</v>
      </c>
      <c r="C86" s="248" t="str">
        <f>Distribución_Reactivos!C86</f>
        <v>Cualquier marca</v>
      </c>
      <c r="D86" s="248" t="str">
        <f>Distribución_Reactivos!D86</f>
        <v>Frasco x 5 g</v>
      </c>
      <c r="E86" s="29">
        <v>1</v>
      </c>
      <c r="F86" s="212">
        <v>0</v>
      </c>
      <c r="G86" s="214">
        <v>0</v>
      </c>
      <c r="H86" s="221">
        <v>0</v>
      </c>
      <c r="I86" s="221">
        <v>0</v>
      </c>
      <c r="J86" s="221">
        <v>0</v>
      </c>
      <c r="K86" s="221">
        <v>0</v>
      </c>
      <c r="L86" s="247"/>
      <c r="M86" s="247"/>
      <c r="N86" s="217"/>
      <c r="O86" s="97"/>
      <c r="P86" s="97"/>
      <c r="Q86" s="115"/>
      <c r="R86" s="115"/>
      <c r="S86" s="53"/>
      <c r="T86" s="97"/>
      <c r="U86" s="97"/>
      <c r="V86" s="97"/>
      <c r="W86" s="115"/>
      <c r="X86" s="115"/>
      <c r="Y86" s="11"/>
      <c r="Z86" s="97"/>
      <c r="AA86" s="97"/>
      <c r="AB86" s="97"/>
      <c r="AC86" s="44"/>
      <c r="AD86" s="44"/>
      <c r="AE86" s="11"/>
      <c r="AF86" s="102"/>
      <c r="AG86" s="125"/>
      <c r="AH86" s="97"/>
      <c r="AI86" s="11"/>
      <c r="AJ86" s="11"/>
      <c r="AK86" s="17"/>
      <c r="AL86" s="97"/>
      <c r="AM86" s="97"/>
      <c r="AN86" s="103"/>
      <c r="AO86" s="248"/>
      <c r="AP86" s="17"/>
      <c r="AQ86" s="17"/>
      <c r="AR86" s="252">
        <v>244800</v>
      </c>
      <c r="AS86" s="97">
        <f t="shared" si="37"/>
        <v>46512</v>
      </c>
      <c r="AT86" s="103">
        <f t="shared" si="38"/>
        <v>291312</v>
      </c>
      <c r="AU86" s="52" t="s">
        <v>157</v>
      </c>
      <c r="AV86" s="52" t="s">
        <v>42</v>
      </c>
      <c r="AW86" s="30"/>
      <c r="AX86" s="100"/>
      <c r="AY86" s="100"/>
      <c r="AZ86" s="124"/>
      <c r="BA86" s="169"/>
      <c r="BB86" s="116"/>
      <c r="BC86" s="116"/>
      <c r="BD86" s="247"/>
      <c r="BE86" s="124"/>
      <c r="BF86" s="124"/>
      <c r="BG86" s="116"/>
      <c r="BH86" s="116"/>
      <c r="BI86" s="116"/>
      <c r="BJ86" s="124"/>
      <c r="BK86" s="124"/>
      <c r="BL86" s="124"/>
      <c r="BM86" s="116"/>
      <c r="BN86" s="116"/>
      <c r="BO86" s="116"/>
      <c r="BP86" s="124"/>
      <c r="BQ86" s="116"/>
      <c r="BR86" s="116"/>
      <c r="BS86" s="116"/>
      <c r="BT86" s="116"/>
      <c r="BU86" s="116"/>
      <c r="BV86" s="240">
        <v>933300</v>
      </c>
      <c r="BW86" s="125">
        <f t="shared" si="35"/>
        <v>177327</v>
      </c>
      <c r="BX86" s="97">
        <f t="shared" si="36"/>
        <v>1110627</v>
      </c>
      <c r="BY86" s="237" t="s">
        <v>207</v>
      </c>
      <c r="BZ86" s="237" t="s">
        <v>44</v>
      </c>
      <c r="CA86" s="116"/>
      <c r="CB86" s="247"/>
      <c r="CC86" s="125"/>
      <c r="CD86" s="247"/>
      <c r="CE86" s="116"/>
      <c r="CF86" s="116"/>
      <c r="CG86" s="34"/>
      <c r="CH86" s="236">
        <v>979965</v>
      </c>
      <c r="CI86" s="238">
        <f>+CH86*0.19</f>
        <v>186193.35</v>
      </c>
      <c r="CJ86" s="236">
        <f>+CH86+CI86</f>
        <v>1166158.3500000001</v>
      </c>
      <c r="CK86" s="237" t="s">
        <v>207</v>
      </c>
      <c r="CL86" s="237" t="s">
        <v>44</v>
      </c>
      <c r="CM86" s="116"/>
      <c r="CN86" s="247"/>
      <c r="CO86" s="125"/>
      <c r="CP86" s="247"/>
      <c r="CQ86" s="116"/>
      <c r="CR86" s="116"/>
      <c r="CS86" s="116"/>
      <c r="CT86" s="247"/>
      <c r="CU86" s="125"/>
      <c r="CV86" s="247"/>
      <c r="CW86" s="116"/>
      <c r="CX86" s="116"/>
      <c r="CY86" s="116"/>
      <c r="CZ86" s="102"/>
      <c r="DA86" s="125"/>
      <c r="DB86" s="102"/>
      <c r="DC86" s="31"/>
      <c r="DD86" s="17"/>
      <c r="DE86" s="11"/>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
      <c r="EU86" s="11"/>
      <c r="EV86" s="11"/>
      <c r="EW86" s="11"/>
      <c r="EX86" s="11"/>
      <c r="EY86" s="11"/>
      <c r="EZ86" s="11"/>
      <c r="FA86" s="11"/>
      <c r="FB86" s="11"/>
      <c r="FC86" s="11"/>
      <c r="FD86" s="11"/>
      <c r="FE86" s="11"/>
      <c r="FF86" s="11"/>
      <c r="FG86" s="11"/>
      <c r="FH86" s="17">
        <f t="shared" si="28"/>
        <v>2568097.35</v>
      </c>
      <c r="FI86" s="31">
        <f t="shared" si="29"/>
        <v>3</v>
      </c>
      <c r="FJ86" s="68">
        <f t="shared" si="30"/>
        <v>856032.45000000007</v>
      </c>
    </row>
    <row r="87" spans="1:166" ht="25.5" x14ac:dyDescent="0.25">
      <c r="A87" s="248">
        <f>Distribución_Reactivos!A87</f>
        <v>85</v>
      </c>
      <c r="B87" s="248" t="str">
        <f>Distribución_Reactivos!B87</f>
        <v>Azure II eosin</v>
      </c>
      <c r="C87" s="248" t="str">
        <f>Distribución_Reactivos!C87</f>
        <v>Sigma Aldrich / Merck / JT Baker</v>
      </c>
      <c r="D87" s="248" t="str">
        <f>Distribución_Reactivos!D87</f>
        <v>Frasco X 25 g</v>
      </c>
      <c r="E87" s="29">
        <v>1</v>
      </c>
      <c r="F87" s="212">
        <v>0</v>
      </c>
      <c r="G87" s="214">
        <v>0</v>
      </c>
      <c r="H87" s="221">
        <v>963156.25</v>
      </c>
      <c r="I87" s="221">
        <v>0</v>
      </c>
      <c r="J87" s="221">
        <v>403646.21499999997</v>
      </c>
      <c r="K87" s="221">
        <v>0</v>
      </c>
      <c r="L87" s="247">
        <f>AVERAGE(H87,J87)</f>
        <v>683401.23249999993</v>
      </c>
      <c r="M87" s="247"/>
      <c r="N87" s="217"/>
      <c r="O87" s="97"/>
      <c r="P87" s="97"/>
      <c r="Q87" s="115"/>
      <c r="R87" s="115"/>
      <c r="S87" s="53"/>
      <c r="T87" s="97"/>
      <c r="U87" s="97"/>
      <c r="V87" s="97"/>
      <c r="W87" s="115"/>
      <c r="X87" s="115"/>
      <c r="Y87" s="11"/>
      <c r="Z87" s="97"/>
      <c r="AA87" s="97"/>
      <c r="AB87" s="97"/>
      <c r="AC87" s="44"/>
      <c r="AD87" s="44"/>
      <c r="AE87" s="11"/>
      <c r="AF87" s="102"/>
      <c r="AG87" s="125"/>
      <c r="AH87" s="97"/>
      <c r="AI87" s="11"/>
      <c r="AJ87" s="11"/>
      <c r="AK87" s="17"/>
      <c r="AL87" s="97"/>
      <c r="AM87" s="97"/>
      <c r="AN87" s="127"/>
      <c r="AO87" s="248"/>
      <c r="AP87" s="17"/>
      <c r="AQ87" s="17"/>
      <c r="AR87" s="252">
        <v>820800</v>
      </c>
      <c r="AS87" s="97">
        <f t="shared" si="37"/>
        <v>155952</v>
      </c>
      <c r="AT87" s="103">
        <f t="shared" si="38"/>
        <v>976752</v>
      </c>
      <c r="AU87" s="52" t="s">
        <v>41</v>
      </c>
      <c r="AV87" s="52" t="s">
        <v>42</v>
      </c>
      <c r="AW87" s="30"/>
      <c r="AX87" s="100"/>
      <c r="AY87" s="100"/>
      <c r="AZ87" s="124"/>
      <c r="BA87" s="169"/>
      <c r="BB87" s="116"/>
      <c r="BC87" s="116"/>
      <c r="BD87" s="247"/>
      <c r="BE87" s="124"/>
      <c r="BF87" s="124"/>
      <c r="BG87" s="116"/>
      <c r="BH87" s="116"/>
      <c r="BI87" s="116"/>
      <c r="BJ87" s="124"/>
      <c r="BK87" s="124"/>
      <c r="BL87" s="124"/>
      <c r="BM87" s="116"/>
      <c r="BN87" s="116"/>
      <c r="BO87" s="116"/>
      <c r="BP87" s="124"/>
      <c r="BQ87" s="116"/>
      <c r="BR87" s="116"/>
      <c r="BS87" s="116"/>
      <c r="BT87" s="116"/>
      <c r="BU87" s="116"/>
      <c r="BV87" s="188"/>
      <c r="BW87" s="125"/>
      <c r="BX87" s="97"/>
      <c r="BY87" s="246"/>
      <c r="BZ87" s="246"/>
      <c r="CA87" s="116"/>
      <c r="CB87" s="247"/>
      <c r="CC87" s="125"/>
      <c r="CD87" s="247"/>
      <c r="CE87" s="116"/>
      <c r="CF87" s="116"/>
      <c r="CG87" s="34"/>
      <c r="CH87" s="187"/>
      <c r="CI87" s="195"/>
      <c r="CJ87" s="187"/>
      <c r="CK87" s="246"/>
      <c r="CL87" s="246"/>
      <c r="CM87" s="116"/>
      <c r="CN87" s="247"/>
      <c r="CO87" s="125"/>
      <c r="CP87" s="247"/>
      <c r="CQ87" s="116"/>
      <c r="CR87" s="116"/>
      <c r="CS87" s="116"/>
      <c r="CT87" s="247"/>
      <c r="CU87" s="125"/>
      <c r="CV87" s="247"/>
      <c r="CW87" s="116"/>
      <c r="CX87" s="116"/>
      <c r="CY87" s="116"/>
      <c r="CZ87" s="102"/>
      <c r="DA87" s="125"/>
      <c r="DB87" s="102"/>
      <c r="DC87" s="31"/>
      <c r="DD87" s="17"/>
      <c r="DE87" s="11"/>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
      <c r="EU87" s="11"/>
      <c r="EV87" s="11"/>
      <c r="EW87" s="11"/>
      <c r="EX87" s="11"/>
      <c r="EY87" s="11"/>
      <c r="EZ87" s="11"/>
      <c r="FA87" s="11"/>
      <c r="FB87" s="11"/>
      <c r="FC87" s="11"/>
      <c r="FD87" s="11"/>
      <c r="FE87" s="11"/>
      <c r="FF87" s="11"/>
      <c r="FG87" s="11"/>
      <c r="FH87" s="17">
        <f t="shared" si="28"/>
        <v>976752</v>
      </c>
      <c r="FI87" s="31">
        <f t="shared" si="29"/>
        <v>1</v>
      </c>
      <c r="FJ87" s="68">
        <f t="shared" si="30"/>
        <v>976752</v>
      </c>
    </row>
    <row r="88" spans="1:166" ht="27" x14ac:dyDescent="0.25">
      <c r="A88" s="248">
        <f>Distribución_Reactivos!A88</f>
        <v>86</v>
      </c>
      <c r="B88" s="248" t="str">
        <f>Distribución_Reactivos!B88</f>
        <v xml:space="preserve">Bacitracina </v>
      </c>
      <c r="C88" s="248" t="str">
        <f>Distribución_Reactivos!C88</f>
        <v>Cualquier marca</v>
      </c>
      <c r="D88" s="248" t="str">
        <f>Distribución_Reactivos!D88</f>
        <v>Frasco x 5 g</v>
      </c>
      <c r="E88" s="29">
        <v>1</v>
      </c>
      <c r="F88" s="212">
        <v>346665</v>
      </c>
      <c r="G88" s="214">
        <v>337900</v>
      </c>
      <c r="H88" s="221">
        <v>663275.83506099996</v>
      </c>
      <c r="I88" s="221">
        <v>663187</v>
      </c>
      <c r="J88" s="221">
        <v>520117.5</v>
      </c>
      <c r="K88" s="221">
        <v>0</v>
      </c>
      <c r="L88" s="247">
        <f>AVERAGE(F88,H88,J88)</f>
        <v>510019.44502033334</v>
      </c>
      <c r="M88" s="247">
        <f>AVERAGE(G88,I88)*E1</f>
        <v>515559.80499999999</v>
      </c>
      <c r="N88" s="217"/>
      <c r="O88" s="97"/>
      <c r="P88" s="97"/>
      <c r="Q88" s="115"/>
      <c r="R88" s="115"/>
      <c r="S88" s="53"/>
      <c r="T88" s="97"/>
      <c r="U88" s="97"/>
      <c r="V88" s="97"/>
      <c r="W88" s="115"/>
      <c r="X88" s="115"/>
      <c r="Y88" s="11"/>
      <c r="Z88" s="97"/>
      <c r="AA88" s="97"/>
      <c r="AB88" s="97"/>
      <c r="AC88" s="44"/>
      <c r="AD88" s="44"/>
      <c r="AE88" s="11"/>
      <c r="AF88" s="102"/>
      <c r="AG88" s="125"/>
      <c r="AH88" s="97"/>
      <c r="AI88" s="11"/>
      <c r="AJ88" s="11"/>
      <c r="AK88" s="17"/>
      <c r="AL88" s="97"/>
      <c r="AM88" s="97"/>
      <c r="AN88" s="101"/>
      <c r="AO88" s="248"/>
      <c r="AP88" s="17"/>
      <c r="AQ88" s="17"/>
      <c r="AR88" s="252">
        <v>576000</v>
      </c>
      <c r="AS88" s="97">
        <f>+AR88*0</f>
        <v>0</v>
      </c>
      <c r="AT88" s="103">
        <f t="shared" si="38"/>
        <v>576000</v>
      </c>
      <c r="AU88" s="52" t="s">
        <v>157</v>
      </c>
      <c r="AV88" s="52" t="s">
        <v>42</v>
      </c>
      <c r="AW88" s="30"/>
      <c r="AX88" s="100"/>
      <c r="AY88" s="100"/>
      <c r="AZ88" s="124"/>
      <c r="BA88" s="169"/>
      <c r="BB88" s="116"/>
      <c r="BC88" s="116"/>
      <c r="BD88" s="247"/>
      <c r="BE88" s="124"/>
      <c r="BF88" s="124"/>
      <c r="BG88" s="116"/>
      <c r="BH88" s="116"/>
      <c r="BI88" s="116"/>
      <c r="BJ88" s="124"/>
      <c r="BK88" s="124"/>
      <c r="BL88" s="124"/>
      <c r="BM88" s="116"/>
      <c r="BN88" s="116"/>
      <c r="BO88" s="116"/>
      <c r="BP88" s="124"/>
      <c r="BQ88" s="116"/>
      <c r="BR88" s="116"/>
      <c r="BS88" s="116"/>
      <c r="BT88" s="116"/>
      <c r="BU88" s="116"/>
      <c r="BV88" s="240">
        <v>767400</v>
      </c>
      <c r="BW88" s="125">
        <f>BV88*19%</f>
        <v>145806</v>
      </c>
      <c r="BX88" s="97">
        <f>+BV88+BW88</f>
        <v>913206</v>
      </c>
      <c r="BY88" s="237" t="s">
        <v>158</v>
      </c>
      <c r="BZ88" s="237" t="s">
        <v>208</v>
      </c>
      <c r="CA88" s="116"/>
      <c r="CB88" s="247"/>
      <c r="CC88" s="125"/>
      <c r="CD88" s="247"/>
      <c r="CE88" s="116"/>
      <c r="CF88" s="116"/>
      <c r="CG88" s="34"/>
      <c r="CH88" s="236">
        <v>782748</v>
      </c>
      <c r="CI88" s="238">
        <f>+CH88*0.19</f>
        <v>148722.12</v>
      </c>
      <c r="CJ88" s="236">
        <f>+CH88+CI88</f>
        <v>931470.12</v>
      </c>
      <c r="CK88" s="237" t="s">
        <v>158</v>
      </c>
      <c r="CL88" s="237" t="s">
        <v>208</v>
      </c>
      <c r="CM88" s="116"/>
      <c r="CN88" s="247"/>
      <c r="CO88" s="125"/>
      <c r="CP88" s="247"/>
      <c r="CQ88" s="116"/>
      <c r="CR88" s="116"/>
      <c r="CS88" s="116"/>
      <c r="CT88" s="247"/>
      <c r="CU88" s="125"/>
      <c r="CV88" s="247"/>
      <c r="CW88" s="116"/>
      <c r="CX88" s="116"/>
      <c r="CY88" s="116"/>
      <c r="CZ88" s="102"/>
      <c r="DA88" s="125"/>
      <c r="DB88" s="102"/>
      <c r="DC88" s="31"/>
      <c r="DD88" s="17"/>
      <c r="DE88" s="11"/>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
      <c r="EU88" s="11"/>
      <c r="EV88" s="11"/>
      <c r="EW88" s="11"/>
      <c r="EX88" s="11"/>
      <c r="EY88" s="11"/>
      <c r="EZ88" s="11"/>
      <c r="FA88" s="11"/>
      <c r="FB88" s="11"/>
      <c r="FC88" s="11"/>
      <c r="FD88" s="11"/>
      <c r="FE88" s="11"/>
      <c r="FF88" s="11"/>
      <c r="FG88" s="11"/>
      <c r="FH88" s="17">
        <f t="shared" si="28"/>
        <v>2936235.9249999998</v>
      </c>
      <c r="FI88" s="31">
        <f t="shared" si="29"/>
        <v>4</v>
      </c>
      <c r="FJ88" s="68">
        <f t="shared" si="30"/>
        <v>734058.98124999995</v>
      </c>
    </row>
    <row r="89" spans="1:166" ht="27" x14ac:dyDescent="0.25">
      <c r="A89" s="248">
        <f>Distribución_Reactivos!A89</f>
        <v>87</v>
      </c>
      <c r="B89" s="248" t="str">
        <f>Distribución_Reactivos!B89</f>
        <v>Bacto peptona</v>
      </c>
      <c r="C89" s="248" t="str">
        <f>Distribución_Reactivos!C89</f>
        <v>Difco 21677</v>
      </c>
      <c r="D89" s="248" t="str">
        <f>Distribución_Reactivos!D89</f>
        <v>Frasco x 500 g</v>
      </c>
      <c r="E89" s="29">
        <v>1</v>
      </c>
      <c r="F89" s="212">
        <v>0</v>
      </c>
      <c r="G89" s="214">
        <v>0</v>
      </c>
      <c r="H89" s="221">
        <v>735182</v>
      </c>
      <c r="I89" s="221">
        <v>433160</v>
      </c>
      <c r="J89" s="221">
        <v>615230</v>
      </c>
      <c r="K89" s="221">
        <v>0</v>
      </c>
      <c r="L89" s="247">
        <f>AVERAGE(H89,J89)</f>
        <v>675206</v>
      </c>
      <c r="M89" s="247">
        <f>I89*E1</f>
        <v>446154.8</v>
      </c>
      <c r="N89" s="219">
        <v>418500</v>
      </c>
      <c r="O89" s="97">
        <f>+N89*0.19</f>
        <v>79515</v>
      </c>
      <c r="P89" s="97">
        <f>+O89+N89</f>
        <v>498015</v>
      </c>
      <c r="Q89" s="34" t="s">
        <v>118</v>
      </c>
      <c r="R89" s="116" t="s">
        <v>119</v>
      </c>
      <c r="S89" s="53" t="s">
        <v>209</v>
      </c>
      <c r="T89" s="97"/>
      <c r="U89" s="97"/>
      <c r="V89" s="97"/>
      <c r="W89" s="115"/>
      <c r="X89" s="115"/>
      <c r="Y89" s="11"/>
      <c r="Z89" s="97"/>
      <c r="AA89" s="97"/>
      <c r="AB89" s="97"/>
      <c r="AC89" s="44"/>
      <c r="AD89" s="44"/>
      <c r="AE89" s="11"/>
      <c r="AF89" s="102"/>
      <c r="AG89" s="125"/>
      <c r="AH89" s="97"/>
      <c r="AI89" s="11"/>
      <c r="AJ89" s="11"/>
      <c r="AK89" s="17"/>
      <c r="AL89" s="97"/>
      <c r="AM89" s="97"/>
      <c r="AN89" s="101"/>
      <c r="AO89" s="248"/>
      <c r="AP89" s="17"/>
      <c r="AQ89" s="17"/>
      <c r="AR89" s="252"/>
      <c r="AS89" s="136"/>
      <c r="AT89" s="137"/>
      <c r="AU89" s="52"/>
      <c r="AV89" s="52"/>
      <c r="AW89" s="30"/>
      <c r="AX89" s="100"/>
      <c r="AY89" s="174"/>
      <c r="AZ89" s="124"/>
      <c r="BA89" s="169"/>
      <c r="BB89" s="116"/>
      <c r="BC89" s="116"/>
      <c r="BD89" s="247"/>
      <c r="BE89" s="124"/>
      <c r="BF89" s="124"/>
      <c r="BG89" s="116"/>
      <c r="BH89" s="116"/>
      <c r="BI89" s="116"/>
      <c r="BJ89" s="124"/>
      <c r="BK89" s="124"/>
      <c r="BL89" s="124"/>
      <c r="BM89" s="116"/>
      <c r="BN89" s="116"/>
      <c r="BO89" s="116"/>
      <c r="BP89" s="124"/>
      <c r="BQ89" s="116"/>
      <c r="BR89" s="116"/>
      <c r="BS89" s="116"/>
      <c r="BT89" s="116"/>
      <c r="BU89" s="116"/>
      <c r="BV89" s="240">
        <v>1810000</v>
      </c>
      <c r="BW89" s="125">
        <f>BV89*19%</f>
        <v>343900</v>
      </c>
      <c r="BX89" s="97">
        <f>+BV89+BW89</f>
        <v>2153900</v>
      </c>
      <c r="BY89" s="237" t="s">
        <v>78</v>
      </c>
      <c r="BZ89" s="237" t="s">
        <v>210</v>
      </c>
      <c r="CA89" s="116"/>
      <c r="CB89" s="247"/>
      <c r="CC89" s="125"/>
      <c r="CD89" s="247"/>
      <c r="CE89" s="116"/>
      <c r="CF89" s="116"/>
      <c r="CG89" s="34"/>
      <c r="CH89" s="236"/>
      <c r="CI89" s="238"/>
      <c r="CJ89" s="236"/>
      <c r="CK89" s="237"/>
      <c r="CL89" s="237"/>
      <c r="CM89" s="116"/>
      <c r="CN89" s="247"/>
      <c r="CO89" s="125"/>
      <c r="CP89" s="247"/>
      <c r="CQ89" s="116"/>
      <c r="CR89" s="116"/>
      <c r="CS89" s="116"/>
      <c r="CT89" s="247"/>
      <c r="CU89" s="125"/>
      <c r="CV89" s="247"/>
      <c r="CW89" s="116"/>
      <c r="CX89" s="116"/>
      <c r="CY89" s="116"/>
      <c r="CZ89" s="102"/>
      <c r="DA89" s="125"/>
      <c r="DB89" s="102"/>
      <c r="DC89" s="31"/>
      <c r="DD89" s="17"/>
      <c r="DE89" s="11"/>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
      <c r="EU89" s="11"/>
      <c r="EV89" s="11"/>
      <c r="EW89" s="11"/>
      <c r="EX89" s="11"/>
      <c r="EY89" s="11"/>
      <c r="EZ89" s="11"/>
      <c r="FA89" s="11"/>
      <c r="FB89" s="11"/>
      <c r="FC89" s="11"/>
      <c r="FD89" s="11"/>
      <c r="FE89" s="11"/>
      <c r="FF89" s="11"/>
      <c r="FG89" s="11"/>
      <c r="FH89" s="17">
        <f t="shared" si="28"/>
        <v>3098069.8</v>
      </c>
      <c r="FI89" s="31">
        <f t="shared" si="29"/>
        <v>3</v>
      </c>
      <c r="FJ89" s="68">
        <f t="shared" si="30"/>
        <v>1032689.9333333332</v>
      </c>
    </row>
    <row r="90" spans="1:166" ht="105" customHeight="1" x14ac:dyDescent="0.25">
      <c r="A90" s="248">
        <f>Distribución_Reactivos!A90</f>
        <v>88</v>
      </c>
      <c r="B90" s="248" t="str">
        <f>Distribución_Reactivos!B90</f>
        <v>Bálsamo de Canadá (Reactivo para entomología). Resina espesa derivada del Abeto, con índice de refracción 90% admisible con el vidrio usado en  microscopia para el montaje permanente y observación de estructuras de moscas de la fruta y de insectos en general</v>
      </c>
      <c r="C90" s="248" t="str">
        <f>Distribución_Reactivos!C90</f>
        <v>Biopack o equivalente</v>
      </c>
      <c r="D90" s="248" t="str">
        <f>Distribución_Reactivos!D90</f>
        <v>Frasco x 100 ml</v>
      </c>
      <c r="E90" s="29">
        <v>1</v>
      </c>
      <c r="F90" s="212">
        <v>0</v>
      </c>
      <c r="G90" s="214">
        <v>0</v>
      </c>
      <c r="H90" s="221">
        <v>0</v>
      </c>
      <c r="I90" s="221">
        <v>0</v>
      </c>
      <c r="J90" s="221">
        <v>0</v>
      </c>
      <c r="K90" s="221">
        <v>0</v>
      </c>
      <c r="L90" s="247"/>
      <c r="M90" s="247"/>
      <c r="N90" s="217"/>
      <c r="O90" s="97"/>
      <c r="P90" s="97"/>
      <c r="Q90" s="115"/>
      <c r="R90" s="115"/>
      <c r="S90" s="53"/>
      <c r="T90" s="97"/>
      <c r="U90" s="101"/>
      <c r="V90" s="97"/>
      <c r="W90" s="115"/>
      <c r="X90" s="115"/>
      <c r="Y90" s="11"/>
      <c r="Z90" s="97"/>
      <c r="AA90" s="97"/>
      <c r="AB90" s="97"/>
      <c r="AC90" s="44"/>
      <c r="AD90" s="44"/>
      <c r="AE90" s="11"/>
      <c r="AF90" s="102">
        <v>905000</v>
      </c>
      <c r="AG90" s="125">
        <f>AF90*19%</f>
        <v>171950</v>
      </c>
      <c r="AH90" s="97">
        <f>+AF90+AG90</f>
        <v>1076950</v>
      </c>
      <c r="AI90" s="11"/>
      <c r="AJ90" s="11"/>
      <c r="AK90" s="17"/>
      <c r="AL90" s="97">
        <v>690000</v>
      </c>
      <c r="AM90" s="97">
        <f>+AL90*0.19</f>
        <v>131100</v>
      </c>
      <c r="AN90" s="103">
        <f>+AL90+AM90</f>
        <v>821100</v>
      </c>
      <c r="AO90" s="248" t="s">
        <v>51</v>
      </c>
      <c r="AP90" s="239" t="s">
        <v>52</v>
      </c>
      <c r="AQ90" s="17"/>
      <c r="AR90" s="252">
        <v>628425</v>
      </c>
      <c r="AS90" s="97">
        <f>+AR90*0.19</f>
        <v>119400.75</v>
      </c>
      <c r="AT90" s="103">
        <f>+AR90+AS90</f>
        <v>747825.75</v>
      </c>
      <c r="AU90" s="52" t="s">
        <v>51</v>
      </c>
      <c r="AV90" s="52" t="s">
        <v>52</v>
      </c>
      <c r="AW90" s="30"/>
      <c r="AX90" s="100"/>
      <c r="AY90" s="100"/>
      <c r="AZ90" s="124"/>
      <c r="BA90" s="169"/>
      <c r="BB90" s="116"/>
      <c r="BC90" s="116"/>
      <c r="BD90" s="247"/>
      <c r="BE90" s="124"/>
      <c r="BF90" s="124"/>
      <c r="BG90" s="116"/>
      <c r="BH90" s="116"/>
      <c r="BI90" s="116"/>
      <c r="BJ90" s="124"/>
      <c r="BK90" s="124"/>
      <c r="BL90" s="124"/>
      <c r="BM90" s="116"/>
      <c r="BN90" s="116"/>
      <c r="BO90" s="116"/>
      <c r="BP90" s="124"/>
      <c r="BQ90" s="116"/>
      <c r="BR90" s="116"/>
      <c r="BS90" s="116"/>
      <c r="BT90" s="116"/>
      <c r="BU90" s="116"/>
      <c r="BV90" s="240">
        <v>1202900</v>
      </c>
      <c r="BW90" s="125">
        <f>BV90*19%</f>
        <v>228551</v>
      </c>
      <c r="BX90" s="97">
        <f>+BV90+BW90</f>
        <v>1431451</v>
      </c>
      <c r="BY90" s="237" t="s">
        <v>54</v>
      </c>
      <c r="BZ90" s="237" t="s">
        <v>93</v>
      </c>
      <c r="CA90" s="116"/>
      <c r="CB90" s="247">
        <v>445000</v>
      </c>
      <c r="CC90" s="125">
        <f>+CB90*19%</f>
        <v>84550</v>
      </c>
      <c r="CD90" s="247">
        <f>+CC90+CB90</f>
        <v>529550</v>
      </c>
      <c r="CE90" s="116"/>
      <c r="CF90" s="116"/>
      <c r="CG90" s="34"/>
      <c r="CH90" s="236"/>
      <c r="CI90" s="238"/>
      <c r="CJ90" s="236"/>
      <c r="CK90" s="237"/>
      <c r="CL90" s="237"/>
      <c r="CM90" s="116"/>
      <c r="CN90" s="247"/>
      <c r="CO90" s="125"/>
      <c r="CP90" s="247"/>
      <c r="CQ90" s="116"/>
      <c r="CR90" s="116"/>
      <c r="CS90" s="116"/>
      <c r="CT90" s="247"/>
      <c r="CU90" s="125"/>
      <c r="CV90" s="247"/>
      <c r="CW90" s="116"/>
      <c r="CX90" s="116"/>
      <c r="CY90" s="116"/>
      <c r="CZ90" s="102"/>
      <c r="DA90" s="125"/>
      <c r="DB90" s="102"/>
      <c r="DC90" s="31"/>
      <c r="DD90" s="17"/>
      <c r="DE90" s="11"/>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
      <c r="EU90" s="11"/>
      <c r="EV90" s="11"/>
      <c r="EW90" s="11"/>
      <c r="EX90" s="11"/>
      <c r="EY90" s="11"/>
      <c r="EZ90" s="11"/>
      <c r="FA90" s="11"/>
      <c r="FB90" s="11"/>
      <c r="FC90" s="11"/>
      <c r="FD90" s="11"/>
      <c r="FE90" s="11"/>
      <c r="FF90" s="11"/>
      <c r="FG90" s="11"/>
      <c r="FH90" s="17">
        <f t="shared" si="28"/>
        <v>4606876.75</v>
      </c>
      <c r="FI90" s="31">
        <f t="shared" si="29"/>
        <v>5</v>
      </c>
      <c r="FJ90" s="68">
        <f t="shared" si="30"/>
        <v>921375.35</v>
      </c>
    </row>
    <row r="91" spans="1:166" x14ac:dyDescent="0.25">
      <c r="A91" s="248">
        <f>Distribución_Reactivos!A91</f>
        <v>89</v>
      </c>
      <c r="B91" s="248" t="str">
        <f>Distribución_Reactivos!B91</f>
        <v>Base para Primers 200mM</v>
      </c>
      <c r="C91" s="248" t="str">
        <f>Distribución_Reactivos!C91</f>
        <v>IDT</v>
      </c>
      <c r="D91" s="248" t="str">
        <f>Distribución_Reactivos!D91</f>
        <v>Base</v>
      </c>
      <c r="E91" s="29">
        <v>1</v>
      </c>
      <c r="F91" s="212">
        <v>3823.4700000000003</v>
      </c>
      <c r="G91" s="214">
        <v>0</v>
      </c>
      <c r="H91" s="221">
        <v>0</v>
      </c>
      <c r="I91" s="221">
        <v>0</v>
      </c>
      <c r="J91" s="221">
        <v>4082.5</v>
      </c>
      <c r="K91" s="221">
        <v>0</v>
      </c>
      <c r="L91" s="247">
        <f>AVERAGE(F91,J91)</f>
        <v>3952.9850000000001</v>
      </c>
      <c r="M91" s="247"/>
      <c r="N91" s="217"/>
      <c r="O91" s="97"/>
      <c r="P91" s="97"/>
      <c r="Q91" s="115"/>
      <c r="R91" s="115"/>
      <c r="S91" s="53"/>
      <c r="T91" s="97">
        <v>4500</v>
      </c>
      <c r="U91" s="102">
        <f>+T91*0</f>
        <v>0</v>
      </c>
      <c r="V91" s="97">
        <f>+U91+T91</f>
        <v>4500</v>
      </c>
      <c r="W91" s="115" t="s">
        <v>211</v>
      </c>
      <c r="X91" s="115" t="s">
        <v>129</v>
      </c>
      <c r="Y91" s="11"/>
      <c r="Z91" s="97"/>
      <c r="AA91" s="97"/>
      <c r="AB91" s="97"/>
      <c r="AC91" s="115"/>
      <c r="AD91" s="44"/>
      <c r="AE91" s="11"/>
      <c r="AF91" s="102"/>
      <c r="AG91" s="125"/>
      <c r="AH91" s="97"/>
      <c r="AI91" s="11"/>
      <c r="AJ91" s="11"/>
      <c r="AK91" s="17"/>
      <c r="AL91" s="97"/>
      <c r="AM91" s="97"/>
      <c r="AN91" s="101"/>
      <c r="AO91" s="248"/>
      <c r="AP91" s="17"/>
      <c r="AQ91" s="17"/>
      <c r="AR91" s="252">
        <v>3500</v>
      </c>
      <c r="AS91" s="97">
        <f>+AR91*0.19</f>
        <v>665</v>
      </c>
      <c r="AT91" s="103">
        <f>+AR91+AS91</f>
        <v>4165</v>
      </c>
      <c r="AU91" s="52" t="s">
        <v>212</v>
      </c>
      <c r="AV91" s="52" t="s">
        <v>213</v>
      </c>
      <c r="AW91" s="30"/>
      <c r="AX91" s="100"/>
      <c r="AY91" s="100"/>
      <c r="AZ91" s="124"/>
      <c r="BA91" s="169"/>
      <c r="BB91" s="116"/>
      <c r="BC91" s="116"/>
      <c r="BD91" s="247"/>
      <c r="BE91" s="124"/>
      <c r="BF91" s="124"/>
      <c r="BG91" s="116"/>
      <c r="BH91" s="116"/>
      <c r="BI91" s="116"/>
      <c r="BJ91" s="124"/>
      <c r="BK91" s="124"/>
      <c r="BL91" s="124"/>
      <c r="BM91" s="116"/>
      <c r="BN91" s="116"/>
      <c r="BO91" s="116"/>
      <c r="BP91" s="124"/>
      <c r="BQ91" s="116"/>
      <c r="BR91" s="116"/>
      <c r="BS91" s="116"/>
      <c r="BT91" s="116"/>
      <c r="BU91" s="116"/>
      <c r="BV91" s="188"/>
      <c r="BW91" s="125"/>
      <c r="BX91" s="97"/>
      <c r="BY91" s="246"/>
      <c r="BZ91" s="246"/>
      <c r="CA91" s="116"/>
      <c r="CB91" s="247"/>
      <c r="CC91" s="125"/>
      <c r="CD91" s="247"/>
      <c r="CE91" s="116"/>
      <c r="CF91" s="116"/>
      <c r="CG91" s="34"/>
      <c r="CH91" s="187"/>
      <c r="CI91" s="195"/>
      <c r="CJ91" s="187"/>
      <c r="CK91" s="246"/>
      <c r="CL91" s="246"/>
      <c r="CM91" s="116"/>
      <c r="CN91" s="247"/>
      <c r="CO91" s="125"/>
      <c r="CP91" s="247"/>
      <c r="CQ91" s="116"/>
      <c r="CR91" s="116"/>
      <c r="CS91" s="116"/>
      <c r="CT91" s="247"/>
      <c r="CU91" s="125"/>
      <c r="CV91" s="247"/>
      <c r="CW91" s="116"/>
      <c r="CX91" s="116"/>
      <c r="CY91" s="116"/>
      <c r="CZ91" s="102"/>
      <c r="DA91" s="125"/>
      <c r="DB91" s="102"/>
      <c r="DC91" s="31"/>
      <c r="DD91" s="17"/>
      <c r="DE91" s="11"/>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
      <c r="EU91" s="11"/>
      <c r="EV91" s="11"/>
      <c r="EW91" s="11"/>
      <c r="EX91" s="11"/>
      <c r="EY91" s="11"/>
      <c r="EZ91" s="11"/>
      <c r="FA91" s="11"/>
      <c r="FB91" s="11"/>
      <c r="FC91" s="11"/>
      <c r="FD91" s="11"/>
      <c r="FE91" s="11"/>
      <c r="FF91" s="11"/>
      <c r="FG91" s="11"/>
      <c r="FH91" s="17">
        <f t="shared" si="28"/>
        <v>8665</v>
      </c>
      <c r="FI91" s="31">
        <f t="shared" si="29"/>
        <v>2</v>
      </c>
      <c r="FJ91" s="68">
        <f t="shared" si="30"/>
        <v>4332.5</v>
      </c>
    </row>
    <row r="92" spans="1:166" ht="27" x14ac:dyDescent="0.25">
      <c r="A92" s="248">
        <f>Distribución_Reactivos!A92</f>
        <v>90</v>
      </c>
      <c r="B92" s="248" t="str">
        <f>Distribución_Reactivos!B92</f>
        <v>BBL Crystal ANR</v>
      </c>
      <c r="C92" s="248" t="str">
        <f>Distribución_Reactivos!C92</f>
        <v>245010 BBL</v>
      </c>
      <c r="D92" s="248" t="str">
        <f>Distribución_Reactivos!D92</f>
        <v>Kit x 20 pruebas</v>
      </c>
      <c r="E92" s="29">
        <v>1</v>
      </c>
      <c r="F92" s="212">
        <v>1801800</v>
      </c>
      <c r="G92" s="214">
        <v>1747700</v>
      </c>
      <c r="H92" s="221">
        <v>1581900.58</v>
      </c>
      <c r="I92" s="221">
        <v>1581748</v>
      </c>
      <c r="J92" s="221">
        <v>1644542.5</v>
      </c>
      <c r="K92" s="221">
        <v>1547000</v>
      </c>
      <c r="L92" s="247">
        <f>AVERAGE(F92,H92,J92)</f>
        <v>1676081.0266666666</v>
      </c>
      <c r="M92" s="247">
        <f>AVERAGE(G92,I92,K92)*E1</f>
        <v>1674247.1466666667</v>
      </c>
      <c r="N92" s="219">
        <v>1629500</v>
      </c>
      <c r="O92" s="97">
        <f>+N92*0</f>
        <v>0</v>
      </c>
      <c r="P92" s="97">
        <f>+O92+N92</f>
        <v>1629500</v>
      </c>
      <c r="Q92" s="34" t="s">
        <v>192</v>
      </c>
      <c r="R92" s="116" t="s">
        <v>193</v>
      </c>
      <c r="S92" s="25" t="s">
        <v>214</v>
      </c>
      <c r="T92" s="97"/>
      <c r="U92" s="97"/>
      <c r="V92" s="97"/>
      <c r="W92" s="115"/>
      <c r="X92" s="115"/>
      <c r="Y92" s="11"/>
      <c r="Z92" s="97"/>
      <c r="AA92" s="97"/>
      <c r="AB92" s="97"/>
      <c r="AC92" s="44"/>
      <c r="AD92" s="44"/>
      <c r="AE92" s="11"/>
      <c r="AF92" s="102"/>
      <c r="AG92" s="125"/>
      <c r="AH92" s="97"/>
      <c r="AI92" s="11"/>
      <c r="AJ92" s="11"/>
      <c r="AK92" s="17"/>
      <c r="AL92" s="97"/>
      <c r="AM92" s="97"/>
      <c r="AN92" s="101"/>
      <c r="AO92" s="248"/>
      <c r="AP92" s="17"/>
      <c r="AQ92" s="17"/>
      <c r="AR92" s="252"/>
      <c r="AS92" s="136"/>
      <c r="AT92" s="137"/>
      <c r="AU92" s="52"/>
      <c r="AV92" s="52"/>
      <c r="AW92" s="30"/>
      <c r="AX92" s="100"/>
      <c r="AY92" s="174"/>
      <c r="AZ92" s="124"/>
      <c r="BA92" s="169"/>
      <c r="BB92" s="116"/>
      <c r="BC92" s="116"/>
      <c r="BD92" s="247"/>
      <c r="BE92" s="124"/>
      <c r="BF92" s="124"/>
      <c r="BG92" s="116"/>
      <c r="BH92" s="116"/>
      <c r="BI92" s="116"/>
      <c r="BJ92" s="124"/>
      <c r="BK92" s="124"/>
      <c r="BL92" s="124"/>
      <c r="BM92" s="116"/>
      <c r="BN92" s="116"/>
      <c r="BO92" s="116"/>
      <c r="BP92" s="124"/>
      <c r="BQ92" s="116"/>
      <c r="BR92" s="116"/>
      <c r="BS92" s="116"/>
      <c r="BT92" s="116"/>
      <c r="BU92" s="116"/>
      <c r="BV92" s="240">
        <v>1957900</v>
      </c>
      <c r="BW92" s="125">
        <f>BV92*0</f>
        <v>0</v>
      </c>
      <c r="BX92" s="97">
        <f t="shared" ref="BX92:BX97" si="39">+BV92+BW92</f>
        <v>1957900</v>
      </c>
      <c r="BY92" s="237" t="s">
        <v>215</v>
      </c>
      <c r="BZ92" s="237" t="s">
        <v>216</v>
      </c>
      <c r="CA92" s="116"/>
      <c r="CB92" s="247"/>
      <c r="CC92" s="125"/>
      <c r="CD92" s="247"/>
      <c r="CE92" s="116"/>
      <c r="CF92" s="116"/>
      <c r="CG92" s="34"/>
      <c r="CH92" s="236"/>
      <c r="CI92" s="238"/>
      <c r="CJ92" s="236"/>
      <c r="CK92" s="237"/>
      <c r="CL92" s="237"/>
      <c r="CM92" s="116"/>
      <c r="CN92" s="247"/>
      <c r="CO92" s="125"/>
      <c r="CP92" s="247"/>
      <c r="CQ92" s="116"/>
      <c r="CR92" s="116"/>
      <c r="CS92" s="116"/>
      <c r="CT92" s="247"/>
      <c r="CU92" s="125"/>
      <c r="CV92" s="247"/>
      <c r="CW92" s="116"/>
      <c r="CX92" s="116"/>
      <c r="CY92" s="116"/>
      <c r="CZ92" s="102"/>
      <c r="DA92" s="125"/>
      <c r="DB92" s="102"/>
      <c r="DC92" s="31"/>
      <c r="DD92" s="17"/>
      <c r="DE92" s="11"/>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
      <c r="EU92" s="11"/>
      <c r="EV92" s="11"/>
      <c r="EW92" s="11"/>
      <c r="EX92" s="11"/>
      <c r="EY92" s="11"/>
      <c r="EZ92" s="11"/>
      <c r="FA92" s="11"/>
      <c r="FB92" s="11"/>
      <c r="FC92" s="11"/>
      <c r="FD92" s="11"/>
      <c r="FE92" s="11"/>
      <c r="FF92" s="11"/>
      <c r="FG92" s="11"/>
      <c r="FH92" s="17">
        <f t="shared" si="28"/>
        <v>5261647.1466666665</v>
      </c>
      <c r="FI92" s="31">
        <f t="shared" si="29"/>
        <v>3</v>
      </c>
      <c r="FJ92" s="68">
        <f t="shared" si="30"/>
        <v>1753882.3822222222</v>
      </c>
    </row>
    <row r="93" spans="1:166" ht="25.5" x14ac:dyDescent="0.25">
      <c r="A93" s="248">
        <f>Distribución_Reactivos!A93</f>
        <v>91</v>
      </c>
      <c r="B93" s="248" t="str">
        <f>Distribución_Reactivos!B93</f>
        <v xml:space="preserve">BBL Crystal Entericos / No Fermentadores  </v>
      </c>
      <c r="C93" s="248" t="str">
        <f>Distribución_Reactivos!C93</f>
        <v>BD 245000</v>
      </c>
      <c r="D93" s="248" t="str">
        <f>Distribución_Reactivos!D93</f>
        <v>Caja x 20</v>
      </c>
      <c r="E93" s="29">
        <v>1</v>
      </c>
      <c r="F93" s="212">
        <v>0</v>
      </c>
      <c r="G93" s="214">
        <v>0</v>
      </c>
      <c r="H93" s="221">
        <v>0</v>
      </c>
      <c r="I93" s="221">
        <v>0</v>
      </c>
      <c r="J93" s="221">
        <v>0</v>
      </c>
      <c r="K93" s="221">
        <v>0</v>
      </c>
      <c r="L93" s="247"/>
      <c r="M93" s="247"/>
      <c r="N93" s="219"/>
      <c r="O93" s="97"/>
      <c r="P93" s="97"/>
      <c r="Q93" s="34"/>
      <c r="R93" s="116"/>
      <c r="S93" s="25"/>
      <c r="T93" s="97"/>
      <c r="U93" s="97"/>
      <c r="V93" s="97"/>
      <c r="W93" s="115"/>
      <c r="X93" s="115"/>
      <c r="Y93" s="11"/>
      <c r="Z93" s="97"/>
      <c r="AA93" s="97"/>
      <c r="AB93" s="97"/>
      <c r="AC93" s="44"/>
      <c r="AD93" s="44"/>
      <c r="AE93" s="11"/>
      <c r="AF93" s="102"/>
      <c r="AG93" s="125"/>
      <c r="AH93" s="97"/>
      <c r="AI93" s="11"/>
      <c r="AJ93" s="11"/>
      <c r="AK93" s="17"/>
      <c r="AL93" s="97"/>
      <c r="AM93" s="97"/>
      <c r="AN93" s="101"/>
      <c r="AO93" s="248"/>
      <c r="AP93" s="17"/>
      <c r="AQ93" s="17"/>
      <c r="AR93" s="252"/>
      <c r="AS93" s="136"/>
      <c r="AT93" s="137"/>
      <c r="AU93" s="52"/>
      <c r="AV93" s="52"/>
      <c r="AW93" s="30"/>
      <c r="AX93" s="100"/>
      <c r="AY93" s="174"/>
      <c r="AZ93" s="124"/>
      <c r="BA93" s="169"/>
      <c r="BB93" s="116"/>
      <c r="BC93" s="116"/>
      <c r="BD93" s="247"/>
      <c r="BE93" s="124"/>
      <c r="BF93" s="124"/>
      <c r="BG93" s="116"/>
      <c r="BH93" s="116"/>
      <c r="BI93" s="116"/>
      <c r="BJ93" s="124"/>
      <c r="BK93" s="124"/>
      <c r="BL93" s="124"/>
      <c r="BM93" s="116"/>
      <c r="BN93" s="116"/>
      <c r="BO93" s="116"/>
      <c r="BP93" s="124"/>
      <c r="BQ93" s="116"/>
      <c r="BR93" s="116"/>
      <c r="BS93" s="116"/>
      <c r="BT93" s="116"/>
      <c r="BU93" s="116"/>
      <c r="BV93" s="240">
        <v>1757000</v>
      </c>
      <c r="BW93" s="125">
        <f>BV93*0</f>
        <v>0</v>
      </c>
      <c r="BX93" s="97">
        <f t="shared" si="39"/>
        <v>1757000</v>
      </c>
      <c r="BY93" s="237" t="s">
        <v>217</v>
      </c>
      <c r="BZ93" s="237" t="s">
        <v>216</v>
      </c>
      <c r="CA93" s="116"/>
      <c r="CB93" s="247"/>
      <c r="CC93" s="125"/>
      <c r="CD93" s="247"/>
      <c r="CE93" s="116"/>
      <c r="CF93" s="116"/>
      <c r="CG93" s="34"/>
      <c r="CH93" s="236">
        <v>1774570</v>
      </c>
      <c r="CI93" s="238">
        <f>+CH93*0</f>
        <v>0</v>
      </c>
      <c r="CJ93" s="236">
        <f>+CH93+CI93</f>
        <v>1774570</v>
      </c>
      <c r="CK93" s="237" t="s">
        <v>217</v>
      </c>
      <c r="CL93" s="237" t="s">
        <v>216</v>
      </c>
      <c r="CM93" s="116"/>
      <c r="CN93" s="247"/>
      <c r="CO93" s="125"/>
      <c r="CP93" s="247"/>
      <c r="CQ93" s="116"/>
      <c r="CR93" s="116"/>
      <c r="CS93" s="116"/>
      <c r="CT93" s="247"/>
      <c r="CU93" s="125"/>
      <c r="CV93" s="247"/>
      <c r="CW93" s="116"/>
      <c r="CX93" s="116"/>
      <c r="CY93" s="116"/>
      <c r="CZ93" s="102"/>
      <c r="DA93" s="125"/>
      <c r="DB93" s="102"/>
      <c r="DC93" s="31"/>
      <c r="DD93" s="17"/>
      <c r="DE93" s="11"/>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
      <c r="EU93" s="11"/>
      <c r="EV93" s="11"/>
      <c r="EW93" s="11"/>
      <c r="EX93" s="11"/>
      <c r="EY93" s="11"/>
      <c r="EZ93" s="11"/>
      <c r="FA93" s="11"/>
      <c r="FB93" s="11"/>
      <c r="FC93" s="11"/>
      <c r="FD93" s="11"/>
      <c r="FE93" s="11"/>
      <c r="FF93" s="11"/>
      <c r="FG93" s="11"/>
      <c r="FH93" s="17">
        <f t="shared" si="28"/>
        <v>3531570</v>
      </c>
      <c r="FI93" s="31">
        <f t="shared" si="29"/>
        <v>2</v>
      </c>
      <c r="FJ93" s="68">
        <f t="shared" si="30"/>
        <v>1765785</v>
      </c>
    </row>
    <row r="94" spans="1:166" ht="27" x14ac:dyDescent="0.25">
      <c r="A94" s="248">
        <f>Distribución_Reactivos!A94</f>
        <v>92</v>
      </c>
      <c r="B94" s="248" t="str">
        <f>Distribución_Reactivos!B94</f>
        <v>BBL Crystal gram positivos</v>
      </c>
      <c r="C94" s="248" t="str">
        <f>Distribución_Reactivos!C94</f>
        <v>245140 BBL</v>
      </c>
      <c r="D94" s="248" t="str">
        <f>Distribución_Reactivos!D94</f>
        <v>Kit x 20 pruebas</v>
      </c>
      <c r="E94" s="29">
        <v>1</v>
      </c>
      <c r="F94" s="212">
        <v>2097500</v>
      </c>
      <c r="G94" s="214">
        <v>2024000</v>
      </c>
      <c r="H94" s="221">
        <v>1846694.75</v>
      </c>
      <c r="I94" s="221">
        <v>1846523</v>
      </c>
      <c r="J94" s="221">
        <v>2125200</v>
      </c>
      <c r="K94" s="221">
        <v>2082500</v>
      </c>
      <c r="L94" s="247">
        <f>AVERAGE(F94,H94,J94)</f>
        <v>2023131.5833333333</v>
      </c>
      <c r="M94" s="247">
        <f>AVERAGE(G94,I94,K94)*E1</f>
        <v>2043871.23</v>
      </c>
      <c r="N94" s="217"/>
      <c r="O94" s="97"/>
      <c r="P94" s="97"/>
      <c r="Q94" s="115"/>
      <c r="R94" s="115"/>
      <c r="S94" s="53"/>
      <c r="T94" s="97"/>
      <c r="U94" s="97"/>
      <c r="V94" s="97"/>
      <c r="W94" s="115"/>
      <c r="X94" s="115"/>
      <c r="Y94" s="11"/>
      <c r="Z94" s="97"/>
      <c r="AA94" s="97"/>
      <c r="AB94" s="97"/>
      <c r="AC94" s="44"/>
      <c r="AD94" s="44"/>
      <c r="AE94" s="11"/>
      <c r="AF94" s="102"/>
      <c r="AG94" s="125"/>
      <c r="AH94" s="97"/>
      <c r="AI94" s="11"/>
      <c r="AJ94" s="11"/>
      <c r="AK94" s="17"/>
      <c r="AL94" s="97"/>
      <c r="AM94" s="97"/>
      <c r="AN94" s="101"/>
      <c r="AO94" s="248"/>
      <c r="AP94" s="17"/>
      <c r="AQ94" s="17"/>
      <c r="AR94" s="252"/>
      <c r="AS94" s="136"/>
      <c r="AT94" s="137"/>
      <c r="AU94" s="52"/>
      <c r="AV94" s="52"/>
      <c r="AW94" s="30"/>
      <c r="AX94" s="100"/>
      <c r="AY94" s="174"/>
      <c r="AZ94" s="124"/>
      <c r="BA94" s="169"/>
      <c r="BB94" s="116"/>
      <c r="BC94" s="116"/>
      <c r="BD94" s="247"/>
      <c r="BE94" s="124"/>
      <c r="BF94" s="124"/>
      <c r="BG94" s="116"/>
      <c r="BH94" s="116"/>
      <c r="BI94" s="116"/>
      <c r="BJ94" s="124"/>
      <c r="BK94" s="124"/>
      <c r="BL94" s="124"/>
      <c r="BM94" s="116"/>
      <c r="BN94" s="116"/>
      <c r="BO94" s="116"/>
      <c r="BP94" s="124"/>
      <c r="BQ94" s="116"/>
      <c r="BR94" s="116"/>
      <c r="BS94" s="116"/>
      <c r="BT94" s="116"/>
      <c r="BU94" s="116"/>
      <c r="BV94" s="240">
        <v>2101200</v>
      </c>
      <c r="BW94" s="125">
        <f>BV94*0</f>
        <v>0</v>
      </c>
      <c r="BX94" s="97">
        <f t="shared" si="39"/>
        <v>2101200</v>
      </c>
      <c r="BY94" s="237" t="s">
        <v>215</v>
      </c>
      <c r="BZ94" s="237" t="s">
        <v>216</v>
      </c>
      <c r="CA94" s="116"/>
      <c r="CB94" s="247"/>
      <c r="CC94" s="125"/>
      <c r="CD94" s="247"/>
      <c r="CE94" s="116"/>
      <c r="CF94" s="116"/>
      <c r="CG94" s="34"/>
      <c r="CH94" s="236">
        <v>2164236</v>
      </c>
      <c r="CI94" s="238">
        <f>+CH94*0</f>
        <v>0</v>
      </c>
      <c r="CJ94" s="236">
        <f>+CH94+CI94</f>
        <v>2164236</v>
      </c>
      <c r="CK94" s="237" t="s">
        <v>215</v>
      </c>
      <c r="CL94" s="237" t="s">
        <v>216</v>
      </c>
      <c r="CM94" s="116"/>
      <c r="CN94" s="247"/>
      <c r="CO94" s="125"/>
      <c r="CP94" s="247"/>
      <c r="CQ94" s="116"/>
      <c r="CR94" s="116"/>
      <c r="CS94" s="116"/>
      <c r="CT94" s="247"/>
      <c r="CU94" s="125"/>
      <c r="CV94" s="247"/>
      <c r="CW94" s="116"/>
      <c r="CX94" s="116"/>
      <c r="CY94" s="116"/>
      <c r="CZ94" s="102"/>
      <c r="DA94" s="125"/>
      <c r="DB94" s="102"/>
      <c r="DC94" s="31"/>
      <c r="DD94" s="17"/>
      <c r="DE94" s="11"/>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
      <c r="EU94" s="11"/>
      <c r="EV94" s="11"/>
      <c r="EW94" s="11"/>
      <c r="EX94" s="11"/>
      <c r="EY94" s="11"/>
      <c r="EZ94" s="11"/>
      <c r="FA94" s="11"/>
      <c r="FB94" s="11"/>
      <c r="FC94" s="11"/>
      <c r="FD94" s="11"/>
      <c r="FE94" s="11"/>
      <c r="FF94" s="11"/>
      <c r="FG94" s="11"/>
      <c r="FH94" s="17">
        <f t="shared" si="28"/>
        <v>6309307.2300000004</v>
      </c>
      <c r="FI94" s="31">
        <f t="shared" si="29"/>
        <v>3</v>
      </c>
      <c r="FJ94" s="68">
        <f t="shared" si="30"/>
        <v>2103102.41</v>
      </c>
    </row>
    <row r="95" spans="1:166" ht="63.75" x14ac:dyDescent="0.25">
      <c r="A95" s="248">
        <f>Distribución_Reactivos!A95</f>
        <v>93</v>
      </c>
      <c r="B95" s="248" t="str">
        <f>Distribución_Reactivos!B95</f>
        <v>Beta - glucoronidasa tipo HP-2s de helix Pomatia, Type HP-2S, aqueous solution, ≥100,000 units/ml con fecha de vencimiento no menor a Diciembre de 2021</v>
      </c>
      <c r="C95" s="248" t="str">
        <f>Distribución_Reactivos!C95</f>
        <v>Sigma G7770</v>
      </c>
      <c r="D95" s="248" t="str">
        <f>Distribución_Reactivos!D95</f>
        <v xml:space="preserve">Frasco x 10 ml </v>
      </c>
      <c r="E95" s="29">
        <v>1</v>
      </c>
      <c r="F95" s="212">
        <v>0</v>
      </c>
      <c r="G95" s="214">
        <v>0</v>
      </c>
      <c r="H95" s="221">
        <v>2787194.3580736499</v>
      </c>
      <c r="I95" s="221">
        <v>0</v>
      </c>
      <c r="J95" s="221">
        <v>0</v>
      </c>
      <c r="K95" s="221">
        <v>0</v>
      </c>
      <c r="L95" s="247">
        <f>H95</f>
        <v>2787194.3580736499</v>
      </c>
      <c r="M95" s="247"/>
      <c r="N95" s="217"/>
      <c r="O95" s="97"/>
      <c r="P95" s="97"/>
      <c r="Q95" s="115"/>
      <c r="R95" s="115"/>
      <c r="S95" s="53"/>
      <c r="T95" s="97"/>
      <c r="U95" s="97"/>
      <c r="V95" s="97"/>
      <c r="W95" s="115"/>
      <c r="X95" s="115"/>
      <c r="Y95" s="11"/>
      <c r="Z95" s="97"/>
      <c r="AA95" s="97"/>
      <c r="AB95" s="97"/>
      <c r="AC95" s="44"/>
      <c r="AD95" s="44"/>
      <c r="AE95" s="11"/>
      <c r="AF95" s="102"/>
      <c r="AG95" s="125"/>
      <c r="AH95" s="97"/>
      <c r="AI95" s="11"/>
      <c r="AJ95" s="11"/>
      <c r="AK95" s="17"/>
      <c r="AL95" s="97"/>
      <c r="AM95" s="97"/>
      <c r="AN95" s="101"/>
      <c r="AO95" s="248"/>
      <c r="AP95" s="17"/>
      <c r="AQ95" s="17"/>
      <c r="AR95" s="252">
        <v>1584000</v>
      </c>
      <c r="AS95" s="97">
        <f>+AR95*0.19</f>
        <v>300960</v>
      </c>
      <c r="AT95" s="103">
        <f>+AR95+AS95</f>
        <v>1884960</v>
      </c>
      <c r="AU95" s="52" t="s">
        <v>218</v>
      </c>
      <c r="AV95" s="52" t="s">
        <v>42</v>
      </c>
      <c r="AW95" s="30"/>
      <c r="AX95" s="100"/>
      <c r="AY95" s="172"/>
      <c r="AZ95" s="124"/>
      <c r="BA95" s="169"/>
      <c r="BB95" s="116"/>
      <c r="BC95" s="116"/>
      <c r="BD95" s="247"/>
      <c r="BE95" s="124"/>
      <c r="BF95" s="124"/>
      <c r="BG95" s="116"/>
      <c r="BH95" s="116"/>
      <c r="BI95" s="116"/>
      <c r="BJ95" s="124"/>
      <c r="BK95" s="124"/>
      <c r="BL95" s="124"/>
      <c r="BM95" s="116"/>
      <c r="BN95" s="116"/>
      <c r="BO95" s="116"/>
      <c r="BP95" s="124"/>
      <c r="BQ95" s="116"/>
      <c r="BR95" s="116"/>
      <c r="BS95" s="116"/>
      <c r="BT95" s="116"/>
      <c r="BU95" s="116"/>
      <c r="BV95" s="240">
        <v>3574200</v>
      </c>
      <c r="BW95" s="125">
        <f>BV95*19%</f>
        <v>679098</v>
      </c>
      <c r="BX95" s="97">
        <f t="shared" si="39"/>
        <v>4253298</v>
      </c>
      <c r="BY95" s="237" t="s">
        <v>219</v>
      </c>
      <c r="BZ95" s="237" t="s">
        <v>44</v>
      </c>
      <c r="CA95" s="116"/>
      <c r="CB95" s="247"/>
      <c r="CC95" s="125"/>
      <c r="CD95" s="247"/>
      <c r="CE95" s="116"/>
      <c r="CF95" s="116"/>
      <c r="CG95" s="34"/>
      <c r="CH95" s="236"/>
      <c r="CI95" s="238"/>
      <c r="CJ95" s="236"/>
      <c r="CK95" s="237"/>
      <c r="CL95" s="237"/>
      <c r="CM95" s="116"/>
      <c r="CN95" s="247"/>
      <c r="CO95" s="125"/>
      <c r="CP95" s="247"/>
      <c r="CQ95" s="116"/>
      <c r="CR95" s="116"/>
      <c r="CS95" s="116"/>
      <c r="CT95" s="125">
        <v>2035000</v>
      </c>
      <c r="CU95" s="125">
        <f>CT95*0.19</f>
        <v>386650</v>
      </c>
      <c r="CV95" s="125">
        <f>+CT95+CU95</f>
        <v>2421650</v>
      </c>
      <c r="CW95" s="116"/>
      <c r="CX95" s="116"/>
      <c r="CY95" s="116"/>
      <c r="CZ95" s="102"/>
      <c r="DA95" s="125"/>
      <c r="DB95" s="102"/>
      <c r="DC95" s="31"/>
      <c r="DD95" s="17"/>
      <c r="DE95" s="11"/>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
      <c r="EU95" s="11"/>
      <c r="EV95" s="11"/>
      <c r="EW95" s="11"/>
      <c r="EX95" s="11"/>
      <c r="EY95" s="11"/>
      <c r="EZ95" s="11"/>
      <c r="FA95" s="11"/>
      <c r="FB95" s="11"/>
      <c r="FC95" s="11"/>
      <c r="FD95" s="11"/>
      <c r="FE95" s="11"/>
      <c r="FF95" s="11"/>
      <c r="FG95" s="11"/>
      <c r="FH95" s="17">
        <f t="shared" si="28"/>
        <v>8559908</v>
      </c>
      <c r="FI95" s="31">
        <f t="shared" si="29"/>
        <v>3</v>
      </c>
      <c r="FJ95" s="68">
        <f t="shared" si="30"/>
        <v>2853302.6666666665</v>
      </c>
    </row>
    <row r="96" spans="1:166" ht="25.5" x14ac:dyDescent="0.25">
      <c r="A96" s="248">
        <f>Distribución_Reactivos!A96</f>
        <v>94</v>
      </c>
      <c r="B96" s="248" t="str">
        <f>Distribución_Reactivos!B96</f>
        <v>Betaína</v>
      </c>
      <c r="C96" s="248" t="str">
        <f>Distribución_Reactivos!C96</f>
        <v>Cualquier marca</v>
      </c>
      <c r="D96" s="248" t="str">
        <f>Distribución_Reactivos!D96</f>
        <v> </v>
      </c>
      <c r="E96" s="29">
        <v>1</v>
      </c>
      <c r="F96" s="212">
        <v>252101.5</v>
      </c>
      <c r="G96" s="214">
        <v>252042</v>
      </c>
      <c r="H96" s="221">
        <v>0</v>
      </c>
      <c r="I96" s="221">
        <v>0</v>
      </c>
      <c r="J96" s="221">
        <v>256558.05000000002</v>
      </c>
      <c r="K96" s="221">
        <v>253470</v>
      </c>
      <c r="L96" s="247">
        <f>AVERAGE(F96,J96)</f>
        <v>254329.77500000002</v>
      </c>
      <c r="M96" s="247">
        <f>AVERAGE(G96,K96)*E1</f>
        <v>260338.68</v>
      </c>
      <c r="N96" s="217"/>
      <c r="O96" s="97"/>
      <c r="P96" s="97"/>
      <c r="Q96" s="115"/>
      <c r="R96" s="115"/>
      <c r="S96" s="53"/>
      <c r="T96" s="97"/>
      <c r="U96" s="97"/>
      <c r="V96" s="97"/>
      <c r="W96" s="115"/>
      <c r="X96" s="115"/>
      <c r="Y96" s="11"/>
      <c r="Z96" s="97"/>
      <c r="AA96" s="97"/>
      <c r="AB96" s="97"/>
      <c r="AC96" s="44"/>
      <c r="AD96" s="44"/>
      <c r="AE96" s="11"/>
      <c r="AF96" s="102"/>
      <c r="AG96" s="125"/>
      <c r="AH96" s="97"/>
      <c r="AI96" s="11"/>
      <c r="AJ96" s="11"/>
      <c r="AK96" s="17"/>
      <c r="AL96" s="97"/>
      <c r="AM96" s="97"/>
      <c r="AN96" s="101"/>
      <c r="AO96" s="248"/>
      <c r="AP96" s="17"/>
      <c r="AQ96" s="17"/>
      <c r="AR96" s="252">
        <v>208800</v>
      </c>
      <c r="AS96" s="97">
        <f>+AR96*0.19</f>
        <v>39672</v>
      </c>
      <c r="AT96" s="103">
        <f>+AR96+AS96</f>
        <v>248472</v>
      </c>
      <c r="AU96" s="52" t="s">
        <v>220</v>
      </c>
      <c r="AV96" s="52" t="s">
        <v>42</v>
      </c>
      <c r="AW96" s="30"/>
      <c r="AX96" s="100"/>
      <c r="AY96" s="100"/>
      <c r="AZ96" s="124"/>
      <c r="BA96" s="169"/>
      <c r="BB96" s="116"/>
      <c r="BC96" s="116"/>
      <c r="BD96" s="247"/>
      <c r="BE96" s="124"/>
      <c r="BF96" s="124"/>
      <c r="BG96" s="116"/>
      <c r="BH96" s="116"/>
      <c r="BI96" s="116"/>
      <c r="BJ96" s="124"/>
      <c r="BK96" s="124"/>
      <c r="BL96" s="124"/>
      <c r="BM96" s="116"/>
      <c r="BN96" s="116"/>
      <c r="BO96" s="116"/>
      <c r="BP96" s="124"/>
      <c r="BQ96" s="116"/>
      <c r="BR96" s="116"/>
      <c r="BS96" s="116"/>
      <c r="BT96" s="116"/>
      <c r="BU96" s="116"/>
      <c r="BV96" s="240">
        <v>318000</v>
      </c>
      <c r="BW96" s="125">
        <f>BV96*19%</f>
        <v>60420</v>
      </c>
      <c r="BX96" s="97">
        <f t="shared" si="39"/>
        <v>378420</v>
      </c>
      <c r="BY96" s="237" t="s">
        <v>207</v>
      </c>
      <c r="BZ96" s="237" t="s">
        <v>44</v>
      </c>
      <c r="CA96" s="116"/>
      <c r="CB96" s="247"/>
      <c r="CC96" s="125"/>
      <c r="CD96" s="247"/>
      <c r="CE96" s="116"/>
      <c r="CF96" s="116"/>
      <c r="CG96" s="34"/>
      <c r="CH96" s="236">
        <v>321180</v>
      </c>
      <c r="CI96" s="238">
        <f>+CH96*0.19</f>
        <v>61024.2</v>
      </c>
      <c r="CJ96" s="236">
        <f>+CH96+CI96</f>
        <v>382204.2</v>
      </c>
      <c r="CK96" s="237" t="s">
        <v>207</v>
      </c>
      <c r="CL96" s="237" t="s">
        <v>44</v>
      </c>
      <c r="CM96" s="116"/>
      <c r="CN96" s="247"/>
      <c r="CO96" s="125"/>
      <c r="CP96" s="247"/>
      <c r="CQ96" s="116"/>
      <c r="CR96" s="116"/>
      <c r="CS96" s="116"/>
      <c r="CT96" s="247">
        <v>136000</v>
      </c>
      <c r="CU96" s="125">
        <v>0</v>
      </c>
      <c r="CV96" s="125">
        <f>+CT96+CU96</f>
        <v>136000</v>
      </c>
      <c r="CW96" s="116"/>
      <c r="CX96" s="116"/>
      <c r="CY96" s="116"/>
      <c r="CZ96" s="102"/>
      <c r="DA96" s="125"/>
      <c r="DB96" s="102"/>
      <c r="DC96" s="31"/>
      <c r="DD96" s="17"/>
      <c r="DE96" s="11"/>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
      <c r="EU96" s="11"/>
      <c r="EV96" s="11"/>
      <c r="EW96" s="11"/>
      <c r="EX96" s="11"/>
      <c r="EY96" s="11"/>
      <c r="EZ96" s="11"/>
      <c r="FA96" s="11"/>
      <c r="FB96" s="11"/>
      <c r="FC96" s="11"/>
      <c r="FD96" s="11"/>
      <c r="FE96" s="11"/>
      <c r="FF96" s="11"/>
      <c r="FG96" s="11"/>
      <c r="FH96" s="17">
        <f t="shared" si="28"/>
        <v>1405434.8799999999</v>
      </c>
      <c r="FI96" s="31">
        <f t="shared" si="29"/>
        <v>5</v>
      </c>
      <c r="FJ96" s="68">
        <f t="shared" si="30"/>
        <v>281086.97599999997</v>
      </c>
    </row>
    <row r="97" spans="1:166" ht="25.5" x14ac:dyDescent="0.25">
      <c r="A97" s="248">
        <f>Distribución_Reactivos!A97</f>
        <v>95</v>
      </c>
      <c r="B97" s="248" t="str">
        <f>Distribución_Reactivos!B97</f>
        <v>Bicarbonato de sodio anhidro con certificado de análisis</v>
      </c>
      <c r="C97" s="248" t="str">
        <f>Distribución_Reactivos!C97</f>
        <v>Merck 106329,1000</v>
      </c>
      <c r="D97" s="248" t="str">
        <f>Distribución_Reactivos!D97</f>
        <v>Frasco x 1 k</v>
      </c>
      <c r="E97" s="29">
        <v>1</v>
      </c>
      <c r="F97" s="212">
        <v>172952.22</v>
      </c>
      <c r="G97" s="214">
        <v>167671</v>
      </c>
      <c r="H97" s="221">
        <v>140829.10901622224</v>
      </c>
      <c r="I97" s="221">
        <v>140777</v>
      </c>
      <c r="J97" s="221">
        <v>130956.16672043012</v>
      </c>
      <c r="K97" s="221">
        <v>128282</v>
      </c>
      <c r="L97" s="247">
        <f>AVERAGE(F97,H97,J97)</f>
        <v>148245.83191221746</v>
      </c>
      <c r="M97" s="247">
        <f>AVERAGE(G97,I97,K97)*E1</f>
        <v>149943.96666666667</v>
      </c>
      <c r="N97" s="217"/>
      <c r="O97" s="97"/>
      <c r="P97" s="97"/>
      <c r="Q97" s="115"/>
      <c r="R97" s="115"/>
      <c r="S97" s="53"/>
      <c r="T97" s="97"/>
      <c r="U97" s="101"/>
      <c r="V97" s="97"/>
      <c r="W97" s="115"/>
      <c r="X97" s="115"/>
      <c r="Y97" s="11"/>
      <c r="Z97" s="97"/>
      <c r="AA97" s="97"/>
      <c r="AB97" s="97"/>
      <c r="AC97" s="44"/>
      <c r="AD97" s="44"/>
      <c r="AE97" s="11"/>
      <c r="AF97" s="102">
        <v>130000</v>
      </c>
      <c r="AG97" s="125">
        <f>AF97*19%</f>
        <v>24700</v>
      </c>
      <c r="AH97" s="97">
        <f>+AF97+AG97</f>
        <v>154700</v>
      </c>
      <c r="AI97" s="11"/>
      <c r="AJ97" s="11"/>
      <c r="AK97" s="17"/>
      <c r="AL97" s="97">
        <v>106000</v>
      </c>
      <c r="AM97" s="97">
        <f>+AL97*0.19</f>
        <v>20140</v>
      </c>
      <c r="AN97" s="103">
        <f>+AL97+AM97</f>
        <v>126140</v>
      </c>
      <c r="AO97" s="248" t="s">
        <v>99</v>
      </c>
      <c r="AP97" s="239" t="s">
        <v>52</v>
      </c>
      <c r="AQ97" s="17"/>
      <c r="AR97" s="252">
        <v>103564</v>
      </c>
      <c r="AS97" s="97">
        <f>+AR97*0.19</f>
        <v>19677.16</v>
      </c>
      <c r="AT97" s="103">
        <f>+AR97+AS97</f>
        <v>123241.16</v>
      </c>
      <c r="AU97" s="52" t="s">
        <v>99</v>
      </c>
      <c r="AV97" s="52" t="s">
        <v>52</v>
      </c>
      <c r="AW97" s="30"/>
      <c r="AX97" s="100"/>
      <c r="AY97" s="100"/>
      <c r="AZ97" s="124"/>
      <c r="BA97" s="169"/>
      <c r="BB97" s="116"/>
      <c r="BC97" s="116"/>
      <c r="BD97" s="247"/>
      <c r="BE97" s="124"/>
      <c r="BF97" s="124"/>
      <c r="BG97" s="116"/>
      <c r="BH97" s="116"/>
      <c r="BI97" s="116"/>
      <c r="BJ97" s="124"/>
      <c r="BK97" s="124"/>
      <c r="BL97" s="124"/>
      <c r="BM97" s="116"/>
      <c r="BN97" s="116"/>
      <c r="BO97" s="116"/>
      <c r="BP97" s="124"/>
      <c r="BQ97" s="116"/>
      <c r="BR97" s="116"/>
      <c r="BS97" s="116"/>
      <c r="BT97" s="116"/>
      <c r="BU97" s="116"/>
      <c r="BV97" s="240">
        <v>180800</v>
      </c>
      <c r="BW97" s="125">
        <f>BV97*19%</f>
        <v>34352</v>
      </c>
      <c r="BX97" s="97">
        <f t="shared" si="39"/>
        <v>215152</v>
      </c>
      <c r="BY97" s="237" t="s">
        <v>221</v>
      </c>
      <c r="BZ97" s="237" t="s">
        <v>222</v>
      </c>
      <c r="CA97" s="116"/>
      <c r="CB97" s="247"/>
      <c r="CC97" s="125"/>
      <c r="CD97" s="247"/>
      <c r="CE97" s="116"/>
      <c r="CF97" s="116"/>
      <c r="CG97" s="34"/>
      <c r="CH97" s="236">
        <v>191648</v>
      </c>
      <c r="CI97" s="238">
        <f>+CH97*0.19</f>
        <v>36413.120000000003</v>
      </c>
      <c r="CJ97" s="236">
        <f>+CH97+CI97</f>
        <v>228061.12</v>
      </c>
      <c r="CK97" s="237" t="s">
        <v>221</v>
      </c>
      <c r="CL97" s="237" t="s">
        <v>222</v>
      </c>
      <c r="CM97" s="116"/>
      <c r="CN97" s="247"/>
      <c r="CO97" s="125"/>
      <c r="CP97" s="247"/>
      <c r="CQ97" s="116"/>
      <c r="CR97" s="116"/>
      <c r="CS97" s="116"/>
      <c r="CT97" s="125"/>
      <c r="CU97" s="125"/>
      <c r="CV97" s="125"/>
      <c r="CW97" s="116"/>
      <c r="CX97" s="116"/>
      <c r="CY97" s="116"/>
      <c r="CZ97" s="102">
        <v>75034</v>
      </c>
      <c r="DA97" s="125">
        <f>+CZ97*0.19</f>
        <v>14256.460000000001</v>
      </c>
      <c r="DB97" s="102">
        <f>+CZ97+DA97</f>
        <v>89290.46</v>
      </c>
      <c r="DC97" s="31" t="s">
        <v>100</v>
      </c>
      <c r="DD97" s="17" t="s">
        <v>65</v>
      </c>
      <c r="DE97" s="11">
        <v>1063291000</v>
      </c>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
      <c r="EU97" s="11"/>
      <c r="EV97" s="11"/>
      <c r="EW97" s="11"/>
      <c r="EX97" s="11"/>
      <c r="EY97" s="11"/>
      <c r="EZ97" s="11"/>
      <c r="FA97" s="11"/>
      <c r="FB97" s="11"/>
      <c r="FC97" s="11"/>
      <c r="FD97" s="11"/>
      <c r="FE97" s="11"/>
      <c r="FF97" s="11"/>
      <c r="FG97" s="11"/>
      <c r="FH97" s="17">
        <f t="shared" si="28"/>
        <v>1086528.7066666668</v>
      </c>
      <c r="FI97" s="31">
        <f t="shared" si="29"/>
        <v>7</v>
      </c>
      <c r="FJ97" s="68">
        <f t="shared" si="30"/>
        <v>155218.38666666669</v>
      </c>
    </row>
    <row r="98" spans="1:166" ht="25.5" x14ac:dyDescent="0.25">
      <c r="A98" s="248">
        <f>Distribución_Reactivos!A98</f>
        <v>96</v>
      </c>
      <c r="B98" s="248" t="str">
        <f>Distribución_Reactivos!B98</f>
        <v>Bolsa para sangría  con anticoagulante  EDTA</v>
      </c>
      <c r="C98" s="248" t="str">
        <f>Distribución_Reactivos!C98</f>
        <v>Baxter o similar</v>
      </c>
      <c r="D98" s="248" t="str">
        <f>Distribución_Reactivos!D98</f>
        <v>Caja x 64</v>
      </c>
      <c r="E98" s="29">
        <v>1</v>
      </c>
      <c r="F98" s="212">
        <v>0</v>
      </c>
      <c r="G98" s="214">
        <v>0</v>
      </c>
      <c r="H98" s="221">
        <v>3570000</v>
      </c>
      <c r="I98" s="221">
        <v>0</v>
      </c>
      <c r="J98" s="221">
        <v>0</v>
      </c>
      <c r="K98" s="221">
        <v>0</v>
      </c>
      <c r="L98" s="247">
        <f>H98</f>
        <v>3570000</v>
      </c>
      <c r="M98" s="247"/>
      <c r="N98" s="217"/>
      <c r="O98" s="97"/>
      <c r="P98" s="97"/>
      <c r="Q98" s="115"/>
      <c r="R98" s="115"/>
      <c r="S98" s="53"/>
      <c r="T98" s="97"/>
      <c r="U98" s="97"/>
      <c r="V98" s="97"/>
      <c r="W98" s="115"/>
      <c r="X98" s="115"/>
      <c r="Y98" s="11"/>
      <c r="Z98" s="97"/>
      <c r="AA98" s="97"/>
      <c r="AB98" s="97"/>
      <c r="AC98" s="44"/>
      <c r="AD98" s="44"/>
      <c r="AE98" s="11"/>
      <c r="AF98" s="97"/>
      <c r="AG98" s="125"/>
      <c r="AH98" s="97"/>
      <c r="AI98" s="11"/>
      <c r="AJ98" s="11"/>
      <c r="AK98" s="17"/>
      <c r="AL98" s="97"/>
      <c r="AM98" s="97"/>
      <c r="AN98" s="101"/>
      <c r="AO98" s="248"/>
      <c r="AP98" s="17"/>
      <c r="AQ98" s="17"/>
      <c r="AR98" s="252"/>
      <c r="AS98" s="136"/>
      <c r="AT98" s="137"/>
      <c r="AU98" s="52"/>
      <c r="AV98" s="52"/>
      <c r="AW98" s="30"/>
      <c r="AX98" s="100"/>
      <c r="AY98" s="174"/>
      <c r="AZ98" s="124"/>
      <c r="BA98" s="169"/>
      <c r="BB98" s="116"/>
      <c r="BC98" s="116"/>
      <c r="BD98" s="252"/>
      <c r="BE98" s="124"/>
      <c r="BF98" s="124"/>
      <c r="BG98" s="116"/>
      <c r="BH98" s="116"/>
      <c r="BI98" s="116"/>
      <c r="BJ98" s="124"/>
      <c r="BK98" s="124"/>
      <c r="BL98" s="124"/>
      <c r="BM98" s="116"/>
      <c r="BN98" s="116"/>
      <c r="BO98" s="116"/>
      <c r="BP98" s="124"/>
      <c r="BQ98" s="116"/>
      <c r="BR98" s="116"/>
      <c r="BS98" s="116"/>
      <c r="BT98" s="116"/>
      <c r="BU98" s="116"/>
      <c r="BV98" s="188"/>
      <c r="BW98" s="125"/>
      <c r="BX98" s="97"/>
      <c r="BY98" s="246"/>
      <c r="BZ98" s="246"/>
      <c r="CA98" s="116"/>
      <c r="CB98" s="252"/>
      <c r="CC98" s="124"/>
      <c r="CD98" s="252"/>
      <c r="CE98" s="116"/>
      <c r="CF98" s="116"/>
      <c r="CG98" s="34"/>
      <c r="CH98" s="187"/>
      <c r="CI98" s="195"/>
      <c r="CJ98" s="187"/>
      <c r="CK98" s="246"/>
      <c r="CL98" s="246"/>
      <c r="CM98" s="116"/>
      <c r="CN98" s="252"/>
      <c r="CO98" s="124"/>
      <c r="CP98" s="252"/>
      <c r="CQ98" s="116"/>
      <c r="CR98" s="116"/>
      <c r="CS98" s="116"/>
      <c r="CT98" s="252">
        <v>244000</v>
      </c>
      <c r="CU98" s="124">
        <v>0</v>
      </c>
      <c r="CV98" s="125">
        <f>+CT98+CU98</f>
        <v>244000</v>
      </c>
      <c r="CW98" s="116"/>
      <c r="CX98" s="116"/>
      <c r="CY98" s="116"/>
      <c r="CZ98" s="97"/>
      <c r="DA98" s="124"/>
      <c r="DB98" s="97"/>
      <c r="DC98" s="31"/>
      <c r="DD98" s="17"/>
      <c r="DE98" s="11"/>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
      <c r="EU98" s="11"/>
      <c r="EV98" s="11"/>
      <c r="EW98" s="11"/>
      <c r="EX98" s="11"/>
      <c r="EY98" s="11"/>
      <c r="EZ98" s="11"/>
      <c r="FA98" s="11"/>
      <c r="FB98" s="11"/>
      <c r="FC98" s="11"/>
      <c r="FD98" s="11"/>
      <c r="FE98" s="11"/>
      <c r="FF98" s="11"/>
      <c r="FG98" s="11"/>
      <c r="FH98" s="17">
        <f t="shared" si="28"/>
        <v>244000</v>
      </c>
      <c r="FI98" s="31">
        <f t="shared" si="29"/>
        <v>1</v>
      </c>
      <c r="FJ98" s="68">
        <f t="shared" si="30"/>
        <v>244000</v>
      </c>
    </row>
    <row r="99" spans="1:166" ht="38.25" x14ac:dyDescent="0.25">
      <c r="A99" s="248">
        <f>Distribución_Reactivos!A99</f>
        <v>97</v>
      </c>
      <c r="B99" s="248" t="str">
        <f>Distribución_Reactivos!B99</f>
        <v>Bondesil C18 bulk sorbent, 40 μm, 100 g Ref.
12213012</v>
      </c>
      <c r="C99" s="248" t="str">
        <f>Distribución_Reactivos!C99</f>
        <v>Agilent o equivalente</v>
      </c>
      <c r="D99" s="248" t="str">
        <f>Distribución_Reactivos!D99</f>
        <v xml:space="preserve"> Frasco 100 g</v>
      </c>
      <c r="E99" s="29">
        <v>1</v>
      </c>
      <c r="F99" s="212">
        <v>0</v>
      </c>
      <c r="G99" s="214">
        <v>0</v>
      </c>
      <c r="H99" s="221">
        <v>0</v>
      </c>
      <c r="I99" s="221">
        <v>0</v>
      </c>
      <c r="J99" s="221">
        <v>1893345.93</v>
      </c>
      <c r="K99" s="221">
        <v>0</v>
      </c>
      <c r="L99" s="247">
        <f>J99</f>
        <v>1893345.93</v>
      </c>
      <c r="M99" s="247"/>
      <c r="N99" s="217"/>
      <c r="O99" s="97"/>
      <c r="P99" s="97"/>
      <c r="Q99" s="115"/>
      <c r="R99" s="115"/>
      <c r="S99" s="53"/>
      <c r="T99" s="97"/>
      <c r="U99" s="97"/>
      <c r="V99" s="97"/>
      <c r="W99" s="115"/>
      <c r="X99" s="115"/>
      <c r="Y99" s="11"/>
      <c r="Z99" s="97"/>
      <c r="AA99" s="97"/>
      <c r="AB99" s="97"/>
      <c r="AC99" s="44"/>
      <c r="AD99" s="44"/>
      <c r="AE99" s="11"/>
      <c r="AF99" s="102"/>
      <c r="AG99" s="125"/>
      <c r="AH99" s="97"/>
      <c r="AI99" s="11"/>
      <c r="AJ99" s="11"/>
      <c r="AK99" s="17"/>
      <c r="AL99" s="97"/>
      <c r="AM99" s="97"/>
      <c r="AN99" s="103"/>
      <c r="AO99" s="248"/>
      <c r="AP99" s="17"/>
      <c r="AQ99" s="17"/>
      <c r="AR99" s="252"/>
      <c r="AS99" s="135"/>
      <c r="AT99" s="124"/>
      <c r="AU99" s="52"/>
      <c r="AV99" s="52"/>
      <c r="AW99" s="30"/>
      <c r="AX99" s="100"/>
      <c r="AY99" s="174"/>
      <c r="AZ99" s="124"/>
      <c r="BA99" s="169"/>
      <c r="BB99" s="116"/>
      <c r="BC99" s="116"/>
      <c r="BD99" s="247"/>
      <c r="BE99" s="124"/>
      <c r="BF99" s="124"/>
      <c r="BG99" s="116"/>
      <c r="BH99" s="116"/>
      <c r="BI99" s="116"/>
      <c r="BJ99" s="124"/>
      <c r="BK99" s="124"/>
      <c r="BL99" s="124"/>
      <c r="BM99" s="116"/>
      <c r="BN99" s="116"/>
      <c r="BO99" s="116"/>
      <c r="BP99" s="124"/>
      <c r="BQ99" s="116"/>
      <c r="BR99" s="116"/>
      <c r="BS99" s="116"/>
      <c r="BT99" s="116"/>
      <c r="BU99" s="116"/>
      <c r="BV99" s="188"/>
      <c r="BW99" s="125"/>
      <c r="BX99" s="97"/>
      <c r="BY99" s="246"/>
      <c r="BZ99" s="246"/>
      <c r="CA99" s="116"/>
      <c r="CB99" s="247"/>
      <c r="CC99" s="125"/>
      <c r="CD99" s="247"/>
      <c r="CE99" s="116"/>
      <c r="CF99" s="116"/>
      <c r="CG99" s="34"/>
      <c r="CH99" s="187"/>
      <c r="CI99" s="195"/>
      <c r="CJ99" s="187"/>
      <c r="CK99" s="246"/>
      <c r="CL99" s="246"/>
      <c r="CM99" s="116"/>
      <c r="CN99" s="247">
        <v>1711042</v>
      </c>
      <c r="CO99" s="125">
        <f>+CN99*0.19</f>
        <v>325097.98</v>
      </c>
      <c r="CP99" s="247">
        <f>+CO99+CN99</f>
        <v>2036139.98</v>
      </c>
      <c r="CQ99" s="116"/>
      <c r="CR99" s="116"/>
      <c r="CS99" s="116"/>
      <c r="CT99" s="247">
        <v>444000</v>
      </c>
      <c r="CU99" s="124">
        <v>0</v>
      </c>
      <c r="CV99" s="125">
        <f>+CT99+CU99</f>
        <v>444000</v>
      </c>
      <c r="CW99" s="116"/>
      <c r="CX99" s="116"/>
      <c r="CY99" s="116"/>
      <c r="CZ99" s="102"/>
      <c r="DA99" s="125"/>
      <c r="DB99" s="102"/>
      <c r="DC99" s="31"/>
      <c r="DD99" s="17"/>
      <c r="DE99" s="11"/>
      <c r="DF99" s="116"/>
      <c r="DG99" s="116"/>
      <c r="DH99" s="116"/>
      <c r="DI99" s="116"/>
      <c r="DJ99" s="116"/>
      <c r="DK99" s="116"/>
      <c r="DL99" s="116"/>
      <c r="DM99" s="116"/>
      <c r="DN99" s="116"/>
      <c r="DO99" s="116"/>
      <c r="DP99" s="116"/>
      <c r="DQ99" s="116"/>
      <c r="DR99" s="116"/>
      <c r="DS99" s="116"/>
      <c r="DT99" s="116"/>
      <c r="DU99" s="116"/>
      <c r="DV99" s="116"/>
      <c r="DW99" s="35"/>
      <c r="DX99" s="35"/>
      <c r="DY99" s="36"/>
      <c r="DZ99" s="116"/>
      <c r="EA99" s="116"/>
      <c r="EB99" s="116"/>
      <c r="EC99" s="116"/>
      <c r="ED99" s="116"/>
      <c r="EE99" s="116"/>
      <c r="EF99" s="116"/>
      <c r="EG99" s="116"/>
      <c r="EH99" s="116"/>
      <c r="EI99" s="116"/>
      <c r="EJ99" s="116"/>
      <c r="EK99" s="116"/>
      <c r="EL99" s="116"/>
      <c r="EM99" s="116"/>
      <c r="EN99" s="116"/>
      <c r="EO99" s="116"/>
      <c r="EP99" s="116"/>
      <c r="EQ99" s="116"/>
      <c r="ER99" s="116"/>
      <c r="ES99" s="116"/>
      <c r="ET99" s="11"/>
      <c r="EU99" s="11"/>
      <c r="EV99" s="11"/>
      <c r="EW99" s="11"/>
      <c r="EX99" s="11"/>
      <c r="EY99" s="11"/>
      <c r="EZ99" s="11"/>
      <c r="FA99" s="11"/>
      <c r="FB99" s="11"/>
      <c r="FC99" s="11"/>
      <c r="FD99" s="11"/>
      <c r="FE99" s="11"/>
      <c r="FF99" s="11"/>
      <c r="FG99" s="11"/>
      <c r="FH99" s="17">
        <f t="shared" si="28"/>
        <v>2480139.98</v>
      </c>
      <c r="FI99" s="31">
        <f t="shared" si="29"/>
        <v>2</v>
      </c>
      <c r="FJ99" s="68">
        <f t="shared" si="30"/>
        <v>1240069.99</v>
      </c>
    </row>
    <row r="100" spans="1:166" ht="25.5" x14ac:dyDescent="0.25">
      <c r="A100" s="248">
        <f>Distribución_Reactivos!A100</f>
        <v>98</v>
      </c>
      <c r="B100" s="248" t="str">
        <f>Distribución_Reactivos!B100</f>
        <v>Bondesil-PSA, 40 µm</v>
      </c>
      <c r="C100" s="248" t="str">
        <f>Distribución_Reactivos!C100</f>
        <v>Agilent / Merck o equivalente</v>
      </c>
      <c r="D100" s="248" t="str">
        <f>Distribución_Reactivos!D100</f>
        <v>Frasco x 100g</v>
      </c>
      <c r="E100" s="29">
        <v>1</v>
      </c>
      <c r="F100" s="212">
        <v>0</v>
      </c>
      <c r="G100" s="214">
        <v>0</v>
      </c>
      <c r="H100" s="221">
        <v>0</v>
      </c>
      <c r="I100" s="221">
        <v>0</v>
      </c>
      <c r="J100" s="221">
        <v>2863724</v>
      </c>
      <c r="K100" s="221">
        <v>0</v>
      </c>
      <c r="L100" s="247">
        <f>J100</f>
        <v>2863724</v>
      </c>
      <c r="M100" s="247"/>
      <c r="N100" s="217"/>
      <c r="O100" s="97"/>
      <c r="P100" s="97"/>
      <c r="Q100" s="98"/>
      <c r="R100" s="98"/>
      <c r="S100" s="110"/>
      <c r="T100" s="97"/>
      <c r="U100" s="97"/>
      <c r="V100" s="97"/>
      <c r="W100" s="9"/>
      <c r="X100" s="9"/>
      <c r="Y100" s="11"/>
      <c r="Z100" s="97"/>
      <c r="AA100" s="97"/>
      <c r="AB100" s="97"/>
      <c r="AC100" s="44"/>
      <c r="AD100" s="44"/>
      <c r="AE100" s="11"/>
      <c r="AF100" s="102"/>
      <c r="AG100" s="125"/>
      <c r="AH100" s="97"/>
      <c r="AI100" s="11"/>
      <c r="AJ100" s="11"/>
      <c r="AK100" s="11"/>
      <c r="AL100" s="97"/>
      <c r="AM100" s="97"/>
      <c r="AN100" s="97"/>
      <c r="AO100" s="248"/>
      <c r="AP100" s="11"/>
      <c r="AQ100" s="11"/>
      <c r="AR100" s="252"/>
      <c r="AS100" s="252"/>
      <c r="AT100" s="252"/>
      <c r="AU100" s="52"/>
      <c r="AV100" s="42"/>
      <c r="AW100" s="11"/>
      <c r="AX100" s="156"/>
      <c r="AY100" s="156"/>
      <c r="AZ100" s="252"/>
      <c r="BA100" s="9"/>
      <c r="BB100" s="9"/>
      <c r="BC100" s="9"/>
      <c r="BD100" s="247"/>
      <c r="BE100" s="124"/>
      <c r="BF100" s="124"/>
      <c r="BG100" s="116"/>
      <c r="BH100" s="9"/>
      <c r="BI100" s="116"/>
      <c r="BJ100" s="124"/>
      <c r="BK100" s="124"/>
      <c r="BL100" s="124"/>
      <c r="BM100" s="116"/>
      <c r="BN100" s="116"/>
      <c r="BO100" s="116"/>
      <c r="BP100" s="124"/>
      <c r="BQ100" s="116"/>
      <c r="BR100" s="116"/>
      <c r="BS100" s="116"/>
      <c r="BT100" s="116"/>
      <c r="BU100" s="116"/>
      <c r="BV100" s="188"/>
      <c r="BW100" s="125"/>
      <c r="BX100" s="97"/>
      <c r="BY100" s="246"/>
      <c r="BZ100" s="246"/>
      <c r="CA100" s="116"/>
      <c r="CB100" s="247"/>
      <c r="CC100" s="125"/>
      <c r="CD100" s="247"/>
      <c r="CE100" s="116"/>
      <c r="CF100" s="116"/>
      <c r="CG100" s="34"/>
      <c r="CH100" s="187"/>
      <c r="CI100" s="195"/>
      <c r="CJ100" s="187"/>
      <c r="CK100" s="246"/>
      <c r="CL100" s="246"/>
      <c r="CM100" s="11"/>
      <c r="CN100" s="247">
        <v>3079603</v>
      </c>
      <c r="CO100" s="125">
        <f>+CN100*0.19</f>
        <v>585124.56999999995</v>
      </c>
      <c r="CP100" s="247">
        <f>+CO100+CN100</f>
        <v>3664727.57</v>
      </c>
      <c r="CQ100" s="9"/>
      <c r="CR100" s="11"/>
      <c r="CS100" s="13"/>
      <c r="CT100" s="247"/>
      <c r="CU100" s="125"/>
      <c r="CV100" s="247"/>
      <c r="CW100" s="116"/>
      <c r="CX100" s="116"/>
      <c r="CY100" s="116"/>
      <c r="CZ100" s="102"/>
      <c r="DA100" s="125"/>
      <c r="DB100" s="102"/>
      <c r="DC100" s="31"/>
      <c r="DD100" s="17"/>
      <c r="DE100" s="11"/>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
      <c r="EU100" s="11"/>
      <c r="EV100" s="11"/>
      <c r="EW100" s="11"/>
      <c r="EX100" s="11"/>
      <c r="EY100" s="11"/>
      <c r="EZ100" s="11"/>
      <c r="FA100" s="11"/>
      <c r="FB100" s="11"/>
      <c r="FC100" s="11"/>
      <c r="FD100" s="11"/>
      <c r="FE100" s="11"/>
      <c r="FF100" s="11"/>
      <c r="FG100" s="11"/>
      <c r="FH100" s="17">
        <f t="shared" si="28"/>
        <v>3664727.57</v>
      </c>
      <c r="FI100" s="31">
        <f t="shared" si="29"/>
        <v>1</v>
      </c>
      <c r="FJ100" s="68">
        <f t="shared" si="30"/>
        <v>3664727.57</v>
      </c>
    </row>
    <row r="101" spans="1:166" ht="25.5" x14ac:dyDescent="0.25">
      <c r="A101" s="248">
        <f>Distribución_Reactivos!A101</f>
        <v>99</v>
      </c>
      <c r="B101" s="248" t="str">
        <f>Distribución_Reactivos!B101</f>
        <v>Brucella abortus FPA control serum 612-IHC</v>
      </c>
      <c r="C101" s="248" t="str">
        <f>Distribución_Reactivos!C101</f>
        <v>NVSL</v>
      </c>
      <c r="D101" s="248" t="str">
        <f>Distribución_Reactivos!D101</f>
        <v>Vial x 1 ml</v>
      </c>
      <c r="E101" s="29">
        <v>1</v>
      </c>
      <c r="F101" s="212">
        <v>693000</v>
      </c>
      <c r="G101" s="214">
        <v>675600</v>
      </c>
      <c r="H101" s="221">
        <v>905411.5</v>
      </c>
      <c r="I101" s="221">
        <v>0</v>
      </c>
      <c r="J101" s="221">
        <v>709380</v>
      </c>
      <c r="K101" s="221">
        <v>691390</v>
      </c>
      <c r="L101" s="247">
        <f>AVERAGE(F101,H101,J101)</f>
        <v>769263.83333333337</v>
      </c>
      <c r="M101" s="247">
        <f>AVERAGE(G101,K101)*E1</f>
        <v>703999.85</v>
      </c>
      <c r="N101" s="217"/>
      <c r="O101" s="97"/>
      <c r="P101" s="97"/>
      <c r="Q101" s="115"/>
      <c r="R101" s="115"/>
      <c r="S101" s="53"/>
      <c r="T101" s="97"/>
      <c r="U101" s="97"/>
      <c r="V101" s="97"/>
      <c r="W101" s="115"/>
      <c r="X101" s="115"/>
      <c r="Y101" s="11"/>
      <c r="Z101" s="97"/>
      <c r="AA101" s="97"/>
      <c r="AB101" s="97"/>
      <c r="AC101" s="44"/>
      <c r="AD101" s="44"/>
      <c r="AE101" s="11"/>
      <c r="AF101" s="102"/>
      <c r="AG101" s="125"/>
      <c r="AH101" s="97"/>
      <c r="AI101" s="11"/>
      <c r="AJ101" s="11"/>
      <c r="AK101" s="17"/>
      <c r="AL101" s="97"/>
      <c r="AM101" s="97"/>
      <c r="AN101" s="101"/>
      <c r="AO101" s="248"/>
      <c r="AP101" s="17"/>
      <c r="AQ101" s="17"/>
      <c r="AR101" s="252"/>
      <c r="AS101" s="136"/>
      <c r="AT101" s="137"/>
      <c r="AU101" s="52"/>
      <c r="AV101" s="52"/>
      <c r="AW101" s="30"/>
      <c r="AX101" s="100"/>
      <c r="AY101" s="174"/>
      <c r="AZ101" s="124"/>
      <c r="BA101" s="169"/>
      <c r="BB101" s="116"/>
      <c r="BC101" s="116"/>
      <c r="BD101" s="247"/>
      <c r="BE101" s="247"/>
      <c r="BF101" s="247"/>
      <c r="BG101" s="247"/>
      <c r="BH101" s="116"/>
      <c r="BI101" s="116"/>
      <c r="BJ101" s="124"/>
      <c r="BK101" s="124"/>
      <c r="BL101" s="124"/>
      <c r="BM101" s="116"/>
      <c r="BN101" s="116"/>
      <c r="BO101" s="116"/>
      <c r="BP101" s="124"/>
      <c r="BQ101" s="116"/>
      <c r="BR101" s="116"/>
      <c r="BS101" s="116"/>
      <c r="BT101" s="116"/>
      <c r="BU101" s="116"/>
      <c r="BV101" s="188"/>
      <c r="BW101" s="125"/>
      <c r="BX101" s="97"/>
      <c r="BY101" s="246"/>
      <c r="BZ101" s="246"/>
      <c r="CA101" s="116"/>
      <c r="CB101" s="247"/>
      <c r="CC101" s="125"/>
      <c r="CD101" s="247"/>
      <c r="CE101" s="116"/>
      <c r="CF101" s="116"/>
      <c r="CG101" s="34"/>
      <c r="CH101" s="187"/>
      <c r="CI101" s="195"/>
      <c r="CJ101" s="187"/>
      <c r="CK101" s="246"/>
      <c r="CL101" s="246"/>
      <c r="CM101" s="116"/>
      <c r="CN101" s="247"/>
      <c r="CO101" s="125"/>
      <c r="CP101" s="247"/>
      <c r="CQ101" s="116"/>
      <c r="CR101" s="116"/>
      <c r="CS101" s="116"/>
      <c r="CT101" s="247"/>
      <c r="CU101" s="125"/>
      <c r="CV101" s="247"/>
      <c r="CW101" s="116"/>
      <c r="CX101" s="116"/>
      <c r="CY101" s="116"/>
      <c r="CZ101" s="102"/>
      <c r="DA101" s="125"/>
      <c r="DB101" s="102"/>
      <c r="DC101" s="31"/>
      <c r="DD101" s="17"/>
      <c r="DE101" s="11"/>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
      <c r="EU101" s="11"/>
      <c r="EV101" s="11"/>
      <c r="EW101" s="11"/>
      <c r="EX101" s="11"/>
      <c r="EY101" s="11"/>
      <c r="EZ101" s="11"/>
      <c r="FA101" s="11"/>
      <c r="FB101" s="11"/>
      <c r="FC101" s="11"/>
      <c r="FD101" s="11"/>
      <c r="FE101" s="11"/>
      <c r="FF101" s="11"/>
      <c r="FG101" s="11"/>
      <c r="FH101" s="17">
        <f t="shared" ref="FH101:FH141" si="40">SUM(M101,P101,V101,AB101,AH101,AN101,AT101,AZ101,BF101,BL101,BR101,BX101,CD101,CJ101,CP101,CV101,DB101,DH101,DN101,DT101,DZ101,EF101,EL101,ER101,EX101,FD101)</f>
        <v>703999.85</v>
      </c>
      <c r="FI101" s="31">
        <f t="shared" ref="FI101:FI141" si="41">COUNTA(M101,N101,T101,Z101,AF101,AL101,AR101,AX101,BD101,BJ101,BP101,BV101,CB101,CH101,CN101,CT101,CZ101,DF101,DL101,DR101,DX101,ED101,EJ101,EP101,EV101,FB101)</f>
        <v>1</v>
      </c>
      <c r="FJ101" s="68">
        <f t="shared" ref="FJ101:FJ141" si="42">IFERROR(FH101/FI101," ")</f>
        <v>703999.85</v>
      </c>
    </row>
    <row r="102" spans="1:166" ht="25.5" x14ac:dyDescent="0.25">
      <c r="A102" s="248">
        <f>Distribución_Reactivos!A102</f>
        <v>100</v>
      </c>
      <c r="B102" s="248" t="str">
        <f>Distribución_Reactivos!B102</f>
        <v>Brucella control serum- Brucella suis negative control serum 712 N</v>
      </c>
      <c r="C102" s="248" t="str">
        <f>Distribución_Reactivos!C102</f>
        <v>NVSL</v>
      </c>
      <c r="D102" s="248" t="str">
        <f>Distribución_Reactivos!D102</f>
        <v>Vial</v>
      </c>
      <c r="E102" s="29">
        <v>1</v>
      </c>
      <c r="F102" s="212">
        <v>0</v>
      </c>
      <c r="G102" s="214">
        <v>0</v>
      </c>
      <c r="H102" s="221">
        <v>304283</v>
      </c>
      <c r="I102" s="221">
        <v>0</v>
      </c>
      <c r="J102" s="221">
        <v>210630</v>
      </c>
      <c r="K102" s="221">
        <v>205870</v>
      </c>
      <c r="L102" s="247">
        <f>AVERAGE(H102,J102)</f>
        <v>257456.5</v>
      </c>
      <c r="M102" s="247">
        <f>K102*E1</f>
        <v>212046.1</v>
      </c>
      <c r="N102" s="217"/>
      <c r="O102" s="97"/>
      <c r="P102" s="97"/>
      <c r="Q102" s="115"/>
      <c r="R102" s="115"/>
      <c r="S102" s="53"/>
      <c r="T102" s="97"/>
      <c r="U102" s="97"/>
      <c r="V102" s="97"/>
      <c r="W102" s="115"/>
      <c r="X102" s="115"/>
      <c r="Y102" s="11"/>
      <c r="Z102" s="97"/>
      <c r="AA102" s="97"/>
      <c r="AB102" s="97"/>
      <c r="AC102" s="44"/>
      <c r="AD102" s="44"/>
      <c r="AE102" s="11"/>
      <c r="AF102" s="102"/>
      <c r="AG102" s="125"/>
      <c r="AH102" s="97"/>
      <c r="AI102" s="11"/>
      <c r="AJ102" s="11"/>
      <c r="AK102" s="17"/>
      <c r="AL102" s="97"/>
      <c r="AM102" s="97"/>
      <c r="AN102" s="101"/>
      <c r="AO102" s="248"/>
      <c r="AP102" s="17"/>
      <c r="AQ102" s="17"/>
      <c r="AR102" s="252"/>
      <c r="AS102" s="136"/>
      <c r="AT102" s="137"/>
      <c r="AU102" s="52"/>
      <c r="AV102" s="52"/>
      <c r="AW102" s="30"/>
      <c r="AX102" s="100"/>
      <c r="AY102" s="174"/>
      <c r="AZ102" s="124"/>
      <c r="BA102" s="169"/>
      <c r="BB102" s="116"/>
      <c r="BC102" s="116"/>
      <c r="BD102" s="247"/>
      <c r="BE102" s="247"/>
      <c r="BF102" s="247"/>
      <c r="BG102" s="247"/>
      <c r="BH102" s="116"/>
      <c r="BI102" s="116"/>
      <c r="BJ102" s="124"/>
      <c r="BK102" s="124"/>
      <c r="BL102" s="124"/>
      <c r="BM102" s="116"/>
      <c r="BN102" s="116"/>
      <c r="BO102" s="116"/>
      <c r="BP102" s="124"/>
      <c r="BQ102" s="116"/>
      <c r="BR102" s="116"/>
      <c r="BS102" s="116"/>
      <c r="BT102" s="116"/>
      <c r="BU102" s="116"/>
      <c r="BV102" s="188"/>
      <c r="BW102" s="125"/>
      <c r="BX102" s="97"/>
      <c r="BY102" s="246"/>
      <c r="BZ102" s="246"/>
      <c r="CA102" s="116"/>
      <c r="CB102" s="247"/>
      <c r="CC102" s="125"/>
      <c r="CD102" s="247"/>
      <c r="CE102" s="116"/>
      <c r="CF102" s="116"/>
      <c r="CG102" s="34"/>
      <c r="CH102" s="187"/>
      <c r="CI102" s="195"/>
      <c r="CJ102" s="187"/>
      <c r="CK102" s="246"/>
      <c r="CL102" s="246"/>
      <c r="CM102" s="116"/>
      <c r="CN102" s="247"/>
      <c r="CO102" s="125"/>
      <c r="CP102" s="247"/>
      <c r="CQ102" s="116"/>
      <c r="CR102" s="116"/>
      <c r="CS102" s="116"/>
      <c r="CT102" s="247"/>
      <c r="CU102" s="125"/>
      <c r="CV102" s="247"/>
      <c r="CW102" s="116"/>
      <c r="CX102" s="116"/>
      <c r="CY102" s="116"/>
      <c r="CZ102" s="102"/>
      <c r="DA102" s="125"/>
      <c r="DB102" s="102"/>
      <c r="DC102" s="31"/>
      <c r="DD102" s="17"/>
      <c r="DE102" s="11"/>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
      <c r="EU102" s="11"/>
      <c r="EV102" s="11"/>
      <c r="EW102" s="11"/>
      <c r="EX102" s="11"/>
      <c r="EY102" s="11"/>
      <c r="EZ102" s="11"/>
      <c r="FA102" s="11"/>
      <c r="FB102" s="11"/>
      <c r="FC102" s="11"/>
      <c r="FD102" s="11"/>
      <c r="FE102" s="11"/>
      <c r="FF102" s="11"/>
      <c r="FG102" s="11"/>
      <c r="FH102" s="17">
        <f t="shared" si="40"/>
        <v>212046.1</v>
      </c>
      <c r="FI102" s="31">
        <f t="shared" si="41"/>
        <v>1</v>
      </c>
      <c r="FJ102" s="68">
        <f t="shared" si="42"/>
        <v>212046.1</v>
      </c>
    </row>
    <row r="103" spans="1:166" ht="51" x14ac:dyDescent="0.25">
      <c r="A103" s="248">
        <f>Distribución_Reactivos!A103</f>
        <v>101</v>
      </c>
      <c r="B103" s="248" t="str">
        <f>Distribución_Reactivos!B103</f>
        <v>BSA</v>
      </c>
      <c r="C103" s="248" t="str">
        <f>Distribución_Reactivos!C103</f>
        <v>Sigma</v>
      </c>
      <c r="D103" s="248" t="str">
        <f>Distribución_Reactivos!D103</f>
        <v xml:space="preserve">Fracción de albúmina, bovina V 99%  Frasco  50 gramos  </v>
      </c>
      <c r="E103" s="29">
        <v>1</v>
      </c>
      <c r="F103" s="212">
        <v>0</v>
      </c>
      <c r="G103" s="214">
        <v>0</v>
      </c>
      <c r="H103" s="221">
        <v>1226295</v>
      </c>
      <c r="I103" s="221">
        <v>0</v>
      </c>
      <c r="J103" s="221">
        <v>959358.20546179998</v>
      </c>
      <c r="K103" s="221">
        <v>0</v>
      </c>
      <c r="L103" s="247">
        <f>AVERAGE(H103,J103)</f>
        <v>1092826.6027309</v>
      </c>
      <c r="M103" s="247"/>
      <c r="N103" s="217"/>
      <c r="O103" s="97"/>
      <c r="P103" s="97"/>
      <c r="Q103" s="115"/>
      <c r="R103" s="115"/>
      <c r="S103" s="53"/>
      <c r="T103" s="97"/>
      <c r="U103" s="97"/>
      <c r="V103" s="97"/>
      <c r="W103" s="115"/>
      <c r="X103" s="115"/>
      <c r="Y103" s="44"/>
      <c r="Z103" s="101"/>
      <c r="AA103" s="97"/>
      <c r="AB103" s="97"/>
      <c r="AC103" s="115"/>
      <c r="AD103" s="44"/>
      <c r="AE103" s="11"/>
      <c r="AF103" s="102"/>
      <c r="AG103" s="125"/>
      <c r="AH103" s="97"/>
      <c r="AI103" s="11"/>
      <c r="AJ103" s="11"/>
      <c r="AK103" s="17"/>
      <c r="AL103" s="97"/>
      <c r="AM103" s="97"/>
      <c r="AN103" s="101"/>
      <c r="AO103" s="248"/>
      <c r="AP103" s="17"/>
      <c r="AQ103" s="17"/>
      <c r="AR103" s="252">
        <v>1323184</v>
      </c>
      <c r="AS103" s="97">
        <f>+AR103*0.19</f>
        <v>251404.96</v>
      </c>
      <c r="AT103" s="103">
        <f>+AR103+AS103</f>
        <v>1574588.96</v>
      </c>
      <c r="AU103" s="52" t="s">
        <v>220</v>
      </c>
      <c r="AV103" s="52" t="s">
        <v>223</v>
      </c>
      <c r="AW103" s="30"/>
      <c r="AX103" s="100"/>
      <c r="AY103" s="172"/>
      <c r="AZ103" s="124"/>
      <c r="BA103" s="169"/>
      <c r="BB103" s="116"/>
      <c r="BC103" s="116"/>
      <c r="BD103" s="247"/>
      <c r="BE103" s="124"/>
      <c r="BF103" s="124"/>
      <c r="BG103" s="116"/>
      <c r="BH103" s="116"/>
      <c r="BI103" s="116"/>
      <c r="BJ103" s="124"/>
      <c r="BK103" s="124"/>
      <c r="BL103" s="124"/>
      <c r="BM103" s="116"/>
      <c r="BN103" s="116"/>
      <c r="BO103" s="116"/>
      <c r="BP103" s="124">
        <v>523953</v>
      </c>
      <c r="BQ103" s="125">
        <f>BP103*19%</f>
        <v>99551.07</v>
      </c>
      <c r="BR103" s="97">
        <f>+BP103+BQ103</f>
        <v>623504.07000000007</v>
      </c>
      <c r="BS103" s="31" t="s">
        <v>224</v>
      </c>
      <c r="BT103" s="34" t="s">
        <v>225</v>
      </c>
      <c r="BU103" s="5" t="s">
        <v>226</v>
      </c>
      <c r="BV103" s="240">
        <v>6000000</v>
      </c>
      <c r="BW103" s="125">
        <f t="shared" ref="BW103:BW109" si="43">BV103*19%</f>
        <v>1140000</v>
      </c>
      <c r="BX103" s="97">
        <f t="shared" ref="BX103:BX109" si="44">+BV103+BW103</f>
        <v>7140000</v>
      </c>
      <c r="BY103" s="237" t="s">
        <v>227</v>
      </c>
      <c r="BZ103" s="237" t="s">
        <v>228</v>
      </c>
      <c r="CA103" s="116"/>
      <c r="CB103" s="247"/>
      <c r="CC103" s="125"/>
      <c r="CD103" s="247"/>
      <c r="CE103" s="116"/>
      <c r="CF103" s="116"/>
      <c r="CG103" s="34"/>
      <c r="CH103" s="241"/>
      <c r="CI103" s="238"/>
      <c r="CJ103" s="236"/>
      <c r="CK103" s="237"/>
      <c r="CL103" s="237"/>
      <c r="CM103" s="116"/>
      <c r="CN103" s="247"/>
      <c r="CO103" s="125"/>
      <c r="CP103" s="247"/>
      <c r="CQ103" s="116"/>
      <c r="CR103" s="116"/>
      <c r="CS103" s="116"/>
      <c r="CT103" s="247"/>
      <c r="CU103" s="125"/>
      <c r="CV103" s="247"/>
      <c r="CW103" s="116"/>
      <c r="CX103" s="116"/>
      <c r="CY103" s="116"/>
      <c r="CZ103" s="102"/>
      <c r="DA103" s="125"/>
      <c r="DB103" s="102"/>
      <c r="DC103" s="31"/>
      <c r="DD103" s="17"/>
      <c r="DE103" s="11"/>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
      <c r="EU103" s="11"/>
      <c r="EV103" s="11"/>
      <c r="EW103" s="11"/>
      <c r="EX103" s="11"/>
      <c r="EY103" s="11"/>
      <c r="EZ103" s="11"/>
      <c r="FA103" s="11"/>
      <c r="FB103" s="11"/>
      <c r="FC103" s="11"/>
      <c r="FD103" s="11"/>
      <c r="FE103" s="11"/>
      <c r="FF103" s="252"/>
      <c r="FG103" s="61"/>
      <c r="FH103" s="17">
        <f t="shared" si="40"/>
        <v>9338093.0300000012</v>
      </c>
      <c r="FI103" s="31">
        <f t="shared" si="41"/>
        <v>3</v>
      </c>
      <c r="FJ103" s="68">
        <f t="shared" si="42"/>
        <v>3112697.6766666672</v>
      </c>
    </row>
    <row r="104" spans="1:166" ht="38.25" x14ac:dyDescent="0.25">
      <c r="A104" s="248">
        <f>Distribución_Reactivos!A104</f>
        <v>102</v>
      </c>
      <c r="B104" s="248" t="str">
        <f>Distribución_Reactivos!B104</f>
        <v xml:space="preserve">Buffer de Carga "6X DNA Loading Dye" con 2 Colorantes Azul de Bromo fenol y Xilencianol </v>
      </c>
      <c r="C104" s="248" t="str">
        <f>Distribución_Reactivos!C104</f>
        <v xml:space="preserve">Thermo Scientific o equivalente </v>
      </c>
      <c r="D104" s="248" t="str">
        <f>Distribución_Reactivos!D104</f>
        <v xml:space="preserve">Set x 5 viales x 1 ml o superior </v>
      </c>
      <c r="E104" s="29">
        <v>1</v>
      </c>
      <c r="F104" s="212">
        <v>406980</v>
      </c>
      <c r="G104" s="214">
        <v>406980</v>
      </c>
      <c r="H104" s="221">
        <v>348456.15099999995</v>
      </c>
      <c r="I104" s="221">
        <v>0</v>
      </c>
      <c r="J104" s="221">
        <v>377072.06510399998</v>
      </c>
      <c r="K104" s="221">
        <v>0</v>
      </c>
      <c r="L104" s="247">
        <f>AVERAGE(F104,H104,J104)</f>
        <v>377502.73870133329</v>
      </c>
      <c r="M104" s="247">
        <f>G104*E1</f>
        <v>419189.4</v>
      </c>
      <c r="N104" s="217"/>
      <c r="O104" s="97"/>
      <c r="P104" s="97"/>
      <c r="Q104" s="115"/>
      <c r="R104" s="115"/>
      <c r="S104" s="53"/>
      <c r="T104" s="97">
        <v>341500</v>
      </c>
      <c r="U104" s="102">
        <f>+T104*0.19</f>
        <v>64885</v>
      </c>
      <c r="V104" s="97">
        <f>+U104+T104</f>
        <v>406385</v>
      </c>
      <c r="W104" s="115" t="s">
        <v>229</v>
      </c>
      <c r="X104" s="115"/>
      <c r="Y104" s="44"/>
      <c r="Z104" s="97"/>
      <c r="AA104" s="97"/>
      <c r="AB104" s="97"/>
      <c r="AC104" s="115"/>
      <c r="AD104" s="44"/>
      <c r="AE104" s="11"/>
      <c r="AF104" s="102"/>
      <c r="AG104" s="125"/>
      <c r="AH104" s="97"/>
      <c r="AI104" s="11"/>
      <c r="AJ104" s="11"/>
      <c r="AK104" s="17"/>
      <c r="AL104" s="97"/>
      <c r="AM104" s="97"/>
      <c r="AN104" s="101"/>
      <c r="AO104" s="248"/>
      <c r="AP104" s="17"/>
      <c r="AQ104" s="17"/>
      <c r="AR104" s="252">
        <v>239500</v>
      </c>
      <c r="AS104" s="97">
        <f>+AR104*0.19</f>
        <v>45505</v>
      </c>
      <c r="AT104" s="103">
        <f>+AR104+AS104</f>
        <v>285005</v>
      </c>
      <c r="AU104" s="143" t="s">
        <v>230</v>
      </c>
      <c r="AV104" s="52" t="s">
        <v>138</v>
      </c>
      <c r="AW104" s="30"/>
      <c r="AX104" s="100"/>
      <c r="AY104" s="172"/>
      <c r="AZ104" s="124"/>
      <c r="BA104" s="169"/>
      <c r="BB104" s="116"/>
      <c r="BC104" s="116"/>
      <c r="BD104" s="247"/>
      <c r="BE104" s="124"/>
      <c r="BF104" s="124"/>
      <c r="BG104" s="116"/>
      <c r="BH104" s="116"/>
      <c r="BI104" s="116"/>
      <c r="BJ104" s="124"/>
      <c r="BK104" s="124"/>
      <c r="BL104" s="124"/>
      <c r="BM104" s="116"/>
      <c r="BN104" s="116"/>
      <c r="BO104" s="116"/>
      <c r="BP104" s="124">
        <v>248318</v>
      </c>
      <c r="BQ104" s="125">
        <f>BP104*19%</f>
        <v>47180.42</v>
      </c>
      <c r="BR104" s="97">
        <f>+BP104+BQ104</f>
        <v>295498.42</v>
      </c>
      <c r="BS104" s="31" t="s">
        <v>231</v>
      </c>
      <c r="BT104" s="34" t="s">
        <v>232</v>
      </c>
      <c r="BU104" s="5" t="s">
        <v>233</v>
      </c>
      <c r="BV104" s="240">
        <v>1379500</v>
      </c>
      <c r="BW104" s="125">
        <f t="shared" si="43"/>
        <v>262105</v>
      </c>
      <c r="BX104" s="97">
        <f t="shared" si="44"/>
        <v>1641605</v>
      </c>
      <c r="BY104" s="237" t="s">
        <v>234</v>
      </c>
      <c r="BZ104" s="237" t="s">
        <v>235</v>
      </c>
      <c r="CA104" s="116"/>
      <c r="CB104" s="247"/>
      <c r="CC104" s="125"/>
      <c r="CD104" s="247"/>
      <c r="CE104" s="116"/>
      <c r="CF104" s="116"/>
      <c r="CG104" s="34"/>
      <c r="CH104" s="236"/>
      <c r="CI104" s="238"/>
      <c r="CJ104" s="236"/>
      <c r="CK104" s="237"/>
      <c r="CL104" s="237"/>
      <c r="CM104" s="116"/>
      <c r="CN104" s="247"/>
      <c r="CO104" s="125"/>
      <c r="CP104" s="247"/>
      <c r="CQ104" s="116"/>
      <c r="CR104" s="116"/>
      <c r="CS104" s="116"/>
      <c r="CT104" s="247"/>
      <c r="CU104" s="125"/>
      <c r="CV104" s="247"/>
      <c r="CW104" s="116"/>
      <c r="CX104" s="116"/>
      <c r="CY104" s="116"/>
      <c r="CZ104" s="102"/>
      <c r="DA104" s="125"/>
      <c r="DB104" s="102"/>
      <c r="DC104" s="31"/>
      <c r="DD104" s="17"/>
      <c r="DE104" s="11"/>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
      <c r="EU104" s="11"/>
      <c r="EV104" s="11"/>
      <c r="EW104" s="11"/>
      <c r="EX104" s="11"/>
      <c r="EY104" s="11"/>
      <c r="EZ104" s="11"/>
      <c r="FA104" s="11"/>
      <c r="FB104" s="11"/>
      <c r="FC104" s="11"/>
      <c r="FD104" s="11"/>
      <c r="FE104" s="11"/>
      <c r="FF104" s="11"/>
      <c r="FG104" s="11"/>
      <c r="FH104" s="17">
        <f t="shared" si="40"/>
        <v>3047682.82</v>
      </c>
      <c r="FI104" s="31">
        <f t="shared" si="41"/>
        <v>5</v>
      </c>
      <c r="FJ104" s="68">
        <f t="shared" si="42"/>
        <v>609536.56400000001</v>
      </c>
    </row>
    <row r="105" spans="1:166" ht="53.25" customHeight="1" x14ac:dyDescent="0.25">
      <c r="A105" s="248">
        <f>Distribución_Reactivos!A105</f>
        <v>103</v>
      </c>
      <c r="B105" s="248" t="str">
        <f>Distribución_Reactivos!B105</f>
        <v xml:space="preserve">Buffer pH 10 con fecha vencimiento no menor a 2 años con certificado trazables a NIST valorado por norma DIN 19268 </v>
      </c>
      <c r="C105" s="248" t="str">
        <f>Distribución_Reactivos!C105</f>
        <v>Merck o equivalente</v>
      </c>
      <c r="D105" s="248" t="str">
        <f>Distribución_Reactivos!D105</f>
        <v>Frasco x  1 litro</v>
      </c>
      <c r="E105" s="29">
        <v>1</v>
      </c>
      <c r="F105" s="212">
        <v>159073.25</v>
      </c>
      <c r="G105" s="214">
        <v>156604</v>
      </c>
      <c r="H105" s="221">
        <v>215297.68280937499</v>
      </c>
      <c r="I105" s="221">
        <v>215271</v>
      </c>
      <c r="J105" s="221">
        <v>216054.734</v>
      </c>
      <c r="K105" s="221">
        <v>211701</v>
      </c>
      <c r="L105" s="247">
        <f>AVERAGE(F105,H105,J105)</f>
        <v>196808.55560312499</v>
      </c>
      <c r="M105" s="247">
        <f>AVERAGE(G105,I105,K105)*E1</f>
        <v>200361.09333333335</v>
      </c>
      <c r="N105" s="217"/>
      <c r="O105" s="97"/>
      <c r="P105" s="97"/>
      <c r="Q105" s="115"/>
      <c r="R105" s="115"/>
      <c r="S105" s="53"/>
      <c r="T105" s="97"/>
      <c r="U105" s="97"/>
      <c r="V105" s="97"/>
      <c r="W105" s="115"/>
      <c r="X105" s="115"/>
      <c r="Y105" s="11"/>
      <c r="Z105" s="97"/>
      <c r="AA105" s="97"/>
      <c r="AB105" s="97"/>
      <c r="AC105" s="44"/>
      <c r="AD105" s="44"/>
      <c r="AE105" s="11"/>
      <c r="AF105" s="102">
        <v>290000</v>
      </c>
      <c r="AG105" s="125">
        <f>AF105*19%</f>
        <v>55100</v>
      </c>
      <c r="AH105" s="97">
        <f>+AF105+AG105</f>
        <v>345100</v>
      </c>
      <c r="AI105" s="11"/>
      <c r="AJ105" s="11"/>
      <c r="AK105" s="17"/>
      <c r="AL105" s="97">
        <v>111000</v>
      </c>
      <c r="AM105" s="97">
        <f>+AL105*0.19</f>
        <v>21090</v>
      </c>
      <c r="AN105" s="103">
        <f>+AL105+AM105</f>
        <v>132090</v>
      </c>
      <c r="AO105" s="248" t="s">
        <v>56</v>
      </c>
      <c r="AP105" s="239" t="s">
        <v>52</v>
      </c>
      <c r="AQ105" s="17"/>
      <c r="AR105" s="252">
        <v>280613</v>
      </c>
      <c r="AS105" s="97">
        <f>+AR105*0.19</f>
        <v>53316.47</v>
      </c>
      <c r="AT105" s="103">
        <f>+AR105+AS105</f>
        <v>333929.46999999997</v>
      </c>
      <c r="AU105" s="52" t="s">
        <v>236</v>
      </c>
      <c r="AV105" s="52" t="s">
        <v>42</v>
      </c>
      <c r="AW105" s="30"/>
      <c r="AX105" s="100"/>
      <c r="AY105" s="174"/>
      <c r="AZ105" s="124"/>
      <c r="BA105" s="169"/>
      <c r="BB105" s="116"/>
      <c r="BC105" s="116"/>
      <c r="BD105" s="247"/>
      <c r="BE105" s="124"/>
      <c r="BF105" s="124"/>
      <c r="BG105" s="116"/>
      <c r="BH105" s="116"/>
      <c r="BI105" s="116"/>
      <c r="BJ105" s="124"/>
      <c r="BK105" s="124"/>
      <c r="BL105" s="124"/>
      <c r="BM105" s="116"/>
      <c r="BN105" s="116"/>
      <c r="BO105" s="116"/>
      <c r="BP105" s="124"/>
      <c r="BQ105" s="116"/>
      <c r="BR105" s="116"/>
      <c r="BS105" s="116"/>
      <c r="BT105" s="116"/>
      <c r="BU105" s="116"/>
      <c r="BV105" s="240">
        <v>189800</v>
      </c>
      <c r="BW105" s="125">
        <f t="shared" si="43"/>
        <v>36062</v>
      </c>
      <c r="BX105" s="97">
        <f t="shared" si="44"/>
        <v>225862</v>
      </c>
      <c r="BY105" s="237" t="s">
        <v>237</v>
      </c>
      <c r="BZ105" s="237" t="s">
        <v>93</v>
      </c>
      <c r="CA105" s="116"/>
      <c r="CB105" s="247">
        <v>96500</v>
      </c>
      <c r="CC105" s="125">
        <f>+CB105*19%</f>
        <v>18335</v>
      </c>
      <c r="CD105" s="247">
        <f>+CC105+CB105</f>
        <v>114835</v>
      </c>
      <c r="CE105" s="116"/>
      <c r="CF105" s="116"/>
      <c r="CG105" s="34"/>
      <c r="CH105" s="236"/>
      <c r="CI105" s="238"/>
      <c r="CJ105" s="236"/>
      <c r="CK105" s="237"/>
      <c r="CL105" s="237"/>
      <c r="CM105" s="116"/>
      <c r="CN105" s="247"/>
      <c r="CO105" s="125"/>
      <c r="CP105" s="247"/>
      <c r="CQ105" s="116"/>
      <c r="CR105" s="116"/>
      <c r="CS105" s="116"/>
      <c r="CT105" s="247"/>
      <c r="CU105" s="125"/>
      <c r="CV105" s="247"/>
      <c r="CW105" s="116"/>
      <c r="CX105" s="116"/>
      <c r="CY105" s="116"/>
      <c r="CZ105" s="102">
        <v>80552</v>
      </c>
      <c r="DA105" s="125">
        <f>+CZ105*0.19</f>
        <v>15304.880000000001</v>
      </c>
      <c r="DB105" s="102">
        <f>+CZ105+DA105</f>
        <v>95856.88</v>
      </c>
      <c r="DC105" s="31" t="s">
        <v>69</v>
      </c>
      <c r="DD105" s="17" t="s">
        <v>65</v>
      </c>
      <c r="DE105" s="11">
        <v>1094381000</v>
      </c>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
      <c r="EU105" s="11"/>
      <c r="EV105" s="11"/>
      <c r="EW105" s="11"/>
      <c r="EX105" s="11"/>
      <c r="EY105" s="11"/>
      <c r="EZ105" s="11"/>
      <c r="FA105" s="11"/>
      <c r="FB105" s="11"/>
      <c r="FC105" s="11"/>
      <c r="FD105" s="11"/>
      <c r="FE105" s="11"/>
      <c r="FF105" s="11"/>
      <c r="FG105" s="11"/>
      <c r="FH105" s="17">
        <f t="shared" si="40"/>
        <v>1448034.4433333334</v>
      </c>
      <c r="FI105" s="31">
        <f t="shared" si="41"/>
        <v>7</v>
      </c>
      <c r="FJ105" s="68">
        <f t="shared" si="42"/>
        <v>206862.06333333332</v>
      </c>
    </row>
    <row r="106" spans="1:166" ht="53.25" customHeight="1" x14ac:dyDescent="0.25">
      <c r="A106" s="248">
        <f>Distribución_Reactivos!A106</f>
        <v>104</v>
      </c>
      <c r="B106" s="248" t="str">
        <f>Distribución_Reactivos!B106</f>
        <v xml:space="preserve">Buffer pH 2 con vigencia superior a 2 años con certificado de análisis trazable  NIST valorado por norma DIN 19268 </v>
      </c>
      <c r="C106" s="248" t="str">
        <f>Distribución_Reactivos!C106</f>
        <v>Merck o equivalente</v>
      </c>
      <c r="D106" s="248" t="str">
        <f>Distribución_Reactivos!D106</f>
        <v>Frasco x  1 litro</v>
      </c>
      <c r="E106" s="29">
        <v>1</v>
      </c>
      <c r="F106" s="212">
        <v>0</v>
      </c>
      <c r="G106" s="214">
        <v>0</v>
      </c>
      <c r="H106" s="221">
        <v>0</v>
      </c>
      <c r="I106" s="221">
        <v>0</v>
      </c>
      <c r="J106" s="221">
        <v>0</v>
      </c>
      <c r="K106" s="221">
        <v>0</v>
      </c>
      <c r="L106" s="247"/>
      <c r="M106" s="247"/>
      <c r="N106" s="217"/>
      <c r="O106" s="97"/>
      <c r="P106" s="97"/>
      <c r="Q106" s="115"/>
      <c r="R106" s="115"/>
      <c r="S106" s="53"/>
      <c r="T106" s="97"/>
      <c r="U106" s="101"/>
      <c r="V106" s="97"/>
      <c r="W106" s="115"/>
      <c r="X106" s="115"/>
      <c r="Y106" s="11"/>
      <c r="Z106" s="97"/>
      <c r="AA106" s="97"/>
      <c r="AB106" s="97"/>
      <c r="AC106" s="44"/>
      <c r="AD106" s="44"/>
      <c r="AE106" s="11"/>
      <c r="AF106" s="102">
        <v>290000</v>
      </c>
      <c r="AG106" s="125">
        <f>AF106*19%</f>
        <v>55100</v>
      </c>
      <c r="AH106" s="97">
        <f>+AF106+AG106</f>
        <v>345100</v>
      </c>
      <c r="AI106" s="11"/>
      <c r="AJ106" s="11"/>
      <c r="AK106" s="17"/>
      <c r="AL106" s="97"/>
      <c r="AM106" s="97"/>
      <c r="AN106" s="101"/>
      <c r="AO106" s="248"/>
      <c r="AP106" s="17"/>
      <c r="AQ106" s="17"/>
      <c r="AR106" s="252"/>
      <c r="AS106" s="136"/>
      <c r="AT106" s="137"/>
      <c r="AU106" s="52"/>
      <c r="AV106" s="52"/>
      <c r="AW106" s="30"/>
      <c r="AX106" s="100"/>
      <c r="AY106" s="172"/>
      <c r="AZ106" s="124"/>
      <c r="BA106" s="169"/>
      <c r="BB106" s="116"/>
      <c r="BC106" s="116"/>
      <c r="BD106" s="247"/>
      <c r="BE106" s="124"/>
      <c r="BF106" s="124"/>
      <c r="BG106" s="116"/>
      <c r="BH106" s="116"/>
      <c r="BI106" s="116"/>
      <c r="BJ106" s="124"/>
      <c r="BK106" s="124"/>
      <c r="BL106" s="124"/>
      <c r="BM106" s="116"/>
      <c r="BN106" s="116"/>
      <c r="BO106" s="116"/>
      <c r="BP106" s="124"/>
      <c r="BQ106" s="116"/>
      <c r="BR106" s="116"/>
      <c r="BS106" s="116"/>
      <c r="BT106" s="116"/>
      <c r="BU106" s="116"/>
      <c r="BV106" s="240">
        <v>392100</v>
      </c>
      <c r="BW106" s="125">
        <f t="shared" si="43"/>
        <v>74499</v>
      </c>
      <c r="BX106" s="97">
        <f t="shared" si="44"/>
        <v>466599</v>
      </c>
      <c r="BY106" s="237" t="s">
        <v>237</v>
      </c>
      <c r="BZ106" s="237" t="s">
        <v>93</v>
      </c>
      <c r="CA106" s="116"/>
      <c r="CB106" s="247">
        <v>135000</v>
      </c>
      <c r="CC106" s="125">
        <f>+CB106*19%</f>
        <v>25650</v>
      </c>
      <c r="CD106" s="247">
        <f>+CC106+CB106</f>
        <v>160650</v>
      </c>
      <c r="CE106" s="116"/>
      <c r="CF106" s="116"/>
      <c r="CG106" s="34"/>
      <c r="CH106" s="236"/>
      <c r="CI106" s="238"/>
      <c r="CJ106" s="236"/>
      <c r="CK106" s="237"/>
      <c r="CL106" s="237"/>
      <c r="CM106" s="116"/>
      <c r="CN106" s="247"/>
      <c r="CO106" s="125"/>
      <c r="CP106" s="247"/>
      <c r="CQ106" s="116"/>
      <c r="CR106" s="116"/>
      <c r="CS106" s="116"/>
      <c r="CT106" s="247"/>
      <c r="CU106" s="125"/>
      <c r="CV106" s="247"/>
      <c r="CW106" s="116"/>
      <c r="CX106" s="116"/>
      <c r="CY106" s="116"/>
      <c r="CZ106" s="102">
        <v>162759</v>
      </c>
      <c r="DA106" s="125">
        <f>+CZ106*0.19</f>
        <v>30924.21</v>
      </c>
      <c r="DB106" s="102">
        <f>+CZ106+DA106</f>
        <v>193683.21</v>
      </c>
      <c r="DC106" s="31" t="s">
        <v>238</v>
      </c>
      <c r="DD106" s="17" t="s">
        <v>65</v>
      </c>
      <c r="DE106" s="11">
        <v>1094331000</v>
      </c>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
      <c r="EU106" s="11"/>
      <c r="EV106" s="11"/>
      <c r="EW106" s="11"/>
      <c r="EX106" s="11"/>
      <c r="EY106" s="11"/>
      <c r="EZ106" s="11"/>
      <c r="FA106" s="11"/>
      <c r="FB106" s="11"/>
      <c r="FC106" s="11"/>
      <c r="FD106" s="11"/>
      <c r="FE106" s="11"/>
      <c r="FF106" s="11"/>
      <c r="FG106" s="11"/>
      <c r="FH106" s="17">
        <f t="shared" si="40"/>
        <v>1166032.21</v>
      </c>
      <c r="FI106" s="31">
        <f t="shared" si="41"/>
        <v>4</v>
      </c>
      <c r="FJ106" s="68">
        <f t="shared" si="42"/>
        <v>291508.05249999999</v>
      </c>
    </row>
    <row r="107" spans="1:166" ht="54" customHeight="1" x14ac:dyDescent="0.25">
      <c r="A107" s="248">
        <f>Distribución_Reactivos!A107</f>
        <v>105</v>
      </c>
      <c r="B107" s="248" t="str">
        <f>Distribución_Reactivos!B107</f>
        <v xml:space="preserve">Buffer pH 4 con fecha vencimiento no menor a 2 años con certificado trazables a NIST valorado por norma DIN 19268 </v>
      </c>
      <c r="C107" s="248" t="str">
        <f>Distribución_Reactivos!C107</f>
        <v>Merck o equivalente</v>
      </c>
      <c r="D107" s="248" t="str">
        <f>Distribución_Reactivos!D107</f>
        <v>Frasco x  1 litro</v>
      </c>
      <c r="E107" s="29">
        <v>1</v>
      </c>
      <c r="F107" s="212">
        <v>137593.75</v>
      </c>
      <c r="G107" s="214">
        <v>134113</v>
      </c>
      <c r="H107" s="221">
        <v>164109.71445312499</v>
      </c>
      <c r="I107" s="221">
        <v>164101</v>
      </c>
      <c r="J107" s="221">
        <v>165965.73000000001</v>
      </c>
      <c r="K107" s="221">
        <v>162673</v>
      </c>
      <c r="L107" s="247">
        <f>AVERAGE(F107,H107,J107)</f>
        <v>155889.73148437499</v>
      </c>
      <c r="M107" s="247">
        <f>AVERAGE(G107,I107,K107)*E1</f>
        <v>158237.87</v>
      </c>
      <c r="N107" s="217"/>
      <c r="O107" s="97"/>
      <c r="P107" s="97"/>
      <c r="Q107" s="115"/>
      <c r="R107" s="115"/>
      <c r="S107" s="53"/>
      <c r="T107" s="97"/>
      <c r="U107" s="101"/>
      <c r="V107" s="97"/>
      <c r="W107" s="115"/>
      <c r="X107" s="115"/>
      <c r="Y107" s="11"/>
      <c r="Z107" s="97"/>
      <c r="AA107" s="97"/>
      <c r="AB107" s="97"/>
      <c r="AC107" s="44"/>
      <c r="AD107" s="44"/>
      <c r="AE107" s="11"/>
      <c r="AF107" s="102">
        <v>120000</v>
      </c>
      <c r="AG107" s="125">
        <f>AF107*19%</f>
        <v>22800</v>
      </c>
      <c r="AH107" s="97">
        <f>+AF107+AG107</f>
        <v>142800</v>
      </c>
      <c r="AI107" s="11"/>
      <c r="AJ107" s="11"/>
      <c r="AK107" s="17"/>
      <c r="AL107" s="97">
        <v>98000</v>
      </c>
      <c r="AM107" s="97">
        <f>+AL107*0.19</f>
        <v>18620</v>
      </c>
      <c r="AN107" s="103">
        <f>+AL107+AM107</f>
        <v>116620</v>
      </c>
      <c r="AO107" s="248" t="s">
        <v>56</v>
      </c>
      <c r="AP107" s="239" t="s">
        <v>52</v>
      </c>
      <c r="AQ107" s="17"/>
      <c r="AR107" s="252">
        <v>252000</v>
      </c>
      <c r="AS107" s="97">
        <f>+AR107*0.19</f>
        <v>47880</v>
      </c>
      <c r="AT107" s="103">
        <f>+AR107+AS107</f>
        <v>299880</v>
      </c>
      <c r="AU107" s="52" t="s">
        <v>236</v>
      </c>
      <c r="AV107" s="52" t="s">
        <v>42</v>
      </c>
      <c r="AW107" s="30"/>
      <c r="AX107" s="100"/>
      <c r="AY107" s="172"/>
      <c r="AZ107" s="124"/>
      <c r="BA107" s="169"/>
      <c r="BB107" s="116"/>
      <c r="BC107" s="116"/>
      <c r="BD107" s="247"/>
      <c r="BE107" s="124"/>
      <c r="BF107" s="124"/>
      <c r="BG107" s="116"/>
      <c r="BH107" s="116"/>
      <c r="BI107" s="116"/>
      <c r="BJ107" s="124"/>
      <c r="BK107" s="124"/>
      <c r="BL107" s="124"/>
      <c r="BM107" s="116"/>
      <c r="BN107" s="116"/>
      <c r="BO107" s="116"/>
      <c r="BP107" s="124"/>
      <c r="BQ107" s="116"/>
      <c r="BR107" s="116"/>
      <c r="BS107" s="116"/>
      <c r="BT107" s="116"/>
      <c r="BU107" s="116"/>
      <c r="BV107" s="240">
        <v>150500</v>
      </c>
      <c r="BW107" s="125">
        <f t="shared" si="43"/>
        <v>28595</v>
      </c>
      <c r="BX107" s="97">
        <f t="shared" si="44"/>
        <v>179095</v>
      </c>
      <c r="BY107" s="237" t="s">
        <v>237</v>
      </c>
      <c r="BZ107" s="237" t="s">
        <v>93</v>
      </c>
      <c r="CA107" s="116"/>
      <c r="CB107" s="247">
        <v>98500</v>
      </c>
      <c r="CC107" s="125">
        <f>+CB107*19%</f>
        <v>18715</v>
      </c>
      <c r="CD107" s="247">
        <f>+CC107+CB107</f>
        <v>117215</v>
      </c>
      <c r="CE107" s="116"/>
      <c r="CF107" s="116"/>
      <c r="CG107" s="34"/>
      <c r="CH107" s="236"/>
      <c r="CI107" s="238"/>
      <c r="CJ107" s="236"/>
      <c r="CK107" s="237"/>
      <c r="CL107" s="237"/>
      <c r="CM107" s="116"/>
      <c r="CN107" s="247"/>
      <c r="CO107" s="125"/>
      <c r="CP107" s="247"/>
      <c r="CQ107" s="116"/>
      <c r="CR107" s="116"/>
      <c r="CS107" s="116"/>
      <c r="CT107" s="247"/>
      <c r="CU107" s="125"/>
      <c r="CV107" s="247"/>
      <c r="CW107" s="116"/>
      <c r="CX107" s="116"/>
      <c r="CY107" s="116"/>
      <c r="CZ107" s="102">
        <v>89931</v>
      </c>
      <c r="DA107" s="125">
        <f>+CZ107*0.19</f>
        <v>17086.89</v>
      </c>
      <c r="DB107" s="102">
        <f>+CZ107+DA107</f>
        <v>107017.89</v>
      </c>
      <c r="DC107" s="31" t="s">
        <v>69</v>
      </c>
      <c r="DD107" s="17" t="s">
        <v>65</v>
      </c>
      <c r="DE107" s="11">
        <v>1094061000</v>
      </c>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
      <c r="EU107" s="11"/>
      <c r="EV107" s="11"/>
      <c r="EW107" s="11"/>
      <c r="EX107" s="11"/>
      <c r="EY107" s="11"/>
      <c r="EZ107" s="11"/>
      <c r="FA107" s="11"/>
      <c r="FB107" s="11"/>
      <c r="FC107" s="11"/>
      <c r="FD107" s="11"/>
      <c r="FE107" s="11"/>
      <c r="FF107" s="11"/>
      <c r="FG107" s="11"/>
      <c r="FH107" s="17">
        <f t="shared" si="40"/>
        <v>1120865.76</v>
      </c>
      <c r="FI107" s="31">
        <f t="shared" si="41"/>
        <v>7</v>
      </c>
      <c r="FJ107" s="68">
        <f t="shared" si="42"/>
        <v>160123.68</v>
      </c>
    </row>
    <row r="108" spans="1:166" ht="54" customHeight="1" x14ac:dyDescent="0.25">
      <c r="A108" s="248">
        <f>Distribución_Reactivos!A108</f>
        <v>106</v>
      </c>
      <c r="B108" s="248" t="str">
        <f>Distribución_Reactivos!B108</f>
        <v xml:space="preserve">Buffer pH 7 con fecha vencimiento no menor a 2 años con certificado trazables a NIST valorado por norma DIN 19268 </v>
      </c>
      <c r="C108" s="248" t="str">
        <f>Distribución_Reactivos!C108</f>
        <v>Merck o equivalente</v>
      </c>
      <c r="D108" s="248" t="str">
        <f>Distribución_Reactivos!D108</f>
        <v>Frasco x  1 litro</v>
      </c>
      <c r="E108" s="29">
        <v>1</v>
      </c>
      <c r="F108" s="212">
        <v>144257.75</v>
      </c>
      <c r="G108" s="214">
        <v>140539</v>
      </c>
      <c r="H108" s="221">
        <v>169359.411353125</v>
      </c>
      <c r="I108" s="221">
        <v>169337</v>
      </c>
      <c r="J108" s="221">
        <v>158747.19</v>
      </c>
      <c r="K108" s="221">
        <v>155533</v>
      </c>
      <c r="L108" s="247">
        <f>AVERAGE(F108,H108,J108)</f>
        <v>157454.783784375</v>
      </c>
      <c r="M108" s="247">
        <f>AVERAGE(G108,I108,K108)*E1</f>
        <v>159790.42333333334</v>
      </c>
      <c r="N108" s="217"/>
      <c r="O108" s="97"/>
      <c r="P108" s="97"/>
      <c r="Q108" s="115"/>
      <c r="R108" s="115"/>
      <c r="S108" s="53"/>
      <c r="T108" s="97"/>
      <c r="U108" s="97"/>
      <c r="V108" s="97"/>
      <c r="W108" s="115"/>
      <c r="X108" s="115"/>
      <c r="Y108" s="11"/>
      <c r="Z108" s="97"/>
      <c r="AA108" s="97"/>
      <c r="AB108" s="97"/>
      <c r="AC108" s="44"/>
      <c r="AD108" s="44"/>
      <c r="AE108" s="11"/>
      <c r="AF108" s="102">
        <v>120000</v>
      </c>
      <c r="AG108" s="125">
        <f>AF108*19%</f>
        <v>22800</v>
      </c>
      <c r="AH108" s="97">
        <f>+AF108+AG108</f>
        <v>142800</v>
      </c>
      <c r="AI108" s="11"/>
      <c r="AJ108" s="11"/>
      <c r="AK108" s="17"/>
      <c r="AL108" s="97">
        <v>98000</v>
      </c>
      <c r="AM108" s="97">
        <f>+AL108*0.19</f>
        <v>18620</v>
      </c>
      <c r="AN108" s="103">
        <f>+AL108+AM108</f>
        <v>116620</v>
      </c>
      <c r="AO108" s="248" t="s">
        <v>56</v>
      </c>
      <c r="AP108" s="239" t="s">
        <v>52</v>
      </c>
      <c r="AQ108" s="17"/>
      <c r="AR108" s="252">
        <v>252000</v>
      </c>
      <c r="AS108" s="97">
        <f>+AR108*0.19</f>
        <v>47880</v>
      </c>
      <c r="AT108" s="103">
        <f>+AR108+AS108</f>
        <v>299880</v>
      </c>
      <c r="AU108" s="52" t="s">
        <v>236</v>
      </c>
      <c r="AV108" s="52" t="s">
        <v>42</v>
      </c>
      <c r="AW108" s="30"/>
      <c r="AX108" s="100"/>
      <c r="AY108" s="174"/>
      <c r="AZ108" s="124"/>
      <c r="BA108" s="169"/>
      <c r="BB108" s="116"/>
      <c r="BC108" s="116"/>
      <c r="BD108" s="247"/>
      <c r="BE108" s="124"/>
      <c r="BF108" s="124"/>
      <c r="BG108" s="116"/>
      <c r="BH108" s="116"/>
      <c r="BI108" s="116"/>
      <c r="BJ108" s="124"/>
      <c r="BK108" s="124"/>
      <c r="BL108" s="124"/>
      <c r="BM108" s="116"/>
      <c r="BN108" s="116"/>
      <c r="BO108" s="116"/>
      <c r="BP108" s="124"/>
      <c r="BQ108" s="116"/>
      <c r="BR108" s="116"/>
      <c r="BS108" s="116"/>
      <c r="BT108" s="116"/>
      <c r="BU108" s="116"/>
      <c r="BV108" s="240">
        <v>162800</v>
      </c>
      <c r="BW108" s="125">
        <f t="shared" si="43"/>
        <v>30932</v>
      </c>
      <c r="BX108" s="97">
        <f t="shared" si="44"/>
        <v>193732</v>
      </c>
      <c r="BY108" s="237" t="s">
        <v>237</v>
      </c>
      <c r="BZ108" s="237" t="s">
        <v>93</v>
      </c>
      <c r="CA108" s="116"/>
      <c r="CB108" s="247">
        <v>98500</v>
      </c>
      <c r="CC108" s="125">
        <f>+CB108*19%</f>
        <v>18715</v>
      </c>
      <c r="CD108" s="247">
        <f>+CC108+CB108</f>
        <v>117215</v>
      </c>
      <c r="CE108" s="116"/>
      <c r="CF108" s="116"/>
      <c r="CG108" s="34"/>
      <c r="CH108" s="236"/>
      <c r="CI108" s="238"/>
      <c r="CJ108" s="236"/>
      <c r="CK108" s="237"/>
      <c r="CL108" s="237"/>
      <c r="CM108" s="116"/>
      <c r="CN108" s="247"/>
      <c r="CO108" s="125"/>
      <c r="CP108" s="247"/>
      <c r="CQ108" s="116"/>
      <c r="CR108" s="116"/>
      <c r="CS108" s="116"/>
      <c r="CT108" s="247"/>
      <c r="CU108" s="125"/>
      <c r="CV108" s="247"/>
      <c r="CW108" s="116"/>
      <c r="CX108" s="116"/>
      <c r="CY108" s="116"/>
      <c r="CZ108" s="102">
        <v>69517</v>
      </c>
      <c r="DA108" s="125">
        <f>+CZ108*0.19</f>
        <v>13208.23</v>
      </c>
      <c r="DB108" s="102">
        <f>+CZ108+DA108</f>
        <v>82725.23</v>
      </c>
      <c r="DC108" s="31" t="s">
        <v>238</v>
      </c>
      <c r="DD108" s="17" t="s">
        <v>65</v>
      </c>
      <c r="DE108" s="11">
        <v>1094391000</v>
      </c>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
      <c r="EU108" s="11"/>
      <c r="EV108" s="11"/>
      <c r="EW108" s="11"/>
      <c r="EX108" s="11"/>
      <c r="EY108" s="11"/>
      <c r="EZ108" s="11"/>
      <c r="FA108" s="11"/>
      <c r="FB108" s="11"/>
      <c r="FC108" s="11"/>
      <c r="FD108" s="11"/>
      <c r="FE108" s="11"/>
      <c r="FF108" s="11"/>
      <c r="FG108" s="11"/>
      <c r="FH108" s="17">
        <f t="shared" si="40"/>
        <v>1112762.6533333333</v>
      </c>
      <c r="FI108" s="31">
        <f t="shared" si="41"/>
        <v>7</v>
      </c>
      <c r="FJ108" s="68">
        <f t="shared" si="42"/>
        <v>158966.09333333332</v>
      </c>
    </row>
    <row r="109" spans="1:166" ht="40.5" x14ac:dyDescent="0.25">
      <c r="A109" s="248">
        <f>Distribución_Reactivos!A109</f>
        <v>107</v>
      </c>
      <c r="B109" s="248" t="str">
        <f>Distribución_Reactivos!B109</f>
        <v xml:space="preserve">Buffer TBE Tampon 10X (Tris– Borato -EDTA) para Electroforesis </v>
      </c>
      <c r="C109" s="248" t="str">
        <f>Distribución_Reactivos!C109</f>
        <v xml:space="preserve">Amresco 0478-L40 </v>
      </c>
      <c r="D109" s="248" t="str">
        <f>Distribución_Reactivos!D109</f>
        <v>Unidad</v>
      </c>
      <c r="E109" s="29">
        <v>1</v>
      </c>
      <c r="F109" s="212">
        <v>676634</v>
      </c>
      <c r="G109" s="214">
        <v>656285</v>
      </c>
      <c r="H109" s="221">
        <v>625167.20924</v>
      </c>
      <c r="I109" s="221">
        <v>0</v>
      </c>
      <c r="J109" s="221">
        <v>974042.13199999998</v>
      </c>
      <c r="K109" s="221">
        <v>949620</v>
      </c>
      <c r="L109" s="247">
        <f>AVERAGE(F109,H109,J109)</f>
        <v>758614.44707999995</v>
      </c>
      <c r="M109" s="247">
        <f>AVERAGE(G109,K109)*E1</f>
        <v>827041.07500000007</v>
      </c>
      <c r="N109" s="217"/>
      <c r="O109" s="97"/>
      <c r="P109" s="97"/>
      <c r="Q109" s="115"/>
      <c r="R109" s="115"/>
      <c r="S109" s="53"/>
      <c r="T109" s="97"/>
      <c r="U109" s="97"/>
      <c r="V109" s="97"/>
      <c r="W109" s="115"/>
      <c r="X109" s="115"/>
      <c r="Y109" s="11"/>
      <c r="Z109" s="97"/>
      <c r="AA109" s="97"/>
      <c r="AB109" s="97"/>
      <c r="AC109" s="44"/>
      <c r="AD109" s="44"/>
      <c r="AE109" s="11"/>
      <c r="AF109" s="102"/>
      <c r="AG109" s="125"/>
      <c r="AH109" s="97"/>
      <c r="AI109" s="11"/>
      <c r="AJ109" s="11"/>
      <c r="AK109" s="17"/>
      <c r="AL109" s="97"/>
      <c r="AM109" s="97"/>
      <c r="AN109" s="103"/>
      <c r="AO109" s="248"/>
      <c r="AP109" s="17"/>
      <c r="AQ109" s="17"/>
      <c r="AR109" s="252">
        <v>208800</v>
      </c>
      <c r="AS109" s="97">
        <f>+AR109*0.19</f>
        <v>39672</v>
      </c>
      <c r="AT109" s="103">
        <f>+AR109+AS109</f>
        <v>248472</v>
      </c>
      <c r="AU109" s="52" t="s">
        <v>56</v>
      </c>
      <c r="AV109" s="52" t="s">
        <v>42</v>
      </c>
      <c r="AW109" s="30"/>
      <c r="AX109" s="100"/>
      <c r="AY109" s="174"/>
      <c r="AZ109" s="124"/>
      <c r="BA109" s="169"/>
      <c r="BB109" s="116"/>
      <c r="BC109" s="116"/>
      <c r="BD109" s="247"/>
      <c r="BE109" s="124"/>
      <c r="BF109" s="124"/>
      <c r="BG109" s="116"/>
      <c r="BH109" s="116"/>
      <c r="BI109" s="116"/>
      <c r="BJ109" s="124"/>
      <c r="BK109" s="124"/>
      <c r="BL109" s="124"/>
      <c r="BM109" s="116"/>
      <c r="BN109" s="116"/>
      <c r="BO109" s="116"/>
      <c r="BP109" s="124">
        <v>346080</v>
      </c>
      <c r="BQ109" s="125">
        <f>BP109*19%</f>
        <v>65755.199999999997</v>
      </c>
      <c r="BR109" s="97">
        <f>+BP109+BQ109</f>
        <v>411835.2</v>
      </c>
      <c r="BS109" s="31" t="s">
        <v>145</v>
      </c>
      <c r="BT109" s="182" t="s">
        <v>239</v>
      </c>
      <c r="BU109" s="5" t="s">
        <v>240</v>
      </c>
      <c r="BV109" s="240">
        <v>917200</v>
      </c>
      <c r="BW109" s="125">
        <f t="shared" si="43"/>
        <v>174268</v>
      </c>
      <c r="BX109" s="97">
        <f t="shared" si="44"/>
        <v>1091468</v>
      </c>
      <c r="BY109" s="237" t="s">
        <v>241</v>
      </c>
      <c r="BZ109" s="237" t="s">
        <v>242</v>
      </c>
      <c r="CA109" s="116"/>
      <c r="CB109" s="247"/>
      <c r="CC109" s="125"/>
      <c r="CD109" s="247"/>
      <c r="CE109" s="116"/>
      <c r="CF109" s="116"/>
      <c r="CG109" s="34"/>
      <c r="CH109" s="236">
        <v>972232</v>
      </c>
      <c r="CI109" s="238">
        <f>+CH109*0.19</f>
        <v>184724.08000000002</v>
      </c>
      <c r="CJ109" s="236">
        <f>+CH109+CI109</f>
        <v>1156956.08</v>
      </c>
      <c r="CK109" s="237" t="s">
        <v>241</v>
      </c>
      <c r="CL109" s="237" t="s">
        <v>242</v>
      </c>
      <c r="CM109" s="116"/>
      <c r="CN109" s="247"/>
      <c r="CO109" s="125"/>
      <c r="CP109" s="247"/>
      <c r="CQ109" s="116"/>
      <c r="CR109" s="116"/>
      <c r="CS109" s="116"/>
      <c r="CT109" s="247"/>
      <c r="CU109" s="125"/>
      <c r="CV109" s="247"/>
      <c r="CW109" s="116"/>
      <c r="CX109" s="116"/>
      <c r="CY109" s="116"/>
      <c r="CZ109" s="102"/>
      <c r="DA109" s="125"/>
      <c r="DB109" s="102"/>
      <c r="DC109" s="31"/>
      <c r="DD109" s="17"/>
      <c r="DE109" s="11"/>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
      <c r="EU109" s="11"/>
      <c r="EV109" s="11"/>
      <c r="EW109" s="11"/>
      <c r="EX109" s="11"/>
      <c r="EY109" s="11"/>
      <c r="EZ109" s="11"/>
      <c r="FA109" s="11"/>
      <c r="FB109" s="11"/>
      <c r="FC109" s="11"/>
      <c r="FD109" s="11"/>
      <c r="FE109" s="11"/>
      <c r="FF109" s="11"/>
      <c r="FG109" s="11"/>
      <c r="FH109" s="17">
        <f t="shared" si="40"/>
        <v>3735772.3550000004</v>
      </c>
      <c r="FI109" s="31">
        <f t="shared" si="41"/>
        <v>5</v>
      </c>
      <c r="FJ109" s="68">
        <f t="shared" si="42"/>
        <v>747154.47100000014</v>
      </c>
    </row>
    <row r="110" spans="1:166" ht="27" x14ac:dyDescent="0.25">
      <c r="A110" s="248">
        <f>Distribución_Reactivos!A110</f>
        <v>108</v>
      </c>
      <c r="B110" s="248" t="str">
        <f>Distribución_Reactivos!B110</f>
        <v>Caldo Brucella</v>
      </c>
      <c r="C110" s="248" t="str">
        <f>Distribución_Reactivos!C110</f>
        <v>Difco/BD o equivalentes</v>
      </c>
      <c r="D110" s="248" t="str">
        <f>Distribución_Reactivos!D110</f>
        <v xml:space="preserve">Frasco x 500 g </v>
      </c>
      <c r="E110" s="29">
        <v>1</v>
      </c>
      <c r="F110" s="212">
        <v>751529.92249999999</v>
      </c>
      <c r="G110" s="214">
        <v>702100</v>
      </c>
      <c r="H110" s="221">
        <v>652754.46628058329</v>
      </c>
      <c r="I110" s="221">
        <v>0</v>
      </c>
      <c r="J110" s="221">
        <v>737205</v>
      </c>
      <c r="K110" s="221">
        <v>0</v>
      </c>
      <c r="L110" s="247">
        <f>AVERAGE(F110,H110,J110)</f>
        <v>713829.79626019439</v>
      </c>
      <c r="M110" s="247">
        <f>G110*E1</f>
        <v>723163</v>
      </c>
      <c r="N110" s="217"/>
      <c r="O110" s="101"/>
      <c r="P110" s="97"/>
      <c r="Q110" s="115"/>
      <c r="R110" s="115"/>
      <c r="S110" s="53"/>
      <c r="T110" s="97"/>
      <c r="U110" s="97"/>
      <c r="V110" s="97"/>
      <c r="W110" s="115"/>
      <c r="X110" s="115"/>
      <c r="Y110" s="11"/>
      <c r="Z110" s="97"/>
      <c r="AA110" s="97"/>
      <c r="AB110" s="97"/>
      <c r="AC110" s="44"/>
      <c r="AD110" s="44"/>
      <c r="AE110" s="11"/>
      <c r="AF110" s="102"/>
      <c r="AG110" s="125"/>
      <c r="AH110" s="97"/>
      <c r="AI110" s="11"/>
      <c r="AJ110" s="11"/>
      <c r="AK110" s="17"/>
      <c r="AL110" s="97"/>
      <c r="AM110" s="97"/>
      <c r="AN110" s="103"/>
      <c r="AO110" s="248"/>
      <c r="AP110" s="17"/>
      <c r="AQ110" s="17"/>
      <c r="AR110" s="252"/>
      <c r="AS110" s="135"/>
      <c r="AT110" s="124"/>
      <c r="AU110" s="52"/>
      <c r="AV110" s="52"/>
      <c r="AW110" s="30"/>
      <c r="AX110" s="100"/>
      <c r="AY110" s="174"/>
      <c r="AZ110" s="124"/>
      <c r="BA110" s="169"/>
      <c r="BB110" s="116"/>
      <c r="BC110" s="116"/>
      <c r="BD110" s="247"/>
      <c r="BE110" s="124"/>
      <c r="BF110" s="124"/>
      <c r="BG110" s="116"/>
      <c r="BH110" s="116"/>
      <c r="BI110" s="116"/>
      <c r="BJ110" s="124"/>
      <c r="BK110" s="124"/>
      <c r="BL110" s="124"/>
      <c r="BM110" s="116"/>
      <c r="BN110" s="116"/>
      <c r="BO110" s="116"/>
      <c r="BP110" s="124"/>
      <c r="BQ110" s="116"/>
      <c r="BR110" s="116"/>
      <c r="BS110" s="116"/>
      <c r="BT110" s="116"/>
      <c r="BU110" s="116"/>
      <c r="BV110" s="240">
        <v>2000000</v>
      </c>
      <c r="BW110" s="125">
        <f>BV110*19%</f>
        <v>380000</v>
      </c>
      <c r="BX110" s="97">
        <f>+BV110+BW110</f>
        <v>2380000</v>
      </c>
      <c r="BY110" s="237" t="s">
        <v>78</v>
      </c>
      <c r="BZ110" s="237" t="s">
        <v>243</v>
      </c>
      <c r="CA110" s="116"/>
      <c r="CB110" s="247"/>
      <c r="CC110" s="125"/>
      <c r="CD110" s="247"/>
      <c r="CE110" s="116"/>
      <c r="CF110" s="116"/>
      <c r="CG110" s="34"/>
      <c r="CH110" s="236"/>
      <c r="CI110" s="238"/>
      <c r="CJ110" s="236"/>
      <c r="CK110" s="237"/>
      <c r="CL110" s="237"/>
      <c r="CM110" s="116"/>
      <c r="CN110" s="247"/>
      <c r="CO110" s="125"/>
      <c r="CP110" s="247"/>
      <c r="CQ110" s="116"/>
      <c r="CR110" s="116"/>
      <c r="CS110" s="116"/>
      <c r="CT110" s="247"/>
      <c r="CU110" s="125"/>
      <c r="CV110" s="247"/>
      <c r="CW110" s="116"/>
      <c r="CX110" s="116"/>
      <c r="CY110" s="116"/>
      <c r="CZ110" s="102"/>
      <c r="DA110" s="125"/>
      <c r="DB110" s="102"/>
      <c r="DC110" s="31"/>
      <c r="DD110" s="17"/>
      <c r="DE110" s="11"/>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
      <c r="EU110" s="11"/>
      <c r="EV110" s="11"/>
      <c r="EW110" s="11"/>
      <c r="EX110" s="11"/>
      <c r="EY110" s="11"/>
      <c r="EZ110" s="11"/>
      <c r="FA110" s="11"/>
      <c r="FB110" s="11"/>
      <c r="FC110" s="11"/>
      <c r="FD110" s="11"/>
      <c r="FE110" s="11"/>
      <c r="FF110" s="11"/>
      <c r="FG110" s="11"/>
      <c r="FH110" s="17">
        <f t="shared" si="40"/>
        <v>3103163</v>
      </c>
      <c r="FI110" s="31">
        <f t="shared" si="41"/>
        <v>2</v>
      </c>
      <c r="FJ110" s="68">
        <f t="shared" si="42"/>
        <v>1551581.5</v>
      </c>
    </row>
    <row r="111" spans="1:166" ht="25.5" x14ac:dyDescent="0.25">
      <c r="A111" s="248">
        <f>Distribución_Reactivos!A111</f>
        <v>109</v>
      </c>
      <c r="B111" s="248" t="str">
        <f>Distribución_Reactivos!B111</f>
        <v>Caldo Czapek Dox x 500greferencia C1551</v>
      </c>
      <c r="C111" s="248" t="str">
        <f>Distribución_Reactivos!C111</f>
        <v>Sigma, Merck</v>
      </c>
      <c r="D111" s="248" t="str">
        <f>Distribución_Reactivos!D111</f>
        <v>Frasco X 250 g</v>
      </c>
      <c r="E111" s="29">
        <v>1</v>
      </c>
      <c r="F111" s="212">
        <v>0</v>
      </c>
      <c r="G111" s="214">
        <v>0</v>
      </c>
      <c r="H111" s="221">
        <v>398233.5</v>
      </c>
      <c r="I111" s="221">
        <v>0</v>
      </c>
      <c r="J111" s="221">
        <v>0</v>
      </c>
      <c r="K111" s="221">
        <v>0</v>
      </c>
      <c r="L111" s="247">
        <f>H111</f>
        <v>398233.5</v>
      </c>
      <c r="M111" s="247"/>
      <c r="N111" s="219">
        <v>790700</v>
      </c>
      <c r="O111" s="97">
        <f>+N111*0.19</f>
        <v>150233</v>
      </c>
      <c r="P111" s="97">
        <f>+O111+N111</f>
        <v>940933</v>
      </c>
      <c r="Q111" s="34" t="s">
        <v>118</v>
      </c>
      <c r="R111" s="116" t="s">
        <v>119</v>
      </c>
      <c r="S111" s="53" t="s">
        <v>209</v>
      </c>
      <c r="T111" s="97"/>
      <c r="U111" s="97"/>
      <c r="V111" s="97"/>
      <c r="W111" s="115"/>
      <c r="X111" s="115"/>
      <c r="Y111" s="11"/>
      <c r="Z111" s="97"/>
      <c r="AA111" s="97"/>
      <c r="AB111" s="97"/>
      <c r="AC111" s="44"/>
      <c r="AD111" s="44"/>
      <c r="AE111" s="11"/>
      <c r="AF111" s="102"/>
      <c r="AG111" s="125"/>
      <c r="AH111" s="97"/>
      <c r="AI111" s="11"/>
      <c r="AJ111" s="11"/>
      <c r="AK111" s="17"/>
      <c r="AL111" s="97"/>
      <c r="AM111" s="97"/>
      <c r="AN111" s="101"/>
      <c r="AO111" s="248"/>
      <c r="AP111" s="17"/>
      <c r="AQ111" s="17"/>
      <c r="AR111" s="252"/>
      <c r="AS111" s="136"/>
      <c r="AT111" s="137"/>
      <c r="AU111" s="52"/>
      <c r="AV111" s="52"/>
      <c r="AW111" s="30"/>
      <c r="AX111" s="100"/>
      <c r="AY111" s="174"/>
      <c r="AZ111" s="124"/>
      <c r="BA111" s="169"/>
      <c r="BB111" s="116"/>
      <c r="BC111" s="116"/>
      <c r="BD111" s="247"/>
      <c r="BE111" s="124"/>
      <c r="BF111" s="124"/>
      <c r="BG111" s="116"/>
      <c r="BH111" s="116"/>
      <c r="BI111" s="116"/>
      <c r="BJ111" s="124"/>
      <c r="BK111" s="124"/>
      <c r="BL111" s="124"/>
      <c r="BM111" s="116"/>
      <c r="BN111" s="116"/>
      <c r="BO111" s="116"/>
      <c r="BP111" s="124"/>
      <c r="BQ111" s="116"/>
      <c r="BR111" s="116"/>
      <c r="BS111" s="116"/>
      <c r="BT111" s="116"/>
      <c r="BU111" s="116"/>
      <c r="BV111" s="188"/>
      <c r="BW111" s="125"/>
      <c r="BX111" s="97"/>
      <c r="BY111" s="246"/>
      <c r="BZ111" s="246"/>
      <c r="CA111" s="116"/>
      <c r="CB111" s="247"/>
      <c r="CC111" s="125"/>
      <c r="CD111" s="247"/>
      <c r="CE111" s="116"/>
      <c r="CF111" s="116"/>
      <c r="CG111" s="34"/>
      <c r="CH111" s="187"/>
      <c r="CI111" s="195"/>
      <c r="CJ111" s="187"/>
      <c r="CK111" s="246"/>
      <c r="CL111" s="246"/>
      <c r="CM111" s="116"/>
      <c r="CN111" s="247"/>
      <c r="CO111" s="125"/>
      <c r="CP111" s="247"/>
      <c r="CQ111" s="116"/>
      <c r="CR111" s="116"/>
      <c r="CS111" s="116"/>
      <c r="CT111" s="247"/>
      <c r="CU111" s="125"/>
      <c r="CV111" s="247"/>
      <c r="CW111" s="116"/>
      <c r="CX111" s="116"/>
      <c r="CY111" s="116"/>
      <c r="CZ111" s="102"/>
      <c r="DA111" s="125"/>
      <c r="DB111" s="102"/>
      <c r="DC111" s="31"/>
      <c r="DD111" s="17"/>
      <c r="DE111" s="11"/>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
      <c r="EU111" s="11"/>
      <c r="EV111" s="11"/>
      <c r="EW111" s="11"/>
      <c r="EX111" s="11"/>
      <c r="EY111" s="11"/>
      <c r="EZ111" s="11"/>
      <c r="FA111" s="11"/>
      <c r="FB111" s="11"/>
      <c r="FC111" s="11"/>
      <c r="FD111" s="11"/>
      <c r="FE111" s="11"/>
      <c r="FF111" s="11"/>
      <c r="FG111" s="11"/>
      <c r="FH111" s="17">
        <f t="shared" si="40"/>
        <v>940933</v>
      </c>
      <c r="FI111" s="31">
        <f t="shared" si="41"/>
        <v>1</v>
      </c>
      <c r="FJ111" s="68">
        <f t="shared" si="42"/>
        <v>940933</v>
      </c>
    </row>
    <row r="112" spans="1:166" ht="27" x14ac:dyDescent="0.25">
      <c r="A112" s="248">
        <f>Distribución_Reactivos!A112</f>
        <v>110</v>
      </c>
      <c r="B112" s="248" t="str">
        <f>Distribución_Reactivos!B112</f>
        <v xml:space="preserve">Caldo Muller Hinton ajustado con cationes </v>
      </c>
      <c r="C112" s="248" t="str">
        <f>Distribución_Reactivos!C112</f>
        <v>BD 212322</v>
      </c>
      <c r="D112" s="248" t="str">
        <f>Distribución_Reactivos!D112</f>
        <v>Frasco x 500 g</v>
      </c>
      <c r="E112" s="29">
        <v>1</v>
      </c>
      <c r="F112" s="212">
        <v>1183841.75</v>
      </c>
      <c r="G112" s="214">
        <v>1154181</v>
      </c>
      <c r="H112" s="221">
        <v>1049936.0073416668</v>
      </c>
      <c r="I112" s="221">
        <v>0</v>
      </c>
      <c r="J112" s="221">
        <v>1026762.5433333333</v>
      </c>
      <c r="K112" s="221">
        <v>1012690</v>
      </c>
      <c r="L112" s="247">
        <f>AVERAGE(F112,H112,J112)</f>
        <v>1086846.7668916669</v>
      </c>
      <c r="M112" s="247">
        <f>AVERAGE(G112,K112)*E1</f>
        <v>1115938.5649999999</v>
      </c>
      <c r="N112" s="217"/>
      <c r="O112" s="101"/>
      <c r="P112" s="97"/>
      <c r="Q112" s="115"/>
      <c r="R112" s="115"/>
      <c r="S112" s="53"/>
      <c r="T112" s="97"/>
      <c r="U112" s="97"/>
      <c r="V112" s="97"/>
      <c r="W112" s="115"/>
      <c r="X112" s="115"/>
      <c r="Y112" s="11"/>
      <c r="Z112" s="97"/>
      <c r="AA112" s="97"/>
      <c r="AB112" s="97"/>
      <c r="AC112" s="44"/>
      <c r="AD112" s="44"/>
      <c r="AE112" s="11"/>
      <c r="AF112" s="102"/>
      <c r="AG112" s="125"/>
      <c r="AH112" s="97"/>
      <c r="AI112" s="11"/>
      <c r="AJ112" s="11"/>
      <c r="AK112" s="17"/>
      <c r="AL112" s="97"/>
      <c r="AM112" s="97"/>
      <c r="AN112" s="101"/>
      <c r="AO112" s="248"/>
      <c r="AP112" s="17"/>
      <c r="AQ112" s="17"/>
      <c r="AR112" s="252">
        <v>382082</v>
      </c>
      <c r="AS112" s="97">
        <f>+AR112*0.19</f>
        <v>72595.58</v>
      </c>
      <c r="AT112" s="103">
        <f>+AR112+AS112</f>
        <v>454677.58</v>
      </c>
      <c r="AU112" s="52" t="s">
        <v>244</v>
      </c>
      <c r="AV112" s="52" t="s">
        <v>52</v>
      </c>
      <c r="AW112" s="30"/>
      <c r="AX112" s="100"/>
      <c r="AY112" s="174"/>
      <c r="AZ112" s="124"/>
      <c r="BA112" s="169"/>
      <c r="BB112" s="116"/>
      <c r="BC112" s="116"/>
      <c r="BD112" s="247"/>
      <c r="BE112" s="124"/>
      <c r="BF112" s="124"/>
      <c r="BG112" s="116"/>
      <c r="BH112" s="116"/>
      <c r="BI112" s="116"/>
      <c r="BJ112" s="124"/>
      <c r="BK112" s="124"/>
      <c r="BL112" s="124"/>
      <c r="BM112" s="116"/>
      <c r="BN112" s="116"/>
      <c r="BO112" s="116"/>
      <c r="BP112" s="124"/>
      <c r="BQ112" s="116"/>
      <c r="BR112" s="116"/>
      <c r="BS112" s="116"/>
      <c r="BT112" s="116"/>
      <c r="BU112" s="116"/>
      <c r="BV112" s="240">
        <v>2674000</v>
      </c>
      <c r="BW112" s="125">
        <f>BV112*19%</f>
        <v>508060</v>
      </c>
      <c r="BX112" s="97">
        <f>+BV112+BW112</f>
        <v>3182060</v>
      </c>
      <c r="BY112" s="237" t="s">
        <v>78</v>
      </c>
      <c r="BZ112" s="237" t="s">
        <v>243</v>
      </c>
      <c r="CA112" s="116"/>
      <c r="CB112" s="247"/>
      <c r="CC112" s="125"/>
      <c r="CD112" s="247"/>
      <c r="CE112" s="116"/>
      <c r="CF112" s="116"/>
      <c r="CG112" s="34"/>
      <c r="CH112" s="236"/>
      <c r="CI112" s="238"/>
      <c r="CJ112" s="236"/>
      <c r="CK112" s="237"/>
      <c r="CL112" s="237"/>
      <c r="CM112" s="116"/>
      <c r="CN112" s="247"/>
      <c r="CO112" s="125"/>
      <c r="CP112" s="247"/>
      <c r="CQ112" s="116"/>
      <c r="CR112" s="116"/>
      <c r="CS112" s="116"/>
      <c r="CT112" s="247"/>
      <c r="CU112" s="125"/>
      <c r="CV112" s="247"/>
      <c r="CW112" s="116"/>
      <c r="CX112" s="116"/>
      <c r="CY112" s="116"/>
      <c r="CZ112" s="102">
        <v>1097778</v>
      </c>
      <c r="DA112" s="125">
        <f>+CZ112*0.19</f>
        <v>208577.82</v>
      </c>
      <c r="DB112" s="102">
        <f>+CZ112+DA112</f>
        <v>1306355.82</v>
      </c>
      <c r="DC112" s="31" t="s">
        <v>133</v>
      </c>
      <c r="DD112" s="17" t="s">
        <v>65</v>
      </c>
      <c r="DE112" s="11">
        <v>1102930500</v>
      </c>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
      <c r="EU112" s="11"/>
      <c r="EV112" s="11"/>
      <c r="EW112" s="11"/>
      <c r="EX112" s="11"/>
      <c r="EY112" s="11"/>
      <c r="EZ112" s="11"/>
      <c r="FA112" s="11"/>
      <c r="FB112" s="11"/>
      <c r="FC112" s="11"/>
      <c r="FD112" s="11"/>
      <c r="FE112" s="11"/>
      <c r="FF112" s="11"/>
      <c r="FG112" s="11"/>
      <c r="FH112" s="17">
        <f t="shared" si="40"/>
        <v>6059031.9649999999</v>
      </c>
      <c r="FI112" s="31">
        <f t="shared" si="41"/>
        <v>4</v>
      </c>
      <c r="FJ112" s="68">
        <f t="shared" si="42"/>
        <v>1514757.99125</v>
      </c>
    </row>
    <row r="113" spans="1:166" ht="27" x14ac:dyDescent="0.25">
      <c r="A113" s="248">
        <f>Distribución_Reactivos!A113</f>
        <v>111</v>
      </c>
      <c r="B113" s="248" t="str">
        <f>Distribución_Reactivos!B113</f>
        <v>Caldo Rojo de metilo Vogues Proskauver</v>
      </c>
      <c r="C113" s="248" t="str">
        <f>Distribución_Reactivos!C113</f>
        <v>Merck 5712</v>
      </c>
      <c r="D113" s="248" t="str">
        <f>Distribución_Reactivos!D113</f>
        <v>Frasco x 500 g</v>
      </c>
      <c r="E113" s="29">
        <v>1</v>
      </c>
      <c r="F113" s="212">
        <v>593348.75600000005</v>
      </c>
      <c r="G113" s="214">
        <v>593334</v>
      </c>
      <c r="H113" s="221">
        <v>776851.51690439996</v>
      </c>
      <c r="I113" s="221">
        <v>0</v>
      </c>
      <c r="J113" s="221">
        <v>717669.16666666663</v>
      </c>
      <c r="K113" s="221">
        <v>0</v>
      </c>
      <c r="L113" s="247">
        <f>AVERAGE(F113,H113,J113)</f>
        <v>695956.47985702229</v>
      </c>
      <c r="M113" s="247">
        <f>G113*E1</f>
        <v>611134.02</v>
      </c>
      <c r="N113" s="219">
        <v>501750</v>
      </c>
      <c r="O113" s="97">
        <f>+N113*0.19</f>
        <v>95332.5</v>
      </c>
      <c r="P113" s="97">
        <f>+O113+N113</f>
        <v>597082.5</v>
      </c>
      <c r="Q113" s="34" t="s">
        <v>118</v>
      </c>
      <c r="R113" s="116" t="s">
        <v>119</v>
      </c>
      <c r="S113" s="53" t="s">
        <v>209</v>
      </c>
      <c r="T113" s="97"/>
      <c r="U113" s="97"/>
      <c r="V113" s="97"/>
      <c r="W113" s="115"/>
      <c r="X113" s="115"/>
      <c r="Y113" s="11"/>
      <c r="Z113" s="97"/>
      <c r="AA113" s="97"/>
      <c r="AB113" s="97"/>
      <c r="AC113" s="44"/>
      <c r="AD113" s="44"/>
      <c r="AE113" s="11"/>
      <c r="AF113" s="102"/>
      <c r="AG113" s="125"/>
      <c r="AH113" s="97"/>
      <c r="AI113" s="11"/>
      <c r="AJ113" s="11"/>
      <c r="AK113" s="17"/>
      <c r="AL113" s="97"/>
      <c r="AM113" s="97"/>
      <c r="AN113" s="101"/>
      <c r="AO113" s="248"/>
      <c r="AP113" s="17"/>
      <c r="AQ113" s="17"/>
      <c r="AR113" s="252"/>
      <c r="AS113" s="136"/>
      <c r="AT113" s="137"/>
      <c r="AU113" s="52"/>
      <c r="AV113" s="52"/>
      <c r="AW113" s="30"/>
      <c r="AX113" s="100"/>
      <c r="AY113" s="174"/>
      <c r="AZ113" s="124"/>
      <c r="BA113" s="169"/>
      <c r="BB113" s="116"/>
      <c r="BC113" s="116"/>
      <c r="BD113" s="247"/>
      <c r="BE113" s="124"/>
      <c r="BF113" s="124"/>
      <c r="BG113" s="116"/>
      <c r="BH113" s="116"/>
      <c r="BI113" s="116"/>
      <c r="BJ113" s="124"/>
      <c r="BK113" s="124"/>
      <c r="BL113" s="124"/>
      <c r="BM113" s="116"/>
      <c r="BN113" s="116"/>
      <c r="BO113" s="116"/>
      <c r="BP113" s="124"/>
      <c r="BQ113" s="116"/>
      <c r="BR113" s="116"/>
      <c r="BS113" s="116"/>
      <c r="BT113" s="116"/>
      <c r="BU113" s="116"/>
      <c r="BV113" s="240">
        <v>1000000</v>
      </c>
      <c r="BW113" s="125">
        <f>BV113*19%</f>
        <v>190000</v>
      </c>
      <c r="BX113" s="97">
        <f>+BV113+BW113</f>
        <v>1190000</v>
      </c>
      <c r="BY113" s="237" t="s">
        <v>78</v>
      </c>
      <c r="BZ113" s="237" t="s">
        <v>65</v>
      </c>
      <c r="CA113" s="116"/>
      <c r="CB113" s="247"/>
      <c r="CC113" s="125"/>
      <c r="CD113" s="247"/>
      <c r="CE113" s="116"/>
      <c r="CF113" s="116"/>
      <c r="CG113" s="34"/>
      <c r="CH113" s="236"/>
      <c r="CI113" s="238"/>
      <c r="CJ113" s="236"/>
      <c r="CK113" s="237"/>
      <c r="CL113" s="237"/>
      <c r="CM113" s="116"/>
      <c r="CN113" s="247"/>
      <c r="CO113" s="125"/>
      <c r="CP113" s="247"/>
      <c r="CQ113" s="116"/>
      <c r="CR113" s="116"/>
      <c r="CS113" s="116"/>
      <c r="CT113" s="247"/>
      <c r="CU113" s="125"/>
      <c r="CV113" s="247"/>
      <c r="CW113" s="116"/>
      <c r="CX113" s="116"/>
      <c r="CY113" s="116"/>
      <c r="CZ113" s="102">
        <v>659615</v>
      </c>
      <c r="DA113" s="125">
        <f>+CZ113*0.19</f>
        <v>125326.85</v>
      </c>
      <c r="DB113" s="102">
        <f>+CZ113+DA113</f>
        <v>784941.85</v>
      </c>
      <c r="DC113" s="31" t="s">
        <v>122</v>
      </c>
      <c r="DD113" s="17" t="s">
        <v>65</v>
      </c>
      <c r="DE113" s="11">
        <v>1057120500</v>
      </c>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
      <c r="EU113" s="11"/>
      <c r="EV113" s="11"/>
      <c r="EW113" s="11"/>
      <c r="EX113" s="11"/>
      <c r="EY113" s="11"/>
      <c r="EZ113" s="11"/>
      <c r="FA113" s="11"/>
      <c r="FB113" s="11"/>
      <c r="FC113" s="11"/>
      <c r="FD113" s="11"/>
      <c r="FE113" s="11"/>
      <c r="FF113" s="11"/>
      <c r="FG113" s="11"/>
      <c r="FH113" s="17">
        <f t="shared" si="40"/>
        <v>3183158.37</v>
      </c>
      <c r="FI113" s="31">
        <f t="shared" si="41"/>
        <v>4</v>
      </c>
      <c r="FJ113" s="68">
        <f t="shared" si="42"/>
        <v>795789.59250000003</v>
      </c>
    </row>
    <row r="114" spans="1:166" ht="40.5" x14ac:dyDescent="0.25">
      <c r="A114" s="248">
        <f>Distribución_Reactivos!A114</f>
        <v>112</v>
      </c>
      <c r="B114" s="248" t="str">
        <f>Distribución_Reactivos!B114</f>
        <v>Caldo tioglicolato + extracto de carne. Fecha de vencimiento no inferior a 2 años</v>
      </c>
      <c r="C114" s="248" t="str">
        <f>Distribución_Reactivos!C114</f>
        <v>Merck, Acumedia, BBL, Sharlau, Sigma</v>
      </c>
      <c r="D114" s="248" t="str">
        <f>Distribución_Reactivos!D114</f>
        <v xml:space="preserve">Frasco x 500 g </v>
      </c>
      <c r="E114" s="29">
        <v>1</v>
      </c>
      <c r="F114" s="212">
        <v>370149.5</v>
      </c>
      <c r="G114" s="214">
        <v>0</v>
      </c>
      <c r="H114" s="221">
        <v>651357.81392500002</v>
      </c>
      <c r="I114" s="221">
        <v>0</v>
      </c>
      <c r="J114" s="221">
        <v>834785</v>
      </c>
      <c r="K114" s="221">
        <v>0</v>
      </c>
      <c r="L114" s="247">
        <f>AVERAGE(F114,H114,J114)</f>
        <v>618764.10464166664</v>
      </c>
      <c r="M114" s="247"/>
      <c r="N114" s="217"/>
      <c r="O114" s="97"/>
      <c r="P114" s="97"/>
      <c r="Q114" s="115"/>
      <c r="R114" s="115"/>
      <c r="S114" s="53"/>
      <c r="T114" s="97"/>
      <c r="U114" s="97"/>
      <c r="V114" s="97"/>
      <c r="W114" s="115"/>
      <c r="X114" s="115"/>
      <c r="Y114" s="11"/>
      <c r="Z114" s="97"/>
      <c r="AA114" s="97"/>
      <c r="AB114" s="97"/>
      <c r="AC114" s="44"/>
      <c r="AD114" s="44"/>
      <c r="AE114" s="11"/>
      <c r="AF114" s="102"/>
      <c r="AG114" s="125"/>
      <c r="AH114" s="97"/>
      <c r="AI114" s="11"/>
      <c r="AJ114" s="11"/>
      <c r="AK114" s="17"/>
      <c r="AL114" s="97"/>
      <c r="AM114" s="97"/>
      <c r="AN114" s="101"/>
      <c r="AO114" s="248"/>
      <c r="AP114" s="17"/>
      <c r="AQ114" s="17"/>
      <c r="AR114" s="252"/>
      <c r="AS114" s="136"/>
      <c r="AT114" s="137"/>
      <c r="AU114" s="52"/>
      <c r="AV114" s="52"/>
      <c r="AW114" s="30"/>
      <c r="AX114" s="100"/>
      <c r="AY114" s="174"/>
      <c r="AZ114" s="124"/>
      <c r="BA114" s="169"/>
      <c r="BB114" s="116"/>
      <c r="BC114" s="116"/>
      <c r="BD114" s="247"/>
      <c r="BE114" s="124"/>
      <c r="BF114" s="124"/>
      <c r="BG114" s="116"/>
      <c r="BH114" s="116"/>
      <c r="BI114" s="116"/>
      <c r="BJ114" s="124"/>
      <c r="BK114" s="124"/>
      <c r="BL114" s="124"/>
      <c r="BM114" s="116"/>
      <c r="BN114" s="116"/>
      <c r="BO114" s="116"/>
      <c r="BP114" s="124"/>
      <c r="BQ114" s="116"/>
      <c r="BR114" s="116"/>
      <c r="BS114" s="116"/>
      <c r="BT114" s="116"/>
      <c r="BU114" s="116"/>
      <c r="BV114" s="240">
        <v>600000</v>
      </c>
      <c r="BW114" s="125">
        <f>BV114*19%</f>
        <v>114000</v>
      </c>
      <c r="BX114" s="97">
        <f>+BV114+BW114</f>
        <v>714000</v>
      </c>
      <c r="BY114" s="237" t="s">
        <v>78</v>
      </c>
      <c r="BZ114" s="237" t="s">
        <v>117</v>
      </c>
      <c r="CA114" s="116"/>
      <c r="CB114" s="247"/>
      <c r="CC114" s="125"/>
      <c r="CD114" s="247"/>
      <c r="CE114" s="116"/>
      <c r="CF114" s="116"/>
      <c r="CG114" s="34"/>
      <c r="CH114" s="236"/>
      <c r="CI114" s="238"/>
      <c r="CJ114" s="236"/>
      <c r="CK114" s="237"/>
      <c r="CL114" s="237"/>
      <c r="CM114" s="116"/>
      <c r="CN114" s="247"/>
      <c r="CO114" s="125"/>
      <c r="CP114" s="247"/>
      <c r="CQ114" s="116"/>
      <c r="CR114" s="116"/>
      <c r="CS114" s="116"/>
      <c r="CT114" s="247"/>
      <c r="CU114" s="125"/>
      <c r="CV114" s="247"/>
      <c r="CW114" s="116"/>
      <c r="CX114" s="116"/>
      <c r="CY114" s="116"/>
      <c r="CZ114" s="102">
        <v>372331</v>
      </c>
      <c r="DA114" s="125">
        <f>+CZ114*0.19</f>
        <v>70742.89</v>
      </c>
      <c r="DB114" s="102">
        <f>+CZ114+DA114</f>
        <v>443073.89</v>
      </c>
      <c r="DC114" s="31" t="s">
        <v>80</v>
      </c>
      <c r="DD114" s="17" t="s">
        <v>65</v>
      </c>
      <c r="DE114" s="11">
        <v>1081900500</v>
      </c>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
      <c r="EU114" s="11"/>
      <c r="EV114" s="11"/>
      <c r="EW114" s="11"/>
      <c r="EX114" s="11"/>
      <c r="EY114" s="11"/>
      <c r="EZ114" s="11"/>
      <c r="FA114" s="11"/>
      <c r="FB114" s="11"/>
      <c r="FC114" s="11"/>
      <c r="FD114" s="11"/>
      <c r="FE114" s="11"/>
      <c r="FF114" s="11"/>
      <c r="FG114" s="11"/>
      <c r="FH114" s="17">
        <f t="shared" si="40"/>
        <v>1157073.8900000001</v>
      </c>
      <c r="FI114" s="31">
        <f t="shared" si="41"/>
        <v>2</v>
      </c>
      <c r="FJ114" s="68">
        <f t="shared" si="42"/>
        <v>578536.94500000007</v>
      </c>
    </row>
    <row r="115" spans="1:166" ht="38.25" x14ac:dyDescent="0.25">
      <c r="A115" s="248">
        <f>Distribución_Reactivos!A115</f>
        <v>113</v>
      </c>
      <c r="B115" s="248" t="str">
        <f>Distribución_Reactivos!B115</f>
        <v>Caldo Trichomonas</v>
      </c>
      <c r="C115" s="248" t="str">
        <f>Distribución_Reactivos!C115</f>
        <v>Merck, Acumedia, BBL, Sharlau, Sigma</v>
      </c>
      <c r="D115" s="248" t="str">
        <f>Distribución_Reactivos!D115</f>
        <v>Frasco x 500 g</v>
      </c>
      <c r="E115" s="29">
        <v>1</v>
      </c>
      <c r="F115" s="212">
        <v>0</v>
      </c>
      <c r="G115" s="214">
        <v>0</v>
      </c>
      <c r="H115" s="221">
        <v>988443.75</v>
      </c>
      <c r="I115" s="221">
        <v>0</v>
      </c>
      <c r="J115" s="221">
        <v>0</v>
      </c>
      <c r="K115" s="221">
        <v>0</v>
      </c>
      <c r="L115" s="247">
        <f>H115</f>
        <v>988443.75</v>
      </c>
      <c r="M115" s="247"/>
      <c r="N115" s="217"/>
      <c r="O115" s="101"/>
      <c r="P115" s="97"/>
      <c r="Q115" s="115"/>
      <c r="R115" s="115"/>
      <c r="S115" s="53"/>
      <c r="T115" s="97"/>
      <c r="U115" s="97"/>
      <c r="V115" s="97"/>
      <c r="W115" s="115"/>
      <c r="X115" s="115"/>
      <c r="Y115" s="11"/>
      <c r="Z115" s="97"/>
      <c r="AA115" s="97"/>
      <c r="AB115" s="97"/>
      <c r="AC115" s="44"/>
      <c r="AD115" s="44"/>
      <c r="AE115" s="11"/>
      <c r="AF115" s="97"/>
      <c r="AG115" s="125"/>
      <c r="AH115" s="97"/>
      <c r="AI115" s="11"/>
      <c r="AJ115" s="11"/>
      <c r="AK115" s="17"/>
      <c r="AL115" s="97"/>
      <c r="AM115" s="97"/>
      <c r="AN115" s="101"/>
      <c r="AO115" s="248"/>
      <c r="AP115" s="17"/>
      <c r="AQ115" s="17"/>
      <c r="AR115" s="252"/>
      <c r="AS115" s="136"/>
      <c r="AT115" s="137"/>
      <c r="AU115" s="52"/>
      <c r="AV115" s="52"/>
      <c r="AW115" s="30"/>
      <c r="AX115" s="100"/>
      <c r="AY115" s="174"/>
      <c r="AZ115" s="124"/>
      <c r="BA115" s="169"/>
      <c r="BB115" s="116"/>
      <c r="BC115" s="116"/>
      <c r="BD115" s="252"/>
      <c r="BE115" s="124"/>
      <c r="BF115" s="124"/>
      <c r="BG115" s="116"/>
      <c r="BH115" s="116"/>
      <c r="BI115" s="116"/>
      <c r="BJ115" s="252">
        <v>267750</v>
      </c>
      <c r="BK115" s="102">
        <f>+BJ115*0.19</f>
        <v>50872.5</v>
      </c>
      <c r="BL115" s="97">
        <f>+BK115+BJ115</f>
        <v>318622.5</v>
      </c>
      <c r="BM115" s="11" t="s">
        <v>116</v>
      </c>
      <c r="BN115" s="116"/>
      <c r="BO115" s="116"/>
      <c r="BP115" s="124"/>
      <c r="BQ115" s="116"/>
      <c r="BR115" s="116"/>
      <c r="BS115" s="116"/>
      <c r="BT115" s="116"/>
      <c r="BU115" s="116"/>
      <c r="BV115" s="188"/>
      <c r="BW115" s="125"/>
      <c r="BX115" s="97"/>
      <c r="BY115" s="246"/>
      <c r="BZ115" s="246"/>
      <c r="CA115" s="116"/>
      <c r="CB115" s="252"/>
      <c r="CC115" s="124"/>
      <c r="CD115" s="252"/>
      <c r="CE115" s="116"/>
      <c r="CF115" s="116"/>
      <c r="CG115" s="34"/>
      <c r="CH115" s="187"/>
      <c r="CI115" s="195"/>
      <c r="CJ115" s="187"/>
      <c r="CK115" s="246"/>
      <c r="CL115" s="246"/>
      <c r="CM115" s="116"/>
      <c r="CN115" s="252"/>
      <c r="CO115" s="124"/>
      <c r="CP115" s="252"/>
      <c r="CQ115" s="116"/>
      <c r="CR115" s="116"/>
      <c r="CS115" s="116"/>
      <c r="CT115" s="252"/>
      <c r="CU115" s="124"/>
      <c r="CV115" s="252"/>
      <c r="CW115" s="116"/>
      <c r="CX115" s="116"/>
      <c r="CY115" s="116"/>
      <c r="CZ115" s="97"/>
      <c r="DA115" s="124"/>
      <c r="DB115" s="97"/>
      <c r="DC115" s="31"/>
      <c r="DD115" s="17"/>
      <c r="DE115" s="11"/>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
      <c r="EU115" s="11"/>
      <c r="EV115" s="11"/>
      <c r="EW115" s="11"/>
      <c r="EX115" s="11"/>
      <c r="EY115" s="11"/>
      <c r="EZ115" s="11"/>
      <c r="FA115" s="11"/>
      <c r="FB115" s="11"/>
      <c r="FC115" s="11"/>
      <c r="FD115" s="11"/>
      <c r="FE115" s="11"/>
      <c r="FF115" s="11"/>
      <c r="FG115" s="11"/>
      <c r="FH115" s="17">
        <f t="shared" si="40"/>
        <v>318622.5</v>
      </c>
      <c r="FI115" s="31">
        <f t="shared" si="41"/>
        <v>1</v>
      </c>
      <c r="FJ115" s="68">
        <f t="shared" si="42"/>
        <v>318622.5</v>
      </c>
    </row>
    <row r="116" spans="1:166" ht="40.5" x14ac:dyDescent="0.25">
      <c r="A116" s="248">
        <f>Distribución_Reactivos!A116</f>
        <v>114</v>
      </c>
      <c r="B116" s="248" t="str">
        <f>Distribución_Reactivos!B116</f>
        <v>Caldo urea</v>
      </c>
      <c r="C116" s="248" t="str">
        <f>Distribución_Reactivos!C116</f>
        <v>Scharlau, Dibico o equivante</v>
      </c>
      <c r="D116" s="248" t="str">
        <f>Distribución_Reactivos!D116</f>
        <v>Frasco x 100 g</v>
      </c>
      <c r="E116" s="29">
        <v>1</v>
      </c>
      <c r="F116" s="212">
        <v>544815.79599999997</v>
      </c>
      <c r="G116" s="214">
        <v>0</v>
      </c>
      <c r="H116" s="221">
        <v>383279.16666666669</v>
      </c>
      <c r="I116" s="221">
        <v>0</v>
      </c>
      <c r="J116" s="221">
        <v>760410</v>
      </c>
      <c r="K116" s="221">
        <v>749700</v>
      </c>
      <c r="L116" s="247">
        <f>AVERAGE(F116,H116,J116)</f>
        <v>562834.98755555553</v>
      </c>
      <c r="M116" s="247">
        <f>K116*E1</f>
        <v>772191</v>
      </c>
      <c r="N116" s="219">
        <v>914350</v>
      </c>
      <c r="O116" s="97">
        <f>+N116*0.19</f>
        <v>173726.5</v>
      </c>
      <c r="P116" s="97">
        <f>+O116+N116</f>
        <v>1088076.5</v>
      </c>
      <c r="Q116" s="34" t="s">
        <v>118</v>
      </c>
      <c r="R116" s="116" t="s">
        <v>119</v>
      </c>
      <c r="S116" s="25" t="s">
        <v>245</v>
      </c>
      <c r="T116" s="97"/>
      <c r="U116" s="97"/>
      <c r="V116" s="97"/>
      <c r="W116" s="115"/>
      <c r="X116" s="115"/>
      <c r="Y116" s="11"/>
      <c r="Z116" s="97"/>
      <c r="AA116" s="97"/>
      <c r="AB116" s="97"/>
      <c r="AC116" s="44"/>
      <c r="AD116" s="44"/>
      <c r="AE116" s="11"/>
      <c r="AF116" s="102"/>
      <c r="AG116" s="125"/>
      <c r="AH116" s="97"/>
      <c r="AI116" s="11"/>
      <c r="AJ116" s="11"/>
      <c r="AK116" s="17"/>
      <c r="AL116" s="97"/>
      <c r="AM116" s="97"/>
      <c r="AN116" s="103"/>
      <c r="AO116" s="248"/>
      <c r="AP116" s="17"/>
      <c r="AQ116" s="17"/>
      <c r="AR116" s="252"/>
      <c r="AS116" s="135"/>
      <c r="AT116" s="137"/>
      <c r="AU116" s="52"/>
      <c r="AV116" s="52"/>
      <c r="AW116" s="30"/>
      <c r="AX116" s="100"/>
      <c r="AY116" s="174"/>
      <c r="AZ116" s="124"/>
      <c r="BA116" s="169"/>
      <c r="BB116" s="116"/>
      <c r="BC116" s="116"/>
      <c r="BD116" s="247"/>
      <c r="BE116" s="124"/>
      <c r="BF116" s="124"/>
      <c r="BG116" s="116"/>
      <c r="BH116" s="116"/>
      <c r="BI116" s="116"/>
      <c r="BJ116" s="247">
        <v>80750</v>
      </c>
      <c r="BK116" s="102">
        <f>+BJ116*0.19</f>
        <v>15342.5</v>
      </c>
      <c r="BL116" s="97">
        <f>+BK116+BJ116</f>
        <v>96092.5</v>
      </c>
      <c r="BM116" s="11" t="s">
        <v>116</v>
      </c>
      <c r="BN116" s="116"/>
      <c r="BO116" s="116"/>
      <c r="BP116" s="124"/>
      <c r="BQ116" s="116"/>
      <c r="BR116" s="116"/>
      <c r="BS116" s="116"/>
      <c r="BT116" s="116"/>
      <c r="BU116" s="116"/>
      <c r="BV116" s="240">
        <v>622000</v>
      </c>
      <c r="BW116" s="125">
        <f>BV116*19%</f>
        <v>118180</v>
      </c>
      <c r="BX116" s="97">
        <f>+BV116+BW116</f>
        <v>740180</v>
      </c>
      <c r="BY116" s="237" t="s">
        <v>246</v>
      </c>
      <c r="BZ116" s="237" t="s">
        <v>117</v>
      </c>
      <c r="CA116" s="116"/>
      <c r="CB116" s="247"/>
      <c r="CC116" s="125"/>
      <c r="CD116" s="247"/>
      <c r="CE116" s="116"/>
      <c r="CF116" s="116"/>
      <c r="CG116" s="34"/>
      <c r="CH116" s="236">
        <v>628220</v>
      </c>
      <c r="CI116" s="238">
        <f>+CH116*0.19</f>
        <v>119361.8</v>
      </c>
      <c r="CJ116" s="236">
        <f>+CH116+CI116</f>
        <v>747581.8</v>
      </c>
      <c r="CK116" s="237" t="s">
        <v>246</v>
      </c>
      <c r="CL116" s="237" t="s">
        <v>117</v>
      </c>
      <c r="CM116" s="116"/>
      <c r="CN116" s="247"/>
      <c r="CO116" s="125"/>
      <c r="CP116" s="247"/>
      <c r="CQ116" s="116"/>
      <c r="CR116" s="116"/>
      <c r="CS116" s="116"/>
      <c r="CT116" s="247"/>
      <c r="CU116" s="125"/>
      <c r="CV116" s="247"/>
      <c r="CW116" s="116"/>
      <c r="CX116" s="116"/>
      <c r="CY116" s="116"/>
      <c r="CZ116" s="102"/>
      <c r="DA116" s="125"/>
      <c r="DB116" s="102"/>
      <c r="DC116" s="31"/>
      <c r="DD116" s="17"/>
      <c r="DE116" s="11"/>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
      <c r="EU116" s="11"/>
      <c r="EV116" s="11"/>
      <c r="EW116" s="11"/>
      <c r="EX116" s="11"/>
      <c r="EY116" s="11"/>
      <c r="EZ116" s="11"/>
      <c r="FA116" s="11"/>
      <c r="FB116" s="11"/>
      <c r="FC116" s="11"/>
      <c r="FD116" s="11"/>
      <c r="FE116" s="11"/>
      <c r="FF116" s="11"/>
      <c r="FG116" s="11"/>
      <c r="FH116" s="17">
        <f t="shared" si="40"/>
        <v>3444121.8</v>
      </c>
      <c r="FI116" s="31">
        <f t="shared" si="41"/>
        <v>5</v>
      </c>
      <c r="FJ116" s="68">
        <f t="shared" si="42"/>
        <v>688824.36</v>
      </c>
    </row>
    <row r="117" spans="1:166" ht="27" x14ac:dyDescent="0.25">
      <c r="A117" s="248">
        <f>Distribución_Reactivos!A117</f>
        <v>115</v>
      </c>
      <c r="B117" s="248" t="str">
        <f>Distribución_Reactivos!B117</f>
        <v>Carbón activado para análisis granular</v>
      </c>
      <c r="C117" s="248" t="str">
        <f>Distribución_Reactivos!C117</f>
        <v>Merck, JT Baker, Sigma</v>
      </c>
      <c r="D117" s="248" t="str">
        <f>Distribución_Reactivos!D117</f>
        <v>Frasco x 250 g</v>
      </c>
      <c r="E117" s="29">
        <v>1</v>
      </c>
      <c r="F117" s="212">
        <v>145572.70000000001</v>
      </c>
      <c r="G117" s="214">
        <v>0</v>
      </c>
      <c r="H117" s="221">
        <v>236357.26337285715</v>
      </c>
      <c r="I117" s="221">
        <v>0</v>
      </c>
      <c r="J117" s="221">
        <v>318106.63500000001</v>
      </c>
      <c r="K117" s="221">
        <v>0</v>
      </c>
      <c r="L117" s="247">
        <f>AVERAGE(F117,H117,J117)</f>
        <v>233345.53279095239</v>
      </c>
      <c r="M117" s="247"/>
      <c r="N117" s="217"/>
      <c r="O117" s="97"/>
      <c r="P117" s="97"/>
      <c r="Q117" s="115"/>
      <c r="R117" s="115"/>
      <c r="S117" s="53"/>
      <c r="T117" s="97"/>
      <c r="U117" s="97"/>
      <c r="V117" s="97"/>
      <c r="W117" s="115"/>
      <c r="X117" s="115"/>
      <c r="Y117" s="11"/>
      <c r="Z117" s="97"/>
      <c r="AA117" s="97"/>
      <c r="AB117" s="97"/>
      <c r="AC117" s="44"/>
      <c r="AD117" s="44"/>
      <c r="AE117" s="11"/>
      <c r="AF117" s="102"/>
      <c r="AG117" s="125"/>
      <c r="AH117" s="97"/>
      <c r="AI117" s="11"/>
      <c r="AJ117" s="11"/>
      <c r="AK117" s="17"/>
      <c r="AL117" s="97">
        <v>235000</v>
      </c>
      <c r="AM117" s="97">
        <f>+AL117*0.19</f>
        <v>44650</v>
      </c>
      <c r="AN117" s="103">
        <f>+AL117+AM117</f>
        <v>279650</v>
      </c>
      <c r="AO117" s="248" t="s">
        <v>77</v>
      </c>
      <c r="AP117" s="239" t="s">
        <v>52</v>
      </c>
      <c r="AQ117" s="17"/>
      <c r="AR117" s="252">
        <v>299633</v>
      </c>
      <c r="AS117" s="97">
        <f>+AR117*0.19</f>
        <v>56930.270000000004</v>
      </c>
      <c r="AT117" s="103">
        <f>+AR117+AS117</f>
        <v>356563.27</v>
      </c>
      <c r="AU117" s="52" t="s">
        <v>77</v>
      </c>
      <c r="AV117" s="52" t="s">
        <v>52</v>
      </c>
      <c r="AW117" s="30"/>
      <c r="AX117" s="100">
        <f>558241.53/2</f>
        <v>279120.76500000001</v>
      </c>
      <c r="AY117" s="100">
        <f>+AX117*0.19</f>
        <v>53032.945350000002</v>
      </c>
      <c r="AZ117" s="124">
        <f>+AX117+AY117</f>
        <v>332153.71035000001</v>
      </c>
      <c r="BA117" s="169" t="s">
        <v>77</v>
      </c>
      <c r="BB117" s="116" t="s">
        <v>72</v>
      </c>
      <c r="BC117" s="116"/>
      <c r="BD117" s="247"/>
      <c r="BE117" s="124"/>
      <c r="BF117" s="124"/>
      <c r="BG117" s="116"/>
      <c r="BH117" s="116"/>
      <c r="BI117" s="116"/>
      <c r="BJ117" s="124"/>
      <c r="BK117" s="124"/>
      <c r="BL117" s="124"/>
      <c r="BM117" s="116"/>
      <c r="BN117" s="116"/>
      <c r="BO117" s="116"/>
      <c r="BP117" s="124"/>
      <c r="BQ117" s="116"/>
      <c r="BR117" s="116"/>
      <c r="BS117" s="116"/>
      <c r="BT117" s="116"/>
      <c r="BU117" s="116"/>
      <c r="BV117" s="240">
        <v>267800</v>
      </c>
      <c r="BW117" s="125">
        <f>BV117*19%</f>
        <v>50882</v>
      </c>
      <c r="BX117" s="97">
        <f>+BV117+BW117</f>
        <v>318682</v>
      </c>
      <c r="BY117" s="237" t="s">
        <v>78</v>
      </c>
      <c r="BZ117" s="237" t="s">
        <v>228</v>
      </c>
      <c r="CA117" s="116"/>
      <c r="CB117" s="247"/>
      <c r="CC117" s="125"/>
      <c r="CD117" s="247"/>
      <c r="CE117" s="116"/>
      <c r="CF117" s="116"/>
      <c r="CG117" s="34"/>
      <c r="CH117" s="236">
        <v>283868</v>
      </c>
      <c r="CI117" s="238">
        <f>+CH117*0.19</f>
        <v>53934.92</v>
      </c>
      <c r="CJ117" s="236">
        <f>+CH117+CI117</f>
        <v>337802.92</v>
      </c>
      <c r="CK117" s="237" t="s">
        <v>78</v>
      </c>
      <c r="CL117" s="237" t="s">
        <v>228</v>
      </c>
      <c r="CM117" s="116"/>
      <c r="CN117" s="247"/>
      <c r="CO117" s="125"/>
      <c r="CP117" s="247"/>
      <c r="CQ117" s="116"/>
      <c r="CR117" s="116"/>
      <c r="CS117" s="116"/>
      <c r="CT117" s="247"/>
      <c r="CU117" s="125"/>
      <c r="CV117" s="247"/>
      <c r="CW117" s="116"/>
      <c r="CX117" s="116"/>
      <c r="CY117" s="116"/>
      <c r="CZ117" s="102"/>
      <c r="DA117" s="125"/>
      <c r="DB117" s="102"/>
      <c r="DC117" s="31"/>
      <c r="DD117" s="17"/>
      <c r="DE117" s="11"/>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
      <c r="EU117" s="11"/>
      <c r="EV117" s="11"/>
      <c r="EW117" s="11"/>
      <c r="EX117" s="11"/>
      <c r="EY117" s="11"/>
      <c r="EZ117" s="11"/>
      <c r="FA117" s="11"/>
      <c r="FB117" s="11"/>
      <c r="FC117" s="11"/>
      <c r="FD117" s="11"/>
      <c r="FE117" s="11"/>
      <c r="FF117" s="11"/>
      <c r="FG117" s="11"/>
      <c r="FH117" s="17">
        <f t="shared" si="40"/>
        <v>1624851.90035</v>
      </c>
      <c r="FI117" s="31">
        <f t="shared" si="41"/>
        <v>5</v>
      </c>
      <c r="FJ117" s="68">
        <f t="shared" si="42"/>
        <v>324970.38007000001</v>
      </c>
    </row>
    <row r="118" spans="1:166" ht="25.5" x14ac:dyDescent="0.25">
      <c r="A118" s="248">
        <f>Distribución_Reactivos!A118</f>
        <v>116</v>
      </c>
      <c r="B118" s="248" t="str">
        <f>Distribución_Reactivos!B118</f>
        <v>Carbonato de Calcio (CaCO3) para analisis</v>
      </c>
      <c r="C118" s="248" t="str">
        <f>Distribución_Reactivos!C118</f>
        <v>Cualquier marca</v>
      </c>
      <c r="D118" s="248" t="str">
        <f>Distribución_Reactivos!D118</f>
        <v>Frasco x 1 Kg</v>
      </c>
      <c r="E118" s="29">
        <v>1</v>
      </c>
      <c r="F118" s="212">
        <v>0</v>
      </c>
      <c r="G118" s="214">
        <v>0</v>
      </c>
      <c r="H118" s="221">
        <v>0</v>
      </c>
      <c r="I118" s="221">
        <v>0</v>
      </c>
      <c r="J118" s="221">
        <v>0</v>
      </c>
      <c r="K118" s="221">
        <v>0</v>
      </c>
      <c r="L118" s="247"/>
      <c r="M118" s="247"/>
      <c r="N118" s="217"/>
      <c r="O118" s="97"/>
      <c r="P118" s="97"/>
      <c r="Q118" s="115"/>
      <c r="R118" s="115"/>
      <c r="S118" s="53"/>
      <c r="T118" s="97"/>
      <c r="U118" s="101"/>
      <c r="V118" s="97"/>
      <c r="W118" s="115"/>
      <c r="X118" s="115"/>
      <c r="Y118" s="11"/>
      <c r="Z118" s="97"/>
      <c r="AA118" s="97"/>
      <c r="AB118" s="97"/>
      <c r="AC118" s="44"/>
      <c r="AD118" s="44"/>
      <c r="AE118" s="11"/>
      <c r="AF118" s="102">
        <v>500000</v>
      </c>
      <c r="AG118" s="125">
        <f>AF118*19%</f>
        <v>95000</v>
      </c>
      <c r="AH118" s="97">
        <f>+AF118+AG118</f>
        <v>595000</v>
      </c>
      <c r="AI118" s="11"/>
      <c r="AJ118" s="11"/>
      <c r="AK118" s="17"/>
      <c r="AL118" s="97">
        <v>498000</v>
      </c>
      <c r="AM118" s="97">
        <f>+AL118*0.19</f>
        <v>94620</v>
      </c>
      <c r="AN118" s="103">
        <f>+AL118+AM118</f>
        <v>592620</v>
      </c>
      <c r="AO118" s="248" t="s">
        <v>99</v>
      </c>
      <c r="AP118" s="239" t="s">
        <v>52</v>
      </c>
      <c r="AQ118" s="17"/>
      <c r="AR118" s="252">
        <v>540000</v>
      </c>
      <c r="AS118" s="97">
        <f>+AR118*0.19</f>
        <v>102600</v>
      </c>
      <c r="AT118" s="103">
        <f>+AR118+AS118</f>
        <v>642600</v>
      </c>
      <c r="AU118" s="52" t="s">
        <v>77</v>
      </c>
      <c r="AV118" s="52" t="s">
        <v>42</v>
      </c>
      <c r="AW118" s="30"/>
      <c r="AX118" s="100"/>
      <c r="AY118" s="100"/>
      <c r="AZ118" s="124"/>
      <c r="BA118" s="169"/>
      <c r="BB118" s="116"/>
      <c r="BC118" s="116"/>
      <c r="BD118" s="247"/>
      <c r="BE118" s="124"/>
      <c r="BF118" s="124"/>
      <c r="BG118" s="116"/>
      <c r="BH118" s="116"/>
      <c r="BI118" s="116"/>
      <c r="BJ118" s="124"/>
      <c r="BK118" s="124"/>
      <c r="BL118" s="124"/>
      <c r="BM118" s="116"/>
      <c r="BN118" s="116"/>
      <c r="BO118" s="116"/>
      <c r="BP118" s="124"/>
      <c r="BQ118" s="116"/>
      <c r="BR118" s="116"/>
      <c r="BS118" s="116"/>
      <c r="BT118" s="116"/>
      <c r="BU118" s="116"/>
      <c r="BV118" s="240"/>
      <c r="BW118" s="125"/>
      <c r="BX118" s="97"/>
      <c r="BY118" s="237"/>
      <c r="BZ118" s="237"/>
      <c r="CA118" s="116"/>
      <c r="CB118" s="247"/>
      <c r="CC118" s="125"/>
      <c r="CD118" s="247"/>
      <c r="CE118" s="116"/>
      <c r="CF118" s="116"/>
      <c r="CG118" s="34"/>
      <c r="CH118" s="236"/>
      <c r="CI118" s="238"/>
      <c r="CJ118" s="236"/>
      <c r="CK118" s="237"/>
      <c r="CL118" s="237"/>
      <c r="CM118" s="116"/>
      <c r="CN118" s="247"/>
      <c r="CO118" s="125"/>
      <c r="CP118" s="247"/>
      <c r="CQ118" s="116"/>
      <c r="CR118" s="116"/>
      <c r="CS118" s="116"/>
      <c r="CT118" s="247"/>
      <c r="CU118" s="125"/>
      <c r="CV118" s="247"/>
      <c r="CW118" s="116"/>
      <c r="CX118" s="116"/>
      <c r="CY118" s="116"/>
      <c r="CZ118" s="102">
        <v>393379</v>
      </c>
      <c r="DA118" s="125">
        <f>+CZ118*0.19</f>
        <v>74742.009999999995</v>
      </c>
      <c r="DB118" s="102">
        <f>+CZ118+DA118</f>
        <v>468121.01</v>
      </c>
      <c r="DC118" s="31" t="s">
        <v>100</v>
      </c>
      <c r="DD118" s="17" t="s">
        <v>65</v>
      </c>
      <c r="DE118" s="11">
        <v>1020661000</v>
      </c>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
      <c r="EU118" s="11"/>
      <c r="EV118" s="11"/>
      <c r="EW118" s="11"/>
      <c r="EX118" s="11"/>
      <c r="EY118" s="11"/>
      <c r="EZ118" s="11"/>
      <c r="FA118" s="11"/>
      <c r="FB118" s="11"/>
      <c r="FC118" s="11"/>
      <c r="FD118" s="11"/>
      <c r="FE118" s="11"/>
      <c r="FF118" s="11"/>
      <c r="FG118" s="11"/>
      <c r="FH118" s="17">
        <f t="shared" si="40"/>
        <v>2298341.0099999998</v>
      </c>
      <c r="FI118" s="31">
        <f t="shared" si="41"/>
        <v>4</v>
      </c>
      <c r="FJ118" s="68">
        <f t="shared" si="42"/>
        <v>574585.25249999994</v>
      </c>
    </row>
    <row r="119" spans="1:166" ht="25.5" x14ac:dyDescent="0.25">
      <c r="A119" s="248">
        <f>Distribución_Reactivos!A119</f>
        <v>117</v>
      </c>
      <c r="B119" s="248" t="str">
        <f>Distribución_Reactivos!B119</f>
        <v>Carbonato de sodio anhidro (Na2CO3)</v>
      </c>
      <c r="C119" s="248" t="str">
        <f>Distribución_Reactivos!C119</f>
        <v>Merck 1.06393.1000</v>
      </c>
      <c r="D119" s="248" t="str">
        <f>Distribución_Reactivos!D119</f>
        <v>Frasco x 1 Kg</v>
      </c>
      <c r="E119" s="29">
        <v>1</v>
      </c>
      <c r="F119" s="212">
        <v>319143.91833333333</v>
      </c>
      <c r="G119" s="214">
        <v>314279</v>
      </c>
      <c r="H119" s="221">
        <v>277932.89497024077</v>
      </c>
      <c r="I119" s="221">
        <v>126735</v>
      </c>
      <c r="J119" s="221">
        <v>369439.37709677417</v>
      </c>
      <c r="K119" s="221">
        <v>0</v>
      </c>
      <c r="L119" s="247">
        <f>AVERAGE(F119,H119,J119)</f>
        <v>322172.06346678274</v>
      </c>
      <c r="M119" s="247">
        <f>AVERAGE(G119,I119)*E1</f>
        <v>227122.21</v>
      </c>
      <c r="N119" s="217"/>
      <c r="O119" s="97"/>
      <c r="P119" s="97"/>
      <c r="Q119" s="115"/>
      <c r="R119" s="115"/>
      <c r="S119" s="53"/>
      <c r="T119" s="97"/>
      <c r="U119" s="97"/>
      <c r="V119" s="97"/>
      <c r="W119" s="115"/>
      <c r="X119" s="115"/>
      <c r="Y119" s="11"/>
      <c r="Z119" s="97"/>
      <c r="AA119" s="97"/>
      <c r="AB119" s="97"/>
      <c r="AC119" s="44"/>
      <c r="AD119" s="44"/>
      <c r="AE119" s="11"/>
      <c r="AF119" s="102">
        <v>325000</v>
      </c>
      <c r="AG119" s="125">
        <f>AF119*19%</f>
        <v>61750</v>
      </c>
      <c r="AH119" s="97">
        <f>+AF119+AG119</f>
        <v>386750</v>
      </c>
      <c r="AI119" s="11"/>
      <c r="AJ119" s="11"/>
      <c r="AK119" s="17"/>
      <c r="AL119" s="97">
        <v>182000</v>
      </c>
      <c r="AM119" s="97">
        <f>+AL119*0.19</f>
        <v>34580</v>
      </c>
      <c r="AN119" s="103">
        <f>+AL119+AM119</f>
        <v>216580</v>
      </c>
      <c r="AO119" s="248" t="s">
        <v>99</v>
      </c>
      <c r="AP119" s="239" t="s">
        <v>52</v>
      </c>
      <c r="AQ119" s="17"/>
      <c r="AR119" s="252">
        <v>568800</v>
      </c>
      <c r="AS119" s="97">
        <f>+AR119*0.19</f>
        <v>108072</v>
      </c>
      <c r="AT119" s="103">
        <f>+AR119+AS119</f>
        <v>676872</v>
      </c>
      <c r="AU119" s="52" t="s">
        <v>99</v>
      </c>
      <c r="AV119" s="52" t="s">
        <v>42</v>
      </c>
      <c r="AW119" s="30"/>
      <c r="AX119" s="100">
        <v>250646.34</v>
      </c>
      <c r="AY119" s="100">
        <f>+AX119*0.19</f>
        <v>47622.804600000003</v>
      </c>
      <c r="AZ119" s="124">
        <f>+AX119+AY119</f>
        <v>298269.1446</v>
      </c>
      <c r="BA119" s="169" t="s">
        <v>99</v>
      </c>
      <c r="BB119" s="116" t="s">
        <v>72</v>
      </c>
      <c r="BC119" s="116"/>
      <c r="BD119" s="247"/>
      <c r="BE119" s="124"/>
      <c r="BF119" s="124"/>
      <c r="BG119" s="116"/>
      <c r="BH119" s="116"/>
      <c r="BI119" s="116"/>
      <c r="BJ119" s="124"/>
      <c r="BK119" s="124"/>
      <c r="BL119" s="124"/>
      <c r="BM119" s="116"/>
      <c r="BN119" s="116"/>
      <c r="BO119" s="116"/>
      <c r="BP119" s="124"/>
      <c r="BQ119" s="116"/>
      <c r="BR119" s="116"/>
      <c r="BS119" s="116"/>
      <c r="BT119" s="116"/>
      <c r="BU119" s="116"/>
      <c r="BV119" s="240">
        <v>389100</v>
      </c>
      <c r="BW119" s="125">
        <f>BV119*19%</f>
        <v>73929</v>
      </c>
      <c r="BX119" s="97">
        <f>+BV119+BW119</f>
        <v>463029</v>
      </c>
      <c r="BY119" s="237" t="s">
        <v>247</v>
      </c>
      <c r="BZ119" s="237" t="s">
        <v>93</v>
      </c>
      <c r="CA119" s="116"/>
      <c r="CB119" s="247"/>
      <c r="CC119" s="125"/>
      <c r="CD119" s="247"/>
      <c r="CE119" s="116"/>
      <c r="CF119" s="116"/>
      <c r="CG119" s="34"/>
      <c r="CH119" s="236">
        <v>400773</v>
      </c>
      <c r="CI119" s="238">
        <f>+CH119*0.19</f>
        <v>76146.87</v>
      </c>
      <c r="CJ119" s="236">
        <f>+CH119+CI119</f>
        <v>476919.87</v>
      </c>
      <c r="CK119" s="237" t="s">
        <v>247</v>
      </c>
      <c r="CL119" s="237" t="s">
        <v>93</v>
      </c>
      <c r="CM119" s="116"/>
      <c r="CN119" s="247"/>
      <c r="CO119" s="125"/>
      <c r="CP119" s="247"/>
      <c r="CQ119" s="116"/>
      <c r="CR119" s="116"/>
      <c r="CS119" s="116"/>
      <c r="CT119" s="125">
        <v>338000</v>
      </c>
      <c r="CU119" s="125">
        <f>CT119*0.19</f>
        <v>64220</v>
      </c>
      <c r="CV119" s="125">
        <f>+CT119+CU119</f>
        <v>402220</v>
      </c>
      <c r="CW119" s="116"/>
      <c r="CX119" s="116"/>
      <c r="CY119" s="116"/>
      <c r="CZ119" s="102"/>
      <c r="DA119" s="125"/>
      <c r="DB119" s="102"/>
      <c r="DC119" s="31"/>
      <c r="DD119" s="17"/>
      <c r="DE119" s="11"/>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
      <c r="EU119" s="11"/>
      <c r="EV119" s="11"/>
      <c r="EW119" s="11"/>
      <c r="EX119" s="11"/>
      <c r="EY119" s="11"/>
      <c r="EZ119" s="11"/>
      <c r="FA119" s="11"/>
      <c r="FB119" s="11"/>
      <c r="FC119" s="11"/>
      <c r="FD119" s="11"/>
      <c r="FE119" s="11"/>
      <c r="FF119" s="11"/>
      <c r="FG119" s="11"/>
      <c r="FH119" s="17">
        <f t="shared" si="40"/>
        <v>3147762.2246000003</v>
      </c>
      <c r="FI119" s="31">
        <f t="shared" si="41"/>
        <v>8</v>
      </c>
      <c r="FJ119" s="68">
        <f t="shared" si="42"/>
        <v>393470.27807500004</v>
      </c>
    </row>
    <row r="120" spans="1:166" ht="38.25" x14ac:dyDescent="0.25">
      <c r="A120" s="248">
        <f>Distribución_Reactivos!A120</f>
        <v>118</v>
      </c>
      <c r="B120" s="248" t="str">
        <f>Distribución_Reactivos!B120</f>
        <v>Cartuchos de extracción de 6 ml, Octadecyl C18, 40µm, 60A°  entre 500 y 100o mg</v>
      </c>
      <c r="C120" s="248" t="str">
        <f>Distribución_Reactivos!C120</f>
        <v>J.T Baker / Avantor o equivalente</v>
      </c>
      <c r="D120" s="248" t="str">
        <f>Distribución_Reactivos!D120</f>
        <v>Caja x 30 cartuchos</v>
      </c>
      <c r="E120" s="29">
        <v>1</v>
      </c>
      <c r="F120" s="212">
        <v>0</v>
      </c>
      <c r="G120" s="214">
        <v>0</v>
      </c>
      <c r="H120" s="221">
        <v>1284199.3333333333</v>
      </c>
      <c r="I120" s="221">
        <v>0</v>
      </c>
      <c r="J120" s="221">
        <v>0</v>
      </c>
      <c r="K120" s="221">
        <v>0</v>
      </c>
      <c r="L120" s="247">
        <f>H120</f>
        <v>1284199.3333333333</v>
      </c>
      <c r="M120" s="247"/>
      <c r="N120" s="217"/>
      <c r="O120" s="97"/>
      <c r="P120" s="97"/>
      <c r="Q120" s="115"/>
      <c r="R120" s="115"/>
      <c r="S120" s="53"/>
      <c r="T120" s="97"/>
      <c r="U120" s="97"/>
      <c r="V120" s="97"/>
      <c r="W120" s="115"/>
      <c r="X120" s="115"/>
      <c r="Y120" s="11"/>
      <c r="Z120" s="97"/>
      <c r="AA120" s="97"/>
      <c r="AB120" s="97"/>
      <c r="AC120" s="44"/>
      <c r="AD120" s="44"/>
      <c r="AE120" s="11"/>
      <c r="AF120" s="102"/>
      <c r="AG120" s="125"/>
      <c r="AH120" s="97"/>
      <c r="AI120" s="11"/>
      <c r="AJ120" s="11"/>
      <c r="AK120" s="17"/>
      <c r="AL120" s="97"/>
      <c r="AM120" s="97"/>
      <c r="AN120" s="101"/>
      <c r="AO120" s="248"/>
      <c r="AP120" s="17"/>
      <c r="AQ120" s="17"/>
      <c r="AR120" s="252"/>
      <c r="AS120" s="136"/>
      <c r="AT120" s="137"/>
      <c r="AU120" s="52"/>
      <c r="AV120" s="52"/>
      <c r="AW120" s="30"/>
      <c r="AX120" s="100"/>
      <c r="AY120" s="174"/>
      <c r="AZ120" s="124"/>
      <c r="BA120" s="169"/>
      <c r="BB120" s="116"/>
      <c r="BC120" s="116"/>
      <c r="BD120" s="247"/>
      <c r="BE120" s="124"/>
      <c r="BF120" s="124"/>
      <c r="BG120" s="116"/>
      <c r="BH120" s="116"/>
      <c r="BI120" s="116"/>
      <c r="BJ120" s="124"/>
      <c r="BK120" s="124"/>
      <c r="BL120" s="124"/>
      <c r="BM120" s="116"/>
      <c r="BN120" s="116"/>
      <c r="BO120" s="116"/>
      <c r="BP120" s="124"/>
      <c r="BQ120" s="116"/>
      <c r="BR120" s="116"/>
      <c r="BS120" s="116"/>
      <c r="BT120" s="116"/>
      <c r="BU120" s="116"/>
      <c r="BV120" s="188"/>
      <c r="BW120" s="125"/>
      <c r="BX120" s="97"/>
      <c r="BY120" s="246"/>
      <c r="BZ120" s="246"/>
      <c r="CA120" s="116"/>
      <c r="CB120" s="247">
        <v>985200</v>
      </c>
      <c r="CC120" s="125">
        <f>+CB120*19%</f>
        <v>187188</v>
      </c>
      <c r="CD120" s="247">
        <f>+CC120+CB120</f>
        <v>1172388</v>
      </c>
      <c r="CE120" s="116"/>
      <c r="CF120" s="116"/>
      <c r="CG120" s="34"/>
      <c r="CH120" s="187"/>
      <c r="CI120" s="195"/>
      <c r="CJ120" s="187"/>
      <c r="CK120" s="246"/>
      <c r="CL120" s="246"/>
      <c r="CM120" s="116"/>
      <c r="CN120" s="247">
        <v>510463</v>
      </c>
      <c r="CO120" s="125">
        <f>+CN120*0.19</f>
        <v>96987.97</v>
      </c>
      <c r="CP120" s="247">
        <f>+CO120+CN120</f>
        <v>607450.97</v>
      </c>
      <c r="CQ120" s="116"/>
      <c r="CR120" s="116"/>
      <c r="CS120" s="116"/>
      <c r="CT120" s="247"/>
      <c r="CU120" s="125"/>
      <c r="CV120" s="247"/>
      <c r="CW120" s="116"/>
      <c r="CX120" s="116"/>
      <c r="CY120" s="116"/>
      <c r="CZ120" s="102"/>
      <c r="DA120" s="125"/>
      <c r="DB120" s="102"/>
      <c r="DC120" s="31"/>
      <c r="DD120" s="17"/>
      <c r="DE120" s="11"/>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
      <c r="EU120" s="11"/>
      <c r="EV120" s="11"/>
      <c r="EW120" s="11"/>
      <c r="EX120" s="11"/>
      <c r="EY120" s="11"/>
      <c r="EZ120" s="11"/>
      <c r="FA120" s="11"/>
      <c r="FB120" s="11"/>
      <c r="FC120" s="11"/>
      <c r="FD120" s="11"/>
      <c r="FE120" s="11"/>
      <c r="FF120" s="11"/>
      <c r="FG120" s="11"/>
      <c r="FH120" s="17">
        <f t="shared" si="40"/>
        <v>1779838.97</v>
      </c>
      <c r="FI120" s="31">
        <f t="shared" si="41"/>
        <v>2</v>
      </c>
      <c r="FJ120" s="68">
        <f t="shared" si="42"/>
        <v>889919.48499999999</v>
      </c>
    </row>
    <row r="121" spans="1:166" ht="27" x14ac:dyDescent="0.25">
      <c r="A121" s="248">
        <f>Distribución_Reactivos!A121</f>
        <v>119</v>
      </c>
      <c r="B121" s="248" t="str">
        <f>Distribución_Reactivos!B121</f>
        <v>Casamino Acids</v>
      </c>
      <c r="C121" s="248" t="str">
        <f>Distribución_Reactivos!C121</f>
        <v>BD</v>
      </c>
      <c r="D121" s="248" t="str">
        <f>Distribución_Reactivos!D121</f>
        <v>Frasco x 500 g</v>
      </c>
      <c r="E121" s="29">
        <v>1</v>
      </c>
      <c r="F121" s="212">
        <v>892024</v>
      </c>
      <c r="G121" s="214">
        <v>892024</v>
      </c>
      <c r="H121" s="221">
        <v>909345.21160000004</v>
      </c>
      <c r="I121" s="221">
        <v>909279</v>
      </c>
      <c r="J121" s="221">
        <v>936625.20000000007</v>
      </c>
      <c r="K121" s="221">
        <v>0</v>
      </c>
      <c r="L121" s="247">
        <f>AVERAGE(F121,H121,J121)</f>
        <v>912664.80386666674</v>
      </c>
      <c r="M121" s="247">
        <f>AVERAGE(G121,I121)*E1</f>
        <v>927671.04500000004</v>
      </c>
      <c r="N121" s="217"/>
      <c r="O121" s="101"/>
      <c r="P121" s="97"/>
      <c r="Q121" s="115"/>
      <c r="R121" s="115"/>
      <c r="S121" s="53"/>
      <c r="T121" s="97"/>
      <c r="U121" s="97"/>
      <c r="V121" s="97"/>
      <c r="W121" s="115"/>
      <c r="X121" s="115"/>
      <c r="Y121" s="11"/>
      <c r="Z121" s="97"/>
      <c r="AA121" s="97"/>
      <c r="AB121" s="97"/>
      <c r="AC121" s="44"/>
      <c r="AD121" s="44"/>
      <c r="AE121" s="11"/>
      <c r="AF121" s="102"/>
      <c r="AG121" s="125"/>
      <c r="AH121" s="97"/>
      <c r="AI121" s="11"/>
      <c r="AJ121" s="11"/>
      <c r="AK121" s="17"/>
      <c r="AL121" s="97"/>
      <c r="AM121" s="97"/>
      <c r="AN121" s="103"/>
      <c r="AO121" s="248"/>
      <c r="AP121" s="17"/>
      <c r="AQ121" s="17"/>
      <c r="AR121" s="252"/>
      <c r="AS121" s="135"/>
      <c r="AT121" s="137"/>
      <c r="AU121" s="52"/>
      <c r="AV121" s="52"/>
      <c r="AW121" s="30"/>
      <c r="AX121" s="100"/>
      <c r="AY121" s="174"/>
      <c r="AZ121" s="124"/>
      <c r="BA121" s="169"/>
      <c r="BB121" s="116"/>
      <c r="BC121" s="116"/>
      <c r="BD121" s="247"/>
      <c r="BE121" s="124"/>
      <c r="BF121" s="124"/>
      <c r="BG121" s="116"/>
      <c r="BH121" s="116"/>
      <c r="BI121" s="116"/>
      <c r="BJ121" s="124"/>
      <c r="BK121" s="124"/>
      <c r="BL121" s="124"/>
      <c r="BM121" s="116"/>
      <c r="BN121" s="116"/>
      <c r="BO121" s="116"/>
      <c r="BP121" s="124"/>
      <c r="BQ121" s="116"/>
      <c r="BR121" s="116"/>
      <c r="BS121" s="116"/>
      <c r="BT121" s="116"/>
      <c r="BU121" s="116"/>
      <c r="BV121" s="240">
        <v>2500000</v>
      </c>
      <c r="BW121" s="125">
        <f>BV121*19%</f>
        <v>475000</v>
      </c>
      <c r="BX121" s="97">
        <f>+BV121+BW121</f>
        <v>2975000</v>
      </c>
      <c r="BY121" s="237" t="s">
        <v>78</v>
      </c>
      <c r="BZ121" s="237" t="s">
        <v>27</v>
      </c>
      <c r="CA121" s="116"/>
      <c r="CB121" s="247"/>
      <c r="CC121" s="125"/>
      <c r="CD121" s="247"/>
      <c r="CE121" s="116"/>
      <c r="CF121" s="116"/>
      <c r="CG121" s="34"/>
      <c r="CH121" s="241"/>
      <c r="CI121" s="238"/>
      <c r="CJ121" s="236"/>
      <c r="CK121" s="237"/>
      <c r="CL121" s="237"/>
      <c r="CM121" s="116"/>
      <c r="CN121" s="247"/>
      <c r="CO121" s="125"/>
      <c r="CP121" s="247"/>
      <c r="CQ121" s="116"/>
      <c r="CR121" s="116"/>
      <c r="CS121" s="116"/>
      <c r="CT121" s="247"/>
      <c r="CU121" s="125"/>
      <c r="CV121" s="247"/>
      <c r="CW121" s="116"/>
      <c r="CX121" s="116"/>
      <c r="CY121" s="116"/>
      <c r="CZ121" s="102"/>
      <c r="DA121" s="125"/>
      <c r="DB121" s="102"/>
      <c r="DC121" s="31"/>
      <c r="DD121" s="17"/>
      <c r="DE121" s="11"/>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
      <c r="EU121" s="11"/>
      <c r="EV121" s="11"/>
      <c r="EW121" s="11"/>
      <c r="EX121" s="11"/>
      <c r="EY121" s="11"/>
      <c r="EZ121" s="11"/>
      <c r="FA121" s="11"/>
      <c r="FB121" s="11"/>
      <c r="FC121" s="11"/>
      <c r="FD121" s="11"/>
      <c r="FE121" s="11"/>
      <c r="FF121" s="11"/>
      <c r="FG121" s="11"/>
      <c r="FH121" s="17">
        <f t="shared" si="40"/>
        <v>3902671.0449999999</v>
      </c>
      <c r="FI121" s="31">
        <f t="shared" si="41"/>
        <v>2</v>
      </c>
      <c r="FJ121" s="68">
        <f t="shared" si="42"/>
        <v>1951335.5225</v>
      </c>
    </row>
    <row r="122" spans="1:166" ht="63" customHeight="1" x14ac:dyDescent="0.25">
      <c r="A122" s="248">
        <f>Distribución_Reactivos!A122</f>
        <v>120</v>
      </c>
      <c r="B122" s="248" t="str">
        <f>Distribución_Reactivos!B122</f>
        <v xml:space="preserve">Cellulose microcrystaline diseñada para formar columnas de separación y purificación en procesos de extracción de ácidos nucléicos (RNA, DNA) </v>
      </c>
      <c r="C122" s="248" t="str">
        <f>Distribución_Reactivos!C122</f>
        <v>Merck 1.023310.500</v>
      </c>
      <c r="D122" s="248" t="str">
        <f>Distribución_Reactivos!D122</f>
        <v>Frasco x 500 g</v>
      </c>
      <c r="E122" s="29">
        <v>1</v>
      </c>
      <c r="F122" s="212">
        <v>653111.66666666674</v>
      </c>
      <c r="G122" s="214">
        <v>636769</v>
      </c>
      <c r="H122" s="221">
        <v>0</v>
      </c>
      <c r="I122" s="221">
        <v>0</v>
      </c>
      <c r="J122" s="221">
        <v>0</v>
      </c>
      <c r="K122" s="221">
        <v>0</v>
      </c>
      <c r="L122" s="247">
        <f>F122</f>
        <v>653111.66666666674</v>
      </c>
      <c r="M122" s="247">
        <f>G122*E1</f>
        <v>655872.07000000007</v>
      </c>
      <c r="N122" s="217"/>
      <c r="O122" s="97"/>
      <c r="P122" s="97"/>
      <c r="Q122" s="115"/>
      <c r="R122" s="115"/>
      <c r="S122" s="53"/>
      <c r="T122" s="97"/>
      <c r="U122" s="97"/>
      <c r="V122" s="97"/>
      <c r="W122" s="115"/>
      <c r="X122" s="115"/>
      <c r="Y122" s="11"/>
      <c r="Z122" s="97"/>
      <c r="AA122" s="97"/>
      <c r="AB122" s="97"/>
      <c r="AC122" s="44"/>
      <c r="AD122" s="44"/>
      <c r="AE122" s="11"/>
      <c r="AF122" s="102">
        <v>580000</v>
      </c>
      <c r="AG122" s="125">
        <f>AF122*19%</f>
        <v>110200</v>
      </c>
      <c r="AH122" s="97">
        <f>+AF122+AG122</f>
        <v>690200</v>
      </c>
      <c r="AI122" s="11"/>
      <c r="AJ122" s="11"/>
      <c r="AK122" s="17"/>
      <c r="AL122" s="97"/>
      <c r="AM122" s="97"/>
      <c r="AN122" s="101"/>
      <c r="AO122" s="248"/>
      <c r="AP122" s="17"/>
      <c r="AQ122" s="17"/>
      <c r="AR122" s="252"/>
      <c r="AS122" s="136"/>
      <c r="AT122" s="137"/>
      <c r="AU122" s="52"/>
      <c r="AV122" s="52"/>
      <c r="AW122" s="30"/>
      <c r="AX122" s="100"/>
      <c r="AY122" s="174"/>
      <c r="AZ122" s="124"/>
      <c r="BA122" s="169"/>
      <c r="BB122" s="116"/>
      <c r="BC122" s="116"/>
      <c r="BD122" s="247"/>
      <c r="BE122" s="124"/>
      <c r="BF122" s="124"/>
      <c r="BG122" s="116"/>
      <c r="BH122" s="116"/>
      <c r="BI122" s="116"/>
      <c r="BJ122" s="124"/>
      <c r="BK122" s="124"/>
      <c r="BL122" s="124"/>
      <c r="BM122" s="116"/>
      <c r="BN122" s="116"/>
      <c r="BO122" s="116"/>
      <c r="BP122" s="124"/>
      <c r="BQ122" s="116"/>
      <c r="BR122" s="116"/>
      <c r="BS122" s="116"/>
      <c r="BT122" s="116"/>
      <c r="BU122" s="116"/>
      <c r="BV122" s="240">
        <v>342600</v>
      </c>
      <c r="BW122" s="125">
        <f>BV122*19%</f>
        <v>65094</v>
      </c>
      <c r="BX122" s="97">
        <f>+BV122+BW122</f>
        <v>407694</v>
      </c>
      <c r="BY122" s="237" t="s">
        <v>78</v>
      </c>
      <c r="BZ122" s="237" t="s">
        <v>93</v>
      </c>
      <c r="CA122" s="116"/>
      <c r="CB122" s="247"/>
      <c r="CC122" s="125"/>
      <c r="CD122" s="247"/>
      <c r="CE122" s="116"/>
      <c r="CF122" s="116"/>
      <c r="CG122" s="34"/>
      <c r="CH122" s="236">
        <v>352878</v>
      </c>
      <c r="CI122" s="238">
        <f>+CH122*0.19</f>
        <v>67046.820000000007</v>
      </c>
      <c r="CJ122" s="236">
        <f>+CH122+CI122</f>
        <v>419924.82</v>
      </c>
      <c r="CK122" s="237" t="s">
        <v>78</v>
      </c>
      <c r="CL122" s="237" t="s">
        <v>93</v>
      </c>
      <c r="CM122" s="116"/>
      <c r="CN122" s="247"/>
      <c r="CO122" s="125"/>
      <c r="CP122" s="247"/>
      <c r="CQ122" s="116"/>
      <c r="CR122" s="116"/>
      <c r="CS122" s="116"/>
      <c r="CT122" s="247"/>
      <c r="CU122" s="125"/>
      <c r="CV122" s="247"/>
      <c r="CW122" s="116"/>
      <c r="CX122" s="116"/>
      <c r="CY122" s="116"/>
      <c r="CZ122" s="102"/>
      <c r="DA122" s="125"/>
      <c r="DB122" s="102"/>
      <c r="DC122" s="31"/>
      <c r="DD122" s="17"/>
      <c r="DE122" s="11"/>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
      <c r="EU122" s="11"/>
      <c r="EV122" s="11"/>
      <c r="EW122" s="11"/>
      <c r="EX122" s="11"/>
      <c r="EY122" s="11"/>
      <c r="EZ122" s="11"/>
      <c r="FA122" s="11"/>
      <c r="FB122" s="11"/>
      <c r="FC122" s="11"/>
      <c r="FD122" s="11"/>
      <c r="FE122" s="11"/>
      <c r="FF122" s="11"/>
      <c r="FG122" s="11"/>
      <c r="FH122" s="17">
        <f t="shared" si="40"/>
        <v>2173690.89</v>
      </c>
      <c r="FI122" s="31">
        <f t="shared" si="41"/>
        <v>4</v>
      </c>
      <c r="FJ122" s="68">
        <f t="shared" si="42"/>
        <v>543422.72250000003</v>
      </c>
    </row>
    <row r="123" spans="1:166" ht="38.25" x14ac:dyDescent="0.25">
      <c r="A123" s="248">
        <f>Distribución_Reactivos!A123</f>
        <v>121</v>
      </c>
      <c r="B123" s="248" t="str">
        <f>Distribución_Reactivos!B123</f>
        <v>D-(+)Celobiosa cas 528-50-7</v>
      </c>
      <c r="C123" s="248" t="str">
        <f>Distribución_Reactivos!C123</f>
        <v>Merck, Acumedia, BBL, Sharlau, Sigma</v>
      </c>
      <c r="D123" s="248" t="str">
        <f>Distribución_Reactivos!D123</f>
        <v>Frasco x 100 g</v>
      </c>
      <c r="E123" s="29">
        <v>1</v>
      </c>
      <c r="F123" s="212">
        <v>1169770</v>
      </c>
      <c r="G123" s="214">
        <v>904400</v>
      </c>
      <c r="H123" s="221">
        <v>1496943.5226666667</v>
      </c>
      <c r="I123" s="221">
        <v>0</v>
      </c>
      <c r="J123" s="221">
        <v>0</v>
      </c>
      <c r="K123" s="221">
        <v>0</v>
      </c>
      <c r="L123" s="247">
        <f>AVERAGE(F123,H123)</f>
        <v>1333356.7613333333</v>
      </c>
      <c r="M123" s="247">
        <f>G123*E1</f>
        <v>931532</v>
      </c>
      <c r="N123" s="217"/>
      <c r="O123" s="97"/>
      <c r="P123" s="97"/>
      <c r="Q123" s="115"/>
      <c r="R123" s="115"/>
      <c r="S123" s="53"/>
      <c r="T123" s="97"/>
      <c r="U123" s="97"/>
      <c r="V123" s="97"/>
      <c r="W123" s="115"/>
      <c r="X123" s="115"/>
      <c r="Y123" s="11"/>
      <c r="Z123" s="97"/>
      <c r="AA123" s="97"/>
      <c r="AB123" s="97"/>
      <c r="AC123" s="44"/>
      <c r="AD123" s="44"/>
      <c r="AE123" s="11"/>
      <c r="AF123" s="102">
        <v>1550000</v>
      </c>
      <c r="AG123" s="125">
        <f>AF123*19%</f>
        <v>294500</v>
      </c>
      <c r="AH123" s="97">
        <f>+AF123+AG123</f>
        <v>1844500</v>
      </c>
      <c r="AI123" s="11"/>
      <c r="AJ123" s="11"/>
      <c r="AK123" s="17"/>
      <c r="AL123" s="97"/>
      <c r="AM123" s="97"/>
      <c r="AN123" s="103"/>
      <c r="AO123" s="248"/>
      <c r="AP123" s="17"/>
      <c r="AQ123" s="17"/>
      <c r="AR123" s="252"/>
      <c r="AS123" s="135"/>
      <c r="AT123" s="124"/>
      <c r="AU123" s="52"/>
      <c r="AV123" s="52"/>
      <c r="AW123" s="30"/>
      <c r="AX123" s="100"/>
      <c r="AY123" s="174"/>
      <c r="AZ123" s="124"/>
      <c r="BA123" s="169"/>
      <c r="BB123" s="116"/>
      <c r="BC123" s="116"/>
      <c r="BD123" s="247"/>
      <c r="BE123" s="124"/>
      <c r="BF123" s="124"/>
      <c r="BG123" s="116"/>
      <c r="BH123" s="116"/>
      <c r="BI123" s="116"/>
      <c r="BJ123" s="124"/>
      <c r="BK123" s="124"/>
      <c r="BL123" s="124"/>
      <c r="BM123" s="116"/>
      <c r="BN123" s="116"/>
      <c r="BO123" s="116"/>
      <c r="BP123" s="124"/>
      <c r="BQ123" s="116"/>
      <c r="BR123" s="116"/>
      <c r="BS123" s="116"/>
      <c r="BT123" s="116"/>
      <c r="BU123" s="116"/>
      <c r="BV123" s="240">
        <v>1711000</v>
      </c>
      <c r="BW123" s="125">
        <f>BV123*19%</f>
        <v>325090</v>
      </c>
      <c r="BX123" s="97">
        <f>+BV123+BW123</f>
        <v>2036090</v>
      </c>
      <c r="BY123" s="237" t="s">
        <v>63</v>
      </c>
      <c r="BZ123" s="237" t="s">
        <v>228</v>
      </c>
      <c r="CA123" s="116"/>
      <c r="CB123" s="247"/>
      <c r="CC123" s="125"/>
      <c r="CD123" s="247"/>
      <c r="CE123" s="116"/>
      <c r="CF123" s="116"/>
      <c r="CG123" s="34"/>
      <c r="CH123" s="236"/>
      <c r="CI123" s="238"/>
      <c r="CJ123" s="236"/>
      <c r="CK123" s="237"/>
      <c r="CL123" s="237"/>
      <c r="CM123" s="116"/>
      <c r="CN123" s="247"/>
      <c r="CO123" s="125"/>
      <c r="CP123" s="247"/>
      <c r="CQ123" s="116"/>
      <c r="CR123" s="116"/>
      <c r="CS123" s="116"/>
      <c r="CT123" s="247"/>
      <c r="CU123" s="125"/>
      <c r="CV123" s="247"/>
      <c r="CW123" s="116"/>
      <c r="CX123" s="116"/>
      <c r="CY123" s="116"/>
      <c r="CZ123" s="102"/>
      <c r="DA123" s="125"/>
      <c r="DB123" s="102"/>
      <c r="DC123" s="31"/>
      <c r="DD123" s="17"/>
      <c r="DE123" s="11"/>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
      <c r="EU123" s="11"/>
      <c r="EV123" s="11"/>
      <c r="EW123" s="11"/>
      <c r="EX123" s="11"/>
      <c r="EY123" s="11"/>
      <c r="EZ123" s="11"/>
      <c r="FA123" s="11"/>
      <c r="FB123" s="11"/>
      <c r="FC123" s="11"/>
      <c r="FD123" s="11"/>
      <c r="FE123" s="11"/>
      <c r="FF123" s="11"/>
      <c r="FG123" s="11"/>
      <c r="FH123" s="17">
        <f t="shared" si="40"/>
        <v>4812122</v>
      </c>
      <c r="FI123" s="31">
        <f t="shared" si="41"/>
        <v>3</v>
      </c>
      <c r="FJ123" s="68">
        <f t="shared" si="42"/>
        <v>1604040.6666666667</v>
      </c>
    </row>
    <row r="124" spans="1:166" ht="51" x14ac:dyDescent="0.25">
      <c r="A124" s="248">
        <f>Distribución_Reactivos!A124</f>
        <v>122</v>
      </c>
      <c r="B124" s="248" t="str">
        <f>Distribución_Reactivos!B124</f>
        <v xml:space="preserve">Cepa Burkholderia andropogonis ATCC 23061 </v>
      </c>
      <c r="C124" s="248" t="str">
        <f>Distribución_Reactivos!C124</f>
        <v>ATCC o homologa que cumpla con la ISO 17034</v>
      </c>
      <c r="D124" s="248" t="str">
        <f>Distribución_Reactivos!D124</f>
        <v>Unidad vial</v>
      </c>
      <c r="E124" s="29">
        <v>1</v>
      </c>
      <c r="F124" s="212">
        <v>0</v>
      </c>
      <c r="G124" s="214">
        <v>0</v>
      </c>
      <c r="H124" s="221">
        <v>0</v>
      </c>
      <c r="I124" s="221">
        <v>0</v>
      </c>
      <c r="J124" s="221">
        <v>1254000</v>
      </c>
      <c r="K124" s="221">
        <v>0</v>
      </c>
      <c r="L124" s="247">
        <f>J124</f>
        <v>1254000</v>
      </c>
      <c r="M124" s="247"/>
      <c r="N124" s="217"/>
      <c r="O124" s="97"/>
      <c r="P124" s="97"/>
      <c r="Q124" s="115"/>
      <c r="R124" s="115"/>
      <c r="S124" s="53"/>
      <c r="T124" s="97"/>
      <c r="U124" s="97"/>
      <c r="V124" s="97"/>
      <c r="W124" s="115"/>
      <c r="X124" s="115"/>
      <c r="Y124" s="11"/>
      <c r="Z124" s="97"/>
      <c r="AA124" s="97"/>
      <c r="AB124" s="97"/>
      <c r="AC124" s="44"/>
      <c r="AD124" s="44"/>
      <c r="AE124" s="11"/>
      <c r="AF124" s="102"/>
      <c r="AG124" s="125"/>
      <c r="AH124" s="97"/>
      <c r="AI124" s="11"/>
      <c r="AJ124" s="11"/>
      <c r="AK124" s="17"/>
      <c r="AL124" s="97"/>
      <c r="AM124" s="97"/>
      <c r="AN124" s="100"/>
      <c r="AO124" s="248"/>
      <c r="AP124" s="17"/>
      <c r="AQ124" s="17"/>
      <c r="AR124" s="252"/>
      <c r="AS124" s="100"/>
      <c r="AT124" s="100"/>
      <c r="AU124" s="52"/>
      <c r="AV124" s="52"/>
      <c r="AW124" s="30"/>
      <c r="AX124" s="100"/>
      <c r="AY124" s="174"/>
      <c r="AZ124" s="124"/>
      <c r="BA124" s="169"/>
      <c r="BB124" s="116"/>
      <c r="BC124" s="116"/>
      <c r="BD124" s="247"/>
      <c r="BE124" s="247"/>
      <c r="BF124" s="247"/>
      <c r="BG124" s="247"/>
      <c r="BH124" s="116"/>
      <c r="BI124" s="116"/>
      <c r="BJ124" s="124"/>
      <c r="BK124" s="124"/>
      <c r="BL124" s="124"/>
      <c r="BM124" s="116"/>
      <c r="BN124" s="116"/>
      <c r="BO124" s="116"/>
      <c r="BP124" s="124"/>
      <c r="BQ124" s="116"/>
      <c r="BR124" s="116"/>
      <c r="BS124" s="116"/>
      <c r="BT124" s="116"/>
      <c r="BU124" s="116"/>
      <c r="BV124" s="188"/>
      <c r="BW124" s="125"/>
      <c r="BX124" s="97"/>
      <c r="BY124" s="246"/>
      <c r="BZ124" s="246"/>
      <c r="CA124" s="116"/>
      <c r="CB124" s="252">
        <v>865000</v>
      </c>
      <c r="CC124" s="125">
        <f t="shared" ref="CC124:CC130" si="45">+CB124*19%</f>
        <v>164350</v>
      </c>
      <c r="CD124" s="247">
        <f t="shared" ref="CD124:CD130" si="46">+CC124+CB124</f>
        <v>1029350</v>
      </c>
      <c r="CE124" s="116"/>
      <c r="CF124" s="116"/>
      <c r="CG124" s="34"/>
      <c r="CH124" s="187"/>
      <c r="CI124" s="195"/>
      <c r="CJ124" s="187"/>
      <c r="CK124" s="246"/>
      <c r="CL124" s="246"/>
      <c r="CM124" s="116"/>
      <c r="CN124" s="247"/>
      <c r="CO124" s="125"/>
      <c r="CP124" s="247"/>
      <c r="CQ124" s="116"/>
      <c r="CR124" s="116"/>
      <c r="CS124" s="116"/>
      <c r="CT124" s="247"/>
      <c r="CU124" s="125"/>
      <c r="CV124" s="247"/>
      <c r="CW124" s="116"/>
      <c r="CX124" s="116"/>
      <c r="CY124" s="116"/>
      <c r="CZ124" s="102"/>
      <c r="DA124" s="125"/>
      <c r="DB124" s="102"/>
      <c r="DC124" s="31"/>
      <c r="DD124" s="17"/>
      <c r="DE124" s="11"/>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
      <c r="EU124" s="11"/>
      <c r="EV124" s="11"/>
      <c r="EW124" s="11"/>
      <c r="EX124" s="11"/>
      <c r="EY124" s="11"/>
      <c r="EZ124" s="11"/>
      <c r="FA124" s="11"/>
      <c r="FB124" s="11"/>
      <c r="FC124" s="11"/>
      <c r="FD124" s="11"/>
      <c r="FE124" s="11"/>
      <c r="FF124" s="11"/>
      <c r="FG124" s="11"/>
      <c r="FH124" s="17">
        <f t="shared" si="40"/>
        <v>1029350</v>
      </c>
      <c r="FI124" s="31">
        <f t="shared" si="41"/>
        <v>1</v>
      </c>
      <c r="FJ124" s="68">
        <f t="shared" si="42"/>
        <v>1029350</v>
      </c>
    </row>
    <row r="125" spans="1:166" ht="51" x14ac:dyDescent="0.25">
      <c r="A125" s="248">
        <f>Distribución_Reactivos!A125</f>
        <v>123</v>
      </c>
      <c r="B125" s="248" t="str">
        <f>Distribución_Reactivos!B125</f>
        <v>Cepa Burkholderia caryophylli ATCC 25418</v>
      </c>
      <c r="C125" s="248" t="str">
        <f>Distribución_Reactivos!C125</f>
        <v>ATCC o homologa que cumpla con la ISO 17034</v>
      </c>
      <c r="D125" s="248" t="str">
        <f>Distribución_Reactivos!D125</f>
        <v>Unidad vial</v>
      </c>
      <c r="E125" s="29">
        <v>1</v>
      </c>
      <c r="F125" s="212">
        <v>0</v>
      </c>
      <c r="G125" s="214">
        <v>0</v>
      </c>
      <c r="H125" s="221">
        <v>0</v>
      </c>
      <c r="I125" s="221">
        <v>0</v>
      </c>
      <c r="J125" s="221">
        <v>232050</v>
      </c>
      <c r="K125" s="221">
        <v>0</v>
      </c>
      <c r="L125" s="247">
        <f>J125</f>
        <v>232050</v>
      </c>
      <c r="M125" s="247"/>
      <c r="N125" s="217"/>
      <c r="O125" s="101"/>
      <c r="P125" s="97"/>
      <c r="Q125" s="115"/>
      <c r="R125" s="115"/>
      <c r="S125" s="53"/>
      <c r="T125" s="97"/>
      <c r="U125" s="97"/>
      <c r="V125" s="97"/>
      <c r="W125" s="115"/>
      <c r="X125" s="115"/>
      <c r="Y125" s="11"/>
      <c r="Z125" s="97"/>
      <c r="AA125" s="97"/>
      <c r="AB125" s="97"/>
      <c r="AC125" s="44"/>
      <c r="AD125" s="44"/>
      <c r="AE125" s="11"/>
      <c r="AF125" s="102"/>
      <c r="AG125" s="125"/>
      <c r="AH125" s="97"/>
      <c r="AI125" s="11"/>
      <c r="AJ125" s="11"/>
      <c r="AK125" s="17"/>
      <c r="AL125" s="97"/>
      <c r="AM125" s="97"/>
      <c r="AN125" s="103"/>
      <c r="AO125" s="248"/>
      <c r="AP125" s="17"/>
      <c r="AQ125" s="17"/>
      <c r="AR125" s="252"/>
      <c r="AS125" s="105"/>
      <c r="AT125" s="124"/>
      <c r="AU125" s="52"/>
      <c r="AV125" s="52"/>
      <c r="AW125" s="30"/>
      <c r="AX125" s="100"/>
      <c r="AY125" s="174"/>
      <c r="AZ125" s="124"/>
      <c r="BA125" s="169"/>
      <c r="BB125" s="116"/>
      <c r="BC125" s="116"/>
      <c r="BD125" s="247"/>
      <c r="BE125" s="124"/>
      <c r="BF125" s="124"/>
      <c r="BG125" s="116"/>
      <c r="BH125" s="116"/>
      <c r="BI125" s="116"/>
      <c r="BJ125" s="124"/>
      <c r="BK125" s="124"/>
      <c r="BL125" s="124"/>
      <c r="BM125" s="116"/>
      <c r="BN125" s="116"/>
      <c r="BO125" s="116"/>
      <c r="BP125" s="124"/>
      <c r="BQ125" s="116"/>
      <c r="BR125" s="116"/>
      <c r="BS125" s="116"/>
      <c r="BT125" s="116"/>
      <c r="BU125" s="116"/>
      <c r="BV125" s="188"/>
      <c r="BW125" s="125"/>
      <c r="BX125" s="97"/>
      <c r="BY125" s="246"/>
      <c r="BZ125" s="246"/>
      <c r="CA125" s="116"/>
      <c r="CB125" s="252">
        <v>865000</v>
      </c>
      <c r="CC125" s="125">
        <f t="shared" si="45"/>
        <v>164350</v>
      </c>
      <c r="CD125" s="247">
        <f t="shared" si="46"/>
        <v>1029350</v>
      </c>
      <c r="CE125" s="116"/>
      <c r="CF125" s="116"/>
      <c r="CG125" s="34"/>
      <c r="CH125" s="187"/>
      <c r="CI125" s="195"/>
      <c r="CJ125" s="187"/>
      <c r="CK125" s="246"/>
      <c r="CL125" s="246"/>
      <c r="CM125" s="116"/>
      <c r="CN125" s="247"/>
      <c r="CO125" s="125"/>
      <c r="CP125" s="247"/>
      <c r="CQ125" s="116"/>
      <c r="CR125" s="116"/>
      <c r="CS125" s="116"/>
      <c r="CT125" s="247"/>
      <c r="CU125" s="125"/>
      <c r="CV125" s="247"/>
      <c r="CW125" s="116"/>
      <c r="CX125" s="116"/>
      <c r="CY125" s="116"/>
      <c r="CZ125" s="102"/>
      <c r="DA125" s="125"/>
      <c r="DB125" s="102"/>
      <c r="DC125" s="31"/>
      <c r="DD125" s="17"/>
      <c r="DE125" s="11"/>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
      <c r="EU125" s="11"/>
      <c r="EV125" s="11"/>
      <c r="EW125" s="11"/>
      <c r="EX125" s="11"/>
      <c r="EY125" s="11"/>
      <c r="EZ125" s="11"/>
      <c r="FA125" s="11"/>
      <c r="FB125" s="11"/>
      <c r="FC125" s="11"/>
      <c r="FD125" s="11"/>
      <c r="FE125" s="11"/>
      <c r="FF125" s="11"/>
      <c r="FG125" s="11"/>
      <c r="FH125" s="17">
        <f t="shared" si="40"/>
        <v>1029350</v>
      </c>
      <c r="FI125" s="31">
        <f t="shared" si="41"/>
        <v>1</v>
      </c>
      <c r="FJ125" s="68">
        <f t="shared" si="42"/>
        <v>1029350</v>
      </c>
    </row>
    <row r="126" spans="1:166" ht="54" customHeight="1" x14ac:dyDescent="0.25">
      <c r="A126" s="248">
        <f>Distribución_Reactivos!A126</f>
        <v>124</v>
      </c>
      <c r="B126" s="248" t="str">
        <f>Distribución_Reactivos!B126</f>
        <v>Cepa E. coli ATCC 35218</v>
      </c>
      <c r="C126" s="248" t="str">
        <f>Distribución_Reactivos!C126</f>
        <v>ATCC o Equivalente</v>
      </c>
      <c r="D126" s="248" t="str">
        <f>Distribución_Reactivos!D126</f>
        <v>Culti loop</v>
      </c>
      <c r="E126" s="29">
        <v>1</v>
      </c>
      <c r="F126" s="212">
        <v>0</v>
      </c>
      <c r="G126" s="214">
        <v>0</v>
      </c>
      <c r="H126" s="221">
        <v>1033812.5</v>
      </c>
      <c r="I126" s="221">
        <v>0</v>
      </c>
      <c r="J126" s="221">
        <v>702100</v>
      </c>
      <c r="K126" s="221">
        <v>0</v>
      </c>
      <c r="L126" s="247">
        <f>AVERAGE(H126,J126)</f>
        <v>867956.25</v>
      </c>
      <c r="M126" s="247"/>
      <c r="N126" s="219">
        <v>571200</v>
      </c>
      <c r="O126" s="97">
        <f>+N126*0.19</f>
        <v>108528</v>
      </c>
      <c r="P126" s="97">
        <f>+O126+N126</f>
        <v>679728</v>
      </c>
      <c r="Q126" s="34" t="s">
        <v>248</v>
      </c>
      <c r="R126" s="116" t="s">
        <v>193</v>
      </c>
      <c r="S126" s="53" t="s">
        <v>209</v>
      </c>
      <c r="T126" s="97"/>
      <c r="U126" s="97"/>
      <c r="V126" s="97"/>
      <c r="W126" s="115"/>
      <c r="X126" s="115"/>
      <c r="Y126" s="11"/>
      <c r="Z126" s="97"/>
      <c r="AA126" s="97"/>
      <c r="AB126" s="97"/>
      <c r="AC126" s="44"/>
      <c r="AD126" s="44"/>
      <c r="AE126" s="11"/>
      <c r="AF126" s="102"/>
      <c r="AG126" s="125"/>
      <c r="AH126" s="97"/>
      <c r="AI126" s="11"/>
      <c r="AJ126" s="11"/>
      <c r="AK126" s="17"/>
      <c r="AL126" s="97"/>
      <c r="AM126" s="97"/>
      <c r="AN126" s="103"/>
      <c r="AO126" s="248"/>
      <c r="AP126" s="17"/>
      <c r="AQ126" s="17"/>
      <c r="AR126" s="252"/>
      <c r="AS126" s="135"/>
      <c r="AT126" s="124"/>
      <c r="AU126" s="52"/>
      <c r="AV126" s="52"/>
      <c r="AW126" s="30"/>
      <c r="AX126" s="100"/>
      <c r="AY126" s="174"/>
      <c r="AZ126" s="124"/>
      <c r="BA126" s="169"/>
      <c r="BB126" s="116"/>
      <c r="BC126" s="116"/>
      <c r="BD126" s="247"/>
      <c r="BE126" s="124"/>
      <c r="BF126" s="124"/>
      <c r="BG126" s="116"/>
      <c r="BH126" s="116"/>
      <c r="BI126" s="116"/>
      <c r="BJ126" s="247"/>
      <c r="BK126" s="102"/>
      <c r="BL126" s="97"/>
      <c r="BM126" s="116"/>
      <c r="BN126" s="116"/>
      <c r="BO126" s="116"/>
      <c r="BP126" s="124"/>
      <c r="BQ126" s="116"/>
      <c r="BR126" s="116"/>
      <c r="BS126" s="116"/>
      <c r="BT126" s="116"/>
      <c r="BU126" s="116"/>
      <c r="BV126" s="188"/>
      <c r="BW126" s="125"/>
      <c r="BX126" s="97"/>
      <c r="BY126" s="246"/>
      <c r="BZ126" s="246"/>
      <c r="CA126" s="116"/>
      <c r="CB126" s="252">
        <v>865000</v>
      </c>
      <c r="CC126" s="125">
        <f t="shared" si="45"/>
        <v>164350</v>
      </c>
      <c r="CD126" s="247">
        <f t="shared" si="46"/>
        <v>1029350</v>
      </c>
      <c r="CE126" s="116"/>
      <c r="CF126" s="116"/>
      <c r="CG126" s="34"/>
      <c r="CH126" s="187"/>
      <c r="CI126" s="195"/>
      <c r="CJ126" s="187"/>
      <c r="CK126" s="246"/>
      <c r="CL126" s="246"/>
      <c r="CM126" s="116"/>
      <c r="CN126" s="247"/>
      <c r="CO126" s="125"/>
      <c r="CP126" s="247"/>
      <c r="CQ126" s="116"/>
      <c r="CR126" s="116"/>
      <c r="CS126" s="116"/>
      <c r="CT126" s="247"/>
      <c r="CU126" s="125"/>
      <c r="CV126" s="247"/>
      <c r="CW126" s="116"/>
      <c r="CX126" s="116"/>
      <c r="CY126" s="116"/>
      <c r="CZ126" s="102"/>
      <c r="DA126" s="125"/>
      <c r="DB126" s="102"/>
      <c r="DC126" s="31"/>
      <c r="DD126" s="17"/>
      <c r="DE126" s="11"/>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
      <c r="EU126" s="11"/>
      <c r="EV126" s="11"/>
      <c r="EW126" s="11"/>
      <c r="EX126" s="11"/>
      <c r="EY126" s="11"/>
      <c r="EZ126" s="11"/>
      <c r="FA126" s="11"/>
      <c r="FB126" s="11"/>
      <c r="FC126" s="11"/>
      <c r="FD126" s="11"/>
      <c r="FE126" s="11"/>
      <c r="FF126" s="11"/>
      <c r="FG126" s="11"/>
      <c r="FH126" s="17">
        <f t="shared" si="40"/>
        <v>1709078</v>
      </c>
      <c r="FI126" s="31">
        <f t="shared" si="41"/>
        <v>2</v>
      </c>
      <c r="FJ126" s="68">
        <f t="shared" si="42"/>
        <v>854539</v>
      </c>
    </row>
    <row r="127" spans="1:166" ht="54" customHeight="1" x14ac:dyDescent="0.25">
      <c r="A127" s="248">
        <f>Distribución_Reactivos!A127</f>
        <v>125</v>
      </c>
      <c r="B127" s="248" t="str">
        <f>Distribución_Reactivos!B127</f>
        <v>Cepa E. coli  ATCC 25922  con certificado  de acreditación con 17034</v>
      </c>
      <c r="C127" s="248" t="str">
        <f>Distribución_Reactivos!C127</f>
        <v>ATCC o Equivalente</v>
      </c>
      <c r="D127" s="248" t="str">
        <f>Distribución_Reactivos!D127</f>
        <v>Vial Liofilizado/ Criovial</v>
      </c>
      <c r="E127" s="29">
        <v>1</v>
      </c>
      <c r="F127" s="212">
        <v>0</v>
      </c>
      <c r="G127" s="214">
        <v>0</v>
      </c>
      <c r="H127" s="221">
        <v>0</v>
      </c>
      <c r="I127" s="221">
        <v>0</v>
      </c>
      <c r="J127" s="221">
        <v>0</v>
      </c>
      <c r="K127" s="221">
        <v>0</v>
      </c>
      <c r="L127" s="247"/>
      <c r="M127" s="247"/>
      <c r="N127" s="219">
        <v>571200</v>
      </c>
      <c r="O127" s="97">
        <f>+N127*0.19</f>
        <v>108528</v>
      </c>
      <c r="P127" s="97">
        <f>+O127+N127</f>
        <v>679728</v>
      </c>
      <c r="Q127" s="34" t="s">
        <v>248</v>
      </c>
      <c r="R127" s="116" t="s">
        <v>193</v>
      </c>
      <c r="S127" s="53" t="s">
        <v>209</v>
      </c>
      <c r="T127" s="97"/>
      <c r="U127" s="97"/>
      <c r="V127" s="97"/>
      <c r="W127" s="115"/>
      <c r="X127" s="115"/>
      <c r="Y127" s="11"/>
      <c r="Z127" s="97"/>
      <c r="AA127" s="97"/>
      <c r="AB127" s="97"/>
      <c r="AC127" s="44"/>
      <c r="AD127" s="44"/>
      <c r="AE127" s="11"/>
      <c r="AF127" s="102"/>
      <c r="AG127" s="125"/>
      <c r="AH127" s="97"/>
      <c r="AI127" s="11"/>
      <c r="AJ127" s="11"/>
      <c r="AK127" s="17"/>
      <c r="AL127" s="97"/>
      <c r="AM127" s="97"/>
      <c r="AN127" s="100"/>
      <c r="AO127" s="248"/>
      <c r="AP127" s="17"/>
      <c r="AQ127" s="17"/>
      <c r="AR127" s="252"/>
      <c r="AS127" s="124"/>
      <c r="AT127" s="100"/>
      <c r="AU127" s="52"/>
      <c r="AV127" s="52"/>
      <c r="AW127" s="30"/>
      <c r="AX127" s="100"/>
      <c r="AY127" s="174"/>
      <c r="AZ127" s="124"/>
      <c r="BA127" s="169"/>
      <c r="BB127" s="116"/>
      <c r="BC127" s="116"/>
      <c r="BD127" s="247"/>
      <c r="BE127" s="124"/>
      <c r="BF127" s="124"/>
      <c r="BG127" s="116"/>
      <c r="BH127" s="116"/>
      <c r="BI127" s="116"/>
      <c r="BJ127" s="124"/>
      <c r="BK127" s="124"/>
      <c r="BL127" s="124"/>
      <c r="BM127" s="116"/>
      <c r="BN127" s="116"/>
      <c r="BO127" s="116"/>
      <c r="BP127" s="124"/>
      <c r="BQ127" s="116"/>
      <c r="BR127" s="116"/>
      <c r="BS127" s="116"/>
      <c r="BT127" s="116"/>
      <c r="BU127" s="116"/>
      <c r="BV127" s="240">
        <v>376000</v>
      </c>
      <c r="BW127" s="125">
        <f>BV127*0</f>
        <v>0</v>
      </c>
      <c r="BX127" s="97">
        <f>+BV127+BW127</f>
        <v>376000</v>
      </c>
      <c r="BY127" s="237" t="s">
        <v>249</v>
      </c>
      <c r="BZ127" s="237" t="s">
        <v>250</v>
      </c>
      <c r="CA127" s="116"/>
      <c r="CB127" s="252">
        <v>865000</v>
      </c>
      <c r="CC127" s="125">
        <f t="shared" si="45"/>
        <v>164350</v>
      </c>
      <c r="CD127" s="247">
        <f t="shared" si="46"/>
        <v>1029350</v>
      </c>
      <c r="CE127" s="116"/>
      <c r="CF127" s="116"/>
      <c r="CG127" s="34"/>
      <c r="CH127" s="236">
        <v>379760</v>
      </c>
      <c r="CI127" s="238">
        <f>+CH127*0</f>
        <v>0</v>
      </c>
      <c r="CJ127" s="236">
        <f>+CH127+CI127</f>
        <v>379760</v>
      </c>
      <c r="CK127" s="237" t="s">
        <v>249</v>
      </c>
      <c r="CL127" s="237" t="s">
        <v>250</v>
      </c>
      <c r="CM127" s="116"/>
      <c r="CN127" s="247"/>
      <c r="CO127" s="125"/>
      <c r="CP127" s="247"/>
      <c r="CQ127" s="116"/>
      <c r="CR127" s="116"/>
      <c r="CS127" s="116"/>
      <c r="CT127" s="247"/>
      <c r="CU127" s="125"/>
      <c r="CV127" s="247"/>
      <c r="CW127" s="116"/>
      <c r="CX127" s="116"/>
      <c r="CY127" s="116"/>
      <c r="CZ127" s="102"/>
      <c r="DA127" s="125"/>
      <c r="DB127" s="102"/>
      <c r="DC127" s="31"/>
      <c r="DD127" s="17"/>
      <c r="DE127" s="11"/>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
      <c r="EU127" s="11"/>
      <c r="EV127" s="11"/>
      <c r="EW127" s="11"/>
      <c r="EX127" s="11"/>
      <c r="EY127" s="11"/>
      <c r="EZ127" s="11"/>
      <c r="FA127" s="11"/>
      <c r="FB127" s="11"/>
      <c r="FC127" s="11"/>
      <c r="FD127" s="11"/>
      <c r="FE127" s="11"/>
      <c r="FF127" s="11"/>
      <c r="FG127" s="11"/>
      <c r="FH127" s="17">
        <f t="shared" si="40"/>
        <v>2464838</v>
      </c>
      <c r="FI127" s="31">
        <f t="shared" si="41"/>
        <v>4</v>
      </c>
      <c r="FJ127" s="68">
        <f t="shared" si="42"/>
        <v>616209.5</v>
      </c>
    </row>
    <row r="128" spans="1:166" ht="54" customHeight="1" x14ac:dyDescent="0.25">
      <c r="A128" s="248">
        <f>Distribución_Reactivos!A128</f>
        <v>126</v>
      </c>
      <c r="B128" s="248" t="str">
        <f>Distribución_Reactivos!B128</f>
        <v>Cepa Ralstonia solanacearum ATCC BAA-1114</v>
      </c>
      <c r="C128" s="248" t="str">
        <f>Distribución_Reactivos!C128</f>
        <v>ATCC</v>
      </c>
      <c r="D128" s="248" t="str">
        <f>Distribución_Reactivos!D128</f>
        <v>Unidad vial</v>
      </c>
      <c r="E128" s="29">
        <v>1</v>
      </c>
      <c r="F128" s="212">
        <v>0</v>
      </c>
      <c r="G128" s="214">
        <v>0</v>
      </c>
      <c r="H128" s="221">
        <v>0</v>
      </c>
      <c r="I128" s="221">
        <v>0</v>
      </c>
      <c r="J128" s="221">
        <v>0</v>
      </c>
      <c r="K128" s="221">
        <v>0</v>
      </c>
      <c r="L128" s="247"/>
      <c r="M128" s="247"/>
      <c r="N128" s="217"/>
      <c r="O128" s="97"/>
      <c r="P128" s="97"/>
      <c r="Q128" s="115"/>
      <c r="R128" s="115"/>
      <c r="S128" s="53"/>
      <c r="T128" s="97"/>
      <c r="U128" s="97"/>
      <c r="V128" s="97"/>
      <c r="W128" s="115"/>
      <c r="X128" s="115"/>
      <c r="Y128" s="11"/>
      <c r="Z128" s="97"/>
      <c r="AA128" s="97"/>
      <c r="AB128" s="97"/>
      <c r="AC128" s="44"/>
      <c r="AD128" s="44"/>
      <c r="AE128" s="11"/>
      <c r="AF128" s="97"/>
      <c r="AG128" s="125"/>
      <c r="AH128" s="97"/>
      <c r="AI128" s="11"/>
      <c r="AJ128" s="11"/>
      <c r="AK128" s="17"/>
      <c r="AL128" s="97"/>
      <c r="AM128" s="97"/>
      <c r="AN128" s="103"/>
      <c r="AO128" s="248"/>
      <c r="AP128" s="17"/>
      <c r="AQ128" s="17"/>
      <c r="AR128" s="252"/>
      <c r="AS128" s="135"/>
      <c r="AT128" s="124"/>
      <c r="AU128" s="52"/>
      <c r="AV128" s="52"/>
      <c r="AW128" s="30"/>
      <c r="AX128" s="100"/>
      <c r="AY128" s="174"/>
      <c r="AZ128" s="124"/>
      <c r="BA128" s="169"/>
      <c r="BB128" s="116"/>
      <c r="BC128" s="116"/>
      <c r="BD128" s="252"/>
      <c r="BE128" s="124"/>
      <c r="BF128" s="124"/>
      <c r="BG128" s="116"/>
      <c r="BH128" s="116"/>
      <c r="BI128" s="116"/>
      <c r="BJ128" s="124"/>
      <c r="BK128" s="124"/>
      <c r="BL128" s="124"/>
      <c r="BM128" s="116"/>
      <c r="BN128" s="116"/>
      <c r="BO128" s="116"/>
      <c r="BP128" s="124"/>
      <c r="BQ128" s="116"/>
      <c r="BR128" s="116"/>
      <c r="BS128" s="116"/>
      <c r="BT128" s="116"/>
      <c r="BU128" s="116"/>
      <c r="BV128" s="188"/>
      <c r="BW128" s="125"/>
      <c r="BX128" s="97"/>
      <c r="BY128" s="246"/>
      <c r="BZ128" s="246"/>
      <c r="CA128" s="116"/>
      <c r="CB128" s="252">
        <v>865000</v>
      </c>
      <c r="CC128" s="125">
        <f t="shared" si="45"/>
        <v>164350</v>
      </c>
      <c r="CD128" s="247">
        <f t="shared" si="46"/>
        <v>1029350</v>
      </c>
      <c r="CE128" s="116"/>
      <c r="CF128" s="116"/>
      <c r="CG128" s="34"/>
      <c r="CH128" s="187"/>
      <c r="CI128" s="195"/>
      <c r="CJ128" s="187"/>
      <c r="CK128" s="246"/>
      <c r="CL128" s="246"/>
      <c r="CM128" s="116"/>
      <c r="CN128" s="252"/>
      <c r="CO128" s="124"/>
      <c r="CP128" s="252"/>
      <c r="CQ128" s="116"/>
      <c r="CR128" s="116"/>
      <c r="CS128" s="116"/>
      <c r="CT128" s="252"/>
      <c r="CU128" s="124"/>
      <c r="CV128" s="252"/>
      <c r="CW128" s="116"/>
      <c r="CX128" s="116"/>
      <c r="CY128" s="116"/>
      <c r="CZ128" s="97"/>
      <c r="DA128" s="124"/>
      <c r="DB128" s="97"/>
      <c r="DC128" s="31"/>
      <c r="DD128" s="17"/>
      <c r="DE128" s="11"/>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
      <c r="EU128" s="11"/>
      <c r="EV128" s="11"/>
      <c r="EW128" s="11"/>
      <c r="EX128" s="11"/>
      <c r="EY128" s="11"/>
      <c r="EZ128" s="11"/>
      <c r="FA128" s="11"/>
      <c r="FB128" s="11"/>
      <c r="FC128" s="11"/>
      <c r="FD128" s="11"/>
      <c r="FE128" s="11"/>
      <c r="FF128" s="11"/>
      <c r="FG128" s="11"/>
      <c r="FH128" s="17">
        <f t="shared" si="40"/>
        <v>1029350</v>
      </c>
      <c r="FI128" s="31">
        <f t="shared" si="41"/>
        <v>1</v>
      </c>
      <c r="FJ128" s="68">
        <f t="shared" si="42"/>
        <v>1029350</v>
      </c>
    </row>
    <row r="129" spans="1:166" ht="54" customHeight="1" x14ac:dyDescent="0.25">
      <c r="A129" s="248">
        <f>Distribución_Reactivos!A129</f>
        <v>127</v>
      </c>
      <c r="B129" s="248" t="str">
        <f>Distribución_Reactivos!B129</f>
        <v xml:space="preserve">Cepa Salmonella ATCC 14028  Fecha  de vencimiento  no  inferior  a 2022 y  con certificado  de acreditación con 17034 primer pase de la colección </v>
      </c>
      <c r="C129" s="248" t="str">
        <f>Distribución_Reactivos!C129</f>
        <v>ATCC o Equivalente</v>
      </c>
      <c r="D129" s="248" t="str">
        <f>Distribución_Reactivos!D129</f>
        <v xml:space="preserve">Vial Liofilizado </v>
      </c>
      <c r="E129" s="29">
        <v>1</v>
      </c>
      <c r="F129" s="212">
        <v>0</v>
      </c>
      <c r="G129" s="214">
        <v>0</v>
      </c>
      <c r="H129" s="221">
        <v>0</v>
      </c>
      <c r="I129" s="221">
        <v>0</v>
      </c>
      <c r="J129" s="221">
        <v>0</v>
      </c>
      <c r="K129" s="221">
        <v>0</v>
      </c>
      <c r="L129" s="247"/>
      <c r="M129" s="247"/>
      <c r="N129" s="219">
        <v>571200</v>
      </c>
      <c r="O129" s="97">
        <f>+N129*0.19</f>
        <v>108528</v>
      </c>
      <c r="P129" s="97">
        <f>+O129+N129</f>
        <v>679728</v>
      </c>
      <c r="Q129" s="34" t="s">
        <v>248</v>
      </c>
      <c r="R129" s="116" t="s">
        <v>193</v>
      </c>
      <c r="S129" s="53" t="s">
        <v>209</v>
      </c>
      <c r="T129" s="97"/>
      <c r="U129" s="97"/>
      <c r="V129" s="97"/>
      <c r="W129" s="115"/>
      <c r="X129" s="115"/>
      <c r="Y129" s="11"/>
      <c r="Z129" s="97"/>
      <c r="AA129" s="97"/>
      <c r="AB129" s="97"/>
      <c r="AC129" s="44"/>
      <c r="AD129" s="44"/>
      <c r="AE129" s="11"/>
      <c r="AF129" s="102"/>
      <c r="AG129" s="125"/>
      <c r="AH129" s="97"/>
      <c r="AI129" s="11"/>
      <c r="AJ129" s="11"/>
      <c r="AK129" s="17"/>
      <c r="AL129" s="97"/>
      <c r="AM129" s="97"/>
      <c r="AN129" s="103"/>
      <c r="AO129" s="248"/>
      <c r="AP129" s="17"/>
      <c r="AQ129" s="17"/>
      <c r="AR129" s="252"/>
      <c r="AS129" s="105"/>
      <c r="AT129" s="124"/>
      <c r="AU129" s="52"/>
      <c r="AV129" s="52"/>
      <c r="AW129" s="30"/>
      <c r="AX129" s="100"/>
      <c r="AY129" s="174"/>
      <c r="AZ129" s="124"/>
      <c r="BA129" s="169"/>
      <c r="BB129" s="116"/>
      <c r="BC129" s="116"/>
      <c r="BD129" s="247"/>
      <c r="BE129" s="124"/>
      <c r="BF129" s="124"/>
      <c r="BG129" s="116"/>
      <c r="BH129" s="116"/>
      <c r="BI129" s="116"/>
      <c r="BJ129" s="124"/>
      <c r="BK129" s="124"/>
      <c r="BL129" s="124"/>
      <c r="BM129" s="116"/>
      <c r="BN129" s="116"/>
      <c r="BO129" s="116"/>
      <c r="BP129" s="124"/>
      <c r="BQ129" s="116"/>
      <c r="BR129" s="116"/>
      <c r="BS129" s="116"/>
      <c r="BT129" s="116"/>
      <c r="BU129" s="116"/>
      <c r="BV129" s="240"/>
      <c r="BW129" s="125"/>
      <c r="BX129" s="97"/>
      <c r="BY129" s="237"/>
      <c r="BZ129" s="237"/>
      <c r="CA129" s="116"/>
      <c r="CB129" s="252">
        <v>865000</v>
      </c>
      <c r="CC129" s="125">
        <f t="shared" si="45"/>
        <v>164350</v>
      </c>
      <c r="CD129" s="247">
        <f t="shared" si="46"/>
        <v>1029350</v>
      </c>
      <c r="CE129" s="116"/>
      <c r="CF129" s="116"/>
      <c r="CG129" s="34"/>
      <c r="CH129" s="236"/>
      <c r="CI129" s="238"/>
      <c r="CJ129" s="236"/>
      <c r="CK129" s="237"/>
      <c r="CL129" s="237"/>
      <c r="CM129" s="116"/>
      <c r="CN129" s="247"/>
      <c r="CO129" s="125"/>
      <c r="CP129" s="247"/>
      <c r="CQ129" s="116"/>
      <c r="CR129" s="116"/>
      <c r="CS129" s="116"/>
      <c r="CT129" s="247"/>
      <c r="CU129" s="125"/>
      <c r="CV129" s="247"/>
      <c r="CW129" s="116"/>
      <c r="CX129" s="116"/>
      <c r="CY129" s="116"/>
      <c r="CZ129" s="102"/>
      <c r="DA129" s="125"/>
      <c r="DB129" s="102"/>
      <c r="DC129" s="31"/>
      <c r="DD129" s="17"/>
      <c r="DE129" s="11"/>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
      <c r="EU129" s="11"/>
      <c r="EV129" s="11"/>
      <c r="EW129" s="11"/>
      <c r="EX129" s="11"/>
      <c r="EY129" s="11"/>
      <c r="EZ129" s="11"/>
      <c r="FA129" s="11"/>
      <c r="FB129" s="11"/>
      <c r="FC129" s="11"/>
      <c r="FD129" s="11"/>
      <c r="FE129" s="11"/>
      <c r="FF129" s="11"/>
      <c r="FG129" s="11"/>
      <c r="FH129" s="17">
        <f t="shared" si="40"/>
        <v>1709078</v>
      </c>
      <c r="FI129" s="31">
        <f t="shared" si="41"/>
        <v>2</v>
      </c>
      <c r="FJ129" s="68">
        <f t="shared" si="42"/>
        <v>854539</v>
      </c>
    </row>
    <row r="130" spans="1:166" ht="54" customHeight="1" x14ac:dyDescent="0.25">
      <c r="A130" s="248">
        <f>Distribución_Reactivos!A130</f>
        <v>128</v>
      </c>
      <c r="B130" s="248" t="str">
        <f>Distribución_Reactivos!B130</f>
        <v xml:space="preserve">Cepa Staphylococcus aureus </v>
      </c>
      <c r="C130" s="248" t="str">
        <f>Distribución_Reactivos!C130</f>
        <v>ATCC 6538</v>
      </c>
      <c r="D130" s="248" t="str">
        <f>Distribución_Reactivos!D130</f>
        <v>Vial</v>
      </c>
      <c r="E130" s="29">
        <v>1</v>
      </c>
      <c r="F130" s="212">
        <v>0</v>
      </c>
      <c r="G130" s="214">
        <v>0</v>
      </c>
      <c r="H130" s="221">
        <v>1735912.5</v>
      </c>
      <c r="I130" s="221">
        <v>0</v>
      </c>
      <c r="J130" s="221">
        <v>1725500</v>
      </c>
      <c r="K130" s="221">
        <v>1725500</v>
      </c>
      <c r="L130" s="247">
        <f>AVERAGE(H130,J130)</f>
        <v>1730706.25</v>
      </c>
      <c r="M130" s="247">
        <f>K130*E1</f>
        <v>1777265</v>
      </c>
      <c r="N130" s="219">
        <v>1337300</v>
      </c>
      <c r="O130" s="97">
        <f>+N130*0.19</f>
        <v>254087</v>
      </c>
      <c r="P130" s="97">
        <f>+O130+N130</f>
        <v>1591387</v>
      </c>
      <c r="Q130" s="34" t="s">
        <v>248</v>
      </c>
      <c r="R130" s="116" t="s">
        <v>193</v>
      </c>
      <c r="S130" s="53" t="s">
        <v>209</v>
      </c>
      <c r="T130" s="97"/>
      <c r="U130" s="97"/>
      <c r="V130" s="97"/>
      <c r="W130" s="115"/>
      <c r="X130" s="115"/>
      <c r="Y130" s="11"/>
      <c r="Z130" s="97"/>
      <c r="AA130" s="97"/>
      <c r="AB130" s="97"/>
      <c r="AC130" s="44"/>
      <c r="AD130" s="44"/>
      <c r="AE130" s="11"/>
      <c r="AF130" s="102"/>
      <c r="AG130" s="125"/>
      <c r="AH130" s="97"/>
      <c r="AI130" s="11"/>
      <c r="AJ130" s="11"/>
      <c r="AK130" s="17"/>
      <c r="AL130" s="97"/>
      <c r="AM130" s="97"/>
      <c r="AN130" s="103"/>
      <c r="AO130" s="248"/>
      <c r="AP130" s="17"/>
      <c r="AQ130" s="17"/>
      <c r="AR130" s="252"/>
      <c r="AS130" s="135"/>
      <c r="AT130" s="124"/>
      <c r="AU130" s="52"/>
      <c r="AV130" s="52"/>
      <c r="AW130" s="30"/>
      <c r="AX130" s="100"/>
      <c r="AY130" s="174"/>
      <c r="AZ130" s="124"/>
      <c r="BA130" s="169"/>
      <c r="BB130" s="116"/>
      <c r="BC130" s="116"/>
      <c r="BD130" s="247"/>
      <c r="BE130" s="247"/>
      <c r="BF130" s="247"/>
      <c r="BG130" s="247"/>
      <c r="BH130" s="116"/>
      <c r="BI130" s="116"/>
      <c r="BJ130" s="124"/>
      <c r="BK130" s="124"/>
      <c r="BL130" s="124"/>
      <c r="BM130" s="116"/>
      <c r="BN130" s="116"/>
      <c r="BO130" s="116"/>
      <c r="BP130" s="124"/>
      <c r="BQ130" s="116"/>
      <c r="BR130" s="116"/>
      <c r="BS130" s="116"/>
      <c r="BT130" s="116"/>
      <c r="BU130" s="116"/>
      <c r="BV130" s="240">
        <v>1502400</v>
      </c>
      <c r="BW130" s="125">
        <f>BV130*0</f>
        <v>0</v>
      </c>
      <c r="BX130" s="97">
        <f>+BV130+BW130</f>
        <v>1502400</v>
      </c>
      <c r="BY130" s="237" t="s">
        <v>251</v>
      </c>
      <c r="BZ130" s="237" t="s">
        <v>250</v>
      </c>
      <c r="CA130" s="116"/>
      <c r="CB130" s="252">
        <v>865000</v>
      </c>
      <c r="CC130" s="125">
        <f t="shared" si="45"/>
        <v>164350</v>
      </c>
      <c r="CD130" s="247">
        <f t="shared" si="46"/>
        <v>1029350</v>
      </c>
      <c r="CE130" s="116"/>
      <c r="CF130" s="116"/>
      <c r="CG130" s="34"/>
      <c r="CH130" s="236">
        <v>1577520</v>
      </c>
      <c r="CI130" s="238">
        <f>+CH130*0</f>
        <v>0</v>
      </c>
      <c r="CJ130" s="236">
        <f>+CH130+CI130</f>
        <v>1577520</v>
      </c>
      <c r="CK130" s="237" t="s">
        <v>251</v>
      </c>
      <c r="CL130" s="237" t="s">
        <v>250</v>
      </c>
      <c r="CM130" s="116"/>
      <c r="CN130" s="247"/>
      <c r="CO130" s="125"/>
      <c r="CP130" s="247"/>
      <c r="CQ130" s="116"/>
      <c r="CR130" s="116"/>
      <c r="CS130" s="116"/>
      <c r="CT130" s="247"/>
      <c r="CU130" s="125"/>
      <c r="CV130" s="247"/>
      <c r="CW130" s="116"/>
      <c r="CX130" s="116"/>
      <c r="CY130" s="116"/>
      <c r="CZ130" s="102"/>
      <c r="DA130" s="125"/>
      <c r="DB130" s="102"/>
      <c r="DC130" s="31"/>
      <c r="DD130" s="17"/>
      <c r="DE130" s="11"/>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
      <c r="EU130" s="11"/>
      <c r="EV130" s="11"/>
      <c r="EW130" s="11"/>
      <c r="EX130" s="11"/>
      <c r="EY130" s="11"/>
      <c r="EZ130" s="11"/>
      <c r="FA130" s="11"/>
      <c r="FB130" s="11"/>
      <c r="FC130" s="11"/>
      <c r="FD130" s="11"/>
      <c r="FE130" s="11"/>
      <c r="FF130" s="11"/>
      <c r="FG130" s="11"/>
      <c r="FH130" s="17">
        <f t="shared" si="40"/>
        <v>7477922</v>
      </c>
      <c r="FI130" s="31">
        <f t="shared" si="41"/>
        <v>5</v>
      </c>
      <c r="FJ130" s="68">
        <f t="shared" si="42"/>
        <v>1495584.4</v>
      </c>
    </row>
    <row r="131" spans="1:166" ht="27" x14ac:dyDescent="0.25">
      <c r="A131" s="248">
        <f>Distribución_Reactivos!A131</f>
        <v>129</v>
      </c>
      <c r="B131" s="248" t="str">
        <f>Distribución_Reactivos!B131</f>
        <v>Cephalexine hidratada CAS 1820673-23-1</v>
      </c>
      <c r="C131" s="248" t="str">
        <f>Distribución_Reactivos!C131</f>
        <v>Sigma</v>
      </c>
      <c r="D131" s="248" t="str">
        <f>Distribución_Reactivos!D131</f>
        <v>Frasco x 5 g</v>
      </c>
      <c r="E131" s="29">
        <v>1</v>
      </c>
      <c r="F131" s="212">
        <v>0</v>
      </c>
      <c r="G131" s="214">
        <v>0</v>
      </c>
      <c r="H131" s="221">
        <v>411383.33333333331</v>
      </c>
      <c r="I131" s="221">
        <v>0</v>
      </c>
      <c r="J131" s="221">
        <v>1254000</v>
      </c>
      <c r="K131" s="221">
        <v>1043000</v>
      </c>
      <c r="L131" s="247">
        <f>AVERAGE(H131,J131)</f>
        <v>832691.66666666663</v>
      </c>
      <c r="M131" s="247">
        <f>K131*E1</f>
        <v>1074290</v>
      </c>
      <c r="N131" s="217"/>
      <c r="O131" s="97"/>
      <c r="P131" s="97"/>
      <c r="Q131" s="115"/>
      <c r="R131" s="115"/>
      <c r="S131" s="53"/>
      <c r="T131" s="97"/>
      <c r="U131" s="101"/>
      <c r="V131" s="97"/>
      <c r="W131" s="115"/>
      <c r="X131" s="115"/>
      <c r="Y131" s="11"/>
      <c r="Z131" s="97"/>
      <c r="AA131" s="97"/>
      <c r="AB131" s="97"/>
      <c r="AC131" s="44"/>
      <c r="AD131" s="44"/>
      <c r="AE131" s="11"/>
      <c r="AF131" s="102"/>
      <c r="AG131" s="125"/>
      <c r="AH131" s="97"/>
      <c r="AI131" s="11"/>
      <c r="AJ131" s="11"/>
      <c r="AK131" s="17"/>
      <c r="AL131" s="97"/>
      <c r="AM131" s="97"/>
      <c r="AN131" s="101"/>
      <c r="AO131" s="248"/>
      <c r="AP131" s="17"/>
      <c r="AQ131" s="17"/>
      <c r="AR131" s="252"/>
      <c r="AS131" s="136"/>
      <c r="AT131" s="137"/>
      <c r="AU131" s="52"/>
      <c r="AV131" s="52"/>
      <c r="AW131" s="30"/>
      <c r="AX131" s="100"/>
      <c r="AY131" s="174"/>
      <c r="AZ131" s="124"/>
      <c r="BA131" s="169"/>
      <c r="BB131" s="116"/>
      <c r="BC131" s="116"/>
      <c r="BD131" s="247"/>
      <c r="BE131" s="124"/>
      <c r="BF131" s="124"/>
      <c r="BG131" s="116"/>
      <c r="BH131" s="116"/>
      <c r="BI131" s="116"/>
      <c r="BJ131" s="124"/>
      <c r="BK131" s="124"/>
      <c r="BL131" s="124"/>
      <c r="BM131" s="116"/>
      <c r="BN131" s="116"/>
      <c r="BO131" s="116"/>
      <c r="BP131" s="124"/>
      <c r="BQ131" s="116"/>
      <c r="BR131" s="116"/>
      <c r="BS131" s="116"/>
      <c r="BT131" s="116"/>
      <c r="BU131" s="116"/>
      <c r="BV131" s="240">
        <v>1284800</v>
      </c>
      <c r="BW131" s="125">
        <f>BV131*19%</f>
        <v>244112</v>
      </c>
      <c r="BX131" s="97">
        <f>+BV131+BW131</f>
        <v>1528912</v>
      </c>
      <c r="BY131" s="237" t="s">
        <v>158</v>
      </c>
      <c r="BZ131" s="237" t="s">
        <v>252</v>
      </c>
      <c r="CA131" s="116"/>
      <c r="CB131" s="247"/>
      <c r="CC131" s="125"/>
      <c r="CD131" s="247"/>
      <c r="CE131" s="116"/>
      <c r="CF131" s="116"/>
      <c r="CG131" s="34"/>
      <c r="CH131" s="236">
        <v>1336192</v>
      </c>
      <c r="CI131" s="238">
        <f>+CH131*0.19</f>
        <v>253876.48000000001</v>
      </c>
      <c r="CJ131" s="236">
        <f>+CH131+CI131</f>
        <v>1590068.48</v>
      </c>
      <c r="CK131" s="237" t="s">
        <v>158</v>
      </c>
      <c r="CL131" s="237" t="s">
        <v>252</v>
      </c>
      <c r="CM131" s="116"/>
      <c r="CN131" s="247"/>
      <c r="CO131" s="125"/>
      <c r="CP131" s="247"/>
      <c r="CQ131" s="116"/>
      <c r="CR131" s="116"/>
      <c r="CS131" s="116"/>
      <c r="CT131" s="247"/>
      <c r="CU131" s="125"/>
      <c r="CV131" s="247"/>
      <c r="CW131" s="116"/>
      <c r="CX131" s="116"/>
      <c r="CY131" s="116"/>
      <c r="CZ131" s="102"/>
      <c r="DA131" s="125"/>
      <c r="DB131" s="102"/>
      <c r="DC131" s="31"/>
      <c r="DD131" s="17"/>
      <c r="DE131" s="11"/>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
      <c r="EU131" s="11"/>
      <c r="EV131" s="11"/>
      <c r="EW131" s="11"/>
      <c r="EX131" s="11"/>
      <c r="EY131" s="11"/>
      <c r="EZ131" s="11"/>
      <c r="FA131" s="11"/>
      <c r="FB131" s="11"/>
      <c r="FC131" s="11"/>
      <c r="FD131" s="11"/>
      <c r="FE131" s="11"/>
      <c r="FF131" s="11"/>
      <c r="FG131" s="11"/>
      <c r="FH131" s="17">
        <f t="shared" si="40"/>
        <v>4193270.48</v>
      </c>
      <c r="FI131" s="31">
        <f t="shared" si="41"/>
        <v>3</v>
      </c>
      <c r="FJ131" s="68">
        <f t="shared" si="42"/>
        <v>1397756.8266666667</v>
      </c>
    </row>
    <row r="132" spans="1:166" ht="51" x14ac:dyDescent="0.25">
      <c r="A132" s="248">
        <f>Distribución_Reactivos!A132</f>
        <v>130</v>
      </c>
      <c r="B132" s="248" t="str">
        <f>Distribución_Reactivos!B132</f>
        <v xml:space="preserve">Chemizorb polvo adsorbente para derrame de sustancias químicas, con certificado de análisis y ficha de seguridad. </v>
      </c>
      <c r="C132" s="248" t="str">
        <f>Distribución_Reactivos!C132</f>
        <v>Cualquier marca</v>
      </c>
      <c r="D132" s="248" t="str">
        <f>Distribución_Reactivos!D132</f>
        <v>Frasco x 500 gr</v>
      </c>
      <c r="E132" s="29">
        <v>1</v>
      </c>
      <c r="F132" s="212">
        <v>0</v>
      </c>
      <c r="G132" s="214">
        <v>0</v>
      </c>
      <c r="H132" s="221">
        <v>0</v>
      </c>
      <c r="I132" s="221">
        <v>0</v>
      </c>
      <c r="J132" s="221">
        <v>0</v>
      </c>
      <c r="K132" s="221">
        <v>0</v>
      </c>
      <c r="L132" s="247"/>
      <c r="M132" s="247"/>
      <c r="N132" s="217"/>
      <c r="O132" s="97"/>
      <c r="P132" s="97"/>
      <c r="Q132" s="115"/>
      <c r="R132" s="115"/>
      <c r="S132" s="53"/>
      <c r="T132" s="97"/>
      <c r="U132" s="101"/>
      <c r="V132" s="97"/>
      <c r="W132" s="115"/>
      <c r="X132" s="115"/>
      <c r="Y132" s="11"/>
      <c r="Z132" s="97"/>
      <c r="AA132" s="97"/>
      <c r="AB132" s="97"/>
      <c r="AC132" s="44"/>
      <c r="AD132" s="44"/>
      <c r="AE132" s="11"/>
      <c r="AF132" s="102">
        <v>330000</v>
      </c>
      <c r="AG132" s="125">
        <f>AF132*19%</f>
        <v>62700</v>
      </c>
      <c r="AH132" s="97">
        <f>+AF132+AG132</f>
        <v>392700</v>
      </c>
      <c r="AI132" s="11"/>
      <c r="AJ132" s="11"/>
      <c r="AK132" s="17"/>
      <c r="AL132" s="97"/>
      <c r="AM132" s="97"/>
      <c r="AN132" s="103"/>
      <c r="AO132" s="248"/>
      <c r="AP132" s="17"/>
      <c r="AQ132" s="17"/>
      <c r="AR132" s="252"/>
      <c r="AS132" s="135"/>
      <c r="AT132" s="124"/>
      <c r="AU132" s="52"/>
      <c r="AV132" s="52"/>
      <c r="AW132" s="30"/>
      <c r="AX132" s="100"/>
      <c r="AY132" s="172"/>
      <c r="AZ132" s="124"/>
      <c r="BA132" s="169"/>
      <c r="BB132" s="116"/>
      <c r="BC132" s="116"/>
      <c r="BD132" s="247"/>
      <c r="BE132" s="124"/>
      <c r="BF132" s="124"/>
      <c r="BG132" s="116"/>
      <c r="BH132" s="116"/>
      <c r="BI132" s="116"/>
      <c r="BJ132" s="124"/>
      <c r="BK132" s="124"/>
      <c r="BL132" s="124"/>
      <c r="BM132" s="116"/>
      <c r="BN132" s="116"/>
      <c r="BO132" s="116"/>
      <c r="BP132" s="124"/>
      <c r="BQ132" s="116"/>
      <c r="BR132" s="116"/>
      <c r="BS132" s="116"/>
      <c r="BT132" s="116"/>
      <c r="BU132" s="116"/>
      <c r="BV132" s="240">
        <v>751200</v>
      </c>
      <c r="BW132" s="125">
        <f>BV132*19%</f>
        <v>142728</v>
      </c>
      <c r="BX132" s="97">
        <f>+BV132+BW132</f>
        <v>893928</v>
      </c>
      <c r="BY132" s="237" t="s">
        <v>247</v>
      </c>
      <c r="BZ132" s="237" t="s">
        <v>93</v>
      </c>
      <c r="CA132" s="116"/>
      <c r="CB132" s="247"/>
      <c r="CC132" s="125"/>
      <c r="CD132" s="247"/>
      <c r="CE132" s="116"/>
      <c r="CF132" s="116"/>
      <c r="CG132" s="34"/>
      <c r="CH132" s="236">
        <v>788760</v>
      </c>
      <c r="CI132" s="238">
        <f>+CH132*0.19</f>
        <v>149864.4</v>
      </c>
      <c r="CJ132" s="236">
        <f>+CH132+CI132</f>
        <v>938624.4</v>
      </c>
      <c r="CK132" s="237" t="s">
        <v>247</v>
      </c>
      <c r="CL132" s="237" t="s">
        <v>93</v>
      </c>
      <c r="CM132" s="116"/>
      <c r="CN132" s="247"/>
      <c r="CO132" s="125"/>
      <c r="CP132" s="247"/>
      <c r="CQ132" s="116"/>
      <c r="CR132" s="116"/>
      <c r="CS132" s="116"/>
      <c r="CT132" s="247"/>
      <c r="CU132" s="125"/>
      <c r="CV132" s="247"/>
      <c r="CW132" s="116"/>
      <c r="CX132" s="116"/>
      <c r="CY132" s="116"/>
      <c r="CZ132" s="102"/>
      <c r="DA132" s="125"/>
      <c r="DB132" s="102"/>
      <c r="DC132" s="31"/>
      <c r="DD132" s="17"/>
      <c r="DE132" s="11"/>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
      <c r="EU132" s="11"/>
      <c r="EV132" s="11"/>
      <c r="EW132" s="11"/>
      <c r="EX132" s="11"/>
      <c r="EY132" s="11"/>
      <c r="EZ132" s="11"/>
      <c r="FA132" s="11"/>
      <c r="FB132" s="11"/>
      <c r="FC132" s="11"/>
      <c r="FD132" s="11"/>
      <c r="FE132" s="11"/>
      <c r="FF132" s="11"/>
      <c r="FG132" s="11"/>
      <c r="FH132" s="17">
        <f t="shared" si="40"/>
        <v>2225252.4</v>
      </c>
      <c r="FI132" s="31">
        <f t="shared" si="41"/>
        <v>3</v>
      </c>
      <c r="FJ132" s="68">
        <f t="shared" si="42"/>
        <v>741750.79999999993</v>
      </c>
    </row>
    <row r="133" spans="1:166" ht="27" x14ac:dyDescent="0.25">
      <c r="A133" s="248">
        <f>Distribución_Reactivos!A133</f>
        <v>131</v>
      </c>
      <c r="B133" s="248" t="str">
        <f>Distribución_Reactivos!B133</f>
        <v>Cicloheximida CAS 66-81-9</v>
      </c>
      <c r="C133" s="248" t="str">
        <f>Distribución_Reactivos!C133</f>
        <v>Sigma</v>
      </c>
      <c r="D133" s="248" t="str">
        <f>Distribución_Reactivos!D133</f>
        <v>Frasco x 5g</v>
      </c>
      <c r="E133" s="29">
        <v>1</v>
      </c>
      <c r="F133" s="212">
        <v>0</v>
      </c>
      <c r="G133" s="214">
        <v>0</v>
      </c>
      <c r="H133" s="221">
        <v>991619.33333333337</v>
      </c>
      <c r="I133" s="221">
        <v>0</v>
      </c>
      <c r="J133" s="221">
        <v>428173.8033333334</v>
      </c>
      <c r="K133" s="221">
        <v>0</v>
      </c>
      <c r="L133" s="247">
        <f>AVERAGE(H133,J133)</f>
        <v>709896.56833333336</v>
      </c>
      <c r="M133" s="247"/>
      <c r="N133" s="217"/>
      <c r="O133" s="97"/>
      <c r="P133" s="97"/>
      <c r="Q133" s="115"/>
      <c r="R133" s="115"/>
      <c r="S133" s="53"/>
      <c r="T133" s="97"/>
      <c r="U133" s="97"/>
      <c r="V133" s="97"/>
      <c r="W133" s="115"/>
      <c r="X133" s="115"/>
      <c r="Y133" s="11"/>
      <c r="Z133" s="97"/>
      <c r="AA133" s="97"/>
      <c r="AB133" s="97"/>
      <c r="AC133" s="44"/>
      <c r="AD133" s="44"/>
      <c r="AE133" s="11"/>
      <c r="AF133" s="102"/>
      <c r="AG133" s="125"/>
      <c r="AH133" s="97"/>
      <c r="AI133" s="11"/>
      <c r="AJ133" s="11"/>
      <c r="AK133" s="17"/>
      <c r="AL133" s="97"/>
      <c r="AM133" s="97"/>
      <c r="AN133" s="101"/>
      <c r="AO133" s="248"/>
      <c r="AP133" s="17"/>
      <c r="AQ133" s="17"/>
      <c r="AR133" s="252">
        <f>282539*5</f>
        <v>1412695</v>
      </c>
      <c r="AS133" s="97">
        <f>+AR133*0.19</f>
        <v>268412.05</v>
      </c>
      <c r="AT133" s="103">
        <f>+AR133+AS133</f>
        <v>1681107.05</v>
      </c>
      <c r="AU133" s="52" t="s">
        <v>253</v>
      </c>
      <c r="AV133" s="52" t="s">
        <v>52</v>
      </c>
      <c r="AW133" s="30"/>
      <c r="AX133" s="100"/>
      <c r="AY133" s="174"/>
      <c r="AZ133" s="124"/>
      <c r="BA133" s="169"/>
      <c r="BB133" s="116"/>
      <c r="BC133" s="116"/>
      <c r="BD133" s="247"/>
      <c r="BE133" s="124"/>
      <c r="BF133" s="124"/>
      <c r="BG133" s="116"/>
      <c r="BH133" s="116"/>
      <c r="BI133" s="116"/>
      <c r="BJ133" s="124"/>
      <c r="BK133" s="124"/>
      <c r="BL133" s="124"/>
      <c r="BM133" s="116"/>
      <c r="BN133" s="116"/>
      <c r="BO133" s="116"/>
      <c r="BP133" s="124"/>
      <c r="BQ133" s="116"/>
      <c r="BR133" s="116"/>
      <c r="BS133" s="116"/>
      <c r="BT133" s="116"/>
      <c r="BU133" s="116"/>
      <c r="BV133" s="240">
        <v>3611000</v>
      </c>
      <c r="BW133" s="125">
        <f>BV133*19%</f>
        <v>686090</v>
      </c>
      <c r="BX133" s="97">
        <f>+BV133+BW133</f>
        <v>4297090</v>
      </c>
      <c r="BY133" s="237" t="s">
        <v>254</v>
      </c>
      <c r="BZ133" s="237" t="s">
        <v>228</v>
      </c>
      <c r="CA133" s="116"/>
      <c r="CB133" s="247"/>
      <c r="CC133" s="125"/>
      <c r="CD133" s="247"/>
      <c r="CE133" s="116"/>
      <c r="CF133" s="116"/>
      <c r="CG133" s="34"/>
      <c r="CH133" s="241">
        <v>3827660</v>
      </c>
      <c r="CI133" s="238">
        <f>+CH133*0.19</f>
        <v>727255.4</v>
      </c>
      <c r="CJ133" s="236">
        <f>+CH133+CI133</f>
        <v>4554915.4000000004</v>
      </c>
      <c r="CK133" s="237" t="s">
        <v>254</v>
      </c>
      <c r="CL133" s="237" t="s">
        <v>228</v>
      </c>
      <c r="CM133" s="116"/>
      <c r="CN133" s="247"/>
      <c r="CO133" s="125"/>
      <c r="CP133" s="247"/>
      <c r="CQ133" s="116"/>
      <c r="CR133" s="116"/>
      <c r="CS133" s="116"/>
      <c r="CT133" s="247"/>
      <c r="CU133" s="125"/>
      <c r="CV133" s="247"/>
      <c r="CW133" s="116"/>
      <c r="CX133" s="116"/>
      <c r="CY133" s="116"/>
      <c r="CZ133" s="102"/>
      <c r="DA133" s="125"/>
      <c r="DB133" s="102"/>
      <c r="DC133" s="31"/>
      <c r="DD133" s="17"/>
      <c r="DE133" s="11"/>
      <c r="DF133" s="116"/>
      <c r="DG133" s="116"/>
      <c r="DH133" s="116"/>
      <c r="DI133" s="116"/>
      <c r="DJ133" s="116"/>
      <c r="DK133" s="116"/>
      <c r="DL133" s="116"/>
      <c r="DM133" s="116"/>
      <c r="DN133" s="116"/>
      <c r="DO133" s="116"/>
      <c r="DP133" s="116"/>
      <c r="DQ133" s="116"/>
      <c r="DR133" s="35"/>
      <c r="DS133" s="35"/>
      <c r="DT133" s="36"/>
      <c r="DU133" s="116"/>
      <c r="DV133" s="116"/>
      <c r="DW133" s="116"/>
      <c r="DX133" s="116"/>
      <c r="DY133" s="116"/>
      <c r="DZ133" s="116"/>
      <c r="EA133" s="116"/>
      <c r="EB133" s="116"/>
      <c r="EC133" s="116"/>
      <c r="ED133" s="116"/>
      <c r="EE133" s="116"/>
      <c r="EF133" s="116"/>
      <c r="EG133" s="35"/>
      <c r="EH133" s="35"/>
      <c r="EI133" s="36"/>
      <c r="EJ133" s="116"/>
      <c r="EK133" s="116"/>
      <c r="EL133" s="116"/>
      <c r="EM133" s="116"/>
      <c r="EN133" s="116"/>
      <c r="EO133" s="116"/>
      <c r="EP133" s="116"/>
      <c r="EQ133" s="116"/>
      <c r="ER133" s="116"/>
      <c r="ES133" s="116"/>
      <c r="ET133" s="11"/>
      <c r="EU133" s="11"/>
      <c r="EV133" s="11"/>
      <c r="EW133" s="11"/>
      <c r="EX133" s="11"/>
      <c r="EY133" s="11"/>
      <c r="EZ133" s="11"/>
      <c r="FA133" s="11"/>
      <c r="FB133" s="11"/>
      <c r="FC133" s="11"/>
      <c r="FD133" s="11"/>
      <c r="FE133" s="11"/>
      <c r="FF133" s="11"/>
      <c r="FG133" s="11"/>
      <c r="FH133" s="17">
        <f t="shared" si="40"/>
        <v>10533112.449999999</v>
      </c>
      <c r="FI133" s="31">
        <f t="shared" si="41"/>
        <v>3</v>
      </c>
      <c r="FJ133" s="68">
        <f t="shared" si="42"/>
        <v>3511037.4833333329</v>
      </c>
    </row>
    <row r="134" spans="1:166" ht="38.25" x14ac:dyDescent="0.25">
      <c r="A134" s="248">
        <f>Distribución_Reactivos!A134</f>
        <v>132</v>
      </c>
      <c r="B134" s="248" t="str">
        <f>Distribución_Reactivos!B134</f>
        <v xml:space="preserve">Citrato de amonio (C6H8O7.2NH3), reactivo analítico </v>
      </c>
      <c r="C134" s="248" t="str">
        <f>Distribución_Reactivos!C134</f>
        <v>Merck (referencia 1011540500) o similar</v>
      </c>
      <c r="D134" s="248" t="str">
        <f>Distribución_Reactivos!D134</f>
        <v>Frasco x 500g</v>
      </c>
      <c r="E134" s="29">
        <v>1</v>
      </c>
      <c r="F134" s="212">
        <v>0</v>
      </c>
      <c r="G134" s="214">
        <v>0</v>
      </c>
      <c r="H134" s="221">
        <v>0</v>
      </c>
      <c r="I134" s="221">
        <v>0</v>
      </c>
      <c r="J134" s="221">
        <v>0</v>
      </c>
      <c r="K134" s="221">
        <v>0</v>
      </c>
      <c r="L134" s="247"/>
      <c r="M134" s="247"/>
      <c r="N134" s="217"/>
      <c r="O134" s="97"/>
      <c r="P134" s="97"/>
      <c r="Q134" s="115"/>
      <c r="R134" s="115"/>
      <c r="S134" s="53"/>
      <c r="T134" s="97"/>
      <c r="U134" s="101"/>
      <c r="V134" s="97"/>
      <c r="W134" s="115"/>
      <c r="X134" s="115"/>
      <c r="Y134" s="11"/>
      <c r="Z134" s="97"/>
      <c r="AA134" s="97"/>
      <c r="AB134" s="97"/>
      <c r="AC134" s="44"/>
      <c r="AD134" s="44"/>
      <c r="AE134" s="11"/>
      <c r="AF134" s="102"/>
      <c r="AG134" s="125"/>
      <c r="AH134" s="97"/>
      <c r="AI134" s="11"/>
      <c r="AJ134" s="11"/>
      <c r="AK134" s="17"/>
      <c r="AL134" s="97"/>
      <c r="AM134" s="97"/>
      <c r="AN134" s="103"/>
      <c r="AO134" s="248"/>
      <c r="AP134" s="17"/>
      <c r="AQ134" s="17"/>
      <c r="AR134" s="252"/>
      <c r="AS134" s="135"/>
      <c r="AT134" s="137"/>
      <c r="AU134" s="52"/>
      <c r="AV134" s="52"/>
      <c r="AW134" s="30"/>
      <c r="AX134" s="100"/>
      <c r="AY134" s="174"/>
      <c r="AZ134" s="124"/>
      <c r="BA134" s="169"/>
      <c r="BB134" s="116"/>
      <c r="BC134" s="116"/>
      <c r="BD134" s="247"/>
      <c r="BE134" s="124"/>
      <c r="BF134" s="124"/>
      <c r="BG134" s="116"/>
      <c r="BH134" s="116"/>
      <c r="BI134" s="116"/>
      <c r="BJ134" s="124"/>
      <c r="BK134" s="124"/>
      <c r="BL134" s="124"/>
      <c r="BM134" s="116"/>
      <c r="BN134" s="116"/>
      <c r="BO134" s="116"/>
      <c r="BP134" s="124"/>
      <c r="BQ134" s="116"/>
      <c r="BR134" s="116"/>
      <c r="BS134" s="116"/>
      <c r="BT134" s="116"/>
      <c r="BU134" s="116"/>
      <c r="BV134" s="240">
        <v>884800</v>
      </c>
      <c r="BW134" s="125">
        <f>BV134*19%</f>
        <v>168112</v>
      </c>
      <c r="BX134" s="97">
        <f>+BV134+BW134</f>
        <v>1052912</v>
      </c>
      <c r="BY134" s="237" t="s">
        <v>78</v>
      </c>
      <c r="BZ134" s="237" t="s">
        <v>83</v>
      </c>
      <c r="CA134" s="116"/>
      <c r="CB134" s="247"/>
      <c r="CC134" s="125"/>
      <c r="CD134" s="247"/>
      <c r="CE134" s="116"/>
      <c r="CF134" s="116"/>
      <c r="CG134" s="34"/>
      <c r="CH134" s="236">
        <v>937888</v>
      </c>
      <c r="CI134" s="238">
        <f>+CH134*0.19</f>
        <v>178198.72</v>
      </c>
      <c r="CJ134" s="236">
        <f>+CH134+CI134</f>
        <v>1116086.72</v>
      </c>
      <c r="CK134" s="237" t="s">
        <v>78</v>
      </c>
      <c r="CL134" s="237" t="s">
        <v>83</v>
      </c>
      <c r="CM134" s="116"/>
      <c r="CN134" s="247"/>
      <c r="CO134" s="125"/>
      <c r="CP134" s="247"/>
      <c r="CQ134" s="116"/>
      <c r="CR134" s="116"/>
      <c r="CS134" s="116"/>
      <c r="CT134" s="125">
        <v>538000</v>
      </c>
      <c r="CU134" s="125">
        <f>CT134*0.19</f>
        <v>102220</v>
      </c>
      <c r="CV134" s="125">
        <f>CU134+CT134</f>
        <v>640220</v>
      </c>
      <c r="CW134" s="116"/>
      <c r="CX134" s="116"/>
      <c r="CY134" s="116"/>
      <c r="CZ134" s="102"/>
      <c r="DA134" s="125"/>
      <c r="DB134" s="102"/>
      <c r="DC134" s="31"/>
      <c r="DD134" s="17"/>
      <c r="DE134" s="11"/>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
      <c r="EU134" s="11"/>
      <c r="EV134" s="11"/>
      <c r="EW134" s="11"/>
      <c r="EX134" s="11"/>
      <c r="EY134" s="11"/>
      <c r="EZ134" s="11"/>
      <c r="FA134" s="11"/>
      <c r="FB134" s="11"/>
      <c r="FC134" s="11"/>
      <c r="FD134" s="11"/>
      <c r="FE134" s="11"/>
      <c r="FF134" s="11"/>
      <c r="FG134" s="11"/>
      <c r="FH134" s="17">
        <f t="shared" si="40"/>
        <v>2809218.7199999997</v>
      </c>
      <c r="FI134" s="31">
        <f t="shared" si="41"/>
        <v>3</v>
      </c>
      <c r="FJ134" s="68">
        <f t="shared" si="42"/>
        <v>936406.23999999987</v>
      </c>
    </row>
    <row r="135" spans="1:166" ht="25.5" x14ac:dyDescent="0.25">
      <c r="A135" s="248">
        <f>Distribución_Reactivos!A135</f>
        <v>133</v>
      </c>
      <c r="B135" s="248" t="str">
        <f>Distribución_Reactivos!B135</f>
        <v>Citrato de sodio con certificado de análisis y ficha de seguridad</v>
      </c>
      <c r="C135" s="248" t="str">
        <f>Distribución_Reactivos!C135</f>
        <v>Merck (Ref. 1064481000)</v>
      </c>
      <c r="D135" s="248" t="str">
        <f>Distribución_Reactivos!D135</f>
        <v>Frasco x 1 g</v>
      </c>
      <c r="E135" s="29">
        <v>1</v>
      </c>
      <c r="F135" s="212">
        <v>0</v>
      </c>
      <c r="G135" s="214">
        <v>0</v>
      </c>
      <c r="H135" s="221">
        <v>294329.40000000002</v>
      </c>
      <c r="I135" s="221">
        <v>0</v>
      </c>
      <c r="J135" s="221">
        <v>246330</v>
      </c>
      <c r="K135" s="221">
        <v>0</v>
      </c>
      <c r="L135" s="247">
        <f>AVERAGE(H135,J135)</f>
        <v>270329.7</v>
      </c>
      <c r="M135" s="247"/>
      <c r="N135" s="217"/>
      <c r="O135" s="97"/>
      <c r="P135" s="97"/>
      <c r="Q135" s="115"/>
      <c r="R135" s="115"/>
      <c r="S135" s="53"/>
      <c r="T135" s="97"/>
      <c r="U135" s="97"/>
      <c r="V135" s="97"/>
      <c r="W135" s="115"/>
      <c r="X135" s="115"/>
      <c r="Y135" s="11"/>
      <c r="Z135" s="97"/>
      <c r="AA135" s="97"/>
      <c r="AB135" s="97"/>
      <c r="AC135" s="44"/>
      <c r="AD135" s="44"/>
      <c r="AE135" s="11"/>
      <c r="AF135" s="102">
        <v>200000</v>
      </c>
      <c r="AG135" s="125">
        <f>AF135*19%</f>
        <v>38000</v>
      </c>
      <c r="AH135" s="97">
        <f>+AF135+AG135</f>
        <v>238000</v>
      </c>
      <c r="AI135" s="11"/>
      <c r="AJ135" s="11"/>
      <c r="AK135" s="17"/>
      <c r="AL135" s="97">
        <v>210000</v>
      </c>
      <c r="AM135" s="97">
        <f>+AL135*0.19</f>
        <v>39900</v>
      </c>
      <c r="AN135" s="103">
        <f>+AL135+AM135</f>
        <v>249900</v>
      </c>
      <c r="AO135" s="248" t="s">
        <v>99</v>
      </c>
      <c r="AP135" s="17" t="s">
        <v>52</v>
      </c>
      <c r="AQ135" s="17"/>
      <c r="AR135" s="252"/>
      <c r="AS135" s="136"/>
      <c r="AT135" s="137"/>
      <c r="AU135" s="52"/>
      <c r="AV135" s="52"/>
      <c r="AW135" s="30"/>
      <c r="AX135" s="100"/>
      <c r="AY135" s="174"/>
      <c r="AZ135" s="124"/>
      <c r="BA135" s="169"/>
      <c r="BB135" s="116"/>
      <c r="BC135" s="116"/>
      <c r="BD135" s="247"/>
      <c r="BE135" s="247"/>
      <c r="BF135" s="247"/>
      <c r="BG135" s="247"/>
      <c r="BH135" s="116"/>
      <c r="BI135" s="116"/>
      <c r="BJ135" s="124"/>
      <c r="BK135" s="124"/>
      <c r="BL135" s="124"/>
      <c r="BM135" s="116"/>
      <c r="BN135" s="116"/>
      <c r="BO135" s="116"/>
      <c r="BP135" s="124"/>
      <c r="BQ135" s="116"/>
      <c r="BR135" s="116"/>
      <c r="BS135" s="116"/>
      <c r="BT135" s="116"/>
      <c r="BU135" s="116"/>
      <c r="BV135" s="188"/>
      <c r="BW135" s="125"/>
      <c r="BX135" s="97"/>
      <c r="BY135" s="246"/>
      <c r="BZ135" s="246"/>
      <c r="CA135" s="116"/>
      <c r="CB135" s="247"/>
      <c r="CC135" s="125"/>
      <c r="CD135" s="247"/>
      <c r="CE135" s="116"/>
      <c r="CF135" s="116"/>
      <c r="CG135" s="34"/>
      <c r="CH135" s="187"/>
      <c r="CI135" s="195"/>
      <c r="CJ135" s="187"/>
      <c r="CK135" s="246"/>
      <c r="CL135" s="246"/>
      <c r="CM135" s="116"/>
      <c r="CN135" s="247"/>
      <c r="CO135" s="125"/>
      <c r="CP135" s="247"/>
      <c r="CQ135" s="116"/>
      <c r="CR135" s="116"/>
      <c r="CS135" s="116"/>
      <c r="CT135" s="247"/>
      <c r="CU135" s="125"/>
      <c r="CV135" s="247"/>
      <c r="CW135" s="116"/>
      <c r="CX135" s="116"/>
      <c r="CY135" s="116"/>
      <c r="CZ135" s="102"/>
      <c r="DA135" s="125"/>
      <c r="DB135" s="102"/>
      <c r="DC135" s="31"/>
      <c r="DD135" s="17"/>
      <c r="DE135" s="11"/>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
      <c r="EU135" s="11"/>
      <c r="EV135" s="11"/>
      <c r="EW135" s="11"/>
      <c r="EX135" s="11"/>
      <c r="EY135" s="11"/>
      <c r="EZ135" s="11"/>
      <c r="FA135" s="11"/>
      <c r="FB135" s="11"/>
      <c r="FC135" s="11"/>
      <c r="FD135" s="11"/>
      <c r="FE135" s="11"/>
      <c r="FF135" s="11"/>
      <c r="FG135" s="11"/>
      <c r="FH135" s="17">
        <f t="shared" si="40"/>
        <v>487900</v>
      </c>
      <c r="FI135" s="31">
        <f t="shared" si="41"/>
        <v>2</v>
      </c>
      <c r="FJ135" s="68">
        <f t="shared" si="42"/>
        <v>243950</v>
      </c>
    </row>
    <row r="136" spans="1:166" ht="38.25" x14ac:dyDescent="0.25">
      <c r="A136" s="248">
        <f>Distribución_Reactivos!A136</f>
        <v>134</v>
      </c>
      <c r="B136" s="248" t="str">
        <f>Distribución_Reactivos!B136</f>
        <v>Cloranfenicol</v>
      </c>
      <c r="C136" s="248" t="str">
        <f>Distribución_Reactivos!C136</f>
        <v>Amresco Gentech 0230 o equivalente</v>
      </c>
      <c r="D136" s="248" t="str">
        <f>Distribución_Reactivos!D136</f>
        <v>Frasco x 25 g</v>
      </c>
      <c r="E136" s="29">
        <v>1</v>
      </c>
      <c r="F136" s="212">
        <v>319851.17499999999</v>
      </c>
      <c r="G136" s="214">
        <v>86632</v>
      </c>
      <c r="H136" s="221">
        <v>400019.53458600002</v>
      </c>
      <c r="I136" s="221">
        <v>90440</v>
      </c>
      <c r="J136" s="221">
        <v>296228.1875</v>
      </c>
      <c r="K136" s="221">
        <v>0</v>
      </c>
      <c r="L136" s="247">
        <f>AVERAGE(F136,H136,J136)</f>
        <v>338699.632362</v>
      </c>
      <c r="M136" s="247">
        <f>AVERAGE(G136,I136)*E1</f>
        <v>91192.08</v>
      </c>
      <c r="N136" s="217"/>
      <c r="O136" s="97"/>
      <c r="P136" s="97"/>
      <c r="Q136" s="115"/>
      <c r="R136" s="115"/>
      <c r="S136" s="53"/>
      <c r="T136" s="97"/>
      <c r="U136" s="101"/>
      <c r="V136" s="97"/>
      <c r="W136" s="115"/>
      <c r="X136" s="115"/>
      <c r="Y136" s="11"/>
      <c r="Z136" s="97"/>
      <c r="AA136" s="97"/>
      <c r="AB136" s="97"/>
      <c r="AC136" s="44"/>
      <c r="AD136" s="44"/>
      <c r="AE136" s="11"/>
      <c r="AF136" s="102"/>
      <c r="AG136" s="125"/>
      <c r="AH136" s="97"/>
      <c r="AI136" s="11"/>
      <c r="AJ136" s="11"/>
      <c r="AK136" s="17"/>
      <c r="AL136" s="97"/>
      <c r="AM136" s="97"/>
      <c r="AN136" s="101"/>
      <c r="AO136" s="248"/>
      <c r="AP136" s="17"/>
      <c r="AQ136" s="17"/>
      <c r="AR136" s="252">
        <v>374400</v>
      </c>
      <c r="AS136" s="97">
        <f>+AR136*0</f>
        <v>0</v>
      </c>
      <c r="AT136" s="103">
        <f>+AR136+AS136</f>
        <v>374400</v>
      </c>
      <c r="AU136" s="52" t="s">
        <v>41</v>
      </c>
      <c r="AV136" s="52" t="s">
        <v>42</v>
      </c>
      <c r="AW136" s="30"/>
      <c r="AX136" s="100"/>
      <c r="AY136" s="174"/>
      <c r="AZ136" s="124"/>
      <c r="BA136" s="169"/>
      <c r="BB136" s="116"/>
      <c r="BC136" s="116"/>
      <c r="BD136" s="247"/>
      <c r="BE136" s="124"/>
      <c r="BF136" s="124"/>
      <c r="BG136" s="116"/>
      <c r="BH136" s="116"/>
      <c r="BI136" s="116"/>
      <c r="BJ136" s="124"/>
      <c r="BK136" s="124"/>
      <c r="BL136" s="124"/>
      <c r="BM136" s="116"/>
      <c r="BN136" s="116"/>
      <c r="BO136" s="116"/>
      <c r="BP136" s="124"/>
      <c r="BQ136" s="116"/>
      <c r="BR136" s="116"/>
      <c r="BS136" s="116"/>
      <c r="BT136" s="116"/>
      <c r="BU136" s="116"/>
      <c r="BV136" s="240">
        <v>491900</v>
      </c>
      <c r="BW136" s="125">
        <f>BV136*19%</f>
        <v>93461</v>
      </c>
      <c r="BX136" s="97">
        <f>+BV136+BW136</f>
        <v>585361</v>
      </c>
      <c r="BY136" s="237" t="s">
        <v>105</v>
      </c>
      <c r="BZ136" s="237" t="s">
        <v>228</v>
      </c>
      <c r="CA136" s="116"/>
      <c r="CB136" s="247"/>
      <c r="CC136" s="125"/>
      <c r="CD136" s="247"/>
      <c r="CE136" s="116"/>
      <c r="CF136" s="116"/>
      <c r="CG136" s="34"/>
      <c r="CH136" s="236">
        <v>511576</v>
      </c>
      <c r="CI136" s="238">
        <f>+CH136*0.19</f>
        <v>97199.44</v>
      </c>
      <c r="CJ136" s="236">
        <f>+CH136+CI136</f>
        <v>608775.43999999994</v>
      </c>
      <c r="CK136" s="237" t="s">
        <v>105</v>
      </c>
      <c r="CL136" s="237" t="s">
        <v>228</v>
      </c>
      <c r="CM136" s="116"/>
      <c r="CN136" s="247"/>
      <c r="CO136" s="125"/>
      <c r="CP136" s="247"/>
      <c r="CQ136" s="116"/>
      <c r="CR136" s="116"/>
      <c r="CS136" s="116"/>
      <c r="CT136" s="247"/>
      <c r="CU136" s="125"/>
      <c r="CV136" s="247"/>
      <c r="CW136" s="116"/>
      <c r="CX136" s="116"/>
      <c r="CY136" s="116"/>
      <c r="CZ136" s="102"/>
      <c r="DA136" s="125"/>
      <c r="DB136" s="102"/>
      <c r="DC136" s="31"/>
      <c r="DD136" s="17"/>
      <c r="DE136" s="11"/>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
      <c r="EU136" s="11"/>
      <c r="EV136" s="11"/>
      <c r="EW136" s="11"/>
      <c r="EX136" s="11"/>
      <c r="EY136" s="11"/>
      <c r="EZ136" s="11"/>
      <c r="FA136" s="11"/>
      <c r="FB136" s="11"/>
      <c r="FC136" s="11"/>
      <c r="FD136" s="11"/>
      <c r="FE136" s="11"/>
      <c r="FF136" s="11"/>
      <c r="FG136" s="11"/>
      <c r="FH136" s="17">
        <f t="shared" si="40"/>
        <v>1659728.52</v>
      </c>
      <c r="FI136" s="31">
        <f t="shared" si="41"/>
        <v>4</v>
      </c>
      <c r="FJ136" s="68">
        <f t="shared" si="42"/>
        <v>414932.13</v>
      </c>
    </row>
    <row r="137" spans="1:166" ht="27" x14ac:dyDescent="0.25">
      <c r="A137" s="248">
        <f>Distribución_Reactivos!A137</f>
        <v>135</v>
      </c>
      <c r="B137" s="248" t="str">
        <f>Distribución_Reactivos!B137</f>
        <v>Cloroformo grado reactivo</v>
      </c>
      <c r="C137" s="248" t="str">
        <f>Distribución_Reactivos!C137</f>
        <v>JT Baker / Merck</v>
      </c>
      <c r="D137" s="248" t="str">
        <f>Distribución_Reactivos!D137</f>
        <v>Frasco x 4 litros</v>
      </c>
      <c r="E137" s="29">
        <v>1</v>
      </c>
      <c r="F137" s="212">
        <v>0</v>
      </c>
      <c r="G137" s="214">
        <v>0</v>
      </c>
      <c r="H137" s="221">
        <v>0</v>
      </c>
      <c r="I137" s="221">
        <v>0</v>
      </c>
      <c r="J137" s="221">
        <v>0</v>
      </c>
      <c r="K137" s="221">
        <v>0</v>
      </c>
      <c r="L137" s="247"/>
      <c r="M137" s="247"/>
      <c r="N137" s="217"/>
      <c r="O137" s="97"/>
      <c r="P137" s="97"/>
      <c r="Q137" s="115"/>
      <c r="R137" s="115"/>
      <c r="S137" s="53"/>
      <c r="T137" s="97"/>
      <c r="U137" s="97"/>
      <c r="V137" s="97"/>
      <c r="W137" s="115"/>
      <c r="X137" s="115"/>
      <c r="Y137" s="11"/>
      <c r="Z137" s="97"/>
      <c r="AA137" s="97"/>
      <c r="AB137" s="97"/>
      <c r="AC137" s="44"/>
      <c r="AD137" s="44"/>
      <c r="AE137" s="11"/>
      <c r="AF137" s="102">
        <v>550000</v>
      </c>
      <c r="AG137" s="125">
        <f>AF137*19%</f>
        <v>104500</v>
      </c>
      <c r="AH137" s="97">
        <f>+AF137+AG137</f>
        <v>654500</v>
      </c>
      <c r="AI137" s="11"/>
      <c r="AJ137" s="11"/>
      <c r="AK137" s="17"/>
      <c r="AL137" s="97">
        <v>425000</v>
      </c>
      <c r="AM137" s="97">
        <f>+AL137*0.19</f>
        <v>80750</v>
      </c>
      <c r="AN137" s="103">
        <f>+AL137+AM137</f>
        <v>505750</v>
      </c>
      <c r="AO137" s="248" t="s">
        <v>86</v>
      </c>
      <c r="AP137" s="17" t="s">
        <v>52</v>
      </c>
      <c r="AQ137" s="17"/>
      <c r="AR137" s="252"/>
      <c r="AS137" s="136"/>
      <c r="AT137" s="137"/>
      <c r="AU137" s="52"/>
      <c r="AV137" s="52"/>
      <c r="AW137" s="30"/>
      <c r="AX137" s="100">
        <v>594893.73352799995</v>
      </c>
      <c r="AY137" s="100">
        <f>+AX137*0.19</f>
        <v>113029.80937032</v>
      </c>
      <c r="AZ137" s="124">
        <f>+AX137+AY137</f>
        <v>707923.54289831989</v>
      </c>
      <c r="BA137" s="169" t="s">
        <v>71</v>
      </c>
      <c r="BB137" s="116" t="s">
        <v>72</v>
      </c>
      <c r="BC137" s="116"/>
      <c r="BD137" s="247"/>
      <c r="BE137" s="124"/>
      <c r="BF137" s="124"/>
      <c r="BG137" s="116"/>
      <c r="BH137" s="116"/>
      <c r="BI137" s="116"/>
      <c r="BJ137" s="124"/>
      <c r="BK137" s="124"/>
      <c r="BL137" s="124"/>
      <c r="BM137" s="116"/>
      <c r="BN137" s="116"/>
      <c r="BO137" s="116"/>
      <c r="BP137" s="124"/>
      <c r="BQ137" s="116"/>
      <c r="BR137" s="116"/>
      <c r="BS137" s="116"/>
      <c r="BT137" s="116"/>
      <c r="BU137" s="116"/>
      <c r="BV137" s="240">
        <v>496400</v>
      </c>
      <c r="BW137" s="125">
        <f>BV137*19%</f>
        <v>94316</v>
      </c>
      <c r="BX137" s="97">
        <f>+BV137+BW137</f>
        <v>590716</v>
      </c>
      <c r="BY137" s="237" t="s">
        <v>73</v>
      </c>
      <c r="BZ137" s="237" t="s">
        <v>83</v>
      </c>
      <c r="CA137" s="116"/>
      <c r="CB137" s="247"/>
      <c r="CC137" s="125"/>
      <c r="CD137" s="247"/>
      <c r="CE137" s="116"/>
      <c r="CF137" s="116"/>
      <c r="CG137" s="34"/>
      <c r="CH137" s="236">
        <v>516256</v>
      </c>
      <c r="CI137" s="238">
        <f>+CH137*0.19</f>
        <v>98088.639999999999</v>
      </c>
      <c r="CJ137" s="236">
        <f>+CH137+CI137</f>
        <v>614344.64</v>
      </c>
      <c r="CK137" s="237" t="s">
        <v>73</v>
      </c>
      <c r="CL137" s="237" t="s">
        <v>83</v>
      </c>
      <c r="CM137" s="116"/>
      <c r="CN137" s="247"/>
      <c r="CO137" s="125"/>
      <c r="CP137" s="247"/>
      <c r="CQ137" s="116"/>
      <c r="CR137" s="116"/>
      <c r="CS137" s="116"/>
      <c r="CT137" s="247"/>
      <c r="CU137" s="125"/>
      <c r="CV137" s="247"/>
      <c r="CW137" s="116"/>
      <c r="CX137" s="116"/>
      <c r="CY137" s="116"/>
      <c r="CZ137" s="102">
        <v>299586</v>
      </c>
      <c r="DA137" s="125">
        <f>+CZ137*0.19</f>
        <v>56921.340000000004</v>
      </c>
      <c r="DB137" s="102">
        <f>+CZ137+DA137</f>
        <v>356507.34</v>
      </c>
      <c r="DC137" s="31" t="s">
        <v>87</v>
      </c>
      <c r="DD137" s="17" t="s">
        <v>65</v>
      </c>
      <c r="DE137" s="11" t="s">
        <v>255</v>
      </c>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
      <c r="EU137" s="11"/>
      <c r="EV137" s="11"/>
      <c r="EW137" s="11"/>
      <c r="EX137" s="11"/>
      <c r="EY137" s="11"/>
      <c r="EZ137" s="11"/>
      <c r="FA137" s="11"/>
      <c r="FB137" s="11"/>
      <c r="FC137" s="11"/>
      <c r="FD137" s="11"/>
      <c r="FE137" s="11"/>
      <c r="FF137" s="11"/>
      <c r="FG137" s="11"/>
      <c r="FH137" s="17">
        <f t="shared" si="40"/>
        <v>3429741.5228983196</v>
      </c>
      <c r="FI137" s="31">
        <f t="shared" si="41"/>
        <v>6</v>
      </c>
      <c r="FJ137" s="68">
        <f t="shared" si="42"/>
        <v>571623.58714971994</v>
      </c>
    </row>
    <row r="138" spans="1:166" ht="27" x14ac:dyDescent="0.25">
      <c r="A138" s="248">
        <f>Distribución_Reactivos!A138</f>
        <v>136</v>
      </c>
      <c r="B138" s="248" t="str">
        <f>Distribución_Reactivos!B138</f>
        <v>Cloroformo 99% Grado Biología Molecular</v>
      </c>
      <c r="C138" s="248" t="str">
        <f>Distribución_Reactivos!C138</f>
        <v>Sigma C2432-500</v>
      </c>
      <c r="D138" s="248" t="str">
        <f>Distribución_Reactivos!D138</f>
        <v>Frasco x 500 ml</v>
      </c>
      <c r="E138" s="29">
        <v>1</v>
      </c>
      <c r="F138" s="212">
        <v>1240991.5</v>
      </c>
      <c r="G138" s="214">
        <v>1191309</v>
      </c>
      <c r="H138" s="221">
        <v>546060.90168999997</v>
      </c>
      <c r="I138" s="221">
        <v>0</v>
      </c>
      <c r="J138" s="221">
        <v>767642.22499999998</v>
      </c>
      <c r="K138" s="221">
        <v>760410</v>
      </c>
      <c r="L138" s="247">
        <f>AVERAGE(F138,H138,J138)</f>
        <v>851564.87556333328</v>
      </c>
      <c r="M138" s="247">
        <f>AVERAGE(G138,K138)*E1</f>
        <v>1005135.285</v>
      </c>
      <c r="N138" s="218"/>
      <c r="O138" s="102"/>
      <c r="P138" s="102"/>
      <c r="Q138" s="44"/>
      <c r="R138" s="44"/>
      <c r="S138" s="5"/>
      <c r="T138" s="102"/>
      <c r="U138" s="102"/>
      <c r="V138" s="102"/>
      <c r="W138" s="11"/>
      <c r="X138" s="11"/>
      <c r="Y138" s="11"/>
      <c r="Z138" s="102"/>
      <c r="AA138" s="102"/>
      <c r="AB138" s="102"/>
      <c r="AC138" s="44"/>
      <c r="AD138" s="44"/>
      <c r="AE138" s="11"/>
      <c r="AF138" s="102"/>
      <c r="AG138" s="125"/>
      <c r="AH138" s="102"/>
      <c r="AI138" s="11"/>
      <c r="AJ138" s="11"/>
      <c r="AK138" s="11"/>
      <c r="AL138" s="102">
        <v>220000</v>
      </c>
      <c r="AM138" s="97">
        <f>+AL138*0.19</f>
        <v>41800</v>
      </c>
      <c r="AN138" s="103">
        <f>+AL138+AM138</f>
        <v>261800</v>
      </c>
      <c r="AO138" s="248" t="s">
        <v>56</v>
      </c>
      <c r="AP138" s="17" t="s">
        <v>52</v>
      </c>
      <c r="AQ138" s="11"/>
      <c r="AR138" s="247"/>
      <c r="AS138" s="247"/>
      <c r="AT138" s="247"/>
      <c r="AU138" s="52"/>
      <c r="AV138" s="42"/>
      <c r="AW138" s="11"/>
      <c r="AX138" s="247"/>
      <c r="AY138" s="247"/>
      <c r="AZ138" s="247"/>
      <c r="BA138" s="11"/>
      <c r="BB138" s="11"/>
      <c r="BC138" s="11"/>
      <c r="BD138" s="247"/>
      <c r="BE138" s="247"/>
      <c r="BF138" s="247"/>
      <c r="BG138" s="11"/>
      <c r="BH138" s="11"/>
      <c r="BI138" s="11"/>
      <c r="BJ138" s="247"/>
      <c r="BK138" s="247"/>
      <c r="BL138" s="247"/>
      <c r="BM138" s="11"/>
      <c r="BN138" s="11"/>
      <c r="BO138" s="11"/>
      <c r="BP138" s="252"/>
      <c r="BQ138" s="11"/>
      <c r="BR138" s="11"/>
      <c r="BS138" s="11"/>
      <c r="BT138" s="11"/>
      <c r="BU138" s="11"/>
      <c r="BV138" s="240">
        <v>459800</v>
      </c>
      <c r="BW138" s="125">
        <f>BV138*19%</f>
        <v>87362</v>
      </c>
      <c r="BX138" s="97">
        <f>+BV138+BW138</f>
        <v>547162</v>
      </c>
      <c r="BY138" s="237" t="s">
        <v>148</v>
      </c>
      <c r="BZ138" s="237" t="s">
        <v>228</v>
      </c>
      <c r="CA138" s="11"/>
      <c r="CB138" s="247"/>
      <c r="CC138" s="125"/>
      <c r="CD138" s="247"/>
      <c r="CE138" s="11"/>
      <c r="CF138" s="11"/>
      <c r="CG138" s="11"/>
      <c r="CH138" s="236">
        <v>468996</v>
      </c>
      <c r="CI138" s="238">
        <f>+CH138*0.19</f>
        <v>89109.24</v>
      </c>
      <c r="CJ138" s="236">
        <f>+CH138+CI138</f>
        <v>558105.24</v>
      </c>
      <c r="CK138" s="237" t="s">
        <v>148</v>
      </c>
      <c r="CL138" s="237" t="s">
        <v>228</v>
      </c>
      <c r="CM138" s="11"/>
      <c r="CN138" s="247"/>
      <c r="CO138" s="125"/>
      <c r="CP138" s="247"/>
      <c r="CQ138" s="11"/>
      <c r="CR138" s="11"/>
      <c r="CS138" s="11"/>
      <c r="CT138" s="125">
        <v>305000</v>
      </c>
      <c r="CU138" s="125">
        <f>CT138*0.19</f>
        <v>57950</v>
      </c>
      <c r="CV138" s="125">
        <f>CU138+CT138</f>
        <v>362950</v>
      </c>
      <c r="CW138" s="11"/>
      <c r="CX138" s="11"/>
      <c r="CY138" s="11"/>
      <c r="CZ138" s="102">
        <v>210345</v>
      </c>
      <c r="DA138" s="125">
        <f>+CZ138*0.19</f>
        <v>39965.550000000003</v>
      </c>
      <c r="DB138" s="102">
        <f>+CZ138+DA138</f>
        <v>250310.55</v>
      </c>
      <c r="DC138" s="31" t="s">
        <v>256</v>
      </c>
      <c r="DD138" s="17" t="s">
        <v>65</v>
      </c>
      <c r="DE138" s="11" t="s">
        <v>257</v>
      </c>
      <c r="DF138" s="11"/>
      <c r="DG138" s="11"/>
      <c r="DH138" s="11"/>
      <c r="DI138" s="11"/>
      <c r="DJ138" s="11"/>
      <c r="DK138" s="11"/>
      <c r="DL138" s="11"/>
      <c r="DM138" s="17"/>
      <c r="DN138" s="17"/>
      <c r="DO138" s="32"/>
      <c r="DP138" s="32"/>
      <c r="DQ138" s="32"/>
      <c r="DR138" s="32"/>
      <c r="DS138" s="32"/>
      <c r="DT138" s="32"/>
      <c r="DU138" s="32"/>
      <c r="DV138" s="32"/>
      <c r="DW138" s="32"/>
      <c r="DX138" s="32"/>
      <c r="DY138" s="32"/>
      <c r="DZ138" s="32"/>
      <c r="EA138" s="32"/>
      <c r="EB138" s="32"/>
      <c r="EC138" s="32"/>
      <c r="ED138" s="32"/>
      <c r="EE138" s="32"/>
      <c r="EF138" s="32"/>
      <c r="EG138" s="32"/>
      <c r="EH138" s="32"/>
      <c r="EI138" s="32"/>
      <c r="EJ138" s="32"/>
      <c r="EK138" s="32"/>
      <c r="EL138" s="32"/>
      <c r="EM138" s="32"/>
      <c r="EN138" s="32"/>
      <c r="EO138" s="11"/>
      <c r="EP138" s="11"/>
      <c r="EQ138" s="11"/>
      <c r="ER138" s="11"/>
      <c r="ES138" s="11"/>
      <c r="ET138" s="11"/>
      <c r="EU138" s="11"/>
      <c r="EV138" s="11"/>
      <c r="EW138" s="11"/>
      <c r="EX138" s="11"/>
      <c r="EY138" s="11"/>
      <c r="EZ138" s="11"/>
      <c r="FA138" s="11"/>
      <c r="FB138" s="11"/>
      <c r="FC138" s="11"/>
      <c r="FD138" s="11"/>
      <c r="FE138" s="11"/>
      <c r="FF138" s="11"/>
      <c r="FG138" s="11"/>
      <c r="FH138" s="17">
        <f t="shared" si="40"/>
        <v>2985463.0750000002</v>
      </c>
      <c r="FI138" s="31">
        <f t="shared" si="41"/>
        <v>6</v>
      </c>
      <c r="FJ138" s="68">
        <f t="shared" si="42"/>
        <v>497577.1791666667</v>
      </c>
    </row>
    <row r="139" spans="1:166" ht="54" customHeight="1" x14ac:dyDescent="0.25">
      <c r="A139" s="248">
        <f>Distribución_Reactivos!A139</f>
        <v>137</v>
      </c>
      <c r="B139" s="248" t="str">
        <f>Distribución_Reactivos!B139</f>
        <v>Clorpirifos deuterado  con certificado de análisis y ficha de seguridad.Fecha  de vencimiento  no  inferior  a 6 meses.</v>
      </c>
      <c r="C139" s="248" t="str">
        <f>Distribución_Reactivos!C139</f>
        <v>Sigma Aldrich, Dr Erhenstorfer o similares</v>
      </c>
      <c r="D139" s="248" t="str">
        <f>Distribución_Reactivos!D139</f>
        <v>Frasco x 25mg</v>
      </c>
      <c r="E139" s="29">
        <v>1</v>
      </c>
      <c r="F139" s="212">
        <v>0</v>
      </c>
      <c r="G139" s="214">
        <v>0</v>
      </c>
      <c r="H139" s="221">
        <v>0</v>
      </c>
      <c r="I139" s="221">
        <v>0</v>
      </c>
      <c r="J139" s="221">
        <v>0</v>
      </c>
      <c r="K139" s="221">
        <v>0</v>
      </c>
      <c r="L139" s="247"/>
      <c r="M139" s="247"/>
      <c r="N139" s="217"/>
      <c r="O139" s="97"/>
      <c r="P139" s="97"/>
      <c r="Q139" s="115"/>
      <c r="R139" s="115"/>
      <c r="S139" s="53"/>
      <c r="T139" s="97"/>
      <c r="U139" s="97"/>
      <c r="V139" s="97"/>
      <c r="W139" s="115"/>
      <c r="X139" s="115"/>
      <c r="Y139" s="11"/>
      <c r="Z139" s="97"/>
      <c r="AA139" s="97"/>
      <c r="AB139" s="97"/>
      <c r="AC139" s="44"/>
      <c r="AD139" s="44"/>
      <c r="AE139" s="11"/>
      <c r="AF139" s="102"/>
      <c r="AG139" s="125"/>
      <c r="AH139" s="97"/>
      <c r="AI139" s="11"/>
      <c r="AJ139" s="11"/>
      <c r="AK139" s="17"/>
      <c r="AL139" s="97"/>
      <c r="AM139" s="97"/>
      <c r="AN139" s="103"/>
      <c r="AO139" s="248"/>
      <c r="AP139" s="17"/>
      <c r="AQ139" s="17"/>
      <c r="AR139" s="252"/>
      <c r="AS139" s="135"/>
      <c r="AT139" s="137"/>
      <c r="AU139" s="52"/>
      <c r="AV139" s="52"/>
      <c r="AW139" s="30"/>
      <c r="AX139" s="100"/>
      <c r="AY139" s="100"/>
      <c r="AZ139" s="124"/>
      <c r="BA139" s="169"/>
      <c r="BB139" s="116"/>
      <c r="BC139" s="116"/>
      <c r="BD139" s="247"/>
      <c r="BE139" s="124"/>
      <c r="BF139" s="124"/>
      <c r="BG139" s="116"/>
      <c r="BH139" s="116"/>
      <c r="BI139" s="116"/>
      <c r="BJ139" s="124"/>
      <c r="BK139" s="124"/>
      <c r="BL139" s="124"/>
      <c r="BM139" s="116"/>
      <c r="BN139" s="116"/>
      <c r="BO139" s="116"/>
      <c r="BP139" s="124"/>
      <c r="BQ139" s="116"/>
      <c r="BR139" s="116"/>
      <c r="BS139" s="116"/>
      <c r="BT139" s="116"/>
      <c r="BU139" s="116"/>
      <c r="BV139" s="188"/>
      <c r="BW139" s="125"/>
      <c r="BX139" s="97"/>
      <c r="BY139" s="246"/>
      <c r="BZ139" s="246"/>
      <c r="CA139" s="116"/>
      <c r="CB139" s="247"/>
      <c r="CC139" s="125"/>
      <c r="CD139" s="247"/>
      <c r="CE139" s="116"/>
      <c r="CF139" s="116"/>
      <c r="CG139" s="34"/>
      <c r="CH139" s="187"/>
      <c r="CI139" s="195"/>
      <c r="CJ139" s="187"/>
      <c r="CK139" s="246"/>
      <c r="CL139" s="246"/>
      <c r="CM139" s="116"/>
      <c r="CN139" s="247">
        <v>1882914</v>
      </c>
      <c r="CO139" s="125">
        <f>+CN139*0.19</f>
        <v>357753.66000000003</v>
      </c>
      <c r="CP139" s="247">
        <f>+CO139+CN139</f>
        <v>2240667.66</v>
      </c>
      <c r="CQ139" s="116"/>
      <c r="CR139" s="116"/>
      <c r="CS139" s="116"/>
      <c r="CT139" s="247"/>
      <c r="CU139" s="125"/>
      <c r="CV139" s="247"/>
      <c r="CW139" s="116"/>
      <c r="CX139" s="116"/>
      <c r="CY139" s="116"/>
      <c r="CZ139" s="102"/>
      <c r="DA139" s="125"/>
      <c r="DB139" s="102"/>
      <c r="DC139" s="31"/>
      <c r="DD139" s="17"/>
      <c r="DE139" s="11"/>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
      <c r="EU139" s="11"/>
      <c r="EV139" s="11"/>
      <c r="EW139" s="11"/>
      <c r="EX139" s="11"/>
      <c r="EY139" s="11"/>
      <c r="EZ139" s="11"/>
      <c r="FA139" s="11"/>
      <c r="FB139" s="11"/>
      <c r="FC139" s="11"/>
      <c r="FD139" s="11"/>
      <c r="FE139" s="11"/>
      <c r="FF139" s="11"/>
      <c r="FG139" s="11"/>
      <c r="FH139" s="17">
        <f t="shared" si="40"/>
        <v>2240667.66</v>
      </c>
      <c r="FI139" s="31">
        <f t="shared" si="41"/>
        <v>1</v>
      </c>
      <c r="FJ139" s="68">
        <f t="shared" si="42"/>
        <v>2240667.66</v>
      </c>
    </row>
    <row r="140" spans="1:166" ht="25.5" x14ac:dyDescent="0.25">
      <c r="A140" s="248">
        <f>Distribución_Reactivos!A140</f>
        <v>138</v>
      </c>
      <c r="B140" s="248" t="str">
        <f>Distribución_Reactivos!B140</f>
        <v>Cloruro de 2,3,5 Trifenil tetrazolio</v>
      </c>
      <c r="C140" s="248" t="str">
        <f>Distribución_Reactivos!C140</f>
        <v>Cualquier marca</v>
      </c>
      <c r="D140" s="248" t="str">
        <f>Distribución_Reactivos!D140</f>
        <v>Frasco x 100 g</v>
      </c>
      <c r="E140" s="29">
        <v>1</v>
      </c>
      <c r="F140" s="212">
        <v>0</v>
      </c>
      <c r="G140" s="214">
        <v>0</v>
      </c>
      <c r="H140" s="221">
        <v>8764112</v>
      </c>
      <c r="I140" s="221">
        <v>0</v>
      </c>
      <c r="J140" s="221">
        <v>2742754.84</v>
      </c>
      <c r="K140" s="221">
        <v>0</v>
      </c>
      <c r="L140" s="247">
        <f>AVERAGE(H140,J140)</f>
        <v>5753433.4199999999</v>
      </c>
      <c r="M140" s="247"/>
      <c r="N140" s="217"/>
      <c r="O140" s="97"/>
      <c r="P140" s="97"/>
      <c r="Q140" s="115"/>
      <c r="R140" s="115"/>
      <c r="S140" s="53"/>
      <c r="T140" s="97"/>
      <c r="U140" s="101"/>
      <c r="V140" s="97"/>
      <c r="W140" s="115"/>
      <c r="X140" s="115"/>
      <c r="Y140" s="11"/>
      <c r="Z140" s="97"/>
      <c r="AA140" s="97"/>
      <c r="AB140" s="97"/>
      <c r="AC140" s="44"/>
      <c r="AD140" s="44"/>
      <c r="AE140" s="11"/>
      <c r="AF140" s="102"/>
      <c r="AG140" s="125"/>
      <c r="AH140" s="97"/>
      <c r="AI140" s="11"/>
      <c r="AJ140" s="11"/>
      <c r="AK140" s="17"/>
      <c r="AL140" s="97"/>
      <c r="AM140" s="97"/>
      <c r="AN140" s="103"/>
      <c r="AO140" s="248"/>
      <c r="AP140" s="17"/>
      <c r="AQ140" s="17"/>
      <c r="AR140" s="252">
        <f>856800*2</f>
        <v>1713600</v>
      </c>
      <c r="AS140" s="97">
        <f t="shared" ref="AS140:AS146" si="47">+AR140*0.19</f>
        <v>325584</v>
      </c>
      <c r="AT140" s="103">
        <f t="shared" ref="AT140:AT146" si="48">+AR140+AS140</f>
        <v>2039184</v>
      </c>
      <c r="AU140" s="52" t="s">
        <v>220</v>
      </c>
      <c r="AV140" s="52" t="s">
        <v>42</v>
      </c>
      <c r="AW140" s="30"/>
      <c r="AX140" s="100"/>
      <c r="AY140" s="100"/>
      <c r="AZ140" s="124"/>
      <c r="BA140" s="169"/>
      <c r="BB140" s="116"/>
      <c r="BC140" s="116"/>
      <c r="BD140" s="247"/>
      <c r="BE140" s="124"/>
      <c r="BF140" s="124"/>
      <c r="BG140" s="116"/>
      <c r="BH140" s="116"/>
      <c r="BI140" s="116"/>
      <c r="BJ140" s="124"/>
      <c r="BK140" s="124"/>
      <c r="BL140" s="124"/>
      <c r="BM140" s="116"/>
      <c r="BN140" s="116"/>
      <c r="BO140" s="116"/>
      <c r="BP140" s="124"/>
      <c r="BQ140" s="116"/>
      <c r="BR140" s="116"/>
      <c r="BS140" s="116"/>
      <c r="BT140" s="116"/>
      <c r="BU140" s="116"/>
      <c r="BV140" s="188"/>
      <c r="BW140" s="125"/>
      <c r="BX140" s="97"/>
      <c r="BY140" s="246"/>
      <c r="BZ140" s="246"/>
      <c r="CA140" s="116"/>
      <c r="CB140" s="247"/>
      <c r="CC140" s="125"/>
      <c r="CD140" s="247"/>
      <c r="CE140" s="116"/>
      <c r="CF140" s="116"/>
      <c r="CG140" s="34"/>
      <c r="CH140" s="187"/>
      <c r="CI140" s="195"/>
      <c r="CJ140" s="187"/>
      <c r="CK140" s="246"/>
      <c r="CL140" s="246"/>
      <c r="CM140" s="116"/>
      <c r="CN140" s="247"/>
      <c r="CO140" s="125"/>
      <c r="CP140" s="247"/>
      <c r="CQ140" s="116"/>
      <c r="CR140" s="116"/>
      <c r="CS140" s="116"/>
      <c r="CT140" s="247"/>
      <c r="CU140" s="125"/>
      <c r="CV140" s="247"/>
      <c r="CW140" s="116"/>
      <c r="CX140" s="116"/>
      <c r="CY140" s="116"/>
      <c r="CZ140" s="102"/>
      <c r="DA140" s="125"/>
      <c r="DB140" s="102"/>
      <c r="DC140" s="31"/>
      <c r="DD140" s="17"/>
      <c r="DE140" s="11"/>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
      <c r="EU140" s="11"/>
      <c r="EV140" s="11"/>
      <c r="EW140" s="11"/>
      <c r="EX140" s="11"/>
      <c r="EY140" s="11"/>
      <c r="EZ140" s="11"/>
      <c r="FA140" s="11"/>
      <c r="FB140" s="11"/>
      <c r="FC140" s="11"/>
      <c r="FD140" s="11"/>
      <c r="FE140" s="11"/>
      <c r="FF140" s="11"/>
      <c r="FG140" s="11"/>
      <c r="FH140" s="17">
        <f t="shared" si="40"/>
        <v>2039184</v>
      </c>
      <c r="FI140" s="31">
        <f t="shared" si="41"/>
        <v>1</v>
      </c>
      <c r="FJ140" s="68">
        <f t="shared" si="42"/>
        <v>2039184</v>
      </c>
    </row>
    <row r="141" spans="1:166" ht="38.25" x14ac:dyDescent="0.25">
      <c r="A141" s="248">
        <f>Distribución_Reactivos!A141</f>
        <v>139</v>
      </c>
      <c r="B141" s="248" t="str">
        <f>Distribución_Reactivos!B141</f>
        <v>Cloruro de amonio NH4Cl ACS Para análisis con certificado de análisis trazable por lote</v>
      </c>
      <c r="C141" s="248" t="str">
        <f>Distribución_Reactivos!C141</f>
        <v>Cualquier marca , panreac, Merck</v>
      </c>
      <c r="D141" s="248" t="str">
        <f>Distribución_Reactivos!D141</f>
        <v xml:space="preserve">Frasco x 500 g </v>
      </c>
      <c r="E141" s="29">
        <v>1</v>
      </c>
      <c r="F141" s="212">
        <v>0</v>
      </c>
      <c r="G141" s="214">
        <v>0</v>
      </c>
      <c r="H141" s="221">
        <v>0</v>
      </c>
      <c r="I141" s="221">
        <v>0</v>
      </c>
      <c r="J141" s="221">
        <v>0</v>
      </c>
      <c r="K141" s="221">
        <v>0</v>
      </c>
      <c r="L141" s="247"/>
      <c r="M141" s="247"/>
      <c r="N141" s="217"/>
      <c r="O141" s="97"/>
      <c r="P141" s="97"/>
      <c r="Q141" s="115"/>
      <c r="R141" s="115"/>
      <c r="S141" s="53"/>
      <c r="T141" s="97"/>
      <c r="U141" s="101"/>
      <c r="V141" s="97"/>
      <c r="W141" s="115"/>
      <c r="X141" s="115"/>
      <c r="Y141" s="11"/>
      <c r="Z141" s="97"/>
      <c r="AA141" s="97"/>
      <c r="AB141" s="97"/>
      <c r="AC141" s="44"/>
      <c r="AD141" s="44"/>
      <c r="AE141" s="11"/>
      <c r="AF141" s="102">
        <v>170000</v>
      </c>
      <c r="AG141" s="125">
        <f>AF141*19%</f>
        <v>32300</v>
      </c>
      <c r="AH141" s="97">
        <f>+AF141+AG141</f>
        <v>202300</v>
      </c>
      <c r="AI141" s="11"/>
      <c r="AJ141" s="11"/>
      <c r="AK141" s="17"/>
      <c r="AL141" s="97">
        <v>160000</v>
      </c>
      <c r="AM141" s="97">
        <f>+AL141*0.19</f>
        <v>30400</v>
      </c>
      <c r="AN141" s="103">
        <f t="shared" ref="AN141:AN148" si="49">+AL141+AM141</f>
        <v>190400</v>
      </c>
      <c r="AO141" s="248" t="s">
        <v>77</v>
      </c>
      <c r="AP141" s="239" t="s">
        <v>52</v>
      </c>
      <c r="AQ141" s="17"/>
      <c r="AR141" s="252">
        <v>388800</v>
      </c>
      <c r="AS141" s="97">
        <f t="shared" si="47"/>
        <v>73872</v>
      </c>
      <c r="AT141" s="103">
        <f t="shared" si="48"/>
        <v>462672</v>
      </c>
      <c r="AU141" s="52" t="s">
        <v>77</v>
      </c>
      <c r="AV141" s="52" t="s">
        <v>42</v>
      </c>
      <c r="AW141" s="30"/>
      <c r="AX141" s="100">
        <v>242283.93</v>
      </c>
      <c r="AY141" s="100">
        <f>+AX141*0.19</f>
        <v>46033.9467</v>
      </c>
      <c r="AZ141" s="124">
        <f>+AX141+AY141</f>
        <v>288317.87670000002</v>
      </c>
      <c r="BA141" s="169" t="s">
        <v>77</v>
      </c>
      <c r="BB141" s="116" t="s">
        <v>72</v>
      </c>
      <c r="BC141" s="116"/>
      <c r="BD141" s="247"/>
      <c r="BE141" s="124"/>
      <c r="BF141" s="124"/>
      <c r="BG141" s="116"/>
      <c r="BH141" s="116"/>
      <c r="BI141" s="116"/>
      <c r="BJ141" s="124"/>
      <c r="BK141" s="124"/>
      <c r="BL141" s="124"/>
      <c r="BM141" s="116"/>
      <c r="BN141" s="116"/>
      <c r="BO141" s="116"/>
      <c r="BP141" s="124"/>
      <c r="BQ141" s="116"/>
      <c r="BR141" s="116"/>
      <c r="BS141" s="116"/>
      <c r="BT141" s="116"/>
      <c r="BU141" s="116"/>
      <c r="BV141" s="240">
        <v>218600</v>
      </c>
      <c r="BW141" s="125">
        <f t="shared" ref="BW141:BW154" si="50">BV141*19%</f>
        <v>41534</v>
      </c>
      <c r="BX141" s="97">
        <f t="shared" ref="BX141:BX154" si="51">+BV141+BW141</f>
        <v>260134</v>
      </c>
      <c r="BY141" s="237" t="s">
        <v>78</v>
      </c>
      <c r="BZ141" s="237" t="s">
        <v>83</v>
      </c>
      <c r="CA141" s="116"/>
      <c r="CB141" s="247"/>
      <c r="CC141" s="125"/>
      <c r="CD141" s="247"/>
      <c r="CE141" s="116"/>
      <c r="CF141" s="116"/>
      <c r="CG141" s="34"/>
      <c r="CH141" s="236">
        <v>220786</v>
      </c>
      <c r="CI141" s="238">
        <f>+CH141*0.19</f>
        <v>41949.340000000004</v>
      </c>
      <c r="CJ141" s="236">
        <f>+CH141+CI141</f>
        <v>262735.34000000003</v>
      </c>
      <c r="CK141" s="237" t="s">
        <v>78</v>
      </c>
      <c r="CL141" s="237" t="s">
        <v>83</v>
      </c>
      <c r="CM141" s="116"/>
      <c r="CN141" s="247"/>
      <c r="CO141" s="125"/>
      <c r="CP141" s="247"/>
      <c r="CQ141" s="116"/>
      <c r="CR141" s="116"/>
      <c r="CS141" s="116"/>
      <c r="CT141" s="247"/>
      <c r="CU141" s="125"/>
      <c r="CV141" s="247"/>
      <c r="CW141" s="116"/>
      <c r="CX141" s="116"/>
      <c r="CY141" s="116"/>
      <c r="CZ141" s="102">
        <v>112552</v>
      </c>
      <c r="DA141" s="125">
        <f>+CZ141*0.19</f>
        <v>21384.880000000001</v>
      </c>
      <c r="DB141" s="102">
        <f>+CZ141+DA141</f>
        <v>133936.88</v>
      </c>
      <c r="DC141" s="31" t="s">
        <v>122</v>
      </c>
      <c r="DD141" s="17" t="s">
        <v>65</v>
      </c>
      <c r="DE141" s="11">
        <v>1011450500</v>
      </c>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
      <c r="EU141" s="11"/>
      <c r="EV141" s="11"/>
      <c r="EW141" s="11"/>
      <c r="EX141" s="11"/>
      <c r="EY141" s="11"/>
      <c r="EZ141" s="11"/>
      <c r="FA141" s="11"/>
      <c r="FB141" s="11"/>
      <c r="FC141" s="11"/>
      <c r="FD141" s="11"/>
      <c r="FE141" s="11"/>
      <c r="FF141" s="11"/>
      <c r="FG141" s="11"/>
      <c r="FH141" s="17">
        <f t="shared" si="40"/>
        <v>1800496.0967000001</v>
      </c>
      <c r="FI141" s="31">
        <f t="shared" si="41"/>
        <v>7</v>
      </c>
      <c r="FJ141" s="68">
        <f t="shared" si="42"/>
        <v>257213.72810000001</v>
      </c>
    </row>
    <row r="142" spans="1:166" ht="32.25" customHeight="1" x14ac:dyDescent="0.25">
      <c r="A142" s="248">
        <f>Distribución_Reactivos!A142</f>
        <v>140</v>
      </c>
      <c r="B142" s="248" t="str">
        <f>Distribución_Reactivos!B142</f>
        <v>Cloruro de calcio dihidratado PA con certificado de análisis trazable por lote</v>
      </c>
      <c r="C142" s="248" t="str">
        <f>Distribución_Reactivos!C142</f>
        <v>Cualquier marca</v>
      </c>
      <c r="D142" s="248" t="str">
        <f>Distribución_Reactivos!D142</f>
        <v xml:space="preserve">Frasco x 250 g </v>
      </c>
      <c r="E142" s="29">
        <v>1</v>
      </c>
      <c r="F142" s="212">
        <v>164553.20000000001</v>
      </c>
      <c r="G142" s="214">
        <v>0</v>
      </c>
      <c r="H142" s="221">
        <v>219715.62496571429</v>
      </c>
      <c r="I142" s="221">
        <v>82110</v>
      </c>
      <c r="J142" s="221">
        <v>332186.12</v>
      </c>
      <c r="K142" s="221">
        <v>323918</v>
      </c>
      <c r="L142" s="247">
        <f>AVERAGE(F142,H142,J142)</f>
        <v>238818.31498857145</v>
      </c>
      <c r="M142" s="247">
        <f>AVERAGE(I142,K142)*E1</f>
        <v>209104.42</v>
      </c>
      <c r="N142" s="217"/>
      <c r="O142" s="97"/>
      <c r="P142" s="97"/>
      <c r="Q142" s="115"/>
      <c r="R142" s="115"/>
      <c r="S142" s="53"/>
      <c r="T142" s="97"/>
      <c r="U142" s="105"/>
      <c r="V142" s="97"/>
      <c r="W142" s="115"/>
      <c r="X142" s="115"/>
      <c r="Y142" s="11"/>
      <c r="Z142" s="97"/>
      <c r="AA142" s="97"/>
      <c r="AB142" s="97"/>
      <c r="AC142" s="44"/>
      <c r="AD142" s="44"/>
      <c r="AE142" s="11"/>
      <c r="AF142" s="102">
        <v>175000</v>
      </c>
      <c r="AG142" s="125">
        <f>AF142*19%</f>
        <v>33250</v>
      </c>
      <c r="AH142" s="97">
        <f>+AF142+AG142</f>
        <v>208250</v>
      </c>
      <c r="AI142" s="11"/>
      <c r="AJ142" s="11"/>
      <c r="AK142" s="17"/>
      <c r="AL142" s="97">
        <v>165000</v>
      </c>
      <c r="AM142" s="97">
        <f>+AL142*0.19</f>
        <v>31350</v>
      </c>
      <c r="AN142" s="103">
        <f t="shared" si="49"/>
        <v>196350</v>
      </c>
      <c r="AO142" s="248" t="s">
        <v>77</v>
      </c>
      <c r="AP142" s="239" t="s">
        <v>52</v>
      </c>
      <c r="AQ142" s="17"/>
      <c r="AR142" s="252">
        <f>532800/2</f>
        <v>266400</v>
      </c>
      <c r="AS142" s="97">
        <f t="shared" si="47"/>
        <v>50616</v>
      </c>
      <c r="AT142" s="103">
        <f t="shared" si="48"/>
        <v>317016</v>
      </c>
      <c r="AU142" s="52" t="s">
        <v>77</v>
      </c>
      <c r="AV142" s="52" t="s">
        <v>42</v>
      </c>
      <c r="AW142" s="30"/>
      <c r="AX142" s="100"/>
      <c r="AY142" s="100"/>
      <c r="AZ142" s="124"/>
      <c r="BA142" s="169"/>
      <c r="BB142" s="116"/>
      <c r="BC142" s="116"/>
      <c r="BD142" s="247"/>
      <c r="BE142" s="124"/>
      <c r="BF142" s="124"/>
      <c r="BG142" s="116"/>
      <c r="BH142" s="116"/>
      <c r="BI142" s="116"/>
      <c r="BJ142" s="124"/>
      <c r="BK142" s="124"/>
      <c r="BL142" s="124"/>
      <c r="BM142" s="116"/>
      <c r="BN142" s="116"/>
      <c r="BO142" s="116"/>
      <c r="BP142" s="124"/>
      <c r="BQ142" s="116"/>
      <c r="BR142" s="116"/>
      <c r="BS142" s="116"/>
      <c r="BT142" s="116"/>
      <c r="BU142" s="116"/>
      <c r="BV142" s="240">
        <v>462000</v>
      </c>
      <c r="BW142" s="125">
        <f t="shared" si="50"/>
        <v>87780</v>
      </c>
      <c r="BX142" s="97">
        <f t="shared" si="51"/>
        <v>549780</v>
      </c>
      <c r="BY142" s="237" t="s">
        <v>84</v>
      </c>
      <c r="BZ142" s="237" t="s">
        <v>52</v>
      </c>
      <c r="CA142" s="116"/>
      <c r="CB142" s="247"/>
      <c r="CC142" s="125"/>
      <c r="CD142" s="247"/>
      <c r="CE142" s="116"/>
      <c r="CF142" s="116"/>
      <c r="CG142" s="34"/>
      <c r="CH142" s="236">
        <v>466620</v>
      </c>
      <c r="CI142" s="238">
        <f>+CH142*0.19</f>
        <v>88657.8</v>
      </c>
      <c r="CJ142" s="236">
        <f>+CH142+CI142</f>
        <v>555277.80000000005</v>
      </c>
      <c r="CK142" s="237" t="s">
        <v>84</v>
      </c>
      <c r="CL142" s="237" t="s">
        <v>52</v>
      </c>
      <c r="CM142" s="116"/>
      <c r="CN142" s="247"/>
      <c r="CO142" s="125"/>
      <c r="CP142" s="247"/>
      <c r="CQ142" s="116"/>
      <c r="CR142" s="116"/>
      <c r="CS142" s="116"/>
      <c r="CT142" s="247"/>
      <c r="CU142" s="125"/>
      <c r="CV142" s="247"/>
      <c r="CW142" s="116"/>
      <c r="CX142" s="116"/>
      <c r="CY142" s="116"/>
      <c r="CZ142" s="102">
        <v>87724</v>
      </c>
      <c r="DA142" s="125">
        <f>+CZ142*0.19</f>
        <v>16667.560000000001</v>
      </c>
      <c r="DB142" s="102">
        <f>+CZ142+DA142</f>
        <v>104391.56</v>
      </c>
      <c r="DC142" s="31" t="s">
        <v>258</v>
      </c>
      <c r="DD142" s="17" t="s">
        <v>65</v>
      </c>
      <c r="DE142" s="11" t="s">
        <v>259</v>
      </c>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
      <c r="EU142" s="11"/>
      <c r="EV142" s="11"/>
      <c r="EW142" s="11"/>
      <c r="EX142" s="11"/>
      <c r="EY142" s="11"/>
      <c r="EZ142" s="11"/>
      <c r="FA142" s="11"/>
      <c r="FB142" s="11"/>
      <c r="FC142" s="11"/>
      <c r="FD142" s="11"/>
      <c r="FE142" s="11"/>
      <c r="FF142" s="11"/>
      <c r="FG142" s="11"/>
      <c r="FH142" s="17">
        <f t="shared" ref="FH142:FH179" si="52">SUM(M142,P142,V142,AB142,AH142,AN142,AT142,AZ142,BF142,BL142,BR142,BX142,CD142,CJ142,CP142,CV142,DB142,DH142,DN142,DT142,DZ142,EF142,EL142,ER142,EX142,FD142)</f>
        <v>2140169.7799999998</v>
      </c>
      <c r="FI142" s="31">
        <f t="shared" ref="FI142:FI179" si="53">COUNTA(M142,N142,T142,Z142,AF142,AL142,AR142,AX142,BD142,BJ142,BP142,BV142,CB142,CH142,CN142,CT142,CZ142,DF142,DL142,DR142,DX142,ED142,EJ142,EP142,EV142,FB142)</f>
        <v>7</v>
      </c>
      <c r="FJ142" s="68">
        <f t="shared" ref="FJ142:FJ179" si="54">IFERROR(FH142/FI142," ")</f>
        <v>305738.53999999998</v>
      </c>
    </row>
    <row r="143" spans="1:166" ht="40.5" x14ac:dyDescent="0.25">
      <c r="A143" s="248">
        <f>Distribución_Reactivos!A143</f>
        <v>141</v>
      </c>
      <c r="B143" s="248" t="str">
        <f>Distribución_Reactivos!B143</f>
        <v>Cloruro de estaño  dihidratado CAS 10025-89-1</v>
      </c>
      <c r="C143" s="248" t="str">
        <f>Distribución_Reactivos!C143</f>
        <v>Merck o equvalentes</v>
      </c>
      <c r="D143" s="248" t="str">
        <f>Distribución_Reactivos!D143</f>
        <v>Frasco X 250 g</v>
      </c>
      <c r="E143" s="29">
        <v>1</v>
      </c>
      <c r="F143" s="212">
        <v>0</v>
      </c>
      <c r="G143" s="214">
        <v>0</v>
      </c>
      <c r="H143" s="221">
        <v>393736.5</v>
      </c>
      <c r="I143" s="221">
        <v>111860</v>
      </c>
      <c r="J143" s="221">
        <v>0</v>
      </c>
      <c r="K143" s="221">
        <v>0</v>
      </c>
      <c r="L143" s="247">
        <f>H143</f>
        <v>393736.5</v>
      </c>
      <c r="M143" s="247">
        <f>I143*E1</f>
        <v>115215.8</v>
      </c>
      <c r="N143" s="217"/>
      <c r="O143" s="97"/>
      <c r="P143" s="97"/>
      <c r="Q143" s="115"/>
      <c r="R143" s="115"/>
      <c r="S143" s="53"/>
      <c r="T143" s="97"/>
      <c r="U143" s="105"/>
      <c r="V143" s="97"/>
      <c r="W143" s="115"/>
      <c r="X143" s="115"/>
      <c r="Y143" s="11"/>
      <c r="Z143" s="97"/>
      <c r="AA143" s="97"/>
      <c r="AB143" s="97"/>
      <c r="AC143" s="44"/>
      <c r="AD143" s="44"/>
      <c r="AE143" s="11"/>
      <c r="AF143" s="102"/>
      <c r="AG143" s="125"/>
      <c r="AH143" s="97"/>
      <c r="AI143" s="11"/>
      <c r="AJ143" s="11"/>
      <c r="AK143" s="17"/>
      <c r="AL143" s="97">
        <v>420000</v>
      </c>
      <c r="AM143" s="97">
        <f>+AL143*0.19</f>
        <v>79800</v>
      </c>
      <c r="AN143" s="103">
        <f t="shared" si="49"/>
        <v>499800</v>
      </c>
      <c r="AO143" s="248" t="s">
        <v>82</v>
      </c>
      <c r="AP143" s="239" t="s">
        <v>52</v>
      </c>
      <c r="AQ143" s="17"/>
      <c r="AR143" s="252">
        <v>398170</v>
      </c>
      <c r="AS143" s="97">
        <f t="shared" si="47"/>
        <v>75652.3</v>
      </c>
      <c r="AT143" s="103">
        <f t="shared" si="48"/>
        <v>473822.3</v>
      </c>
      <c r="AU143" s="52" t="s">
        <v>82</v>
      </c>
      <c r="AV143" s="52" t="s">
        <v>52</v>
      </c>
      <c r="AW143" s="30"/>
      <c r="AX143" s="100"/>
      <c r="AY143" s="100"/>
      <c r="AZ143" s="124"/>
      <c r="BA143" s="169"/>
      <c r="BB143" s="116"/>
      <c r="BC143" s="116"/>
      <c r="BD143" s="247"/>
      <c r="BE143" s="124"/>
      <c r="BF143" s="124"/>
      <c r="BG143" s="116"/>
      <c r="BH143" s="116"/>
      <c r="BI143" s="116"/>
      <c r="BJ143" s="124"/>
      <c r="BK143" s="124"/>
      <c r="BL143" s="124"/>
      <c r="BM143" s="116"/>
      <c r="BN143" s="116"/>
      <c r="BO143" s="116"/>
      <c r="BP143" s="124"/>
      <c r="BQ143" s="116"/>
      <c r="BR143" s="116"/>
      <c r="BS143" s="116"/>
      <c r="BT143" s="116"/>
      <c r="BU143" s="116"/>
      <c r="BV143" s="240">
        <v>1176000</v>
      </c>
      <c r="BW143" s="125">
        <f t="shared" si="50"/>
        <v>223440</v>
      </c>
      <c r="BX143" s="97">
        <f t="shared" si="51"/>
        <v>1399440</v>
      </c>
      <c r="BY143" s="237" t="s">
        <v>84</v>
      </c>
      <c r="BZ143" s="237" t="s">
        <v>52</v>
      </c>
      <c r="CA143" s="116"/>
      <c r="CB143" s="247"/>
      <c r="CC143" s="125"/>
      <c r="CD143" s="247"/>
      <c r="CE143" s="116"/>
      <c r="CF143" s="116"/>
      <c r="CG143" s="34"/>
      <c r="CH143" s="236"/>
      <c r="CI143" s="238"/>
      <c r="CJ143" s="236"/>
      <c r="CK143" s="237"/>
      <c r="CL143" s="237"/>
      <c r="CM143" s="116"/>
      <c r="CN143" s="247"/>
      <c r="CO143" s="125"/>
      <c r="CP143" s="247"/>
      <c r="CQ143" s="116"/>
      <c r="CR143" s="116"/>
      <c r="CS143" s="116"/>
      <c r="CT143" s="247"/>
      <c r="CU143" s="125"/>
      <c r="CV143" s="247"/>
      <c r="CW143" s="116"/>
      <c r="CX143" s="116"/>
      <c r="CY143" s="116"/>
      <c r="CZ143" s="102">
        <v>307310</v>
      </c>
      <c r="DA143" s="125">
        <f>+CZ143*0.19</f>
        <v>58388.9</v>
      </c>
      <c r="DB143" s="102">
        <f>+CZ143+DA143</f>
        <v>365698.9</v>
      </c>
      <c r="DC143" s="31" t="s">
        <v>85</v>
      </c>
      <c r="DD143" s="17" t="s">
        <v>65</v>
      </c>
      <c r="DE143" s="11">
        <v>1078150250</v>
      </c>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
      <c r="EU143" s="11"/>
      <c r="EV143" s="11"/>
      <c r="EW143" s="11"/>
      <c r="EX143" s="11"/>
      <c r="EY143" s="11"/>
      <c r="EZ143" s="11"/>
      <c r="FA143" s="11"/>
      <c r="FB143" s="11"/>
      <c r="FC143" s="11"/>
      <c r="FD143" s="11"/>
      <c r="FE143" s="11"/>
      <c r="FF143" s="11"/>
      <c r="FG143" s="11"/>
      <c r="FH143" s="17">
        <f t="shared" si="52"/>
        <v>2853977</v>
      </c>
      <c r="FI143" s="31">
        <f t="shared" si="53"/>
        <v>5</v>
      </c>
      <c r="FJ143" s="68">
        <f t="shared" si="54"/>
        <v>570795.4</v>
      </c>
    </row>
    <row r="144" spans="1:166" ht="40.5" x14ac:dyDescent="0.25">
      <c r="A144" s="248">
        <f>Distribución_Reactivos!A144</f>
        <v>142</v>
      </c>
      <c r="B144" s="248" t="str">
        <f>Distribución_Reactivos!B144</f>
        <v>Cloruro de Litio (LiCl) grado biología molecular</v>
      </c>
      <c r="C144" s="248" t="str">
        <f>Distribución_Reactivos!C144</f>
        <v>Cualquier marca</v>
      </c>
      <c r="D144" s="248" t="str">
        <f>Distribución_Reactivos!D144</f>
        <v xml:space="preserve">Frasco x 250 g </v>
      </c>
      <c r="E144" s="29">
        <v>1</v>
      </c>
      <c r="F144" s="212">
        <v>646308.04</v>
      </c>
      <c r="G144" s="214">
        <v>626892</v>
      </c>
      <c r="H144" s="221">
        <v>606515.47644300002</v>
      </c>
      <c r="I144" s="221">
        <v>0</v>
      </c>
      <c r="J144" s="221">
        <v>556578.8666666667</v>
      </c>
      <c r="K144" s="221">
        <v>535500</v>
      </c>
      <c r="L144" s="247">
        <f>AVERAGE(F144,H144,J144)</f>
        <v>603134.12770322233</v>
      </c>
      <c r="M144" s="247">
        <f>AVERAGE(G144,K144)*E1</f>
        <v>598631.88</v>
      </c>
      <c r="N144" s="217"/>
      <c r="O144" s="97"/>
      <c r="P144" s="97"/>
      <c r="Q144" s="115"/>
      <c r="R144" s="115"/>
      <c r="S144" s="53"/>
      <c r="T144" s="97"/>
      <c r="U144" s="101"/>
      <c r="V144" s="97"/>
      <c r="W144" s="115"/>
      <c r="X144" s="115"/>
      <c r="Y144" s="11"/>
      <c r="Z144" s="97"/>
      <c r="AA144" s="97"/>
      <c r="AB144" s="97"/>
      <c r="AC144" s="44"/>
      <c r="AD144" s="44"/>
      <c r="AE144" s="11"/>
      <c r="AF144" s="102"/>
      <c r="AG144" s="125"/>
      <c r="AH144" s="97"/>
      <c r="AI144" s="11"/>
      <c r="AJ144" s="11"/>
      <c r="AK144" s="17"/>
      <c r="AL144" s="97">
        <f>1250000/2</f>
        <v>625000</v>
      </c>
      <c r="AM144" s="97">
        <f>+AL144*0.19</f>
        <v>118750</v>
      </c>
      <c r="AN144" s="103">
        <f t="shared" si="49"/>
        <v>743750</v>
      </c>
      <c r="AO144" s="248" t="s">
        <v>77</v>
      </c>
      <c r="AP144" s="239" t="s">
        <v>52</v>
      </c>
      <c r="AQ144" s="17"/>
      <c r="AR144" s="252">
        <v>360000</v>
      </c>
      <c r="AS144" s="97">
        <f t="shared" si="47"/>
        <v>68400</v>
      </c>
      <c r="AT144" s="103">
        <f t="shared" si="48"/>
        <v>428400</v>
      </c>
      <c r="AU144" s="52" t="s">
        <v>82</v>
      </c>
      <c r="AV144" s="52" t="s">
        <v>42</v>
      </c>
      <c r="AW144" s="30"/>
      <c r="AX144" s="100"/>
      <c r="AY144" s="100"/>
      <c r="AZ144" s="124"/>
      <c r="BA144" s="169"/>
      <c r="BB144" s="116"/>
      <c r="BC144" s="116"/>
      <c r="BD144" s="247"/>
      <c r="BE144" s="124"/>
      <c r="BF144" s="124"/>
      <c r="BG144" s="116"/>
      <c r="BH144" s="116"/>
      <c r="BI144" s="116"/>
      <c r="BJ144" s="124"/>
      <c r="BK144" s="124"/>
      <c r="BL144" s="124"/>
      <c r="BM144" s="116"/>
      <c r="BN144" s="116"/>
      <c r="BO144" s="116"/>
      <c r="BP144" s="124"/>
      <c r="BQ144" s="116"/>
      <c r="BR144" s="116"/>
      <c r="BS144" s="116"/>
      <c r="BT144" s="116"/>
      <c r="BU144" s="116"/>
      <c r="BV144" s="240">
        <v>588000</v>
      </c>
      <c r="BW144" s="125">
        <f t="shared" si="50"/>
        <v>111720</v>
      </c>
      <c r="BX144" s="97">
        <f t="shared" si="51"/>
        <v>699720</v>
      </c>
      <c r="BY144" s="237" t="s">
        <v>84</v>
      </c>
      <c r="BZ144" s="237" t="s">
        <v>117</v>
      </c>
      <c r="CA144" s="116"/>
      <c r="CB144" s="247"/>
      <c r="CC144" s="125"/>
      <c r="CD144" s="247"/>
      <c r="CE144" s="116"/>
      <c r="CF144" s="116"/>
      <c r="CG144" s="34"/>
      <c r="CH144" s="236">
        <v>629160</v>
      </c>
      <c r="CI144" s="238">
        <f>+CH144*0.19</f>
        <v>119540.4</v>
      </c>
      <c r="CJ144" s="236">
        <f>+CH144+CI144</f>
        <v>748700.4</v>
      </c>
      <c r="CK144" s="237" t="s">
        <v>84</v>
      </c>
      <c r="CL144" s="237" t="s">
        <v>117</v>
      </c>
      <c r="CM144" s="116"/>
      <c r="CN144" s="247"/>
      <c r="CO144" s="125"/>
      <c r="CP144" s="247"/>
      <c r="CQ144" s="116"/>
      <c r="CR144" s="116"/>
      <c r="CS144" s="116"/>
      <c r="CT144" s="247"/>
      <c r="CU144" s="125"/>
      <c r="CV144" s="247"/>
      <c r="CW144" s="116"/>
      <c r="CX144" s="116"/>
      <c r="CY144" s="116"/>
      <c r="CZ144" s="102">
        <v>658207</v>
      </c>
      <c r="DA144" s="125">
        <f>+CZ144*0.19</f>
        <v>125059.33</v>
      </c>
      <c r="DB144" s="102">
        <f>+CZ144+DA144</f>
        <v>783266.33</v>
      </c>
      <c r="DC144" s="31" t="s">
        <v>260</v>
      </c>
      <c r="DD144" s="17" t="s">
        <v>65</v>
      </c>
      <c r="DE144" s="11">
        <v>1056790250</v>
      </c>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
      <c r="EU144" s="11"/>
      <c r="EV144" s="11"/>
      <c r="EW144" s="11"/>
      <c r="EX144" s="11"/>
      <c r="EY144" s="11"/>
      <c r="EZ144" s="11"/>
      <c r="FA144" s="11"/>
      <c r="FB144" s="11"/>
      <c r="FC144" s="11"/>
      <c r="FD144" s="11"/>
      <c r="FE144" s="11"/>
      <c r="FF144" s="11"/>
      <c r="FG144" s="11"/>
      <c r="FH144" s="17">
        <f t="shared" si="52"/>
        <v>4002468.61</v>
      </c>
      <c r="FI144" s="31">
        <f t="shared" si="53"/>
        <v>6</v>
      </c>
      <c r="FJ144" s="68">
        <f t="shared" si="54"/>
        <v>667078.10166666668</v>
      </c>
    </row>
    <row r="145" spans="1:166" ht="38.25" x14ac:dyDescent="0.25">
      <c r="A145" s="248">
        <f>Distribución_Reactivos!A145</f>
        <v>143</v>
      </c>
      <c r="B145" s="248" t="str">
        <f>Distribución_Reactivos!B145</f>
        <v>Cloruro de magnesio 6-hidratado (MgCl2.6H2O) con certificado de análisis trazable por lote</v>
      </c>
      <c r="C145" s="248" t="str">
        <f>Distribución_Reactivos!C145</f>
        <v>JT Baker, Merck o equivalente</v>
      </c>
      <c r="D145" s="248" t="str">
        <f>Distribución_Reactivos!D145</f>
        <v>Frasco x 500 g</v>
      </c>
      <c r="E145" s="29">
        <v>1</v>
      </c>
      <c r="F145" s="212">
        <v>241335.17333333334</v>
      </c>
      <c r="G145" s="214">
        <v>229194</v>
      </c>
      <c r="H145" s="221">
        <v>231541.92425409524</v>
      </c>
      <c r="I145" s="221">
        <v>93415</v>
      </c>
      <c r="J145" s="221">
        <v>209294.19141129032</v>
      </c>
      <c r="K145" s="221">
        <v>204085</v>
      </c>
      <c r="L145" s="247">
        <f>AVERAGE(F145,H145,J145)</f>
        <v>227390.42966623962</v>
      </c>
      <c r="M145" s="247">
        <f>AVERAGE(G145,I145,K145)*E1</f>
        <v>180831.60666666666</v>
      </c>
      <c r="N145" s="217"/>
      <c r="O145" s="97"/>
      <c r="P145" s="97"/>
      <c r="Q145" s="115"/>
      <c r="R145" s="115"/>
      <c r="S145" s="53"/>
      <c r="T145" s="97"/>
      <c r="U145" s="105"/>
      <c r="V145" s="97"/>
      <c r="W145" s="115"/>
      <c r="X145" s="115"/>
      <c r="Y145" s="11"/>
      <c r="Z145" s="97"/>
      <c r="AA145" s="97"/>
      <c r="AB145" s="97"/>
      <c r="AC145" s="44"/>
      <c r="AD145" s="44"/>
      <c r="AE145" s="11"/>
      <c r="AF145" s="102">
        <v>100000</v>
      </c>
      <c r="AG145" s="125">
        <f>AF145*19%</f>
        <v>19000</v>
      </c>
      <c r="AH145" s="97">
        <f>+AF145+AG145</f>
        <v>119000</v>
      </c>
      <c r="AI145" s="11"/>
      <c r="AJ145" s="11"/>
      <c r="AK145" s="17"/>
      <c r="AL145" s="97">
        <v>220000</v>
      </c>
      <c r="AM145" s="97">
        <f>+AL145*0.19</f>
        <v>41800</v>
      </c>
      <c r="AN145" s="103">
        <f t="shared" si="49"/>
        <v>261800</v>
      </c>
      <c r="AO145" s="248" t="s">
        <v>77</v>
      </c>
      <c r="AP145" s="239" t="s">
        <v>52</v>
      </c>
      <c r="AQ145" s="17"/>
      <c r="AR145" s="252">
        <v>273600</v>
      </c>
      <c r="AS145" s="97">
        <f t="shared" si="47"/>
        <v>51984</v>
      </c>
      <c r="AT145" s="103">
        <f t="shared" si="48"/>
        <v>325584</v>
      </c>
      <c r="AU145" s="52" t="s">
        <v>77</v>
      </c>
      <c r="AV145" s="52" t="s">
        <v>42</v>
      </c>
      <c r="AW145" s="30"/>
      <c r="AX145" s="100">
        <v>95932.457999999999</v>
      </c>
      <c r="AY145" s="100">
        <f>+AX145*0.19</f>
        <v>18227.167020000001</v>
      </c>
      <c r="AZ145" s="124">
        <f>+AX145+AY145</f>
        <v>114159.62502000001</v>
      </c>
      <c r="BA145" s="169" t="s">
        <v>77</v>
      </c>
      <c r="BB145" s="116" t="s">
        <v>72</v>
      </c>
      <c r="BC145" s="116"/>
      <c r="BD145" s="247"/>
      <c r="BE145" s="124"/>
      <c r="BF145" s="124"/>
      <c r="BG145" s="116"/>
      <c r="BH145" s="116"/>
      <c r="BI145" s="116"/>
      <c r="BJ145" s="124"/>
      <c r="BK145" s="124"/>
      <c r="BL145" s="124"/>
      <c r="BM145" s="116"/>
      <c r="BN145" s="116"/>
      <c r="BO145" s="116"/>
      <c r="BP145" s="124"/>
      <c r="BQ145" s="116"/>
      <c r="BR145" s="116"/>
      <c r="BS145" s="116"/>
      <c r="BT145" s="116"/>
      <c r="BU145" s="116"/>
      <c r="BV145" s="240">
        <v>110100</v>
      </c>
      <c r="BW145" s="125">
        <f t="shared" si="50"/>
        <v>20919</v>
      </c>
      <c r="BX145" s="97">
        <f t="shared" si="51"/>
        <v>131019</v>
      </c>
      <c r="BY145" s="237" t="s">
        <v>78</v>
      </c>
      <c r="BZ145" s="237" t="s">
        <v>83</v>
      </c>
      <c r="CA145" s="116"/>
      <c r="CB145" s="247"/>
      <c r="CC145" s="125"/>
      <c r="CD145" s="247"/>
      <c r="CE145" s="116"/>
      <c r="CF145" s="116"/>
      <c r="CG145" s="34"/>
      <c r="CH145" s="236">
        <v>113403</v>
      </c>
      <c r="CI145" s="238">
        <f>+CH145*0.19</f>
        <v>21546.57</v>
      </c>
      <c r="CJ145" s="236">
        <f>+CH145+CI145</f>
        <v>134949.57</v>
      </c>
      <c r="CK145" s="237" t="s">
        <v>78</v>
      </c>
      <c r="CL145" s="237" t="s">
        <v>83</v>
      </c>
      <c r="CM145" s="116"/>
      <c r="CN145" s="247"/>
      <c r="CO145" s="125"/>
      <c r="CP145" s="247"/>
      <c r="CQ145" s="116"/>
      <c r="CR145" s="116"/>
      <c r="CS145" s="116"/>
      <c r="CT145" s="247"/>
      <c r="CU145" s="125"/>
      <c r="CV145" s="247"/>
      <c r="CW145" s="116"/>
      <c r="CX145" s="116"/>
      <c r="CY145" s="116"/>
      <c r="CZ145" s="102"/>
      <c r="DA145" s="125"/>
      <c r="DB145" s="102"/>
      <c r="DC145" s="31"/>
      <c r="DD145" s="17"/>
      <c r="DE145" s="11"/>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
      <c r="EU145" s="11"/>
      <c r="EV145" s="11"/>
      <c r="EW145" s="11"/>
      <c r="EX145" s="11"/>
      <c r="EY145" s="11"/>
      <c r="EZ145" s="11"/>
      <c r="FA145" s="11"/>
      <c r="FB145" s="11"/>
      <c r="FC145" s="11"/>
      <c r="FD145" s="11"/>
      <c r="FE145" s="11"/>
      <c r="FF145" s="11"/>
      <c r="FG145" s="11"/>
      <c r="FH145" s="17">
        <f t="shared" si="52"/>
        <v>1267343.8016866667</v>
      </c>
      <c r="FI145" s="31">
        <f t="shared" si="53"/>
        <v>7</v>
      </c>
      <c r="FJ145" s="68">
        <f t="shared" si="54"/>
        <v>181049.11452666667</v>
      </c>
    </row>
    <row r="146" spans="1:166" ht="27" x14ac:dyDescent="0.25">
      <c r="A146" s="248">
        <f>Distribución_Reactivos!A146</f>
        <v>144</v>
      </c>
      <c r="B146" s="248" t="str">
        <f>Distribución_Reactivos!B146</f>
        <v>Cloruro de potasio (KCl)  con certificado de análisis y ficha de seguridad</v>
      </c>
      <c r="C146" s="248" t="str">
        <f>Distribución_Reactivos!C146</f>
        <v>Merck  o equivalente</v>
      </c>
      <c r="D146" s="248" t="str">
        <f>Distribución_Reactivos!D146</f>
        <v>Frasco x 500 g</v>
      </c>
      <c r="E146" s="29">
        <v>1</v>
      </c>
      <c r="F146" s="212">
        <v>0</v>
      </c>
      <c r="G146" s="214">
        <v>0</v>
      </c>
      <c r="H146" s="221">
        <v>0</v>
      </c>
      <c r="I146" s="221">
        <v>0</v>
      </c>
      <c r="J146" s="221">
        <v>0</v>
      </c>
      <c r="K146" s="221">
        <v>0</v>
      </c>
      <c r="L146" s="247"/>
      <c r="M146" s="247"/>
      <c r="N146" s="217"/>
      <c r="O146" s="97"/>
      <c r="P146" s="97"/>
      <c r="Q146" s="115"/>
      <c r="R146" s="115"/>
      <c r="S146" s="53"/>
      <c r="T146" s="97"/>
      <c r="U146" s="101"/>
      <c r="V146" s="97"/>
      <c r="W146" s="115"/>
      <c r="X146" s="115"/>
      <c r="Y146" s="11"/>
      <c r="Z146" s="97"/>
      <c r="AA146" s="97"/>
      <c r="AB146" s="97"/>
      <c r="AC146" s="44"/>
      <c r="AD146" s="44"/>
      <c r="AE146" s="11"/>
      <c r="AF146" s="102">
        <v>430000</v>
      </c>
      <c r="AG146" s="125">
        <f>AF146*19%</f>
        <v>81700</v>
      </c>
      <c r="AH146" s="97">
        <f>+AF146+AG146</f>
        <v>511700</v>
      </c>
      <c r="AI146" s="11"/>
      <c r="AJ146" s="11"/>
      <c r="AK146" s="17"/>
      <c r="AL146" s="97">
        <v>112000</v>
      </c>
      <c r="AM146" s="97">
        <f>+AL146*0</f>
        <v>0</v>
      </c>
      <c r="AN146" s="103">
        <f t="shared" si="49"/>
        <v>112000</v>
      </c>
      <c r="AO146" s="248" t="s">
        <v>77</v>
      </c>
      <c r="AP146" s="239" t="s">
        <v>52</v>
      </c>
      <c r="AQ146" s="17"/>
      <c r="AR146" s="252">
        <v>108000</v>
      </c>
      <c r="AS146" s="97">
        <f t="shared" si="47"/>
        <v>20520</v>
      </c>
      <c r="AT146" s="103">
        <f t="shared" si="48"/>
        <v>128520</v>
      </c>
      <c r="AU146" s="52" t="s">
        <v>261</v>
      </c>
      <c r="AV146" s="52" t="s">
        <v>42</v>
      </c>
      <c r="AW146" s="30"/>
      <c r="AX146" s="100">
        <v>77197.319999999992</v>
      </c>
      <c r="AY146" s="100">
        <f>+AX146*0.19</f>
        <v>14667.4908</v>
      </c>
      <c r="AZ146" s="124">
        <f>+AX146+AY146</f>
        <v>91864.810799999992</v>
      </c>
      <c r="BA146" s="169" t="s">
        <v>77</v>
      </c>
      <c r="BB146" s="116" t="s">
        <v>72</v>
      </c>
      <c r="BC146" s="116"/>
      <c r="BD146" s="247"/>
      <c r="BE146" s="124"/>
      <c r="BF146" s="124"/>
      <c r="BG146" s="116"/>
      <c r="BH146" s="116"/>
      <c r="BI146" s="116"/>
      <c r="BJ146" s="124"/>
      <c r="BK146" s="124"/>
      <c r="BL146" s="124"/>
      <c r="BM146" s="116"/>
      <c r="BN146" s="116"/>
      <c r="BO146" s="116"/>
      <c r="BP146" s="124"/>
      <c r="BQ146" s="116"/>
      <c r="BR146" s="116"/>
      <c r="BS146" s="116"/>
      <c r="BT146" s="116"/>
      <c r="BU146" s="116"/>
      <c r="BV146" s="240">
        <v>279000</v>
      </c>
      <c r="BW146" s="125">
        <f t="shared" si="50"/>
        <v>53010</v>
      </c>
      <c r="BX146" s="97">
        <f t="shared" si="51"/>
        <v>332010</v>
      </c>
      <c r="BY146" s="237" t="s">
        <v>78</v>
      </c>
      <c r="BZ146" s="237" t="s">
        <v>83</v>
      </c>
      <c r="CA146" s="116"/>
      <c r="CB146" s="247"/>
      <c r="CC146" s="125"/>
      <c r="CD146" s="247"/>
      <c r="CE146" s="116"/>
      <c r="CF146" s="116"/>
      <c r="CG146" s="34"/>
      <c r="CH146" s="236">
        <v>298530</v>
      </c>
      <c r="CI146" s="238">
        <f>+CH146*0.19</f>
        <v>56720.7</v>
      </c>
      <c r="CJ146" s="236">
        <f>+CH146+CI146</f>
        <v>355250.7</v>
      </c>
      <c r="CK146" s="237" t="s">
        <v>78</v>
      </c>
      <c r="CL146" s="237" t="s">
        <v>83</v>
      </c>
      <c r="CM146" s="116"/>
      <c r="CN146" s="247"/>
      <c r="CO146" s="125"/>
      <c r="CP146" s="247"/>
      <c r="CQ146" s="116"/>
      <c r="CR146" s="116"/>
      <c r="CS146" s="116"/>
      <c r="CT146" s="125">
        <v>444000</v>
      </c>
      <c r="CU146" s="125">
        <f>+CT146*0</f>
        <v>0</v>
      </c>
      <c r="CV146" s="125">
        <f>CT146</f>
        <v>444000</v>
      </c>
      <c r="CW146" s="116"/>
      <c r="CX146" s="116"/>
      <c r="CY146" s="116"/>
      <c r="CZ146" s="102"/>
      <c r="DA146" s="125"/>
      <c r="DB146" s="102"/>
      <c r="DC146" s="31"/>
      <c r="DD146" s="17"/>
      <c r="DE146" s="11"/>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
      <c r="EU146" s="11"/>
      <c r="EV146" s="11"/>
      <c r="EW146" s="11"/>
      <c r="EX146" s="11"/>
      <c r="EY146" s="11"/>
      <c r="EZ146" s="11"/>
      <c r="FA146" s="11"/>
      <c r="FB146" s="11"/>
      <c r="FC146" s="11"/>
      <c r="FD146" s="11"/>
      <c r="FE146" s="11"/>
      <c r="FF146" s="11"/>
      <c r="FG146" s="11"/>
      <c r="FH146" s="17">
        <f t="shared" si="52"/>
        <v>1975345.5108</v>
      </c>
      <c r="FI146" s="31">
        <f t="shared" si="53"/>
        <v>7</v>
      </c>
      <c r="FJ146" s="68">
        <f t="shared" si="54"/>
        <v>282192.21582857141</v>
      </c>
    </row>
    <row r="147" spans="1:166" ht="51" x14ac:dyDescent="0.25">
      <c r="A147" s="248">
        <f>Distribución_Reactivos!A147</f>
        <v>145</v>
      </c>
      <c r="B147" s="248" t="str">
        <f>Distribución_Reactivos!B147</f>
        <v>Cloruro de Potasio 3M para electrodos, Con certificado de análisis e incertidumbre. Fecha de vencimiento no inferior a 2 años</v>
      </c>
      <c r="C147" s="248" t="str">
        <f>Distribución_Reactivos!C147</f>
        <v>3M</v>
      </c>
      <c r="D147" s="248" t="str">
        <f>Distribución_Reactivos!D147</f>
        <v>Frasco x 250 mL</v>
      </c>
      <c r="E147" s="29">
        <v>1</v>
      </c>
      <c r="F147" s="212">
        <v>203252</v>
      </c>
      <c r="G147" s="214">
        <v>44506</v>
      </c>
      <c r="H147" s="221">
        <v>130975.3103505</v>
      </c>
      <c r="I147" s="221">
        <v>48790</v>
      </c>
      <c r="J147" s="221">
        <v>162343.76666666666</v>
      </c>
      <c r="K147" s="221">
        <v>0</v>
      </c>
      <c r="L147" s="247">
        <f>AVERAGE(F147,H147,J147)</f>
        <v>165523.69233905556</v>
      </c>
      <c r="M147" s="247">
        <f>AVERAGE(G147,I147)*E1</f>
        <v>48047.44</v>
      </c>
      <c r="N147" s="217"/>
      <c r="O147" s="97"/>
      <c r="P147" s="97"/>
      <c r="Q147" s="115"/>
      <c r="R147" s="115"/>
      <c r="S147" s="53"/>
      <c r="T147" s="97"/>
      <c r="U147" s="101"/>
      <c r="V147" s="97"/>
      <c r="W147" s="115"/>
      <c r="X147" s="115"/>
      <c r="Y147" s="11"/>
      <c r="Z147" s="97"/>
      <c r="AA147" s="97"/>
      <c r="AB147" s="97"/>
      <c r="AC147" s="44"/>
      <c r="AD147" s="44"/>
      <c r="AE147" s="11"/>
      <c r="AF147" s="102">
        <v>90000</v>
      </c>
      <c r="AG147" s="125">
        <f>AF147*19%</f>
        <v>17100</v>
      </c>
      <c r="AH147" s="97">
        <f>+AF147+AG147</f>
        <v>107100</v>
      </c>
      <c r="AI147" s="11"/>
      <c r="AJ147" s="11"/>
      <c r="AK147" s="17"/>
      <c r="AL147" s="97">
        <v>85000</v>
      </c>
      <c r="AM147" s="97">
        <f>+AL147*0.19</f>
        <v>16150</v>
      </c>
      <c r="AN147" s="103">
        <f t="shared" si="49"/>
        <v>101150</v>
      </c>
      <c r="AO147" s="248" t="s">
        <v>262</v>
      </c>
      <c r="AP147" s="239" t="s">
        <v>52</v>
      </c>
      <c r="AQ147" s="17"/>
      <c r="AR147" s="252"/>
      <c r="AS147" s="136"/>
      <c r="AT147" s="137"/>
      <c r="AU147" s="52"/>
      <c r="AV147" s="52"/>
      <c r="AW147" s="30"/>
      <c r="AX147" s="100"/>
      <c r="AY147" s="172"/>
      <c r="AZ147" s="124"/>
      <c r="BA147" s="169"/>
      <c r="BB147" s="116"/>
      <c r="BC147" s="116"/>
      <c r="BD147" s="247"/>
      <c r="BE147" s="124"/>
      <c r="BF147" s="124"/>
      <c r="BG147" s="116"/>
      <c r="BH147" s="116"/>
      <c r="BI147" s="116"/>
      <c r="BJ147" s="124"/>
      <c r="BK147" s="124"/>
      <c r="BL147" s="124"/>
      <c r="BM147" s="116"/>
      <c r="BN147" s="116"/>
      <c r="BO147" s="116"/>
      <c r="BP147" s="124"/>
      <c r="BQ147" s="116"/>
      <c r="BR147" s="116"/>
      <c r="BS147" s="116"/>
      <c r="BT147" s="116"/>
      <c r="BU147" s="116"/>
      <c r="BV147" s="240">
        <v>301100</v>
      </c>
      <c r="BW147" s="125">
        <f t="shared" si="50"/>
        <v>57209</v>
      </c>
      <c r="BX147" s="97">
        <f t="shared" si="51"/>
        <v>358309</v>
      </c>
      <c r="BY147" s="237" t="s">
        <v>47</v>
      </c>
      <c r="BZ147" s="237" t="s">
        <v>93</v>
      </c>
      <c r="CA147" s="116"/>
      <c r="CB147" s="247"/>
      <c r="CC147" s="125"/>
      <c r="CD147" s="247"/>
      <c r="CE147" s="116"/>
      <c r="CF147" s="116"/>
      <c r="CG147" s="34"/>
      <c r="CH147" s="236"/>
      <c r="CI147" s="238"/>
      <c r="CJ147" s="236"/>
      <c r="CK147" s="237"/>
      <c r="CL147" s="237"/>
      <c r="CM147" s="116"/>
      <c r="CN147" s="247"/>
      <c r="CO147" s="125"/>
      <c r="CP147" s="247"/>
      <c r="CQ147" s="116"/>
      <c r="CR147" s="116"/>
      <c r="CS147" s="116"/>
      <c r="CT147" s="247"/>
      <c r="CU147" s="125"/>
      <c r="CV147" s="247"/>
      <c r="CW147" s="116"/>
      <c r="CX147" s="116"/>
      <c r="CY147" s="116"/>
      <c r="CZ147" s="102"/>
      <c r="DA147" s="125"/>
      <c r="DB147" s="102"/>
      <c r="DC147" s="31"/>
      <c r="DD147" s="17"/>
      <c r="DE147" s="11"/>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
      <c r="EU147" s="11"/>
      <c r="EV147" s="11"/>
      <c r="EW147" s="11"/>
      <c r="EX147" s="11"/>
      <c r="EY147" s="11"/>
      <c r="EZ147" s="11"/>
      <c r="FA147" s="11"/>
      <c r="FB147" s="11"/>
      <c r="FC147" s="11"/>
      <c r="FD147" s="11"/>
      <c r="FE147" s="11"/>
      <c r="FF147" s="11"/>
      <c r="FG147" s="11"/>
      <c r="FH147" s="17">
        <f t="shared" si="52"/>
        <v>614606.43999999994</v>
      </c>
      <c r="FI147" s="31">
        <f t="shared" si="53"/>
        <v>4</v>
      </c>
      <c r="FJ147" s="68">
        <f t="shared" si="54"/>
        <v>153651.60999999999</v>
      </c>
    </row>
    <row r="148" spans="1:166" ht="38.25" x14ac:dyDescent="0.25">
      <c r="A148" s="248">
        <f>Distribución_Reactivos!A148</f>
        <v>146</v>
      </c>
      <c r="B148" s="248" t="str">
        <f>Distribución_Reactivos!B148</f>
        <v>Cloruro de sodio (NaCl)</v>
      </c>
      <c r="C148" s="248" t="str">
        <f>Distribución_Reactivos!C148</f>
        <v>Merck, Sigma, Sharlau,JT Baker o equivalentes</v>
      </c>
      <c r="D148" s="248" t="str">
        <f>Distribución_Reactivos!D148</f>
        <v>Frasco x 1 Kg</v>
      </c>
      <c r="E148" s="29">
        <v>1</v>
      </c>
      <c r="F148" s="212">
        <v>119483.33333333333</v>
      </c>
      <c r="G148" s="214">
        <v>115800</v>
      </c>
      <c r="H148" s="221">
        <v>117236.91980757574</v>
      </c>
      <c r="I148" s="221">
        <v>117215</v>
      </c>
      <c r="J148" s="221">
        <v>93483.569892473111</v>
      </c>
      <c r="K148" s="221">
        <v>91630</v>
      </c>
      <c r="L148" s="247">
        <f>AVERAGE(F148,H148,J148)</f>
        <v>110067.94101112739</v>
      </c>
      <c r="M148" s="247">
        <f>AVERAGE(G148,I148,K148)*E1</f>
        <v>111461.45</v>
      </c>
      <c r="N148" s="217"/>
      <c r="O148" s="97"/>
      <c r="P148" s="97"/>
      <c r="Q148" s="115"/>
      <c r="R148" s="115"/>
      <c r="S148" s="53"/>
      <c r="T148" s="97"/>
      <c r="U148" s="97"/>
      <c r="V148" s="97"/>
      <c r="W148" s="115"/>
      <c r="X148" s="115"/>
      <c r="Y148" s="11"/>
      <c r="Z148" s="97"/>
      <c r="AA148" s="97"/>
      <c r="AB148" s="97"/>
      <c r="AC148" s="44"/>
      <c r="AD148" s="44"/>
      <c r="AE148" s="11"/>
      <c r="AF148" s="102">
        <v>90000</v>
      </c>
      <c r="AG148" s="125">
        <f>AF148*19%</f>
        <v>17100</v>
      </c>
      <c r="AH148" s="97">
        <f>+AF148+AG148</f>
        <v>107100</v>
      </c>
      <c r="AI148" s="11"/>
      <c r="AJ148" s="11"/>
      <c r="AK148" s="17"/>
      <c r="AL148" s="97">
        <v>69000</v>
      </c>
      <c r="AM148" s="97">
        <f>+AL148*0</f>
        <v>0</v>
      </c>
      <c r="AN148" s="103">
        <f t="shared" si="49"/>
        <v>69000</v>
      </c>
      <c r="AO148" s="248" t="s">
        <v>99</v>
      </c>
      <c r="AP148" s="239" t="s">
        <v>52</v>
      </c>
      <c r="AQ148" s="17"/>
      <c r="AR148" s="252"/>
      <c r="AS148" s="136"/>
      <c r="AT148" s="137"/>
      <c r="AU148" s="52"/>
      <c r="AV148" s="52"/>
      <c r="AW148" s="30"/>
      <c r="AX148" s="100"/>
      <c r="AY148" s="100"/>
      <c r="AZ148" s="124"/>
      <c r="BA148" s="169"/>
      <c r="BB148" s="116"/>
      <c r="BC148" s="116"/>
      <c r="BD148" s="247"/>
      <c r="BE148" s="124"/>
      <c r="BF148" s="124"/>
      <c r="BG148" s="116"/>
      <c r="BH148" s="116"/>
      <c r="BI148" s="116"/>
      <c r="BJ148" s="124"/>
      <c r="BK148" s="124"/>
      <c r="BL148" s="124"/>
      <c r="BM148" s="116"/>
      <c r="BN148" s="116"/>
      <c r="BO148" s="116"/>
      <c r="BP148" s="124"/>
      <c r="BQ148" s="116"/>
      <c r="BR148" s="116"/>
      <c r="BS148" s="116"/>
      <c r="BT148" s="116"/>
      <c r="BU148" s="116"/>
      <c r="BV148" s="240">
        <v>101300</v>
      </c>
      <c r="BW148" s="125">
        <f t="shared" si="50"/>
        <v>19247</v>
      </c>
      <c r="BX148" s="97">
        <f t="shared" si="51"/>
        <v>120547</v>
      </c>
      <c r="BY148" s="237" t="s">
        <v>247</v>
      </c>
      <c r="BZ148" s="237" t="s">
        <v>83</v>
      </c>
      <c r="CA148" s="116"/>
      <c r="CB148" s="247"/>
      <c r="CC148" s="125"/>
      <c r="CD148" s="247"/>
      <c r="CE148" s="116"/>
      <c r="CF148" s="116"/>
      <c r="CG148" s="34"/>
      <c r="CH148" s="236">
        <v>102313</v>
      </c>
      <c r="CI148" s="238">
        <f>+CH148*0.19</f>
        <v>19439.47</v>
      </c>
      <c r="CJ148" s="236">
        <f>+CH148+CI148</f>
        <v>121752.47</v>
      </c>
      <c r="CK148" s="237" t="s">
        <v>247</v>
      </c>
      <c r="CL148" s="237" t="s">
        <v>83</v>
      </c>
      <c r="CM148" s="116"/>
      <c r="CN148" s="247"/>
      <c r="CO148" s="125"/>
      <c r="CP148" s="247"/>
      <c r="CQ148" s="116"/>
      <c r="CR148" s="116"/>
      <c r="CS148" s="116"/>
      <c r="CT148" s="247"/>
      <c r="CU148" s="125"/>
      <c r="CV148" s="247"/>
      <c r="CW148" s="116"/>
      <c r="CX148" s="116"/>
      <c r="CY148" s="116"/>
      <c r="CZ148" s="102">
        <v>48000</v>
      </c>
      <c r="DA148" s="125">
        <v>0</v>
      </c>
      <c r="DB148" s="102">
        <v>48000</v>
      </c>
      <c r="DC148" s="31" t="s">
        <v>100</v>
      </c>
      <c r="DD148" s="17" t="s">
        <v>65</v>
      </c>
      <c r="DE148" s="11">
        <v>1064041000</v>
      </c>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
      <c r="EU148" s="11"/>
      <c r="EV148" s="11"/>
      <c r="EW148" s="11"/>
      <c r="EX148" s="11"/>
      <c r="EY148" s="11"/>
      <c r="EZ148" s="11"/>
      <c r="FA148" s="11"/>
      <c r="FB148" s="11"/>
      <c r="FC148" s="11"/>
      <c r="FD148" s="11"/>
      <c r="FE148" s="11"/>
      <c r="FF148" s="11"/>
      <c r="FG148" s="11"/>
      <c r="FH148" s="17">
        <f t="shared" si="52"/>
        <v>577860.92000000004</v>
      </c>
      <c r="FI148" s="31">
        <f t="shared" si="53"/>
        <v>6</v>
      </c>
      <c r="FJ148" s="68">
        <f t="shared" si="54"/>
        <v>96310.153333333335</v>
      </c>
    </row>
    <row r="149" spans="1:166" ht="40.5" x14ac:dyDescent="0.25">
      <c r="A149" s="248">
        <f>Distribución_Reactivos!A149</f>
        <v>147</v>
      </c>
      <c r="B149" s="248" t="str">
        <f>Distribución_Reactivos!B149</f>
        <v>CoaguStaph™, Coagulasa plasma de conejo con EDTA , Test de coagulasa para Staphylococcus aureus</v>
      </c>
      <c r="C149" s="248" t="str">
        <f>Distribución_Reactivos!C149</f>
        <v>Hardy diagnostics</v>
      </c>
      <c r="D149" s="248" t="str">
        <f>Distribución_Reactivos!D149</f>
        <v xml:space="preserve">Caja x 6 x 3 ml </v>
      </c>
      <c r="E149" s="29">
        <v>1</v>
      </c>
      <c r="F149" s="212">
        <v>0</v>
      </c>
      <c r="G149" s="214">
        <v>0</v>
      </c>
      <c r="H149" s="221">
        <v>221637.5</v>
      </c>
      <c r="I149" s="221">
        <v>0</v>
      </c>
      <c r="J149" s="221">
        <v>0</v>
      </c>
      <c r="K149" s="221">
        <v>0</v>
      </c>
      <c r="L149" s="247">
        <f>H149</f>
        <v>221637.5</v>
      </c>
      <c r="M149" s="247"/>
      <c r="N149" s="219">
        <v>754000</v>
      </c>
      <c r="O149" s="97">
        <f>+N149*0</f>
        <v>0</v>
      </c>
      <c r="P149" s="97">
        <f>+O149+N149</f>
        <v>754000</v>
      </c>
      <c r="Q149" s="34" t="s">
        <v>263</v>
      </c>
      <c r="R149" s="116" t="s">
        <v>193</v>
      </c>
      <c r="S149" s="53" t="s">
        <v>209</v>
      </c>
      <c r="T149" s="97"/>
      <c r="U149" s="101"/>
      <c r="V149" s="97"/>
      <c r="W149" s="115"/>
      <c r="X149" s="115"/>
      <c r="Y149" s="11"/>
      <c r="Z149" s="97"/>
      <c r="AA149" s="97"/>
      <c r="AB149" s="97"/>
      <c r="AC149" s="44"/>
      <c r="AD149" s="44"/>
      <c r="AE149" s="11"/>
      <c r="AF149" s="97"/>
      <c r="AG149" s="125"/>
      <c r="AH149" s="97"/>
      <c r="AI149" s="11"/>
      <c r="AJ149" s="11"/>
      <c r="AK149" s="17"/>
      <c r="AL149" s="97"/>
      <c r="AM149" s="97"/>
      <c r="AN149" s="101"/>
      <c r="AO149" s="248"/>
      <c r="AP149" s="17"/>
      <c r="AQ149" s="17"/>
      <c r="AR149" s="252"/>
      <c r="AS149" s="136"/>
      <c r="AT149" s="137"/>
      <c r="AU149" s="52"/>
      <c r="AV149" s="52"/>
      <c r="AW149" s="30"/>
      <c r="AX149" s="100"/>
      <c r="AY149" s="100"/>
      <c r="AZ149" s="124"/>
      <c r="BA149" s="169"/>
      <c r="BB149" s="116"/>
      <c r="BC149" s="116"/>
      <c r="BD149" s="252"/>
      <c r="BE149" s="124"/>
      <c r="BF149" s="124"/>
      <c r="BG149" s="116"/>
      <c r="BH149" s="116"/>
      <c r="BI149" s="116"/>
      <c r="BJ149" s="124"/>
      <c r="BK149" s="124"/>
      <c r="BL149" s="124"/>
      <c r="BM149" s="116"/>
      <c r="BN149" s="116"/>
      <c r="BO149" s="116"/>
      <c r="BP149" s="124"/>
      <c r="BQ149" s="116"/>
      <c r="BR149" s="116"/>
      <c r="BS149" s="116"/>
      <c r="BT149" s="116"/>
      <c r="BU149" s="116"/>
      <c r="BV149" s="240">
        <v>731700</v>
      </c>
      <c r="BW149" s="125">
        <f t="shared" si="50"/>
        <v>139023</v>
      </c>
      <c r="BX149" s="97">
        <f t="shared" si="51"/>
        <v>870723</v>
      </c>
      <c r="BY149" s="237" t="s">
        <v>264</v>
      </c>
      <c r="BZ149" s="237" t="s">
        <v>265</v>
      </c>
      <c r="CA149" s="116"/>
      <c r="CB149" s="252"/>
      <c r="CC149" s="124"/>
      <c r="CD149" s="252"/>
      <c r="CE149" s="116"/>
      <c r="CF149" s="116"/>
      <c r="CG149" s="34"/>
      <c r="CH149" s="240">
        <v>768285</v>
      </c>
      <c r="CI149" s="238">
        <f>+CH149*0.19</f>
        <v>145974.15</v>
      </c>
      <c r="CJ149" s="236">
        <f>+CH149+CI149</f>
        <v>914259.15</v>
      </c>
      <c r="CK149" s="237" t="s">
        <v>264</v>
      </c>
      <c r="CL149" s="237" t="s">
        <v>265</v>
      </c>
      <c r="CM149" s="116"/>
      <c r="CN149" s="252"/>
      <c r="CO149" s="124"/>
      <c r="CP149" s="252"/>
      <c r="CQ149" s="116"/>
      <c r="CR149" s="116"/>
      <c r="CS149" s="116"/>
      <c r="CT149" s="252"/>
      <c r="CU149" s="124"/>
      <c r="CV149" s="252"/>
      <c r="CW149" s="116"/>
      <c r="CX149" s="116"/>
      <c r="CY149" s="116"/>
      <c r="CZ149" s="97"/>
      <c r="DA149" s="124"/>
      <c r="DB149" s="97"/>
      <c r="DC149" s="31"/>
      <c r="DD149" s="17"/>
      <c r="DE149" s="11"/>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
      <c r="EU149" s="11"/>
      <c r="EV149" s="11"/>
      <c r="EW149" s="11"/>
      <c r="EX149" s="11"/>
      <c r="EY149" s="11"/>
      <c r="EZ149" s="11"/>
      <c r="FA149" s="11"/>
      <c r="FB149" s="11"/>
      <c r="FC149" s="11"/>
      <c r="FD149" s="11"/>
      <c r="FE149" s="11"/>
      <c r="FF149" s="11"/>
      <c r="FG149" s="11"/>
      <c r="FH149" s="17">
        <f t="shared" si="52"/>
        <v>2538982.15</v>
      </c>
      <c r="FI149" s="31">
        <f t="shared" si="53"/>
        <v>3</v>
      </c>
      <c r="FJ149" s="68">
        <f t="shared" si="54"/>
        <v>846327.3833333333</v>
      </c>
    </row>
    <row r="150" spans="1:166" ht="25.5" x14ac:dyDescent="0.25">
      <c r="A150" s="248">
        <f>Distribución_Reactivos!A150</f>
        <v>148</v>
      </c>
      <c r="B150" s="248" t="str">
        <f>Distribución_Reactivos!B150</f>
        <v>Colorante fuschina fenicada Ziehl Neelsen</v>
      </c>
      <c r="C150" s="248" t="str">
        <f>Distribución_Reactivos!C150</f>
        <v>Albor o equivalente</v>
      </c>
      <c r="D150" s="248" t="str">
        <f>Distribución_Reactivos!D150</f>
        <v>Frasco x 1 litro</v>
      </c>
      <c r="E150" s="29">
        <v>1</v>
      </c>
      <c r="F150" s="212">
        <v>69811</v>
      </c>
      <c r="G150" s="214">
        <v>54000</v>
      </c>
      <c r="H150" s="221">
        <v>88732.913117399992</v>
      </c>
      <c r="I150" s="221">
        <v>0</v>
      </c>
      <c r="J150" s="221">
        <v>75476.7</v>
      </c>
      <c r="K150" s="221">
        <v>60300</v>
      </c>
      <c r="L150" s="247">
        <f>AVERAGE(F150,H150,J150)</f>
        <v>78006.87103913333</v>
      </c>
      <c r="M150" s="247">
        <f>AVERAGE(G150,K150)*E1</f>
        <v>58864.5</v>
      </c>
      <c r="N150" s="217"/>
      <c r="O150" s="97"/>
      <c r="P150" s="97"/>
      <c r="Q150" s="115"/>
      <c r="R150" s="115"/>
      <c r="S150" s="53"/>
      <c r="T150" s="97"/>
      <c r="U150" s="97"/>
      <c r="V150" s="97"/>
      <c r="W150" s="115"/>
      <c r="X150" s="115"/>
      <c r="Y150" s="11"/>
      <c r="Z150" s="97"/>
      <c r="AA150" s="97"/>
      <c r="AB150" s="97"/>
      <c r="AC150" s="44"/>
      <c r="AD150" s="44"/>
      <c r="AE150" s="11"/>
      <c r="AF150" s="102">
        <v>85000</v>
      </c>
      <c r="AG150" s="125">
        <f>AF150*19%</f>
        <v>16150</v>
      </c>
      <c r="AH150" s="97">
        <f>+AF150+AG150</f>
        <v>101150</v>
      </c>
      <c r="AI150" s="11"/>
      <c r="AJ150" s="11"/>
      <c r="AK150" s="17"/>
      <c r="AL150" s="97"/>
      <c r="AM150" s="97"/>
      <c r="AN150" s="101"/>
      <c r="AO150" s="248"/>
      <c r="AP150" s="17"/>
      <c r="AQ150" s="17"/>
      <c r="AR150" s="252">
        <v>48435</v>
      </c>
      <c r="AS150" s="97">
        <f>+AR150*0</f>
        <v>0</v>
      </c>
      <c r="AT150" s="103">
        <f>+AR150+AS150</f>
        <v>48435</v>
      </c>
      <c r="AU150" s="52" t="s">
        <v>204</v>
      </c>
      <c r="AV150" s="52" t="s">
        <v>205</v>
      </c>
      <c r="AW150" s="30"/>
      <c r="AX150" s="100"/>
      <c r="AY150" s="172"/>
      <c r="AZ150" s="124"/>
      <c r="BA150" s="169"/>
      <c r="BB150" s="116"/>
      <c r="BC150" s="116"/>
      <c r="BD150" s="247"/>
      <c r="BE150" s="124"/>
      <c r="BF150" s="124"/>
      <c r="BG150" s="116"/>
      <c r="BH150" s="116"/>
      <c r="BI150" s="116"/>
      <c r="BJ150" s="124"/>
      <c r="BK150" s="124"/>
      <c r="BL150" s="124"/>
      <c r="BM150" s="116"/>
      <c r="BN150" s="116"/>
      <c r="BO150" s="116"/>
      <c r="BP150" s="124"/>
      <c r="BQ150" s="116"/>
      <c r="BR150" s="116"/>
      <c r="BS150" s="116"/>
      <c r="BT150" s="116"/>
      <c r="BU150" s="116"/>
      <c r="BV150" s="240">
        <v>188800</v>
      </c>
      <c r="BW150" s="125">
        <f t="shared" si="50"/>
        <v>35872</v>
      </c>
      <c r="BX150" s="97">
        <f t="shared" si="51"/>
        <v>224672</v>
      </c>
      <c r="BY150" s="237" t="s">
        <v>67</v>
      </c>
      <c r="BZ150" s="237" t="s">
        <v>266</v>
      </c>
      <c r="CA150" s="116"/>
      <c r="CB150" s="247"/>
      <c r="CC150" s="125"/>
      <c r="CD150" s="247"/>
      <c r="CE150" s="116"/>
      <c r="CF150" s="116"/>
      <c r="CG150" s="34"/>
      <c r="CH150" s="236">
        <v>192576</v>
      </c>
      <c r="CI150" s="238">
        <f>+CH150*0.19</f>
        <v>36589.440000000002</v>
      </c>
      <c r="CJ150" s="236">
        <f>+CH150+CI150</f>
        <v>229165.44</v>
      </c>
      <c r="CK150" s="237" t="s">
        <v>67</v>
      </c>
      <c r="CL150" s="237" t="s">
        <v>266</v>
      </c>
      <c r="CM150" s="116"/>
      <c r="CN150" s="247"/>
      <c r="CO150" s="125"/>
      <c r="CP150" s="247"/>
      <c r="CQ150" s="116"/>
      <c r="CR150" s="116"/>
      <c r="CS150" s="116"/>
      <c r="CT150" s="247"/>
      <c r="CU150" s="125"/>
      <c r="CV150" s="247"/>
      <c r="CW150" s="116"/>
      <c r="CX150" s="116"/>
      <c r="CY150" s="116"/>
      <c r="CZ150" s="102"/>
      <c r="DA150" s="125"/>
      <c r="DB150" s="102"/>
      <c r="DC150" s="31"/>
      <c r="DD150" s="17"/>
      <c r="DE150" s="11"/>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
      <c r="EU150" s="11"/>
      <c r="EV150" s="11"/>
      <c r="EW150" s="11"/>
      <c r="EX150" s="11"/>
      <c r="EY150" s="11"/>
      <c r="EZ150" s="11"/>
      <c r="FA150" s="11"/>
      <c r="FB150" s="11"/>
      <c r="FC150" s="11"/>
      <c r="FD150" s="11"/>
      <c r="FE150" s="11"/>
      <c r="FF150" s="11"/>
      <c r="FG150" s="11"/>
      <c r="FH150" s="17">
        <f t="shared" si="52"/>
        <v>662286.93999999994</v>
      </c>
      <c r="FI150" s="31">
        <f t="shared" si="53"/>
        <v>5</v>
      </c>
      <c r="FJ150" s="68">
        <f t="shared" si="54"/>
        <v>132457.38799999998</v>
      </c>
    </row>
    <row r="151" spans="1:166" ht="13.5" x14ac:dyDescent="0.25">
      <c r="A151" s="248">
        <f>Distribución_Reactivos!A151</f>
        <v>149</v>
      </c>
      <c r="B151" s="248" t="str">
        <f>Distribución_Reactivos!B151</f>
        <v>Colorante Giemsa</v>
      </c>
      <c r="C151" s="248" t="str">
        <f>Distribución_Reactivos!C151</f>
        <v>Cualquier marca</v>
      </c>
      <c r="D151" s="248" t="str">
        <f>Distribución_Reactivos!D151</f>
        <v>Frasco x 25 g</v>
      </c>
      <c r="E151" s="29">
        <v>1</v>
      </c>
      <c r="F151" s="212">
        <v>1253111.6499999999</v>
      </c>
      <c r="G151" s="214">
        <v>1202971</v>
      </c>
      <c r="H151" s="221">
        <v>656940.47591899999</v>
      </c>
      <c r="I151" s="221">
        <v>656880</v>
      </c>
      <c r="J151" s="221">
        <v>627559.88749999995</v>
      </c>
      <c r="K151" s="221">
        <v>0</v>
      </c>
      <c r="L151" s="247">
        <f>AVERAGE(F151,H151,J151)</f>
        <v>845870.67113966646</v>
      </c>
      <c r="M151" s="247">
        <f>AVERAGE(G151,I151)*E1</f>
        <v>957823.26500000001</v>
      </c>
      <c r="N151" s="217"/>
      <c r="O151" s="97"/>
      <c r="P151" s="97"/>
      <c r="Q151" s="115"/>
      <c r="R151" s="115"/>
      <c r="S151" s="53"/>
      <c r="T151" s="97"/>
      <c r="U151" s="97"/>
      <c r="V151" s="97"/>
      <c r="W151" s="115"/>
      <c r="X151" s="115"/>
      <c r="Y151" s="11"/>
      <c r="Z151" s="97"/>
      <c r="AA151" s="97"/>
      <c r="AB151" s="97"/>
      <c r="AC151" s="44"/>
      <c r="AD151" s="44"/>
      <c r="AE151" s="11"/>
      <c r="AF151" s="102">
        <v>690000</v>
      </c>
      <c r="AG151" s="125">
        <f>AF151*19%</f>
        <v>131100</v>
      </c>
      <c r="AH151" s="97">
        <f>+AF151+AG151</f>
        <v>821100</v>
      </c>
      <c r="AI151" s="11"/>
      <c r="AJ151" s="11"/>
      <c r="AK151" s="17"/>
      <c r="AL151" s="97"/>
      <c r="AM151" s="97"/>
      <c r="AN151" s="101"/>
      <c r="AO151" s="248"/>
      <c r="AP151" s="17"/>
      <c r="AQ151" s="17"/>
      <c r="AR151" s="252"/>
      <c r="AS151" s="97"/>
      <c r="AT151" s="103"/>
      <c r="AU151" s="52"/>
      <c r="AV151" s="52"/>
      <c r="AW151" s="30"/>
      <c r="AX151" s="100"/>
      <c r="AY151" s="100"/>
      <c r="AZ151" s="175"/>
      <c r="BA151" s="38"/>
      <c r="BB151" s="116"/>
      <c r="BC151" s="116"/>
      <c r="BD151" s="247"/>
      <c r="BE151" s="124"/>
      <c r="BF151" s="124"/>
      <c r="BG151" s="116"/>
      <c r="BH151" s="116"/>
      <c r="BI151" s="116"/>
      <c r="BJ151" s="124"/>
      <c r="BK151" s="124"/>
      <c r="BL151" s="124"/>
      <c r="BM151" s="116"/>
      <c r="BN151" s="116"/>
      <c r="BO151" s="116"/>
      <c r="BP151" s="124"/>
      <c r="BQ151" s="116"/>
      <c r="BR151" s="116"/>
      <c r="BS151" s="116"/>
      <c r="BT151" s="116"/>
      <c r="BU151" s="116"/>
      <c r="BV151" s="236">
        <v>766700</v>
      </c>
      <c r="BW151" s="125">
        <f t="shared" si="50"/>
        <v>145673</v>
      </c>
      <c r="BX151" s="97">
        <f t="shared" si="51"/>
        <v>912373</v>
      </c>
      <c r="BY151" s="237" t="s">
        <v>105</v>
      </c>
      <c r="BZ151" s="237" t="s">
        <v>93</v>
      </c>
      <c r="CA151" s="116"/>
      <c r="CB151" s="247"/>
      <c r="CC151" s="125"/>
      <c r="CD151" s="247"/>
      <c r="CE151" s="116"/>
      <c r="CF151" s="116"/>
      <c r="CG151" s="34"/>
      <c r="CH151" s="236">
        <v>797368</v>
      </c>
      <c r="CI151" s="238">
        <f>+CH151*0.19</f>
        <v>151499.92000000001</v>
      </c>
      <c r="CJ151" s="236">
        <f>+CH151+CI151</f>
        <v>948867.92</v>
      </c>
      <c r="CK151" s="237" t="s">
        <v>105</v>
      </c>
      <c r="CL151" s="237" t="s">
        <v>93</v>
      </c>
      <c r="CM151" s="116"/>
      <c r="CN151" s="247"/>
      <c r="CO151" s="125"/>
      <c r="CP151" s="247"/>
      <c r="CQ151" s="116"/>
      <c r="CR151" s="116"/>
      <c r="CS151" s="116"/>
      <c r="CT151" s="247"/>
      <c r="CU151" s="125"/>
      <c r="CV151" s="247"/>
      <c r="CW151" s="116"/>
      <c r="CX151" s="116"/>
      <c r="CY151" s="116"/>
      <c r="CZ151" s="102"/>
      <c r="DA151" s="125"/>
      <c r="DB151" s="102"/>
      <c r="DC151" s="31"/>
      <c r="DD151" s="17"/>
      <c r="DE151" s="11"/>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
      <c r="EU151" s="11"/>
      <c r="EV151" s="11"/>
      <c r="EW151" s="11"/>
      <c r="EX151" s="11"/>
      <c r="EY151" s="11"/>
      <c r="EZ151" s="11"/>
      <c r="FA151" s="11"/>
      <c r="FB151" s="11"/>
      <c r="FC151" s="11"/>
      <c r="FD151" s="11"/>
      <c r="FE151" s="11"/>
      <c r="FF151" s="11"/>
      <c r="FG151" s="11"/>
      <c r="FH151" s="17">
        <f t="shared" si="52"/>
        <v>3640164.1850000001</v>
      </c>
      <c r="FI151" s="31">
        <f t="shared" si="53"/>
        <v>4</v>
      </c>
      <c r="FJ151" s="68">
        <f t="shared" si="54"/>
        <v>910041.04625000001</v>
      </c>
    </row>
    <row r="152" spans="1:166" ht="25.5" x14ac:dyDescent="0.25">
      <c r="A152" s="248">
        <f>Distribución_Reactivos!A152</f>
        <v>150</v>
      </c>
      <c r="B152" s="248" t="str">
        <f>Distribución_Reactivos!B152</f>
        <v>Colorante violeta de gram</v>
      </c>
      <c r="C152" s="248" t="str">
        <f>Distribución_Reactivos!C152</f>
        <v>Albor o equivalente</v>
      </c>
      <c r="D152" s="248" t="str">
        <f>Distribución_Reactivos!D152</f>
        <v>Frasco x 1 litro</v>
      </c>
      <c r="E152" s="29">
        <v>1</v>
      </c>
      <c r="F152" s="212">
        <v>81095</v>
      </c>
      <c r="G152" s="214">
        <v>77800</v>
      </c>
      <c r="H152" s="221">
        <v>0</v>
      </c>
      <c r="I152" s="221">
        <v>0</v>
      </c>
      <c r="J152" s="221">
        <v>63477.599999999999</v>
      </c>
      <c r="K152" s="221">
        <v>50700</v>
      </c>
      <c r="L152" s="247">
        <f>AVERAGE(F152,J152)</f>
        <v>72286.3</v>
      </c>
      <c r="M152" s="247">
        <f>AVERAGE(G152,K152)*E1</f>
        <v>66177.5</v>
      </c>
      <c r="N152" s="217"/>
      <c r="O152" s="97"/>
      <c r="P152" s="97"/>
      <c r="Q152" s="115"/>
      <c r="R152" s="115"/>
      <c r="S152" s="53"/>
      <c r="T152" s="97"/>
      <c r="U152" s="97"/>
      <c r="V152" s="97"/>
      <c r="W152" s="115"/>
      <c r="X152" s="115"/>
      <c r="Y152" s="11"/>
      <c r="Z152" s="97"/>
      <c r="AA152" s="97"/>
      <c r="AB152" s="97"/>
      <c r="AC152" s="44"/>
      <c r="AD152" s="44"/>
      <c r="AE152" s="11"/>
      <c r="AF152" s="102">
        <v>50000</v>
      </c>
      <c r="AG152" s="125">
        <f>AF152*19%</f>
        <v>9500</v>
      </c>
      <c r="AH152" s="97">
        <f>+AF152+AG152</f>
        <v>59500</v>
      </c>
      <c r="AI152" s="11"/>
      <c r="AJ152" s="11"/>
      <c r="AK152" s="17"/>
      <c r="AL152" s="97">
        <v>40000</v>
      </c>
      <c r="AM152" s="97">
        <f>+AL152*0</f>
        <v>0</v>
      </c>
      <c r="AN152" s="103">
        <f>+AL152+AM152</f>
        <v>40000</v>
      </c>
      <c r="AO152" s="248" t="s">
        <v>267</v>
      </c>
      <c r="AP152" s="17" t="s">
        <v>153</v>
      </c>
      <c r="AQ152" s="17"/>
      <c r="AR152" s="252">
        <v>28613</v>
      </c>
      <c r="AS152" s="97">
        <f>+AR152*0</f>
        <v>0</v>
      </c>
      <c r="AT152" s="103">
        <f t="shared" ref="AT152:AT157" si="55">+AR152+AS152</f>
        <v>28613</v>
      </c>
      <c r="AU152" s="52" t="s">
        <v>204</v>
      </c>
      <c r="AV152" s="52" t="s">
        <v>205</v>
      </c>
      <c r="AW152" s="30"/>
      <c r="AX152" s="100"/>
      <c r="AY152" s="172"/>
      <c r="AZ152" s="124"/>
      <c r="BA152" s="169"/>
      <c r="BB152" s="116"/>
      <c r="BC152" s="116"/>
      <c r="BD152" s="247"/>
      <c r="BE152" s="124"/>
      <c r="BF152" s="124"/>
      <c r="BG152" s="116"/>
      <c r="BH152" s="116"/>
      <c r="BI152" s="116"/>
      <c r="BJ152" s="124"/>
      <c r="BK152" s="124"/>
      <c r="BL152" s="124"/>
      <c r="BM152" s="116"/>
      <c r="BN152" s="116"/>
      <c r="BO152" s="116"/>
      <c r="BP152" s="124"/>
      <c r="BQ152" s="116"/>
      <c r="BR152" s="116"/>
      <c r="BS152" s="116"/>
      <c r="BT152" s="116"/>
      <c r="BU152" s="116"/>
      <c r="BV152" s="236">
        <v>182400</v>
      </c>
      <c r="BW152" s="125">
        <f t="shared" si="50"/>
        <v>34656</v>
      </c>
      <c r="BX152" s="97">
        <f t="shared" si="51"/>
        <v>217056</v>
      </c>
      <c r="BY152" s="237" t="s">
        <v>67</v>
      </c>
      <c r="BZ152" s="237" t="s">
        <v>266</v>
      </c>
      <c r="CA152" s="116"/>
      <c r="CB152" s="247"/>
      <c r="CC152" s="125"/>
      <c r="CD152" s="247"/>
      <c r="CE152" s="116"/>
      <c r="CF152" s="116"/>
      <c r="CG152" s="34"/>
      <c r="CH152" s="236">
        <v>187872</v>
      </c>
      <c r="CI152" s="238">
        <f>+CH152*0.19</f>
        <v>35695.68</v>
      </c>
      <c r="CJ152" s="236">
        <f>+CH152+CI152</f>
        <v>223567.68</v>
      </c>
      <c r="CK152" s="237" t="s">
        <v>67</v>
      </c>
      <c r="CL152" s="237" t="s">
        <v>266</v>
      </c>
      <c r="CM152" s="116"/>
      <c r="CN152" s="247"/>
      <c r="CO152" s="125"/>
      <c r="CP152" s="247"/>
      <c r="CQ152" s="116"/>
      <c r="CR152" s="116"/>
      <c r="CS152" s="116"/>
      <c r="CT152" s="247"/>
      <c r="CU152" s="125"/>
      <c r="CV152" s="247"/>
      <c r="CW152" s="116"/>
      <c r="CX152" s="116"/>
      <c r="CY152" s="116"/>
      <c r="CZ152" s="102"/>
      <c r="DA152" s="125"/>
      <c r="DB152" s="102"/>
      <c r="DC152" s="31"/>
      <c r="DD152" s="17"/>
      <c r="DE152" s="11"/>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
      <c r="EU152" s="11"/>
      <c r="EV152" s="11"/>
      <c r="EW152" s="11"/>
      <c r="EX152" s="11"/>
      <c r="EY152" s="11"/>
      <c r="EZ152" s="11"/>
      <c r="FA152" s="11"/>
      <c r="FB152" s="11"/>
      <c r="FC152" s="11"/>
      <c r="FD152" s="11"/>
      <c r="FE152" s="11"/>
      <c r="FF152" s="11"/>
      <c r="FG152" s="11"/>
      <c r="FH152" s="17">
        <f t="shared" si="52"/>
        <v>634914.17999999993</v>
      </c>
      <c r="FI152" s="31">
        <f t="shared" si="53"/>
        <v>6</v>
      </c>
      <c r="FJ152" s="68">
        <f t="shared" si="54"/>
        <v>105819.02999999998</v>
      </c>
    </row>
    <row r="153" spans="1:166" ht="40.5" x14ac:dyDescent="0.25">
      <c r="A153" s="248">
        <f>Distribución_Reactivos!A153</f>
        <v>151</v>
      </c>
      <c r="B153" s="248" t="str">
        <f>Distribución_Reactivos!B153</f>
        <v>Complemento Guinea Pig Complement.</v>
      </c>
      <c r="C153" s="248" t="str">
        <f>Distribución_Reactivos!C153</f>
        <v>ID Vet  CPLT</v>
      </c>
      <c r="D153" s="248" t="str">
        <f>Distribución_Reactivos!D153</f>
        <v>2 Frascos x 5 ml</v>
      </c>
      <c r="E153" s="29">
        <v>1</v>
      </c>
      <c r="F153" s="212">
        <v>112199.15</v>
      </c>
      <c r="G153" s="214">
        <v>0</v>
      </c>
      <c r="H153" s="221">
        <v>116047.58084499999</v>
      </c>
      <c r="I153" s="221">
        <v>0</v>
      </c>
      <c r="J153" s="221">
        <v>1124550</v>
      </c>
      <c r="K153" s="221">
        <v>1124000</v>
      </c>
      <c r="L153" s="247">
        <f>AVERAGE(F153,H153,J153)</f>
        <v>450932.24361499998</v>
      </c>
      <c r="M153" s="247">
        <f>K153*E1</f>
        <v>1157720</v>
      </c>
      <c r="N153" s="217"/>
      <c r="O153" s="97"/>
      <c r="P153" s="97"/>
      <c r="Q153" s="115"/>
      <c r="R153" s="115"/>
      <c r="S153" s="53"/>
      <c r="T153" s="97"/>
      <c r="U153" s="97"/>
      <c r="V153" s="97"/>
      <c r="W153" s="115"/>
      <c r="X153" s="115"/>
      <c r="Y153" s="11"/>
      <c r="Z153" s="97">
        <v>1300000</v>
      </c>
      <c r="AA153" s="97">
        <f>+Z153*0</f>
        <v>0</v>
      </c>
      <c r="AB153" s="97">
        <f>+Z153+AA153</f>
        <v>1300000</v>
      </c>
      <c r="AC153" s="44" t="s">
        <v>268</v>
      </c>
      <c r="AD153" s="44" t="s">
        <v>269</v>
      </c>
      <c r="AE153" s="11"/>
      <c r="AF153" s="102"/>
      <c r="AG153" s="125"/>
      <c r="AH153" s="97"/>
      <c r="AI153" s="11"/>
      <c r="AJ153" s="11"/>
      <c r="AK153" s="17"/>
      <c r="AL153" s="97"/>
      <c r="AM153" s="97"/>
      <c r="AN153" s="101"/>
      <c r="AO153" s="248"/>
      <c r="AP153" s="17"/>
      <c r="AQ153" s="17"/>
      <c r="AR153" s="252">
        <v>945000</v>
      </c>
      <c r="AS153" s="97">
        <f>+AR153*0.19</f>
        <v>179550</v>
      </c>
      <c r="AT153" s="103">
        <f t="shared" si="55"/>
        <v>1124550</v>
      </c>
      <c r="AU153" s="52" t="s">
        <v>270</v>
      </c>
      <c r="AV153" s="52" t="s">
        <v>271</v>
      </c>
      <c r="AW153" s="30"/>
      <c r="AX153" s="100"/>
      <c r="AY153" s="100"/>
      <c r="AZ153" s="124"/>
      <c r="BA153" s="169"/>
      <c r="BB153" s="116"/>
      <c r="BC153" s="116"/>
      <c r="BD153" s="247"/>
      <c r="BE153" s="124"/>
      <c r="BF153" s="124"/>
      <c r="BG153" s="116"/>
      <c r="BH153" s="116"/>
      <c r="BI153" s="116"/>
      <c r="BJ153" s="124"/>
      <c r="BK153" s="124"/>
      <c r="BL153" s="124"/>
      <c r="BM153" s="116"/>
      <c r="BN153" s="116"/>
      <c r="BO153" s="116"/>
      <c r="BP153" s="124"/>
      <c r="BQ153" s="116"/>
      <c r="BR153" s="116"/>
      <c r="BS153" s="116"/>
      <c r="BT153" s="116"/>
      <c r="BU153" s="116"/>
      <c r="BV153" s="240">
        <v>2000000</v>
      </c>
      <c r="BW153" s="125">
        <f t="shared" si="50"/>
        <v>380000</v>
      </c>
      <c r="BX153" s="97">
        <f t="shared" si="51"/>
        <v>2380000</v>
      </c>
      <c r="BY153" s="237" t="s">
        <v>272</v>
      </c>
      <c r="BZ153" s="237" t="s">
        <v>153</v>
      </c>
      <c r="CA153" s="116"/>
      <c r="CB153" s="247"/>
      <c r="CC153" s="125"/>
      <c r="CD153" s="247"/>
      <c r="CE153" s="116"/>
      <c r="CF153" s="116"/>
      <c r="CG153" s="34"/>
      <c r="CH153" s="241"/>
      <c r="CI153" s="238"/>
      <c r="CJ153" s="236"/>
      <c r="CK153" s="237"/>
      <c r="CL153" s="237"/>
      <c r="CM153" s="116"/>
      <c r="CN153" s="247"/>
      <c r="CO153" s="125"/>
      <c r="CP153" s="247"/>
      <c r="CQ153" s="116"/>
      <c r="CR153" s="116"/>
      <c r="CS153" s="116"/>
      <c r="CT153" s="247"/>
      <c r="CU153" s="125"/>
      <c r="CV153" s="247"/>
      <c r="CW153" s="116"/>
      <c r="CX153" s="116"/>
      <c r="CY153" s="116"/>
      <c r="CZ153" s="102"/>
      <c r="DA153" s="125"/>
      <c r="DB153" s="102"/>
      <c r="DC153" s="31"/>
      <c r="DD153" s="17"/>
      <c r="DE153" s="11"/>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
      <c r="EU153" s="11"/>
      <c r="EV153" s="11"/>
      <c r="EW153" s="11"/>
      <c r="EX153" s="11"/>
      <c r="EY153" s="11"/>
      <c r="EZ153" s="11"/>
      <c r="FA153" s="11"/>
      <c r="FB153" s="11"/>
      <c r="FC153" s="11"/>
      <c r="FD153" s="11"/>
      <c r="FE153" s="11"/>
      <c r="FF153" s="11"/>
      <c r="FG153" s="11"/>
      <c r="FH153" s="17">
        <f t="shared" si="52"/>
        <v>5962270</v>
      </c>
      <c r="FI153" s="31">
        <f t="shared" si="53"/>
        <v>4</v>
      </c>
      <c r="FJ153" s="68">
        <f t="shared" si="54"/>
        <v>1490567.5</v>
      </c>
    </row>
    <row r="154" spans="1:166" ht="27" x14ac:dyDescent="0.25">
      <c r="A154" s="248">
        <f>Distribución_Reactivos!A154</f>
        <v>152</v>
      </c>
      <c r="B154" s="248" t="str">
        <f>Distribución_Reactivos!B154</f>
        <v xml:space="preserve">Conjugado - antiguinea pig Ig G whole molecule </v>
      </c>
      <c r="C154" s="248" t="str">
        <f>Distribución_Reactivos!C154</f>
        <v>Sigma A7289</v>
      </c>
      <c r="D154" s="248" t="str">
        <f>Distribución_Reactivos!D154</f>
        <v>Frasco x 1 ml</v>
      </c>
      <c r="E154" s="29">
        <v>1</v>
      </c>
      <c r="F154" s="212">
        <v>871208.66666666663</v>
      </c>
      <c r="G154" s="214">
        <v>845000</v>
      </c>
      <c r="H154" s="221">
        <v>1004434.6093701667</v>
      </c>
      <c r="I154" s="221">
        <v>0</v>
      </c>
      <c r="J154" s="221">
        <v>772625</v>
      </c>
      <c r="K154" s="221">
        <v>765170</v>
      </c>
      <c r="L154" s="247">
        <f>AVERAGE(F154,H154,J154)</f>
        <v>882756.0920122778</v>
      </c>
      <c r="M154" s="247">
        <f>AVERAGE(G154,K154)*E1</f>
        <v>829237.55</v>
      </c>
      <c r="N154" s="217"/>
      <c r="O154" s="97"/>
      <c r="P154" s="97"/>
      <c r="Q154" s="115"/>
      <c r="R154" s="115"/>
      <c r="S154" s="53"/>
      <c r="T154" s="97"/>
      <c r="U154" s="97"/>
      <c r="V154" s="97"/>
      <c r="W154" s="115"/>
      <c r="X154" s="115"/>
      <c r="Y154" s="11"/>
      <c r="Z154" s="97"/>
      <c r="AA154" s="97"/>
      <c r="AB154" s="97"/>
      <c r="AC154" s="44"/>
      <c r="AD154" s="44"/>
      <c r="AE154" s="11"/>
      <c r="AF154" s="102"/>
      <c r="AG154" s="125"/>
      <c r="AH154" s="97"/>
      <c r="AI154" s="11"/>
      <c r="AJ154" s="11"/>
      <c r="AK154" s="17"/>
      <c r="AL154" s="97"/>
      <c r="AM154" s="97"/>
      <c r="AN154" s="101"/>
      <c r="AO154" s="248"/>
      <c r="AP154" s="17"/>
      <c r="AQ154" s="17"/>
      <c r="AR154" s="252">
        <v>1440000</v>
      </c>
      <c r="AS154" s="97">
        <f>+AR154*0.19</f>
        <v>273600</v>
      </c>
      <c r="AT154" s="103">
        <f t="shared" si="55"/>
        <v>1713600</v>
      </c>
      <c r="AU154" s="52" t="s">
        <v>273</v>
      </c>
      <c r="AV154" s="52" t="s">
        <v>271</v>
      </c>
      <c r="AW154" s="30"/>
      <c r="AX154" s="100"/>
      <c r="AY154" s="174"/>
      <c r="AZ154" s="124"/>
      <c r="BA154" s="169"/>
      <c r="BB154" s="116"/>
      <c r="BC154" s="116"/>
      <c r="BD154" s="247"/>
      <c r="BE154" s="124"/>
      <c r="BF154" s="124"/>
      <c r="BG154" s="116"/>
      <c r="BH154" s="116"/>
      <c r="BI154" s="116"/>
      <c r="BJ154" s="124"/>
      <c r="BK154" s="124"/>
      <c r="BL154" s="124"/>
      <c r="BM154" s="116"/>
      <c r="BN154" s="116"/>
      <c r="BO154" s="116"/>
      <c r="BP154" s="124"/>
      <c r="BQ154" s="116"/>
      <c r="BR154" s="116"/>
      <c r="BS154" s="116"/>
      <c r="BT154" s="116"/>
      <c r="BU154" s="116"/>
      <c r="BV154" s="240">
        <v>1200000</v>
      </c>
      <c r="BW154" s="125">
        <f t="shared" si="50"/>
        <v>228000</v>
      </c>
      <c r="BX154" s="97">
        <f t="shared" si="51"/>
        <v>1428000</v>
      </c>
      <c r="BY154" s="237" t="s">
        <v>274</v>
      </c>
      <c r="BZ154" s="237" t="s">
        <v>228</v>
      </c>
      <c r="CA154" s="17"/>
      <c r="CB154" s="247"/>
      <c r="CC154" s="125"/>
      <c r="CD154" s="247"/>
      <c r="CE154" s="116"/>
      <c r="CF154" s="116"/>
      <c r="CG154" s="34"/>
      <c r="CH154" s="241"/>
      <c r="CI154" s="238"/>
      <c r="CJ154" s="236"/>
      <c r="CK154" s="237"/>
      <c r="CL154" s="237"/>
      <c r="CM154" s="116"/>
      <c r="CN154" s="247"/>
      <c r="CO154" s="125"/>
      <c r="CP154" s="247"/>
      <c r="CQ154" s="116"/>
      <c r="CR154" s="116"/>
      <c r="CS154" s="116"/>
      <c r="CT154" s="125">
        <v>842500</v>
      </c>
      <c r="CU154" s="125">
        <f>+CT154*0</f>
        <v>0</v>
      </c>
      <c r="CV154" s="125">
        <f>CT154</f>
        <v>842500</v>
      </c>
      <c r="CW154" s="116"/>
      <c r="CX154" s="116"/>
      <c r="CY154" s="116"/>
      <c r="CZ154" s="102"/>
      <c r="DA154" s="125"/>
      <c r="DB154" s="102"/>
      <c r="DC154" s="31"/>
      <c r="DD154" s="17"/>
      <c r="DE154" s="11"/>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
      <c r="EU154" s="11"/>
      <c r="EV154" s="11"/>
      <c r="EW154" s="11"/>
      <c r="EX154" s="11"/>
      <c r="EY154" s="11"/>
      <c r="EZ154" s="11"/>
      <c r="FA154" s="11"/>
      <c r="FB154" s="11"/>
      <c r="FC154" s="11"/>
      <c r="FD154" s="11"/>
      <c r="FE154" s="11"/>
      <c r="FF154" s="11"/>
      <c r="FG154" s="11"/>
      <c r="FH154" s="17">
        <f t="shared" si="52"/>
        <v>4813337.55</v>
      </c>
      <c r="FI154" s="31">
        <f t="shared" si="53"/>
        <v>4</v>
      </c>
      <c r="FJ154" s="68">
        <f t="shared" si="54"/>
        <v>1203334.3875</v>
      </c>
    </row>
    <row r="155" spans="1:166" ht="13.5" x14ac:dyDescent="0.25">
      <c r="A155" s="248">
        <f>Distribución_Reactivos!A155</f>
        <v>153</v>
      </c>
      <c r="B155" s="248" t="str">
        <f>Distribución_Reactivos!B155</f>
        <v>Cristal Violeta</v>
      </c>
      <c r="C155" s="248" t="str">
        <f>Distribución_Reactivos!C155</f>
        <v>Cualquier marca</v>
      </c>
      <c r="D155" s="248" t="str">
        <f>Distribución_Reactivos!D155</f>
        <v>Frasco x 25 g</v>
      </c>
      <c r="E155" s="29">
        <v>1</v>
      </c>
      <c r="F155" s="212">
        <v>196088.2</v>
      </c>
      <c r="G155" s="214">
        <v>193137</v>
      </c>
      <c r="H155" s="221">
        <v>103197.5</v>
      </c>
      <c r="I155" s="221">
        <v>75000</v>
      </c>
      <c r="J155" s="221">
        <v>195241.158</v>
      </c>
      <c r="K155" s="221">
        <v>0</v>
      </c>
      <c r="L155" s="247">
        <f>AVERAGE(F155,H155,J155)</f>
        <v>164842.28599999999</v>
      </c>
      <c r="M155" s="247">
        <f>AVERAGE(G155,I155)*E1</f>
        <v>138090.55499999999</v>
      </c>
      <c r="N155" s="217"/>
      <c r="O155" s="97"/>
      <c r="P155" s="97"/>
      <c r="Q155" s="115"/>
      <c r="R155" s="115"/>
      <c r="S155" s="53"/>
      <c r="T155" s="97"/>
      <c r="U155" s="97"/>
      <c r="V155" s="97"/>
      <c r="W155" s="115"/>
      <c r="X155" s="115"/>
      <c r="Y155" s="11"/>
      <c r="Z155" s="97"/>
      <c r="AA155" s="97"/>
      <c r="AB155" s="97"/>
      <c r="AC155" s="44"/>
      <c r="AD155" s="44"/>
      <c r="AE155" s="11"/>
      <c r="AF155" s="102">
        <v>180000</v>
      </c>
      <c r="AG155" s="125">
        <f>AF155*19%</f>
        <v>34200</v>
      </c>
      <c r="AH155" s="97">
        <f>+AF155+AG155</f>
        <v>214200</v>
      </c>
      <c r="AI155" s="11"/>
      <c r="AJ155" s="11"/>
      <c r="AK155" s="17"/>
      <c r="AL155" s="97">
        <v>175000</v>
      </c>
      <c r="AM155" s="97">
        <f>+AL155*0.19</f>
        <v>33250</v>
      </c>
      <c r="AN155" s="103">
        <f>+AL155+AM155</f>
        <v>208250</v>
      </c>
      <c r="AO155" s="248" t="s">
        <v>41</v>
      </c>
      <c r="AP155" s="17" t="s">
        <v>52</v>
      </c>
      <c r="AQ155" s="17"/>
      <c r="AR155" s="252">
        <v>169926</v>
      </c>
      <c r="AS155" s="97">
        <f>+AR155*0.19</f>
        <v>32285.94</v>
      </c>
      <c r="AT155" s="103">
        <f t="shared" si="55"/>
        <v>202211.94</v>
      </c>
      <c r="AU155" s="52" t="s">
        <v>41</v>
      </c>
      <c r="AV155" s="52" t="s">
        <v>52</v>
      </c>
      <c r="AW155" s="30"/>
      <c r="AX155" s="100"/>
      <c r="AY155" s="100"/>
      <c r="AZ155" s="124"/>
      <c r="BA155" s="169"/>
      <c r="BB155" s="116"/>
      <c r="BC155" s="116"/>
      <c r="BD155" s="247"/>
      <c r="BE155" s="124"/>
      <c r="BF155" s="124"/>
      <c r="BG155" s="116"/>
      <c r="BH155" s="116"/>
      <c r="BI155" s="116"/>
      <c r="BJ155" s="124"/>
      <c r="BK155" s="124"/>
      <c r="BL155" s="124"/>
      <c r="BM155" s="116"/>
      <c r="BN155" s="116"/>
      <c r="BO155" s="116"/>
      <c r="BP155" s="124"/>
      <c r="BQ155" s="116"/>
      <c r="BR155" s="116"/>
      <c r="BS155" s="116"/>
      <c r="BT155" s="116"/>
      <c r="BU155" s="116"/>
      <c r="BV155" s="236">
        <v>256500</v>
      </c>
      <c r="BW155" s="125">
        <f>BV155*19%</f>
        <v>48735</v>
      </c>
      <c r="BX155" s="97">
        <f>+BV155+BW155</f>
        <v>305235</v>
      </c>
      <c r="BY155" s="237" t="s">
        <v>105</v>
      </c>
      <c r="BZ155" s="237" t="s">
        <v>93</v>
      </c>
      <c r="CA155" s="116"/>
      <c r="CB155" s="102">
        <v>132300</v>
      </c>
      <c r="CC155" s="125">
        <f>+CB155*19%</f>
        <v>25137</v>
      </c>
      <c r="CD155" s="102">
        <f>+CC155+CB155</f>
        <v>157437</v>
      </c>
      <c r="CE155" s="116"/>
      <c r="CF155" s="116"/>
      <c r="CG155" s="34"/>
      <c r="CH155" s="236">
        <v>266760</v>
      </c>
      <c r="CI155" s="238">
        <f>+CH155*0.19</f>
        <v>50684.4</v>
      </c>
      <c r="CJ155" s="236">
        <f>+CH155+CI155</f>
        <v>317444.40000000002</v>
      </c>
      <c r="CK155" s="237" t="s">
        <v>105</v>
      </c>
      <c r="CL155" s="237" t="s">
        <v>93</v>
      </c>
      <c r="CM155" s="116"/>
      <c r="CN155" s="247"/>
      <c r="CO155" s="125"/>
      <c r="CP155" s="247"/>
      <c r="CQ155" s="116"/>
      <c r="CR155" s="116"/>
      <c r="CS155" s="116"/>
      <c r="CT155" s="247"/>
      <c r="CU155" s="125"/>
      <c r="CV155" s="247"/>
      <c r="CW155" s="116"/>
      <c r="CX155" s="116"/>
      <c r="CY155" s="116"/>
      <c r="CZ155" s="102"/>
      <c r="DA155" s="125"/>
      <c r="DB155" s="102"/>
      <c r="DC155" s="31"/>
      <c r="DD155" s="17"/>
      <c r="DE155" s="11"/>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
      <c r="EU155" s="11"/>
      <c r="EV155" s="11"/>
      <c r="EW155" s="11"/>
      <c r="EX155" s="11"/>
      <c r="EY155" s="11"/>
      <c r="EZ155" s="11"/>
      <c r="FA155" s="11"/>
      <c r="FB155" s="11"/>
      <c r="FC155" s="11"/>
      <c r="FD155" s="11"/>
      <c r="FE155" s="11"/>
      <c r="FF155" s="11"/>
      <c r="FG155" s="11"/>
      <c r="FH155" s="17">
        <f t="shared" si="52"/>
        <v>1542868.895</v>
      </c>
      <c r="FI155" s="31">
        <f t="shared" si="53"/>
        <v>7</v>
      </c>
      <c r="FJ155" s="68">
        <f t="shared" si="54"/>
        <v>220409.84214285715</v>
      </c>
    </row>
    <row r="156" spans="1:166" ht="40.5" x14ac:dyDescent="0.25">
      <c r="A156" s="248">
        <f>Distribución_Reactivos!A156</f>
        <v>154</v>
      </c>
      <c r="B156" s="248" t="str">
        <f>Distribución_Reactivos!B156</f>
        <v>CTAB (Bromuro de hexadeciltrimetilamonio o Bromuro de cetiltrimetilamonio)</v>
      </c>
      <c r="C156" s="248" t="str">
        <f>Distribución_Reactivos!C156</f>
        <v>Cualquier marca</v>
      </c>
      <c r="D156" s="248" t="str">
        <f>Distribución_Reactivos!D156</f>
        <v>Frasco x 100 g</v>
      </c>
      <c r="E156" s="29">
        <v>1</v>
      </c>
      <c r="F156" s="212">
        <v>293852.05499999999</v>
      </c>
      <c r="G156" s="214">
        <v>286433</v>
      </c>
      <c r="H156" s="221">
        <v>474011.7400695</v>
      </c>
      <c r="I156" s="221">
        <v>111860</v>
      </c>
      <c r="J156" s="221">
        <v>345404.64</v>
      </c>
      <c r="K156" s="221">
        <v>0</v>
      </c>
      <c r="L156" s="247">
        <f>AVERAGE(F156,H156,J156)</f>
        <v>371089.47835649998</v>
      </c>
      <c r="M156" s="247">
        <f>AVERAGE(G156,I156)*E1</f>
        <v>205120.89500000002</v>
      </c>
      <c r="N156" s="217"/>
      <c r="O156" s="97"/>
      <c r="P156" s="97"/>
      <c r="Q156" s="115"/>
      <c r="R156" s="115"/>
      <c r="S156" s="53"/>
      <c r="T156" s="97"/>
      <c r="U156" s="97"/>
      <c r="V156" s="97"/>
      <c r="W156" s="115"/>
      <c r="X156" s="115"/>
      <c r="Y156" s="11"/>
      <c r="Z156" s="97"/>
      <c r="AA156" s="97"/>
      <c r="AB156" s="97"/>
      <c r="AC156" s="44"/>
      <c r="AD156" s="44"/>
      <c r="AE156" s="11"/>
      <c r="AF156" s="102">
        <v>345000</v>
      </c>
      <c r="AG156" s="125">
        <f>AF156*19%</f>
        <v>65550</v>
      </c>
      <c r="AH156" s="97">
        <f>+AF156+AG156</f>
        <v>410550</v>
      </c>
      <c r="AI156" s="11"/>
      <c r="AJ156" s="11"/>
      <c r="AK156" s="17"/>
      <c r="AL156" s="97">
        <v>665000</v>
      </c>
      <c r="AM156" s="97">
        <f>+AL156*0.19</f>
        <v>126350</v>
      </c>
      <c r="AN156" s="103">
        <f>+AL156+AM156</f>
        <v>791350</v>
      </c>
      <c r="AO156" s="248" t="s">
        <v>77</v>
      </c>
      <c r="AP156" s="17" t="s">
        <v>52</v>
      </c>
      <c r="AQ156" s="17"/>
      <c r="AR156" s="252">
        <v>326289</v>
      </c>
      <c r="AS156" s="97">
        <f>+AR156*0.19</f>
        <v>61994.91</v>
      </c>
      <c r="AT156" s="103">
        <f t="shared" si="55"/>
        <v>388283.91000000003</v>
      </c>
      <c r="AU156" s="52" t="s">
        <v>61</v>
      </c>
      <c r="AV156" s="52" t="s">
        <v>52</v>
      </c>
      <c r="AW156" s="30"/>
      <c r="AX156" s="100"/>
      <c r="AY156" s="100"/>
      <c r="AZ156" s="124"/>
      <c r="BA156" s="169"/>
      <c r="BB156" s="116"/>
      <c r="BC156" s="116"/>
      <c r="BD156" s="247"/>
      <c r="BE156" s="124"/>
      <c r="BF156" s="124"/>
      <c r="BG156" s="116"/>
      <c r="BH156" s="116"/>
      <c r="BI156" s="116"/>
      <c r="BJ156" s="124"/>
      <c r="BK156" s="124"/>
      <c r="BL156" s="124"/>
      <c r="BM156" s="116"/>
      <c r="BN156" s="116"/>
      <c r="BO156" s="116"/>
      <c r="BP156" s="124"/>
      <c r="BQ156" s="116"/>
      <c r="BR156" s="116"/>
      <c r="BS156" s="116"/>
      <c r="BT156" s="116"/>
      <c r="BU156" s="116"/>
      <c r="BV156" s="236">
        <v>929600</v>
      </c>
      <c r="BW156" s="125">
        <f>BV156*19%</f>
        <v>176624</v>
      </c>
      <c r="BX156" s="97">
        <f>+BV156+BW156</f>
        <v>1106224</v>
      </c>
      <c r="BY156" s="237" t="s">
        <v>63</v>
      </c>
      <c r="BZ156" s="237" t="s">
        <v>52</v>
      </c>
      <c r="CA156" s="116"/>
      <c r="CB156" s="247"/>
      <c r="CC156" s="125"/>
      <c r="CD156" s="247"/>
      <c r="CE156" s="116"/>
      <c r="CF156" s="116"/>
      <c r="CG156" s="34"/>
      <c r="CH156" s="236"/>
      <c r="CI156" s="238"/>
      <c r="CJ156" s="236"/>
      <c r="CK156" s="237"/>
      <c r="CL156" s="237"/>
      <c r="CM156" s="116"/>
      <c r="CN156" s="247"/>
      <c r="CO156" s="125"/>
      <c r="CP156" s="247"/>
      <c r="CQ156" s="116"/>
      <c r="CR156" s="116"/>
      <c r="CS156" s="116"/>
      <c r="CT156" s="247"/>
      <c r="CU156" s="125"/>
      <c r="CV156" s="247"/>
      <c r="CW156" s="116"/>
      <c r="CX156" s="116"/>
      <c r="CY156" s="116"/>
      <c r="CZ156" s="102"/>
      <c r="DA156" s="125"/>
      <c r="DB156" s="102"/>
      <c r="DC156" s="31"/>
      <c r="DD156" s="17"/>
      <c r="DE156" s="11"/>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
      <c r="EU156" s="11"/>
      <c r="EV156" s="11"/>
      <c r="EW156" s="11"/>
      <c r="EX156" s="11"/>
      <c r="EY156" s="11"/>
      <c r="EZ156" s="11"/>
      <c r="FA156" s="11"/>
      <c r="FB156" s="11"/>
      <c r="FC156" s="11"/>
      <c r="FD156" s="11"/>
      <c r="FE156" s="11"/>
      <c r="FF156" s="11"/>
      <c r="FG156" s="11"/>
      <c r="FH156" s="17">
        <f t="shared" si="52"/>
        <v>2901528.8050000002</v>
      </c>
      <c r="FI156" s="31">
        <f t="shared" si="53"/>
        <v>5</v>
      </c>
      <c r="FJ156" s="68">
        <f t="shared" si="54"/>
        <v>580305.76100000006</v>
      </c>
    </row>
    <row r="157" spans="1:166" ht="27" x14ac:dyDescent="0.25">
      <c r="A157" s="248">
        <f>Distribución_Reactivos!A157</f>
        <v>155</v>
      </c>
      <c r="B157" s="248" t="str">
        <f>Distribución_Reactivos!B157</f>
        <v>DEPC Diethyl pyrocarbonate (DEPC)</v>
      </c>
      <c r="C157" s="248" t="str">
        <f>Distribución_Reactivos!C157</f>
        <v>sigma, merck</v>
      </c>
      <c r="D157" s="248" t="str">
        <f>Distribución_Reactivos!D157</f>
        <v>FRASCO X 100 gr</v>
      </c>
      <c r="E157" s="29">
        <v>1</v>
      </c>
      <c r="F157" s="212">
        <v>0</v>
      </c>
      <c r="G157" s="214">
        <v>0</v>
      </c>
      <c r="H157" s="221">
        <v>0</v>
      </c>
      <c r="I157" s="221">
        <v>0</v>
      </c>
      <c r="J157" s="221">
        <v>1352911</v>
      </c>
      <c r="K157" s="221">
        <v>0</v>
      </c>
      <c r="L157" s="247">
        <f>J157</f>
        <v>1352911</v>
      </c>
      <c r="M157" s="247"/>
      <c r="N157" s="217"/>
      <c r="O157" s="97"/>
      <c r="P157" s="97"/>
      <c r="Q157" s="115"/>
      <c r="R157" s="115"/>
      <c r="S157" s="53"/>
      <c r="T157" s="97"/>
      <c r="U157" s="97"/>
      <c r="V157" s="97"/>
      <c r="W157" s="115"/>
      <c r="X157" s="115"/>
      <c r="Y157" s="11"/>
      <c r="Z157" s="97"/>
      <c r="AA157" s="97"/>
      <c r="AB157" s="97"/>
      <c r="AC157" s="44"/>
      <c r="AD157" s="44"/>
      <c r="AE157" s="11"/>
      <c r="AF157" s="102"/>
      <c r="AG157" s="125"/>
      <c r="AH157" s="97"/>
      <c r="AI157" s="11"/>
      <c r="AJ157" s="11"/>
      <c r="AK157" s="17"/>
      <c r="AL157" s="97"/>
      <c r="AM157" s="97"/>
      <c r="AN157" s="101"/>
      <c r="AO157" s="248"/>
      <c r="AP157" s="17"/>
      <c r="AQ157" s="17"/>
      <c r="AR157" s="252">
        <v>2188800</v>
      </c>
      <c r="AS157" s="97">
        <f>+AR157*0.19</f>
        <v>415872</v>
      </c>
      <c r="AT157" s="103">
        <f t="shared" si="55"/>
        <v>2604672</v>
      </c>
      <c r="AU157" s="52" t="s">
        <v>61</v>
      </c>
      <c r="AV157" s="52" t="s">
        <v>42</v>
      </c>
      <c r="AW157" s="30"/>
      <c r="AX157" s="100"/>
      <c r="AY157" s="100"/>
      <c r="AZ157" s="124"/>
      <c r="BA157" s="169"/>
      <c r="BB157" s="116"/>
      <c r="BC157" s="116"/>
      <c r="BD157" s="247"/>
      <c r="BE157" s="124"/>
      <c r="BF157" s="124"/>
      <c r="BG157" s="116"/>
      <c r="BH157" s="116"/>
      <c r="BI157" s="116"/>
      <c r="BJ157" s="124"/>
      <c r="BK157" s="124"/>
      <c r="BL157" s="124"/>
      <c r="BM157" s="116"/>
      <c r="BN157" s="116"/>
      <c r="BO157" s="116"/>
      <c r="BP157" s="124"/>
      <c r="BQ157" s="116"/>
      <c r="BR157" s="116"/>
      <c r="BS157" s="116"/>
      <c r="BT157" s="116"/>
      <c r="BU157" s="116"/>
      <c r="BV157" s="240">
        <v>4000000</v>
      </c>
      <c r="BW157" s="125">
        <f>BV157*19%</f>
        <v>760000</v>
      </c>
      <c r="BX157" s="97">
        <f>+BV157+BW157</f>
        <v>4760000</v>
      </c>
      <c r="BY157" s="237" t="s">
        <v>63</v>
      </c>
      <c r="BZ157" s="237" t="s">
        <v>228</v>
      </c>
      <c r="CA157" s="116"/>
      <c r="CB157" s="247"/>
      <c r="CC157" s="125"/>
      <c r="CD157" s="247"/>
      <c r="CE157" s="116"/>
      <c r="CF157" s="116"/>
      <c r="CG157" s="34"/>
      <c r="CH157" s="241">
        <v>5747700</v>
      </c>
      <c r="CI157" s="238">
        <f>+CH157*0.19</f>
        <v>1092063</v>
      </c>
      <c r="CJ157" s="236">
        <f>+CH157+CI157</f>
        <v>6839763</v>
      </c>
      <c r="CK157" s="237" t="s">
        <v>63</v>
      </c>
      <c r="CL157" s="237" t="s">
        <v>228</v>
      </c>
      <c r="CM157" s="116"/>
      <c r="CN157" s="247"/>
      <c r="CO157" s="125"/>
      <c r="CP157" s="247"/>
      <c r="CQ157" s="116"/>
      <c r="CR157" s="116"/>
      <c r="CS157" s="116"/>
      <c r="CT157" s="247"/>
      <c r="CU157" s="125"/>
      <c r="CV157" s="247"/>
      <c r="CW157" s="116"/>
      <c r="CX157" s="116"/>
      <c r="CY157" s="116"/>
      <c r="CZ157" s="102"/>
      <c r="DA157" s="125"/>
      <c r="DB157" s="102"/>
      <c r="DC157" s="31"/>
      <c r="DD157" s="17"/>
      <c r="DE157" s="11"/>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
      <c r="EU157" s="11"/>
      <c r="EV157" s="11"/>
      <c r="EW157" s="11"/>
      <c r="EX157" s="11"/>
      <c r="EY157" s="11"/>
      <c r="EZ157" s="11"/>
      <c r="FA157" s="11"/>
      <c r="FB157" s="11"/>
      <c r="FC157" s="11"/>
      <c r="FD157" s="11"/>
      <c r="FE157" s="11"/>
      <c r="FF157" s="11"/>
      <c r="FG157" s="11"/>
      <c r="FH157" s="17">
        <f t="shared" si="52"/>
        <v>14204435</v>
      </c>
      <c r="FI157" s="31">
        <f t="shared" si="53"/>
        <v>3</v>
      </c>
      <c r="FJ157" s="68">
        <f t="shared" si="54"/>
        <v>4734811.666666667</v>
      </c>
    </row>
    <row r="158" spans="1:166" x14ac:dyDescent="0.25">
      <c r="A158" s="248">
        <f>Distribución_Reactivos!A158</f>
        <v>156</v>
      </c>
      <c r="B158" s="248" t="str">
        <f>Distribución_Reactivos!B158</f>
        <v>Desinfectante bactericida a base de yodo</v>
      </c>
      <c r="C158" s="248" t="str">
        <f>Distribución_Reactivos!C158</f>
        <v>Cualquier marca</v>
      </c>
      <c r="D158" s="248" t="str">
        <f>Distribución_Reactivos!D158</f>
        <v>Frasco x 3.78 litros</v>
      </c>
      <c r="E158" s="29">
        <v>1</v>
      </c>
      <c r="F158" s="212">
        <v>91451.5</v>
      </c>
      <c r="G158" s="214">
        <v>90440</v>
      </c>
      <c r="H158" s="221">
        <v>90712.095483333338</v>
      </c>
      <c r="I158" s="221">
        <v>0</v>
      </c>
      <c r="J158" s="221">
        <v>138555.86499999999</v>
      </c>
      <c r="K158" s="221">
        <v>0</v>
      </c>
      <c r="L158" s="247">
        <f>AVERAGE(F158,H158,J158)</f>
        <v>106906.48682777777</v>
      </c>
      <c r="M158" s="247">
        <f>G158*E1</f>
        <v>93153.2</v>
      </c>
      <c r="N158" s="217"/>
      <c r="O158" s="97"/>
      <c r="P158" s="97"/>
      <c r="Q158" s="115"/>
      <c r="R158" s="115"/>
      <c r="S158" s="53"/>
      <c r="T158" s="97"/>
      <c r="U158" s="97"/>
      <c r="V158" s="97"/>
      <c r="W158" s="115"/>
      <c r="X158" s="115"/>
      <c r="Y158" s="11"/>
      <c r="Z158" s="97"/>
      <c r="AA158" s="97"/>
      <c r="AB158" s="97"/>
      <c r="AC158" s="44"/>
      <c r="AD158" s="44"/>
      <c r="AE158" s="11"/>
      <c r="AF158" s="102">
        <v>110000</v>
      </c>
      <c r="AG158" s="125">
        <v>0</v>
      </c>
      <c r="AH158" s="97">
        <f>+AF158+AG158</f>
        <v>110000</v>
      </c>
      <c r="AI158" s="11"/>
      <c r="AJ158" s="11"/>
      <c r="AK158" s="17"/>
      <c r="AL158" s="97"/>
      <c r="AM158" s="97"/>
      <c r="AN158" s="101"/>
      <c r="AO158" s="248"/>
      <c r="AP158" s="17"/>
      <c r="AQ158" s="17"/>
      <c r="AR158" s="252"/>
      <c r="AS158" s="136"/>
      <c r="AT158" s="137"/>
      <c r="AU158" s="52"/>
      <c r="AV158" s="52"/>
      <c r="AW158" s="30"/>
      <c r="AX158" s="100"/>
      <c r="AY158" s="100"/>
      <c r="AZ158" s="124"/>
      <c r="BA158" s="169"/>
      <c r="BB158" s="116"/>
      <c r="BC158" s="116"/>
      <c r="BD158" s="247"/>
      <c r="BE158" s="124"/>
      <c r="BF158" s="124"/>
      <c r="BG158" s="116"/>
      <c r="BH158" s="116"/>
      <c r="BI158" s="116"/>
      <c r="BJ158" s="124"/>
      <c r="BK158" s="124"/>
      <c r="BL158" s="124"/>
      <c r="BM158" s="116"/>
      <c r="BN158" s="116"/>
      <c r="BO158" s="116"/>
      <c r="BP158" s="124"/>
      <c r="BQ158" s="116"/>
      <c r="BR158" s="116"/>
      <c r="BS158" s="116"/>
      <c r="BT158" s="116"/>
      <c r="BU158" s="116"/>
      <c r="BV158" s="187"/>
      <c r="BW158" s="125"/>
      <c r="BX158" s="97"/>
      <c r="BY158" s="246"/>
      <c r="BZ158" s="246"/>
      <c r="CA158" s="116"/>
      <c r="CB158" s="247"/>
      <c r="CC158" s="125"/>
      <c r="CD158" s="247"/>
      <c r="CE158" s="116"/>
      <c r="CF158" s="116"/>
      <c r="CG158" s="34"/>
      <c r="CH158" s="187"/>
      <c r="CI158" s="195"/>
      <c r="CJ158" s="187"/>
      <c r="CK158" s="246"/>
      <c r="CL158" s="246"/>
      <c r="CM158" s="116"/>
      <c r="CN158" s="247"/>
      <c r="CO158" s="125"/>
      <c r="CP158" s="247"/>
      <c r="CQ158" s="116"/>
      <c r="CR158" s="116"/>
      <c r="CS158" s="116"/>
      <c r="CT158" s="247"/>
      <c r="CU158" s="125"/>
      <c r="CV158" s="247"/>
      <c r="CW158" s="116"/>
      <c r="CX158" s="116"/>
      <c r="CY158" s="116"/>
      <c r="CZ158" s="102"/>
      <c r="DA158" s="125"/>
      <c r="DB158" s="102"/>
      <c r="DC158" s="31"/>
      <c r="DD158" s="17"/>
      <c r="DE158" s="11"/>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
      <c r="EU158" s="11"/>
      <c r="EV158" s="11"/>
      <c r="EW158" s="11"/>
      <c r="EX158" s="11"/>
      <c r="EY158" s="11"/>
      <c r="EZ158" s="11"/>
      <c r="FA158" s="11"/>
      <c r="FB158" s="11"/>
      <c r="FC158" s="11"/>
      <c r="FD158" s="11"/>
      <c r="FE158" s="11"/>
      <c r="FF158" s="11"/>
      <c r="FG158" s="11"/>
      <c r="FH158" s="17">
        <f t="shared" si="52"/>
        <v>203153.2</v>
      </c>
      <c r="FI158" s="31">
        <f t="shared" si="53"/>
        <v>2</v>
      </c>
      <c r="FJ158" s="68">
        <f t="shared" si="54"/>
        <v>101576.6</v>
      </c>
    </row>
    <row r="159" spans="1:166" ht="27" x14ac:dyDescent="0.25">
      <c r="A159" s="248">
        <f>Distribución_Reactivos!A159</f>
        <v>157</v>
      </c>
      <c r="B159" s="248" t="str">
        <f>Distribución_Reactivos!B159</f>
        <v>D-Fructosa CAS 57-48-7</v>
      </c>
      <c r="C159" s="248" t="str">
        <f>Distribución_Reactivos!C159</f>
        <v>Merck</v>
      </c>
      <c r="D159" s="248" t="str">
        <f>Distribución_Reactivos!D159</f>
        <v>Frasco x 100 g</v>
      </c>
      <c r="E159" s="29">
        <v>1</v>
      </c>
      <c r="F159" s="212">
        <v>0</v>
      </c>
      <c r="G159" s="214">
        <v>0</v>
      </c>
      <c r="H159" s="221">
        <v>0</v>
      </c>
      <c r="I159" s="221">
        <v>0</v>
      </c>
      <c r="J159" s="221">
        <v>334925.5</v>
      </c>
      <c r="K159" s="221">
        <v>0</v>
      </c>
      <c r="L159" s="247">
        <f>J159</f>
        <v>334925.5</v>
      </c>
      <c r="M159" s="247"/>
      <c r="N159" s="217"/>
      <c r="O159" s="97"/>
      <c r="P159" s="97"/>
      <c r="Q159" s="115"/>
      <c r="R159" s="115"/>
      <c r="S159" s="53"/>
      <c r="T159" s="97"/>
      <c r="U159" s="101"/>
      <c r="V159" s="97"/>
      <c r="W159" s="115"/>
      <c r="X159" s="115"/>
      <c r="Y159" s="11"/>
      <c r="Z159" s="97"/>
      <c r="AA159" s="97"/>
      <c r="AB159" s="97"/>
      <c r="AC159" s="44"/>
      <c r="AD159" s="44"/>
      <c r="AE159" s="11"/>
      <c r="AF159" s="102">
        <v>362000</v>
      </c>
      <c r="AG159" s="125">
        <f>AF159*19%</f>
        <v>68780</v>
      </c>
      <c r="AH159" s="97">
        <f>+AF159+AG159</f>
        <v>430780</v>
      </c>
      <c r="AI159" s="11"/>
      <c r="AJ159" s="11"/>
      <c r="AK159" s="17"/>
      <c r="AL159" s="97">
        <v>330000</v>
      </c>
      <c r="AM159" s="97">
        <f>+AL159*0.19</f>
        <v>62700</v>
      </c>
      <c r="AN159" s="103">
        <f>+AL159+AM159</f>
        <v>392700</v>
      </c>
      <c r="AO159" s="248" t="s">
        <v>77</v>
      </c>
      <c r="AP159" s="17" t="s">
        <v>52</v>
      </c>
      <c r="AQ159" s="17"/>
      <c r="AR159" s="252">
        <v>280800</v>
      </c>
      <c r="AS159" s="97">
        <f t="shared" ref="AS159:AS164" si="56">+AR159*0.19</f>
        <v>53352</v>
      </c>
      <c r="AT159" s="103">
        <f t="shared" ref="AT159:AT164" si="57">+AR159+AS159</f>
        <v>334152</v>
      </c>
      <c r="AU159" s="52" t="s">
        <v>61</v>
      </c>
      <c r="AV159" s="52" t="s">
        <v>42</v>
      </c>
      <c r="AW159" s="30"/>
      <c r="AX159" s="100"/>
      <c r="AY159" s="172"/>
      <c r="AZ159" s="124"/>
      <c r="BA159" s="169"/>
      <c r="BB159" s="116"/>
      <c r="BC159" s="116"/>
      <c r="BD159" s="247"/>
      <c r="BE159" s="124"/>
      <c r="BF159" s="124"/>
      <c r="BG159" s="116"/>
      <c r="BH159" s="116"/>
      <c r="BI159" s="116"/>
      <c r="BJ159" s="124"/>
      <c r="BK159" s="124"/>
      <c r="BL159" s="124"/>
      <c r="BM159" s="116"/>
      <c r="BN159" s="116"/>
      <c r="BO159" s="116"/>
      <c r="BP159" s="124"/>
      <c r="BQ159" s="116"/>
      <c r="BR159" s="116"/>
      <c r="BS159" s="116"/>
      <c r="BT159" s="116"/>
      <c r="BU159" s="116"/>
      <c r="BV159" s="236">
        <v>321600</v>
      </c>
      <c r="BW159" s="125">
        <f>BV159*19%</f>
        <v>61104</v>
      </c>
      <c r="BX159" s="97">
        <f>+BV159+BW159</f>
        <v>382704</v>
      </c>
      <c r="BY159" s="237" t="s">
        <v>63</v>
      </c>
      <c r="BZ159" s="237" t="s">
        <v>93</v>
      </c>
      <c r="CA159" s="116"/>
      <c r="CB159" s="247"/>
      <c r="CC159" s="125"/>
      <c r="CD159" s="247"/>
      <c r="CE159" s="116"/>
      <c r="CF159" s="116"/>
      <c r="CG159" s="34"/>
      <c r="CH159" s="236">
        <v>331248</v>
      </c>
      <c r="CI159" s="238">
        <f>+CH159*0.19</f>
        <v>62937.120000000003</v>
      </c>
      <c r="CJ159" s="236">
        <f>+CH159+CI159</f>
        <v>394185.12</v>
      </c>
      <c r="CK159" s="237" t="s">
        <v>63</v>
      </c>
      <c r="CL159" s="237" t="s">
        <v>93</v>
      </c>
      <c r="CM159" s="116"/>
      <c r="CN159" s="247"/>
      <c r="CO159" s="125"/>
      <c r="CP159" s="247"/>
      <c r="CQ159" s="116"/>
      <c r="CR159" s="116"/>
      <c r="CS159" s="116"/>
      <c r="CT159" s="247"/>
      <c r="CU159" s="125"/>
      <c r="CV159" s="247"/>
      <c r="CW159" s="116"/>
      <c r="CX159" s="116"/>
      <c r="CY159" s="116"/>
      <c r="CZ159" s="102"/>
      <c r="DA159" s="125"/>
      <c r="DB159" s="102"/>
      <c r="DC159" s="31"/>
      <c r="DD159" s="17"/>
      <c r="DE159" s="11"/>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
      <c r="EU159" s="11"/>
      <c r="EV159" s="11"/>
      <c r="EW159" s="11"/>
      <c r="EX159" s="11"/>
      <c r="EY159" s="11"/>
      <c r="EZ159" s="11"/>
      <c r="FA159" s="11"/>
      <c r="FB159" s="11"/>
      <c r="FC159" s="11"/>
      <c r="FD159" s="11"/>
      <c r="FE159" s="11"/>
      <c r="FF159" s="11"/>
      <c r="FG159" s="11"/>
      <c r="FH159" s="17">
        <f t="shared" si="52"/>
        <v>1934521.12</v>
      </c>
      <c r="FI159" s="31">
        <f t="shared" si="53"/>
        <v>5</v>
      </c>
      <c r="FJ159" s="68">
        <f t="shared" si="54"/>
        <v>386904.22400000005</v>
      </c>
    </row>
    <row r="160" spans="1:166" ht="40.5" x14ac:dyDescent="0.25">
      <c r="A160" s="248">
        <f>Distribución_Reactivos!A160</f>
        <v>158</v>
      </c>
      <c r="B160" s="248" t="str">
        <f>Distribución_Reactivos!B160</f>
        <v>D-Galactosa CAS 59-23-4</v>
      </c>
      <c r="C160" s="248" t="str">
        <f>Distribución_Reactivos!C160</f>
        <v>Merck</v>
      </c>
      <c r="D160" s="248" t="str">
        <f>Distribución_Reactivos!D160</f>
        <v>Frasco x 50 g</v>
      </c>
      <c r="E160" s="29">
        <v>1</v>
      </c>
      <c r="F160" s="212">
        <v>475197.94</v>
      </c>
      <c r="G160" s="214">
        <v>463267</v>
      </c>
      <c r="H160" s="221">
        <v>318449.44586840004</v>
      </c>
      <c r="I160" s="221">
        <v>151130</v>
      </c>
      <c r="J160" s="221">
        <v>397915.17500000005</v>
      </c>
      <c r="K160" s="221">
        <v>0</v>
      </c>
      <c r="L160" s="247">
        <f>AVERAGE(F160,H160,J160)</f>
        <v>397187.52028946672</v>
      </c>
      <c r="M160" s="247">
        <f>AVERAGE(G160,I160)*E1</f>
        <v>316414.45500000002</v>
      </c>
      <c r="N160" s="217"/>
      <c r="O160" s="101"/>
      <c r="P160" s="97"/>
      <c r="Q160" s="115"/>
      <c r="R160" s="115"/>
      <c r="S160" s="53"/>
      <c r="T160" s="97"/>
      <c r="U160" s="101"/>
      <c r="V160" s="97"/>
      <c r="W160" s="115"/>
      <c r="X160" s="115"/>
      <c r="Y160" s="11"/>
      <c r="Z160" s="97"/>
      <c r="AA160" s="97"/>
      <c r="AB160" s="97"/>
      <c r="AC160" s="44"/>
      <c r="AD160" s="44"/>
      <c r="AE160" s="11"/>
      <c r="AF160" s="102"/>
      <c r="AG160" s="125"/>
      <c r="AH160" s="97"/>
      <c r="AI160" s="11"/>
      <c r="AJ160" s="11"/>
      <c r="AK160" s="17"/>
      <c r="AL160" s="97">
        <f>260000/2</f>
        <v>130000</v>
      </c>
      <c r="AM160" s="97">
        <f>+AL160*0.19</f>
        <v>24700</v>
      </c>
      <c r="AN160" s="103">
        <f>+AL160+AM160</f>
        <v>154700</v>
      </c>
      <c r="AO160" s="248" t="s">
        <v>61</v>
      </c>
      <c r="AP160" s="17" t="s">
        <v>52</v>
      </c>
      <c r="AQ160" s="17"/>
      <c r="AR160" s="252">
        <f>1540800/2</f>
        <v>770400</v>
      </c>
      <c r="AS160" s="97">
        <f t="shared" si="56"/>
        <v>146376</v>
      </c>
      <c r="AT160" s="103">
        <f t="shared" si="57"/>
        <v>916776</v>
      </c>
      <c r="AU160" s="52" t="s">
        <v>61</v>
      </c>
      <c r="AV160" s="52" t="s">
        <v>42</v>
      </c>
      <c r="AW160" s="30"/>
      <c r="AX160" s="100"/>
      <c r="AY160" s="172"/>
      <c r="AZ160" s="124"/>
      <c r="BA160" s="169"/>
      <c r="BB160" s="116"/>
      <c r="BC160" s="116"/>
      <c r="BD160" s="247"/>
      <c r="BE160" s="124"/>
      <c r="BF160" s="124"/>
      <c r="BG160" s="116"/>
      <c r="BH160" s="116"/>
      <c r="BI160" s="116"/>
      <c r="BJ160" s="124"/>
      <c r="BK160" s="124"/>
      <c r="BL160" s="124"/>
      <c r="BM160" s="116"/>
      <c r="BN160" s="116"/>
      <c r="BO160" s="116"/>
      <c r="BP160" s="124"/>
      <c r="BQ160" s="116"/>
      <c r="BR160" s="116"/>
      <c r="BS160" s="116"/>
      <c r="BT160" s="116"/>
      <c r="BU160" s="116"/>
      <c r="BV160" s="236">
        <v>832000</v>
      </c>
      <c r="BW160" s="125">
        <f>BV160*19%</f>
        <v>158080</v>
      </c>
      <c r="BX160" s="97">
        <f>+BV160+BW160</f>
        <v>990080</v>
      </c>
      <c r="BY160" s="237" t="s">
        <v>275</v>
      </c>
      <c r="BZ160" s="237" t="s">
        <v>52</v>
      </c>
      <c r="CA160" s="116"/>
      <c r="CB160" s="247"/>
      <c r="CC160" s="125"/>
      <c r="CD160" s="247"/>
      <c r="CE160" s="116"/>
      <c r="CF160" s="116"/>
      <c r="CG160" s="34"/>
      <c r="CH160" s="236">
        <v>856960</v>
      </c>
      <c r="CI160" s="238">
        <f>+CH160*0.19</f>
        <v>162822.39999999999</v>
      </c>
      <c r="CJ160" s="236">
        <f>+CH160+CI160</f>
        <v>1019782.4</v>
      </c>
      <c r="CK160" s="237" t="s">
        <v>275</v>
      </c>
      <c r="CL160" s="237" t="s">
        <v>52</v>
      </c>
      <c r="CM160" s="116"/>
      <c r="CN160" s="247"/>
      <c r="CO160" s="125"/>
      <c r="CP160" s="247"/>
      <c r="CQ160" s="116"/>
      <c r="CR160" s="116"/>
      <c r="CS160" s="116"/>
      <c r="CT160" s="247"/>
      <c r="CU160" s="125"/>
      <c r="CV160" s="247"/>
      <c r="CW160" s="116"/>
      <c r="CX160" s="116"/>
      <c r="CY160" s="116"/>
      <c r="CZ160" s="102"/>
      <c r="DA160" s="125"/>
      <c r="DB160" s="102"/>
      <c r="DC160" s="31"/>
      <c r="DD160" s="17"/>
      <c r="DE160" s="11"/>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
      <c r="EU160" s="11"/>
      <c r="EV160" s="11"/>
      <c r="EW160" s="11"/>
      <c r="EX160" s="11"/>
      <c r="EY160" s="11"/>
      <c r="EZ160" s="11"/>
      <c r="FA160" s="11"/>
      <c r="FB160" s="11"/>
      <c r="FC160" s="11"/>
      <c r="FD160" s="11"/>
      <c r="FE160" s="11"/>
      <c r="FF160" s="11"/>
      <c r="FG160" s="11"/>
      <c r="FH160" s="17">
        <f t="shared" si="52"/>
        <v>3397752.855</v>
      </c>
      <c r="FI160" s="31">
        <f t="shared" si="53"/>
        <v>5</v>
      </c>
      <c r="FJ160" s="68">
        <f t="shared" si="54"/>
        <v>679550.571</v>
      </c>
    </row>
    <row r="161" spans="1:166" ht="40.5" x14ac:dyDescent="0.25">
      <c r="A161" s="248">
        <f>Distribución_Reactivos!A161</f>
        <v>159</v>
      </c>
      <c r="B161" s="248" t="str">
        <f>Distribución_Reactivos!B161</f>
        <v xml:space="preserve">D-Glucosa (Dextrosa) </v>
      </c>
      <c r="C161" s="248" t="str">
        <f>Distribución_Reactivos!C161</f>
        <v>Merck, Acumedia, BBL, Sharlau, Sigma</v>
      </c>
      <c r="D161" s="248" t="str">
        <f>Distribución_Reactivos!D161</f>
        <v>Frasco x 500 g</v>
      </c>
      <c r="E161" s="29">
        <v>1</v>
      </c>
      <c r="F161" s="212">
        <v>0</v>
      </c>
      <c r="G161" s="214">
        <v>0</v>
      </c>
      <c r="H161" s="221">
        <v>210035</v>
      </c>
      <c r="I161" s="221">
        <v>70210</v>
      </c>
      <c r="J161" s="221">
        <v>225163.35483870967</v>
      </c>
      <c r="K161" s="221">
        <v>202300</v>
      </c>
      <c r="L161" s="247">
        <f>AVERAGE(H161,J161)</f>
        <v>217599.17741935485</v>
      </c>
      <c r="M161" s="247">
        <f>AVERAGE(I161,K161)*E1</f>
        <v>140342.65</v>
      </c>
      <c r="N161" s="218"/>
      <c r="O161" s="102"/>
      <c r="P161" s="102"/>
      <c r="Q161" s="44"/>
      <c r="R161" s="44"/>
      <c r="S161" s="5"/>
      <c r="T161" s="102"/>
      <c r="U161" s="102"/>
      <c r="V161" s="102"/>
      <c r="W161" s="11"/>
      <c r="X161" s="11"/>
      <c r="Y161" s="11"/>
      <c r="Z161" s="102"/>
      <c r="AA161" s="102"/>
      <c r="AB161" s="102"/>
      <c r="AC161" s="44"/>
      <c r="AD161" s="44"/>
      <c r="AE161" s="11"/>
      <c r="AF161" s="102">
        <v>258000</v>
      </c>
      <c r="AG161" s="125">
        <f>AF161*19%</f>
        <v>49020</v>
      </c>
      <c r="AH161" s="97">
        <f>+AF161+AG161</f>
        <v>307020</v>
      </c>
      <c r="AI161" s="11"/>
      <c r="AJ161" s="11"/>
      <c r="AK161" s="11"/>
      <c r="AL161" s="102">
        <v>120000</v>
      </c>
      <c r="AM161" s="97">
        <f>+AL161*0.19</f>
        <v>22800</v>
      </c>
      <c r="AN161" s="103">
        <f>+AL161+AM161</f>
        <v>142800</v>
      </c>
      <c r="AO161" s="248" t="s">
        <v>77</v>
      </c>
      <c r="AP161" s="17" t="s">
        <v>52</v>
      </c>
      <c r="AQ161" s="11"/>
      <c r="AR161" s="247">
        <f>144000*2</f>
        <v>288000</v>
      </c>
      <c r="AS161" s="97">
        <f t="shared" si="56"/>
        <v>54720</v>
      </c>
      <c r="AT161" s="103">
        <f t="shared" si="57"/>
        <v>342720</v>
      </c>
      <c r="AU161" s="52" t="s">
        <v>82</v>
      </c>
      <c r="AV161" s="52" t="s">
        <v>42</v>
      </c>
      <c r="AW161" s="11"/>
      <c r="AX161" s="247">
        <v>403202.30999999994</v>
      </c>
      <c r="AY161" s="100">
        <f>+AX161*0.19</f>
        <v>76608.438899999994</v>
      </c>
      <c r="AZ161" s="124">
        <f>+AX161+AY161</f>
        <v>479810.74889999995</v>
      </c>
      <c r="BA161" s="169" t="s">
        <v>77</v>
      </c>
      <c r="BB161" s="116" t="s">
        <v>203</v>
      </c>
      <c r="BC161" s="11"/>
      <c r="BD161" s="247"/>
      <c r="BE161" s="247"/>
      <c r="BF161" s="247"/>
      <c r="BG161" s="11"/>
      <c r="BH161" s="11"/>
      <c r="BI161" s="11"/>
      <c r="BJ161" s="247"/>
      <c r="BK161" s="247"/>
      <c r="BL161" s="247"/>
      <c r="BM161" s="11"/>
      <c r="BN161" s="11"/>
      <c r="BO161" s="11"/>
      <c r="BP161" s="252"/>
      <c r="BQ161" s="11"/>
      <c r="BR161" s="11"/>
      <c r="BS161" s="11"/>
      <c r="BT161" s="11"/>
      <c r="BU161" s="11"/>
      <c r="BV161" s="236">
        <v>338000</v>
      </c>
      <c r="BW161" s="125">
        <f>BV161*19%</f>
        <v>64220</v>
      </c>
      <c r="BX161" s="97">
        <f>+BV161+BW161</f>
        <v>402220</v>
      </c>
      <c r="BY161" s="237" t="s">
        <v>78</v>
      </c>
      <c r="BZ161" s="237" t="s">
        <v>117</v>
      </c>
      <c r="CA161" s="11"/>
      <c r="CB161" s="247"/>
      <c r="CC161" s="125"/>
      <c r="CD161" s="247"/>
      <c r="CE161" s="11"/>
      <c r="CF161" s="11"/>
      <c r="CG161" s="11"/>
      <c r="CH161" s="236">
        <v>351520</v>
      </c>
      <c r="CI161" s="238">
        <f>+CH161*0.19</f>
        <v>66788.800000000003</v>
      </c>
      <c r="CJ161" s="236">
        <f>+CH161+CI161</f>
        <v>418308.8</v>
      </c>
      <c r="CK161" s="237" t="s">
        <v>78</v>
      </c>
      <c r="CL161" s="237" t="s">
        <v>117</v>
      </c>
      <c r="CM161" s="11"/>
      <c r="CN161" s="247"/>
      <c r="CO161" s="125"/>
      <c r="CP161" s="247"/>
      <c r="CQ161" s="11"/>
      <c r="CR161" s="11"/>
      <c r="CS161" s="11"/>
      <c r="CT161" s="247"/>
      <c r="CU161" s="125"/>
      <c r="CV161" s="247"/>
      <c r="CW161" s="11"/>
      <c r="CX161" s="11"/>
      <c r="CY161" s="11"/>
      <c r="CZ161" s="102"/>
      <c r="DA161" s="125"/>
      <c r="DB161" s="102"/>
      <c r="DC161" s="31"/>
      <c r="DD161" s="17"/>
      <c r="DE161" s="11"/>
      <c r="DF161" s="11"/>
      <c r="DG161" s="11"/>
      <c r="DH161" s="11"/>
      <c r="DI161" s="11"/>
      <c r="DJ161" s="11"/>
      <c r="DK161" s="11"/>
      <c r="DL161" s="11"/>
      <c r="DM161" s="17"/>
      <c r="DN161" s="17"/>
      <c r="DO161" s="32"/>
      <c r="DP161" s="32"/>
      <c r="DQ161" s="32"/>
      <c r="DR161" s="32"/>
      <c r="DS161" s="32"/>
      <c r="DT161" s="32"/>
      <c r="DU161" s="32"/>
      <c r="DV161" s="32"/>
      <c r="DW161" s="32"/>
      <c r="DX161" s="32"/>
      <c r="DY161" s="39"/>
      <c r="DZ161" s="32"/>
      <c r="EA161" s="32"/>
      <c r="EB161" s="32"/>
      <c r="EC161" s="32"/>
      <c r="ED161" s="32"/>
      <c r="EE161" s="32"/>
      <c r="EF161" s="32"/>
      <c r="EG161" s="32"/>
      <c r="EH161" s="32"/>
      <c r="EI161" s="39"/>
      <c r="EJ161" s="32"/>
      <c r="EK161" s="32"/>
      <c r="EL161" s="32"/>
      <c r="EM161" s="32"/>
      <c r="EN161" s="32"/>
      <c r="EO161" s="11"/>
      <c r="EP161" s="11"/>
      <c r="EQ161" s="11"/>
      <c r="ER161" s="11"/>
      <c r="ES161" s="11"/>
      <c r="ET161" s="11"/>
      <c r="EU161" s="11"/>
      <c r="EV161" s="11"/>
      <c r="EW161" s="11"/>
      <c r="EX161" s="11"/>
      <c r="EY161" s="11"/>
      <c r="EZ161" s="11"/>
      <c r="FA161" s="11"/>
      <c r="FB161" s="11"/>
      <c r="FC161" s="11"/>
      <c r="FD161" s="11"/>
      <c r="FE161" s="11"/>
      <c r="FF161" s="11"/>
      <c r="FG161" s="11"/>
      <c r="FH161" s="17">
        <f t="shared" si="52"/>
        <v>2233222.1988999997</v>
      </c>
      <c r="FI161" s="31">
        <f t="shared" si="53"/>
        <v>7</v>
      </c>
      <c r="FJ161" s="68">
        <f t="shared" si="54"/>
        <v>319031.74269999994</v>
      </c>
    </row>
    <row r="162" spans="1:166" ht="27" x14ac:dyDescent="0.25">
      <c r="A162" s="248">
        <f>Distribución_Reactivos!A162</f>
        <v>160</v>
      </c>
      <c r="B162" s="248" t="str">
        <f>Distribución_Reactivos!B162</f>
        <v>Diciclohexil ftalato  con certificado de análisis y ficha de seguridad</v>
      </c>
      <c r="C162" s="248" t="str">
        <f>Distribución_Reactivos!C162</f>
        <v>cualquier marca</v>
      </c>
      <c r="D162" s="248" t="str">
        <f>Distribución_Reactivos!D162</f>
        <v>Frasco x 100 g</v>
      </c>
      <c r="E162" s="29">
        <v>1</v>
      </c>
      <c r="F162" s="212">
        <v>0</v>
      </c>
      <c r="G162" s="214">
        <v>0</v>
      </c>
      <c r="H162" s="221">
        <v>0</v>
      </c>
      <c r="I162" s="221">
        <v>0</v>
      </c>
      <c r="J162" s="221">
        <v>0</v>
      </c>
      <c r="K162" s="221">
        <v>0</v>
      </c>
      <c r="L162" s="247"/>
      <c r="M162" s="247"/>
      <c r="N162" s="217"/>
      <c r="O162" s="97"/>
      <c r="P162" s="97"/>
      <c r="Q162" s="115"/>
      <c r="R162" s="115"/>
      <c r="S162" s="53"/>
      <c r="T162" s="97"/>
      <c r="U162" s="97"/>
      <c r="V162" s="97"/>
      <c r="W162" s="115"/>
      <c r="X162" s="115"/>
      <c r="Y162" s="11"/>
      <c r="Z162" s="97"/>
      <c r="AA162" s="97"/>
      <c r="AB162" s="97"/>
      <c r="AC162" s="44"/>
      <c r="AD162" s="44"/>
      <c r="AE162" s="11"/>
      <c r="AF162" s="102"/>
      <c r="AG162" s="125"/>
      <c r="AH162" s="97"/>
      <c r="AI162" s="11"/>
      <c r="AJ162" s="11"/>
      <c r="AK162" s="17"/>
      <c r="AL162" s="97"/>
      <c r="AM162" s="97"/>
      <c r="AN162" s="103"/>
      <c r="AO162" s="248"/>
      <c r="AP162" s="17"/>
      <c r="AQ162" s="17"/>
      <c r="AR162" s="252">
        <f>+(165200/250)*100</f>
        <v>66080</v>
      </c>
      <c r="AS162" s="97">
        <f t="shared" si="56"/>
        <v>12555.2</v>
      </c>
      <c r="AT162" s="103">
        <f t="shared" si="57"/>
        <v>78635.199999999997</v>
      </c>
      <c r="AU162" s="52" t="s">
        <v>276</v>
      </c>
      <c r="AV162" s="52" t="s">
        <v>42</v>
      </c>
      <c r="AW162" s="30"/>
      <c r="AX162" s="100"/>
      <c r="AY162" s="100"/>
      <c r="AZ162" s="124"/>
      <c r="BA162" s="169"/>
      <c r="BB162" s="116"/>
      <c r="BC162" s="116"/>
      <c r="BD162" s="247"/>
      <c r="BE162" s="124"/>
      <c r="BF162" s="124"/>
      <c r="BG162" s="116"/>
      <c r="BH162" s="116"/>
      <c r="BI162" s="116"/>
      <c r="BJ162" s="124"/>
      <c r="BK162" s="124"/>
      <c r="BL162" s="124"/>
      <c r="BM162" s="116"/>
      <c r="BN162" s="116"/>
      <c r="BO162" s="116"/>
      <c r="BP162" s="124"/>
      <c r="BQ162" s="116"/>
      <c r="BR162" s="116"/>
      <c r="BS162" s="116"/>
      <c r="BT162" s="116"/>
      <c r="BU162" s="116"/>
      <c r="BV162" s="236">
        <v>415600</v>
      </c>
      <c r="BW162" s="125">
        <f>BV162*19%</f>
        <v>78964</v>
      </c>
      <c r="BX162" s="97">
        <f>+BV162+BW162</f>
        <v>494564</v>
      </c>
      <c r="BY162" s="237" t="s">
        <v>63</v>
      </c>
      <c r="BZ162" s="237" t="s">
        <v>93</v>
      </c>
      <c r="CA162" s="116"/>
      <c r="CB162" s="247"/>
      <c r="CC162" s="125"/>
      <c r="CD162" s="247"/>
      <c r="CE162" s="116"/>
      <c r="CF162" s="116"/>
      <c r="CG162" s="34"/>
      <c r="CH162" s="236">
        <v>423912</v>
      </c>
      <c r="CI162" s="238">
        <f>+CH162*0.19</f>
        <v>80543.28</v>
      </c>
      <c r="CJ162" s="236">
        <f>+CH162+CI162</f>
        <v>504455.28</v>
      </c>
      <c r="CK162" s="237" t="s">
        <v>63</v>
      </c>
      <c r="CL162" s="237" t="s">
        <v>93</v>
      </c>
      <c r="CM162" s="116"/>
      <c r="CN162" s="247"/>
      <c r="CO162" s="125"/>
      <c r="CP162" s="247"/>
      <c r="CQ162" s="116"/>
      <c r="CR162" s="116"/>
      <c r="CS162" s="116"/>
      <c r="CT162" s="247"/>
      <c r="CU162" s="125"/>
      <c r="CV162" s="247"/>
      <c r="CW162" s="116"/>
      <c r="CX162" s="116"/>
      <c r="CY162" s="116"/>
      <c r="CZ162" s="102"/>
      <c r="DA162" s="125"/>
      <c r="DB162" s="102"/>
      <c r="DC162" s="31"/>
      <c r="DD162" s="17"/>
      <c r="DE162" s="11"/>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
      <c r="EU162" s="11"/>
      <c r="EV162" s="11"/>
      <c r="EW162" s="11"/>
      <c r="EX162" s="11"/>
      <c r="EY162" s="11"/>
      <c r="EZ162" s="11"/>
      <c r="FA162" s="11"/>
      <c r="FB162" s="11"/>
      <c r="FC162" s="11"/>
      <c r="FD162" s="11"/>
      <c r="FE162" s="11"/>
      <c r="FF162" s="11"/>
      <c r="FG162" s="11"/>
      <c r="FH162" s="17">
        <f t="shared" si="52"/>
        <v>1077654.48</v>
      </c>
      <c r="FI162" s="31">
        <f t="shared" si="53"/>
        <v>3</v>
      </c>
      <c r="FJ162" s="68">
        <f t="shared" si="54"/>
        <v>359218.16</v>
      </c>
    </row>
    <row r="163" spans="1:166" ht="25.5" x14ac:dyDescent="0.25">
      <c r="A163" s="248">
        <f>Distribución_Reactivos!A163</f>
        <v>161</v>
      </c>
      <c r="B163" s="248" t="str">
        <f>Distribución_Reactivos!B163</f>
        <v xml:space="preserve">Difenilftalato </v>
      </c>
      <c r="C163" s="248" t="str">
        <f>Distribución_Reactivos!C163</f>
        <v>Cualquier marca</v>
      </c>
      <c r="D163" s="248" t="str">
        <f>Distribución_Reactivos!D163</f>
        <v>Frasco x 500 mL</v>
      </c>
      <c r="E163" s="29">
        <v>1</v>
      </c>
      <c r="F163" s="212">
        <v>0</v>
      </c>
      <c r="G163" s="214">
        <v>0</v>
      </c>
      <c r="H163" s="221">
        <v>1436449</v>
      </c>
      <c r="I163" s="221">
        <v>0</v>
      </c>
      <c r="J163" s="221">
        <v>0</v>
      </c>
      <c r="K163" s="221">
        <v>0</v>
      </c>
      <c r="L163" s="247">
        <f>H163</f>
        <v>1436449</v>
      </c>
      <c r="M163" s="247"/>
      <c r="N163" s="217"/>
      <c r="O163" s="97"/>
      <c r="P163" s="97"/>
      <c r="Q163" s="115"/>
      <c r="R163" s="115"/>
      <c r="S163" s="53"/>
      <c r="T163" s="97"/>
      <c r="U163" s="97"/>
      <c r="V163" s="97"/>
      <c r="W163" s="115"/>
      <c r="X163" s="115"/>
      <c r="Y163" s="11"/>
      <c r="Z163" s="97"/>
      <c r="AA163" s="97"/>
      <c r="AB163" s="97"/>
      <c r="AC163" s="44"/>
      <c r="AD163" s="44"/>
      <c r="AE163" s="11"/>
      <c r="AF163" s="102"/>
      <c r="AG163" s="125"/>
      <c r="AH163" s="97"/>
      <c r="AI163" s="11"/>
      <c r="AJ163" s="11"/>
      <c r="AK163" s="17"/>
      <c r="AL163" s="97"/>
      <c r="AM163" s="97"/>
      <c r="AN163" s="103"/>
      <c r="AO163" s="248"/>
      <c r="AP163" s="17"/>
      <c r="AQ163" s="17"/>
      <c r="AR163" s="252">
        <v>223200</v>
      </c>
      <c r="AS163" s="97">
        <f t="shared" si="56"/>
        <v>42408</v>
      </c>
      <c r="AT163" s="103">
        <f t="shared" si="57"/>
        <v>265608</v>
      </c>
      <c r="AU163" s="52" t="s">
        <v>236</v>
      </c>
      <c r="AV163" s="52" t="s">
        <v>42</v>
      </c>
      <c r="AW163" s="30"/>
      <c r="AX163" s="100"/>
      <c r="AY163" s="174"/>
      <c r="AZ163" s="124"/>
      <c r="BA163" s="169"/>
      <c r="BB163" s="116"/>
      <c r="BC163" s="116"/>
      <c r="BD163" s="247"/>
      <c r="BE163" s="124"/>
      <c r="BF163" s="124"/>
      <c r="BG163" s="116"/>
      <c r="BH163" s="116"/>
      <c r="BI163" s="116"/>
      <c r="BJ163" s="124"/>
      <c r="BK163" s="124"/>
      <c r="BL163" s="124"/>
      <c r="BM163" s="116"/>
      <c r="BN163" s="116"/>
      <c r="BO163" s="116"/>
      <c r="BP163" s="124"/>
      <c r="BQ163" s="116"/>
      <c r="BR163" s="116"/>
      <c r="BS163" s="116"/>
      <c r="BT163" s="116"/>
      <c r="BU163" s="116"/>
      <c r="BV163" s="187"/>
      <c r="BW163" s="125"/>
      <c r="BX163" s="97"/>
      <c r="BY163" s="246"/>
      <c r="BZ163" s="246"/>
      <c r="CA163" s="116"/>
      <c r="CB163" s="247"/>
      <c r="CC163" s="125"/>
      <c r="CD163" s="247"/>
      <c r="CE163" s="116"/>
      <c r="CF163" s="116"/>
      <c r="CG163" s="34"/>
      <c r="CH163" s="187"/>
      <c r="CI163" s="195"/>
      <c r="CJ163" s="187"/>
      <c r="CK163" s="246"/>
      <c r="CL163" s="246"/>
      <c r="CM163" s="116"/>
      <c r="CN163" s="247"/>
      <c r="CO163" s="125"/>
      <c r="CP163" s="247"/>
      <c r="CQ163" s="116"/>
      <c r="CR163" s="116"/>
      <c r="CS163" s="116"/>
      <c r="CT163" s="247"/>
      <c r="CU163" s="125"/>
      <c r="CV163" s="247"/>
      <c r="CW163" s="116"/>
      <c r="CX163" s="116"/>
      <c r="CY163" s="116"/>
      <c r="CZ163" s="102"/>
      <c r="DA163" s="125"/>
      <c r="DB163" s="102"/>
      <c r="DC163" s="31"/>
      <c r="DD163" s="17"/>
      <c r="DE163" s="11"/>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
      <c r="EU163" s="11"/>
      <c r="EV163" s="11"/>
      <c r="EW163" s="11"/>
      <c r="EX163" s="11"/>
      <c r="EY163" s="11"/>
      <c r="EZ163" s="11"/>
      <c r="FA163" s="11"/>
      <c r="FB163" s="11"/>
      <c r="FC163" s="11"/>
      <c r="FD163" s="11"/>
      <c r="FE163" s="11"/>
      <c r="FF163" s="11"/>
      <c r="FG163" s="11"/>
      <c r="FH163" s="17">
        <f t="shared" si="52"/>
        <v>265608</v>
      </c>
      <c r="FI163" s="31">
        <f t="shared" si="53"/>
        <v>1</v>
      </c>
      <c r="FJ163" s="68">
        <f t="shared" si="54"/>
        <v>265608</v>
      </c>
    </row>
    <row r="164" spans="1:166" ht="24.75" customHeight="1" x14ac:dyDescent="0.25">
      <c r="A164" s="248">
        <f>Distribución_Reactivos!A164</f>
        <v>162</v>
      </c>
      <c r="B164" s="248" t="str">
        <f>Distribución_Reactivos!B164</f>
        <v>Dimetilsulfóxido</v>
      </c>
      <c r="C164" s="248" t="str">
        <f>Distribución_Reactivos!C164</f>
        <v>Cualquier marca</v>
      </c>
      <c r="D164" s="248" t="str">
        <f>Distribución_Reactivos!D164</f>
        <v>Frasco x 2.5 litros</v>
      </c>
      <c r="E164" s="29">
        <v>1</v>
      </c>
      <c r="F164" s="212">
        <v>522576.6</v>
      </c>
      <c r="G164" s="214">
        <v>506821</v>
      </c>
      <c r="H164" s="221">
        <v>722356.42533999996</v>
      </c>
      <c r="I164" s="221">
        <v>722330</v>
      </c>
      <c r="J164" s="221">
        <v>0</v>
      </c>
      <c r="K164" s="221">
        <v>0</v>
      </c>
      <c r="L164" s="247">
        <f>AVERAGE(F164,H164)</f>
        <v>622466.51266999997</v>
      </c>
      <c r="M164" s="247">
        <f>AVERAGE(G164,I164)*E1</f>
        <v>633012.76500000001</v>
      </c>
      <c r="N164" s="217"/>
      <c r="O164" s="97"/>
      <c r="P164" s="97"/>
      <c r="Q164" s="115"/>
      <c r="R164" s="115"/>
      <c r="S164" s="53"/>
      <c r="T164" s="97"/>
      <c r="U164" s="97"/>
      <c r="V164" s="97"/>
      <c r="W164" s="115"/>
      <c r="X164" s="115"/>
      <c r="Y164" s="11"/>
      <c r="Z164" s="97"/>
      <c r="AA164" s="97"/>
      <c r="AB164" s="97"/>
      <c r="AC164" s="44"/>
      <c r="AD164" s="44"/>
      <c r="AE164" s="11"/>
      <c r="AF164" s="102">
        <v>365000</v>
      </c>
      <c r="AG164" s="125">
        <f>AF164*19%</f>
        <v>69350</v>
      </c>
      <c r="AH164" s="97">
        <f>+AF164+AG164</f>
        <v>434350</v>
      </c>
      <c r="AI164" s="11"/>
      <c r="AJ164" s="11"/>
      <c r="AK164" s="17"/>
      <c r="AL164" s="97">
        <v>365000</v>
      </c>
      <c r="AM164" s="97">
        <f>+AL164*0.19</f>
        <v>69350</v>
      </c>
      <c r="AN164" s="103">
        <f>+AL164+AM164</f>
        <v>434350</v>
      </c>
      <c r="AO164" s="248" t="s">
        <v>95</v>
      </c>
      <c r="AP164" s="17" t="s">
        <v>52</v>
      </c>
      <c r="AQ164" s="17"/>
      <c r="AR164" s="252">
        <f>+(1317600/4000)*2500</f>
        <v>823500</v>
      </c>
      <c r="AS164" s="97">
        <f t="shared" si="56"/>
        <v>156465</v>
      </c>
      <c r="AT164" s="103">
        <f t="shared" si="57"/>
        <v>979965</v>
      </c>
      <c r="AU164" s="52" t="s">
        <v>71</v>
      </c>
      <c r="AV164" s="52" t="s">
        <v>42</v>
      </c>
      <c r="AW164" s="30"/>
      <c r="AX164" s="100"/>
      <c r="AY164" s="100"/>
      <c r="AZ164" s="124"/>
      <c r="BA164" s="169"/>
      <c r="BB164" s="116"/>
      <c r="BC164" s="116"/>
      <c r="BD164" s="247"/>
      <c r="BE164" s="124"/>
      <c r="BF164" s="124"/>
      <c r="BG164" s="116"/>
      <c r="BH164" s="116"/>
      <c r="BI164" s="116"/>
      <c r="BJ164" s="124"/>
      <c r="BK164" s="124"/>
      <c r="BL164" s="124"/>
      <c r="BM164" s="116"/>
      <c r="BN164" s="116"/>
      <c r="BO164" s="116"/>
      <c r="BP164" s="124"/>
      <c r="BQ164" s="125"/>
      <c r="BR164" s="97"/>
      <c r="BS164" s="31"/>
      <c r="BT164" s="34"/>
      <c r="BU164" s="5"/>
      <c r="BV164" s="236">
        <v>1190900</v>
      </c>
      <c r="BW164" s="125">
        <f>BV164*19%</f>
        <v>226271</v>
      </c>
      <c r="BX164" s="97">
        <f>+BV164+BW164</f>
        <v>1417171</v>
      </c>
      <c r="BY164" s="237" t="s">
        <v>92</v>
      </c>
      <c r="BZ164" s="237" t="s">
        <v>277</v>
      </c>
      <c r="CA164" s="116"/>
      <c r="CB164" s="247">
        <v>283500</v>
      </c>
      <c r="CC164" s="125">
        <f>+CB164*19%</f>
        <v>53865</v>
      </c>
      <c r="CD164" s="247">
        <f>+CC164+CB164</f>
        <v>337365</v>
      </c>
      <c r="CE164" s="116"/>
      <c r="CF164" s="116"/>
      <c r="CG164" s="34"/>
      <c r="CH164" s="236">
        <v>1202809</v>
      </c>
      <c r="CI164" s="238">
        <f>+CH164*0.19</f>
        <v>228533.71</v>
      </c>
      <c r="CJ164" s="236">
        <f>+CH164+CI164</f>
        <v>1431342.71</v>
      </c>
      <c r="CK164" s="237" t="s">
        <v>92</v>
      </c>
      <c r="CL164" s="237" t="s">
        <v>277</v>
      </c>
      <c r="CM164" s="116"/>
      <c r="CN164" s="247"/>
      <c r="CO164" s="125"/>
      <c r="CP164" s="247"/>
      <c r="CQ164" s="116"/>
      <c r="CR164" s="116"/>
      <c r="CS164" s="116"/>
      <c r="CT164" s="247"/>
      <c r="CU164" s="125"/>
      <c r="CV164" s="247"/>
      <c r="CW164" s="116"/>
      <c r="CX164" s="116"/>
      <c r="CY164" s="116"/>
      <c r="CZ164" s="102"/>
      <c r="DA164" s="125"/>
      <c r="DB164" s="102"/>
      <c r="DC164" s="31"/>
      <c r="DD164" s="17"/>
      <c r="DE164" s="11"/>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
      <c r="EU164" s="11"/>
      <c r="EV164" s="11"/>
      <c r="EW164" s="11"/>
      <c r="EX164" s="11"/>
      <c r="EY164" s="11"/>
      <c r="EZ164" s="11"/>
      <c r="FA164" s="11"/>
      <c r="FB164" s="11"/>
      <c r="FC164" s="11"/>
      <c r="FD164" s="11"/>
      <c r="FE164" s="11"/>
      <c r="FF164" s="252"/>
      <c r="FG164" s="61"/>
      <c r="FH164" s="17">
        <f t="shared" si="52"/>
        <v>5667556.4750000006</v>
      </c>
      <c r="FI164" s="31">
        <f t="shared" si="53"/>
        <v>7</v>
      </c>
      <c r="FJ164" s="68">
        <f t="shared" si="54"/>
        <v>809650.92500000005</v>
      </c>
    </row>
    <row r="165" spans="1:166" ht="27" x14ac:dyDescent="0.25">
      <c r="A165" s="248">
        <f>Distribución_Reactivos!A165</f>
        <v>163</v>
      </c>
      <c r="B165" s="248" t="str">
        <f>Distribución_Reactivos!B165</f>
        <v xml:space="preserve">Di-sodio hidrogenocitrato 1,5-hidrato </v>
      </c>
      <c r="C165" s="248" t="str">
        <f>Distribución_Reactivos!C165</f>
        <v>Sigma Aldrich o equivalente</v>
      </c>
      <c r="D165" s="248" t="str">
        <f>Distribución_Reactivos!D165</f>
        <v xml:space="preserve">Frasco x 250 g </v>
      </c>
      <c r="E165" s="29">
        <v>1</v>
      </c>
      <c r="F165" s="212">
        <v>0</v>
      </c>
      <c r="G165" s="214">
        <v>0</v>
      </c>
      <c r="H165" s="221">
        <v>0</v>
      </c>
      <c r="I165" s="221">
        <v>0</v>
      </c>
      <c r="J165" s="221">
        <v>266409.42499999999</v>
      </c>
      <c r="K165" s="221">
        <v>0</v>
      </c>
      <c r="L165" s="247">
        <f>J165</f>
        <v>266409.42499999999</v>
      </c>
      <c r="M165" s="247"/>
      <c r="N165" s="217"/>
      <c r="O165" s="97"/>
      <c r="P165" s="97"/>
      <c r="Q165" s="115"/>
      <c r="R165" s="115"/>
      <c r="S165" s="53"/>
      <c r="T165" s="97"/>
      <c r="U165" s="97"/>
      <c r="V165" s="97"/>
      <c r="W165" s="115"/>
      <c r="X165" s="115"/>
      <c r="Y165" s="11"/>
      <c r="Z165" s="97"/>
      <c r="AA165" s="97"/>
      <c r="AB165" s="97"/>
      <c r="AC165" s="44"/>
      <c r="AD165" s="44"/>
      <c r="AE165" s="11"/>
      <c r="AF165" s="102"/>
      <c r="AG165" s="125"/>
      <c r="AH165" s="97"/>
      <c r="AI165" s="11"/>
      <c r="AJ165" s="11"/>
      <c r="AK165" s="17"/>
      <c r="AL165" s="97"/>
      <c r="AM165" s="97"/>
      <c r="AN165" s="101"/>
      <c r="AO165" s="248"/>
      <c r="AP165" s="17"/>
      <c r="AQ165" s="17"/>
      <c r="AR165" s="252"/>
      <c r="AS165" s="136"/>
      <c r="AT165" s="137"/>
      <c r="AU165" s="52"/>
      <c r="AV165" s="52"/>
      <c r="AW165" s="30"/>
      <c r="AX165" s="100"/>
      <c r="AY165" s="100"/>
      <c r="AZ165" s="124"/>
      <c r="BA165" s="169"/>
      <c r="BB165" s="116"/>
      <c r="BC165" s="116"/>
      <c r="BD165" s="247"/>
      <c r="BE165" s="124"/>
      <c r="BF165" s="124"/>
      <c r="BG165" s="116"/>
      <c r="BH165" s="116"/>
      <c r="BI165" s="116"/>
      <c r="BJ165" s="124"/>
      <c r="BK165" s="124"/>
      <c r="BL165" s="124"/>
      <c r="BM165" s="116"/>
      <c r="BN165" s="116"/>
      <c r="BO165" s="116"/>
      <c r="BP165" s="124"/>
      <c r="BQ165" s="116"/>
      <c r="BR165" s="116"/>
      <c r="BS165" s="116"/>
      <c r="BT165" s="116"/>
      <c r="BU165" s="116"/>
      <c r="BV165" s="236">
        <v>394800</v>
      </c>
      <c r="BW165" s="125">
        <f t="shared" ref="BW165:BW172" si="58">BV165*19%</f>
        <v>75012</v>
      </c>
      <c r="BX165" s="97">
        <f t="shared" ref="BX165:BX172" si="59">+BV165+BW165</f>
        <v>469812</v>
      </c>
      <c r="BY165" s="237" t="s">
        <v>84</v>
      </c>
      <c r="BZ165" s="237" t="s">
        <v>93</v>
      </c>
      <c r="CA165" s="116"/>
      <c r="CB165" s="247"/>
      <c r="CC165" s="125"/>
      <c r="CD165" s="247"/>
      <c r="CE165" s="116"/>
      <c r="CF165" s="116"/>
      <c r="CG165" s="34"/>
      <c r="CH165" s="236">
        <v>422436</v>
      </c>
      <c r="CI165" s="238">
        <f>+CH165*0.19</f>
        <v>80262.84</v>
      </c>
      <c r="CJ165" s="236">
        <f>+CH165+CI165</f>
        <v>502698.83999999997</v>
      </c>
      <c r="CK165" s="237" t="s">
        <v>84</v>
      </c>
      <c r="CL165" s="237" t="s">
        <v>93</v>
      </c>
      <c r="CM165" s="116"/>
      <c r="CN165" s="247"/>
      <c r="CO165" s="125"/>
      <c r="CP165" s="247"/>
      <c r="CQ165" s="116"/>
      <c r="CR165" s="116"/>
      <c r="CS165" s="116"/>
      <c r="CT165" s="247"/>
      <c r="CU165" s="125"/>
      <c r="CV165" s="247"/>
      <c r="CW165" s="116"/>
      <c r="CX165" s="116"/>
      <c r="CY165" s="116"/>
      <c r="CZ165" s="102"/>
      <c r="DA165" s="125"/>
      <c r="DB165" s="102"/>
      <c r="DC165" s="31"/>
      <c r="DD165" s="17"/>
      <c r="DE165" s="11"/>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
      <c r="EU165" s="11"/>
      <c r="EV165" s="11"/>
      <c r="EW165" s="11"/>
      <c r="EX165" s="11"/>
      <c r="EY165" s="11"/>
      <c r="EZ165" s="11"/>
      <c r="FA165" s="11"/>
      <c r="FB165" s="11"/>
      <c r="FC165" s="11"/>
      <c r="FD165" s="11"/>
      <c r="FE165" s="11"/>
      <c r="FF165" s="11"/>
      <c r="FG165" s="11"/>
      <c r="FH165" s="17">
        <f t="shared" si="52"/>
        <v>972510.84</v>
      </c>
      <c r="FI165" s="31">
        <f t="shared" si="53"/>
        <v>2</v>
      </c>
      <c r="FJ165" s="68">
        <f t="shared" si="54"/>
        <v>486255.42</v>
      </c>
    </row>
    <row r="166" spans="1:166" ht="27" x14ac:dyDescent="0.25">
      <c r="A166" s="248">
        <f>Distribución_Reactivos!A166</f>
        <v>164</v>
      </c>
      <c r="B166" s="248" t="str">
        <f>Distribución_Reactivos!B166</f>
        <v>D-Manitol microbiología ,≥98%</v>
      </c>
      <c r="C166" s="248" t="str">
        <f>Distribución_Reactivos!C166</f>
        <v>Sigma/Merck</v>
      </c>
      <c r="D166" s="248" t="str">
        <f>Distribución_Reactivos!D166</f>
        <v>Frasco x 100 g</v>
      </c>
      <c r="E166" s="29">
        <v>1</v>
      </c>
      <c r="F166" s="212">
        <v>0</v>
      </c>
      <c r="G166" s="214">
        <v>0</v>
      </c>
      <c r="H166" s="221">
        <v>0</v>
      </c>
      <c r="I166" s="221">
        <v>0</v>
      </c>
      <c r="J166" s="221">
        <v>256960.66666666666</v>
      </c>
      <c r="K166" s="221">
        <v>0</v>
      </c>
      <c r="L166" s="247">
        <f>J166</f>
        <v>256960.66666666666</v>
      </c>
      <c r="M166" s="247"/>
      <c r="N166" s="217"/>
      <c r="O166" s="105"/>
      <c r="P166" s="97"/>
      <c r="Q166" s="115"/>
      <c r="R166" s="115"/>
      <c r="S166" s="53"/>
      <c r="T166" s="97"/>
      <c r="U166" s="97"/>
      <c r="V166" s="97"/>
      <c r="W166" s="115"/>
      <c r="X166" s="115"/>
      <c r="Y166" s="11"/>
      <c r="Z166" s="97"/>
      <c r="AA166" s="97"/>
      <c r="AB166" s="97"/>
      <c r="AC166" s="44"/>
      <c r="AD166" s="44"/>
      <c r="AE166" s="11"/>
      <c r="AF166" s="102"/>
      <c r="AG166" s="125"/>
      <c r="AH166" s="97"/>
      <c r="AI166" s="11"/>
      <c r="AJ166" s="11"/>
      <c r="AK166" s="17"/>
      <c r="AL166" s="97"/>
      <c r="AM166" s="97"/>
      <c r="AN166" s="103"/>
      <c r="AO166" s="248"/>
      <c r="AP166" s="17"/>
      <c r="AQ166" s="17"/>
      <c r="AR166" s="252">
        <v>136800</v>
      </c>
      <c r="AS166" s="97">
        <f>+AR166*0.19</f>
        <v>25992</v>
      </c>
      <c r="AT166" s="103">
        <f>+AR166+AS166</f>
        <v>162792</v>
      </c>
      <c r="AU166" s="52" t="s">
        <v>61</v>
      </c>
      <c r="AV166" s="52" t="s">
        <v>42</v>
      </c>
      <c r="AW166" s="30"/>
      <c r="AX166" s="100"/>
      <c r="AY166" s="174"/>
      <c r="AZ166" s="124"/>
      <c r="BA166" s="169"/>
      <c r="BB166" s="116"/>
      <c r="BC166" s="116"/>
      <c r="BD166" s="247"/>
      <c r="BE166" s="124"/>
      <c r="BF166" s="124"/>
      <c r="BG166" s="116"/>
      <c r="BH166" s="116"/>
      <c r="BI166" s="116"/>
      <c r="BJ166" s="124"/>
      <c r="BK166" s="124"/>
      <c r="BL166" s="124"/>
      <c r="BM166" s="116"/>
      <c r="BN166" s="116"/>
      <c r="BO166" s="116"/>
      <c r="BP166" s="124"/>
      <c r="BQ166" s="116"/>
      <c r="BR166" s="116"/>
      <c r="BS166" s="116"/>
      <c r="BT166" s="116"/>
      <c r="BU166" s="116"/>
      <c r="BV166" s="236">
        <v>238000</v>
      </c>
      <c r="BW166" s="125">
        <f t="shared" si="58"/>
        <v>45220</v>
      </c>
      <c r="BX166" s="97">
        <f t="shared" si="59"/>
        <v>283220</v>
      </c>
      <c r="BY166" s="237" t="s">
        <v>63</v>
      </c>
      <c r="BZ166" s="237" t="s">
        <v>93</v>
      </c>
      <c r="CA166" s="116"/>
      <c r="CB166" s="247"/>
      <c r="CC166" s="125"/>
      <c r="CD166" s="247"/>
      <c r="CE166" s="116"/>
      <c r="CF166" s="116"/>
      <c r="CG166" s="34"/>
      <c r="CH166" s="236">
        <v>252280</v>
      </c>
      <c r="CI166" s="238">
        <f>+CH166*0.19</f>
        <v>47933.2</v>
      </c>
      <c r="CJ166" s="236">
        <f>+CH166+CI166</f>
        <v>300213.2</v>
      </c>
      <c r="CK166" s="237" t="s">
        <v>63</v>
      </c>
      <c r="CL166" s="237" t="s">
        <v>93</v>
      </c>
      <c r="CM166" s="116"/>
      <c r="CN166" s="247"/>
      <c r="CO166" s="125"/>
      <c r="CP166" s="247"/>
      <c r="CQ166" s="116"/>
      <c r="CR166" s="116"/>
      <c r="CS166" s="116"/>
      <c r="CT166" s="247"/>
      <c r="CU166" s="125"/>
      <c r="CV166" s="247"/>
      <c r="CW166" s="116"/>
      <c r="CX166" s="116"/>
      <c r="CY166" s="116"/>
      <c r="CZ166" s="102"/>
      <c r="DA166" s="125"/>
      <c r="DB166" s="102"/>
      <c r="DC166" s="31"/>
      <c r="DD166" s="17"/>
      <c r="DE166" s="11"/>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
      <c r="EU166" s="11"/>
      <c r="EV166" s="11"/>
      <c r="EW166" s="11"/>
      <c r="EX166" s="11"/>
      <c r="EY166" s="11"/>
      <c r="EZ166" s="11"/>
      <c r="FA166" s="11"/>
      <c r="FB166" s="11"/>
      <c r="FC166" s="11"/>
      <c r="FD166" s="11"/>
      <c r="FE166" s="11"/>
      <c r="FF166" s="11"/>
      <c r="FG166" s="11"/>
      <c r="FH166" s="17">
        <f t="shared" si="52"/>
        <v>746225.2</v>
      </c>
      <c r="FI166" s="31">
        <f t="shared" si="53"/>
        <v>3</v>
      </c>
      <c r="FJ166" s="68">
        <f t="shared" si="54"/>
        <v>248741.73333333331</v>
      </c>
    </row>
    <row r="167" spans="1:166" ht="27" x14ac:dyDescent="0.25">
      <c r="A167" s="248">
        <f>Distribución_Reactivos!A167</f>
        <v>165</v>
      </c>
      <c r="B167" s="248" t="str">
        <f>Distribución_Reactivos!B167</f>
        <v>D-Sacarosa</v>
      </c>
      <c r="C167" s="248" t="str">
        <f>Distribución_Reactivos!C167</f>
        <v>Merck 1.07687.0250</v>
      </c>
      <c r="D167" s="248" t="str">
        <f>Distribución_Reactivos!D167</f>
        <v>Frasco x 250 g</v>
      </c>
      <c r="E167" s="29">
        <v>1</v>
      </c>
      <c r="F167" s="212">
        <v>158888.79999999999</v>
      </c>
      <c r="G167" s="214">
        <v>154105</v>
      </c>
      <c r="H167" s="221">
        <v>169991.44764</v>
      </c>
      <c r="I167" s="221">
        <v>0</v>
      </c>
      <c r="J167" s="221">
        <v>286117.65000000002</v>
      </c>
      <c r="K167" s="221">
        <v>0</v>
      </c>
      <c r="L167" s="247">
        <f>AVERAGE(F167,H167,J167)</f>
        <v>204999.29921333332</v>
      </c>
      <c r="M167" s="247">
        <f>G167*E1</f>
        <v>158728.15</v>
      </c>
      <c r="N167" s="217"/>
      <c r="O167" s="97"/>
      <c r="P167" s="97"/>
      <c r="Q167" s="115"/>
      <c r="R167" s="115"/>
      <c r="S167" s="53"/>
      <c r="T167" s="97"/>
      <c r="U167" s="97"/>
      <c r="V167" s="97"/>
      <c r="W167" s="115"/>
      <c r="X167" s="115"/>
      <c r="Y167" s="11"/>
      <c r="Z167" s="97"/>
      <c r="AA167" s="97"/>
      <c r="AB167" s="97"/>
      <c r="AC167" s="44"/>
      <c r="AD167" s="44"/>
      <c r="AE167" s="11"/>
      <c r="AF167" s="102">
        <v>410000</v>
      </c>
      <c r="AG167" s="125">
        <f>AF167*19%</f>
        <v>77900</v>
      </c>
      <c r="AH167" s="97">
        <f>+AF167+AG167</f>
        <v>487900</v>
      </c>
      <c r="AI167" s="11"/>
      <c r="AJ167" s="11"/>
      <c r="AK167" s="17"/>
      <c r="AL167" s="97">
        <v>120000</v>
      </c>
      <c r="AM167" s="97">
        <f>+AL167*0.19</f>
        <v>22800</v>
      </c>
      <c r="AN167" s="103">
        <f>+AL167+AM167</f>
        <v>142800</v>
      </c>
      <c r="AO167" s="248" t="s">
        <v>77</v>
      </c>
      <c r="AP167" s="17" t="s">
        <v>52</v>
      </c>
      <c r="AQ167" s="17"/>
      <c r="AR167" s="252">
        <f>367200/2</f>
        <v>183600</v>
      </c>
      <c r="AS167" s="97">
        <f>+AR167*0.19</f>
        <v>34884</v>
      </c>
      <c r="AT167" s="103">
        <f>+AR167+AS167</f>
        <v>218484</v>
      </c>
      <c r="AU167" s="52" t="s">
        <v>77</v>
      </c>
      <c r="AV167" s="52" t="s">
        <v>42</v>
      </c>
      <c r="AW167" s="30"/>
      <c r="AX167" s="100"/>
      <c r="AY167" s="100"/>
      <c r="AZ167" s="124"/>
      <c r="BA167" s="169"/>
      <c r="BB167" s="116"/>
      <c r="BC167" s="116"/>
      <c r="BD167" s="247"/>
      <c r="BE167" s="124"/>
      <c r="BF167" s="124"/>
      <c r="BG167" s="116"/>
      <c r="BH167" s="116"/>
      <c r="BI167" s="116"/>
      <c r="BJ167" s="124"/>
      <c r="BK167" s="124"/>
      <c r="BL167" s="124"/>
      <c r="BM167" s="116"/>
      <c r="BN167" s="116"/>
      <c r="BO167" s="116"/>
      <c r="BP167" s="124"/>
      <c r="BQ167" s="116"/>
      <c r="BR167" s="116"/>
      <c r="BS167" s="116"/>
      <c r="BT167" s="116"/>
      <c r="BU167" s="116"/>
      <c r="BV167" s="236">
        <v>216500</v>
      </c>
      <c r="BW167" s="125">
        <f t="shared" si="58"/>
        <v>41135</v>
      </c>
      <c r="BX167" s="97">
        <f t="shared" si="59"/>
        <v>257635</v>
      </c>
      <c r="BY167" s="237" t="s">
        <v>84</v>
      </c>
      <c r="BZ167" s="237" t="s">
        <v>93</v>
      </c>
      <c r="CA167" s="116"/>
      <c r="CB167" s="247"/>
      <c r="CC167" s="125"/>
      <c r="CD167" s="247"/>
      <c r="CE167" s="116"/>
      <c r="CF167" s="116"/>
      <c r="CG167" s="34"/>
      <c r="CH167" s="236">
        <v>231655</v>
      </c>
      <c r="CI167" s="238">
        <f t="shared" ref="CI167:CI172" si="60">+CH167*0.19</f>
        <v>44014.45</v>
      </c>
      <c r="CJ167" s="236">
        <f t="shared" ref="CJ167:CJ172" si="61">+CH167+CI167</f>
        <v>275669.45</v>
      </c>
      <c r="CK167" s="237" t="s">
        <v>84</v>
      </c>
      <c r="CL167" s="237" t="s">
        <v>93</v>
      </c>
      <c r="CM167" s="116"/>
      <c r="CN167" s="247"/>
      <c r="CO167" s="125"/>
      <c r="CP167" s="247"/>
      <c r="CQ167" s="116"/>
      <c r="CR167" s="116"/>
      <c r="CS167" s="116"/>
      <c r="CT167" s="125">
        <v>175000</v>
      </c>
      <c r="CU167" s="125">
        <f>CT167*0.05</f>
        <v>8750</v>
      </c>
      <c r="CV167" s="125">
        <f>CT167+CU167</f>
        <v>183750</v>
      </c>
      <c r="CW167" s="116"/>
      <c r="CX167" s="116"/>
      <c r="CY167" s="116"/>
      <c r="CZ167" s="102"/>
      <c r="DA167" s="125"/>
      <c r="DB167" s="102"/>
      <c r="DC167" s="31"/>
      <c r="DD167" s="17"/>
      <c r="DE167" s="11"/>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
      <c r="EU167" s="11"/>
      <c r="EV167" s="11"/>
      <c r="EW167" s="11"/>
      <c r="EX167" s="11"/>
      <c r="EY167" s="11"/>
      <c r="EZ167" s="11"/>
      <c r="FA167" s="11"/>
      <c r="FB167" s="11"/>
      <c r="FC167" s="11"/>
      <c r="FD167" s="11"/>
      <c r="FE167" s="11"/>
      <c r="FF167" s="11"/>
      <c r="FG167" s="11"/>
      <c r="FH167" s="17">
        <f t="shared" si="52"/>
        <v>1724966.5999999999</v>
      </c>
      <c r="FI167" s="31">
        <f t="shared" si="53"/>
        <v>7</v>
      </c>
      <c r="FJ167" s="68">
        <f t="shared" si="54"/>
        <v>246423.8</v>
      </c>
    </row>
    <row r="168" spans="1:166" ht="27" x14ac:dyDescent="0.25">
      <c r="A168" s="248">
        <f>Distribución_Reactivos!A168</f>
        <v>166</v>
      </c>
      <c r="B168" s="248" t="str">
        <f>Distribución_Reactivos!B168</f>
        <v>D-sorbitol</v>
      </c>
      <c r="C168" s="248" t="str">
        <f>Distribución_Reactivos!C168</f>
        <v>Sigma-Aldrich S1876</v>
      </c>
      <c r="D168" s="248" t="str">
        <f>Distribución_Reactivos!D168</f>
        <v>Frasco x 500 g</v>
      </c>
      <c r="E168" s="29">
        <v>1</v>
      </c>
      <c r="F168" s="212">
        <v>111146</v>
      </c>
      <c r="G168" s="214">
        <v>111146</v>
      </c>
      <c r="H168" s="221">
        <v>182100.46796666668</v>
      </c>
      <c r="I168" s="221">
        <v>0</v>
      </c>
      <c r="J168" s="221">
        <v>110711.65</v>
      </c>
      <c r="K168" s="221">
        <v>0</v>
      </c>
      <c r="L168" s="247">
        <f>AVERAGE(F168,H168,J168)</f>
        <v>134652.70598888889</v>
      </c>
      <c r="M168" s="247">
        <f>G168*E1</f>
        <v>114480.38</v>
      </c>
      <c r="N168" s="217"/>
      <c r="O168" s="97"/>
      <c r="P168" s="97"/>
      <c r="Q168" s="115"/>
      <c r="R168" s="115"/>
      <c r="S168" s="53"/>
      <c r="T168" s="97"/>
      <c r="U168" s="97"/>
      <c r="V168" s="97"/>
      <c r="W168" s="115"/>
      <c r="X168" s="115"/>
      <c r="Y168" s="11"/>
      <c r="Z168" s="97"/>
      <c r="AA168" s="97"/>
      <c r="AB168" s="97"/>
      <c r="AC168" s="44"/>
      <c r="AD168" s="44"/>
      <c r="AE168" s="11"/>
      <c r="AF168" s="102"/>
      <c r="AG168" s="125"/>
      <c r="AH168" s="97"/>
      <c r="AI168" s="11"/>
      <c r="AJ168" s="11"/>
      <c r="AK168" s="17"/>
      <c r="AL168" s="97">
        <v>490000</v>
      </c>
      <c r="AM168" s="97">
        <f>+AL168*0.19</f>
        <v>93100</v>
      </c>
      <c r="AN168" s="103">
        <f>+AL168+AM168</f>
        <v>583100</v>
      </c>
      <c r="AO168" s="248" t="s">
        <v>99</v>
      </c>
      <c r="AP168" s="17" t="s">
        <v>52</v>
      </c>
      <c r="AQ168" s="17"/>
      <c r="AR168" s="252"/>
      <c r="AS168" s="136"/>
      <c r="AT168" s="137"/>
      <c r="AU168" s="52"/>
      <c r="AV168" s="52"/>
      <c r="AW168" s="30"/>
      <c r="AX168" s="100"/>
      <c r="AY168" s="100"/>
      <c r="AZ168" s="124"/>
      <c r="BA168" s="169"/>
      <c r="BB168" s="116"/>
      <c r="BC168" s="116"/>
      <c r="BD168" s="247"/>
      <c r="BE168" s="124"/>
      <c r="BF168" s="124"/>
      <c r="BG168" s="116"/>
      <c r="BH168" s="116"/>
      <c r="BI168" s="116"/>
      <c r="BJ168" s="124"/>
      <c r="BK168" s="124"/>
      <c r="BL168" s="124"/>
      <c r="BM168" s="116"/>
      <c r="BN168" s="116"/>
      <c r="BO168" s="116"/>
      <c r="BP168" s="124"/>
      <c r="BQ168" s="116"/>
      <c r="BR168" s="116"/>
      <c r="BS168" s="116"/>
      <c r="BT168" s="116"/>
      <c r="BU168" s="116"/>
      <c r="BV168" s="236">
        <v>159000</v>
      </c>
      <c r="BW168" s="125">
        <f t="shared" si="58"/>
        <v>30210</v>
      </c>
      <c r="BX168" s="97">
        <f t="shared" si="59"/>
        <v>189210</v>
      </c>
      <c r="BY168" s="237" t="s">
        <v>78</v>
      </c>
      <c r="BZ168" s="237" t="s">
        <v>277</v>
      </c>
      <c r="CA168" s="116"/>
      <c r="CB168" s="247"/>
      <c r="CC168" s="125"/>
      <c r="CD168" s="247"/>
      <c r="CE168" s="116"/>
      <c r="CF168" s="116"/>
      <c r="CG168" s="34"/>
      <c r="CH168" s="236">
        <v>165360</v>
      </c>
      <c r="CI168" s="238">
        <f t="shared" si="60"/>
        <v>31418.400000000001</v>
      </c>
      <c r="CJ168" s="236">
        <f t="shared" si="61"/>
        <v>196778.4</v>
      </c>
      <c r="CK168" s="237" t="s">
        <v>78</v>
      </c>
      <c r="CL168" s="237" t="s">
        <v>277</v>
      </c>
      <c r="CM168" s="116"/>
      <c r="CN168" s="247"/>
      <c r="CO168" s="125"/>
      <c r="CP168" s="247"/>
      <c r="CQ168" s="116"/>
      <c r="CR168" s="116"/>
      <c r="CS168" s="116"/>
      <c r="CT168" s="125">
        <v>112500</v>
      </c>
      <c r="CU168" s="125">
        <f>CT168*0.19</f>
        <v>21375</v>
      </c>
      <c r="CV168" s="125">
        <f>CU168+CT168</f>
        <v>133875</v>
      </c>
      <c r="CW168" s="116"/>
      <c r="CX168" s="116"/>
      <c r="CY168" s="116"/>
      <c r="CZ168" s="102">
        <v>124700</v>
      </c>
      <c r="DA168" s="125">
        <f>+CZ168*0.19</f>
        <v>23693</v>
      </c>
      <c r="DB168" s="102">
        <f>+CZ168+DA168</f>
        <v>148393</v>
      </c>
      <c r="DC168" s="31" t="s">
        <v>80</v>
      </c>
      <c r="DD168" s="17" t="s">
        <v>65</v>
      </c>
      <c r="DE168" s="11" t="s">
        <v>278</v>
      </c>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
      <c r="EU168" s="11"/>
      <c r="EV168" s="11"/>
      <c r="EW168" s="11"/>
      <c r="EX168" s="11"/>
      <c r="EY168" s="11"/>
      <c r="EZ168" s="11"/>
      <c r="FA168" s="11"/>
      <c r="FB168" s="11"/>
      <c r="FC168" s="11"/>
      <c r="FD168" s="11"/>
      <c r="FE168" s="11"/>
      <c r="FF168" s="11"/>
      <c r="FG168" s="11"/>
      <c r="FH168" s="17">
        <f t="shared" si="52"/>
        <v>1365836.78</v>
      </c>
      <c r="FI168" s="31">
        <f t="shared" si="53"/>
        <v>6</v>
      </c>
      <c r="FJ168" s="68">
        <f t="shared" si="54"/>
        <v>227639.46333333335</v>
      </c>
    </row>
    <row r="169" spans="1:166" ht="38.25" x14ac:dyDescent="0.25">
      <c r="A169" s="248">
        <f>Distribución_Reactivos!A169</f>
        <v>167</v>
      </c>
      <c r="B169" s="248" t="str">
        <f>Distribución_Reactivos!B169</f>
        <v>Dulcitol</v>
      </c>
      <c r="C169" s="248" t="str">
        <f>Distribución_Reactivos!C169</f>
        <v>Merck, Acumedia, BBL, Sharlau, Sigma</v>
      </c>
      <c r="D169" s="248" t="str">
        <f>Distribución_Reactivos!D169</f>
        <v>Frasco x 100 g</v>
      </c>
      <c r="E169" s="29">
        <v>1</v>
      </c>
      <c r="F169" s="212">
        <v>1240575</v>
      </c>
      <c r="G169" s="214">
        <v>0</v>
      </c>
      <c r="H169" s="221">
        <v>962673.40750000009</v>
      </c>
      <c r="I169" s="221">
        <v>0</v>
      </c>
      <c r="J169" s="221">
        <v>0</v>
      </c>
      <c r="K169" s="221">
        <v>0</v>
      </c>
      <c r="L169" s="247">
        <f>AVERAGE(F169,H169)</f>
        <v>1101624.2037500001</v>
      </c>
      <c r="M169" s="247"/>
      <c r="N169" s="217"/>
      <c r="O169" s="97"/>
      <c r="P169" s="97"/>
      <c r="Q169" s="115"/>
      <c r="R169" s="115"/>
      <c r="S169" s="53"/>
      <c r="T169" s="97"/>
      <c r="U169" s="101"/>
      <c r="V169" s="97"/>
      <c r="W169" s="115"/>
      <c r="X169" s="115"/>
      <c r="Y169" s="11"/>
      <c r="Z169" s="97"/>
      <c r="AA169" s="97"/>
      <c r="AB169" s="97"/>
      <c r="AC169" s="44"/>
      <c r="AD169" s="44"/>
      <c r="AE169" s="11"/>
      <c r="AF169" s="102"/>
      <c r="AG169" s="125"/>
      <c r="AH169" s="97"/>
      <c r="AI169" s="11"/>
      <c r="AJ169" s="11"/>
      <c r="AK169" s="17"/>
      <c r="AL169" s="97"/>
      <c r="AM169" s="97"/>
      <c r="AN169" s="101"/>
      <c r="AO169" s="248"/>
      <c r="AP169" s="17"/>
      <c r="AQ169" s="17"/>
      <c r="AR169" s="252">
        <v>835200</v>
      </c>
      <c r="AS169" s="97">
        <f t="shared" ref="AS169:AS175" si="62">+AR169*0.19</f>
        <v>158688</v>
      </c>
      <c r="AT169" s="103">
        <f t="shared" ref="AT169:AT175" si="63">+AR169+AS169</f>
        <v>993888</v>
      </c>
      <c r="AU169" s="52" t="s">
        <v>61</v>
      </c>
      <c r="AV169" s="52" t="s">
        <v>42</v>
      </c>
      <c r="AW169" s="30"/>
      <c r="AX169" s="100"/>
      <c r="AY169" s="100"/>
      <c r="AZ169" s="124"/>
      <c r="BA169" s="169"/>
      <c r="BB169" s="116"/>
      <c r="BC169" s="116"/>
      <c r="BD169" s="247"/>
      <c r="BE169" s="124"/>
      <c r="BF169" s="124"/>
      <c r="BG169" s="116"/>
      <c r="BH169" s="116"/>
      <c r="BI169" s="116"/>
      <c r="BJ169" s="124"/>
      <c r="BK169" s="124"/>
      <c r="BL169" s="124"/>
      <c r="BM169" s="116"/>
      <c r="BN169" s="116"/>
      <c r="BO169" s="116"/>
      <c r="BP169" s="124"/>
      <c r="BQ169" s="116"/>
      <c r="BR169" s="116"/>
      <c r="BS169" s="116"/>
      <c r="BT169" s="116"/>
      <c r="BU169" s="116"/>
      <c r="BV169" s="236">
        <v>1621700</v>
      </c>
      <c r="BW169" s="125">
        <f t="shared" si="58"/>
        <v>308123</v>
      </c>
      <c r="BX169" s="97">
        <f t="shared" si="59"/>
        <v>1929823</v>
      </c>
      <c r="BY169" s="237" t="s">
        <v>63</v>
      </c>
      <c r="BZ169" s="237" t="s">
        <v>228</v>
      </c>
      <c r="CA169" s="116"/>
      <c r="CB169" s="247"/>
      <c r="CC169" s="125"/>
      <c r="CD169" s="247"/>
      <c r="CE169" s="116"/>
      <c r="CF169" s="116"/>
      <c r="CG169" s="34"/>
      <c r="CH169" s="236">
        <v>1702785</v>
      </c>
      <c r="CI169" s="238">
        <f t="shared" si="60"/>
        <v>323529.15000000002</v>
      </c>
      <c r="CJ169" s="236">
        <f t="shared" si="61"/>
        <v>2026314.15</v>
      </c>
      <c r="CK169" s="237" t="s">
        <v>63</v>
      </c>
      <c r="CL169" s="237" t="s">
        <v>228</v>
      </c>
      <c r="CM169" s="116"/>
      <c r="CN169" s="247"/>
      <c r="CO169" s="125"/>
      <c r="CP169" s="247"/>
      <c r="CQ169" s="116"/>
      <c r="CR169" s="116"/>
      <c r="CS169" s="116"/>
      <c r="CT169" s="247"/>
      <c r="CU169" s="125"/>
      <c r="CV169" s="247"/>
      <c r="CW169" s="116"/>
      <c r="CX169" s="116"/>
      <c r="CY169" s="116"/>
      <c r="CZ169" s="102"/>
      <c r="DA169" s="125"/>
      <c r="DB169" s="102"/>
      <c r="DC169" s="31"/>
      <c r="DD169" s="17"/>
      <c r="DE169" s="11"/>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
      <c r="EU169" s="11"/>
      <c r="EV169" s="11"/>
      <c r="EW169" s="11"/>
      <c r="EX169" s="11"/>
      <c r="EY169" s="11"/>
      <c r="EZ169" s="11"/>
      <c r="FA169" s="11"/>
      <c r="FB169" s="11"/>
      <c r="FC169" s="11"/>
      <c r="FD169" s="11"/>
      <c r="FE169" s="11"/>
      <c r="FF169" s="11"/>
      <c r="FG169" s="11"/>
      <c r="FH169" s="17">
        <f t="shared" si="52"/>
        <v>4950025.1500000004</v>
      </c>
      <c r="FI169" s="31">
        <f t="shared" si="53"/>
        <v>3</v>
      </c>
      <c r="FJ169" s="68">
        <f t="shared" si="54"/>
        <v>1650008.3833333335</v>
      </c>
    </row>
    <row r="170" spans="1:166" ht="27" x14ac:dyDescent="0.25">
      <c r="A170" s="248">
        <f>Distribución_Reactivos!A170</f>
        <v>168</v>
      </c>
      <c r="B170" s="248" t="str">
        <f>Distribución_Reactivos!B170</f>
        <v>D-Xilosa</v>
      </c>
      <c r="C170" s="248" t="str">
        <f>Distribución_Reactivos!C170</f>
        <v>Merck A1.08689.0100</v>
      </c>
      <c r="D170" s="248" t="str">
        <f>Distribución_Reactivos!D170</f>
        <v>Frasco x 100 g</v>
      </c>
      <c r="E170" s="29">
        <v>1</v>
      </c>
      <c r="F170" s="212">
        <v>361479.16000000003</v>
      </c>
      <c r="G170" s="214">
        <v>361403</v>
      </c>
      <c r="H170" s="221">
        <v>327435.06586466666</v>
      </c>
      <c r="I170" s="221">
        <v>0</v>
      </c>
      <c r="J170" s="221">
        <v>541955.75</v>
      </c>
      <c r="K170" s="221">
        <v>0</v>
      </c>
      <c r="L170" s="247">
        <f>AVERAGE(F170,H170,J170)</f>
        <v>410289.99195488892</v>
      </c>
      <c r="M170" s="247">
        <f>G170*E1</f>
        <v>372245.09</v>
      </c>
      <c r="N170" s="217"/>
      <c r="O170" s="97"/>
      <c r="P170" s="97"/>
      <c r="Q170" s="115"/>
      <c r="R170" s="115"/>
      <c r="S170" s="53"/>
      <c r="T170" s="97"/>
      <c r="U170" s="97"/>
      <c r="V170" s="97"/>
      <c r="W170" s="115"/>
      <c r="X170" s="115"/>
      <c r="Y170" s="11"/>
      <c r="Z170" s="97"/>
      <c r="AA170" s="97"/>
      <c r="AB170" s="97"/>
      <c r="AC170" s="44"/>
      <c r="AD170" s="44"/>
      <c r="AE170" s="11"/>
      <c r="AF170" s="102"/>
      <c r="AG170" s="125"/>
      <c r="AH170" s="97"/>
      <c r="AI170" s="11"/>
      <c r="AJ170" s="11"/>
      <c r="AK170" s="17"/>
      <c r="AL170" s="97">
        <v>210000</v>
      </c>
      <c r="AM170" s="97">
        <f>+AL170*0.19</f>
        <v>39900</v>
      </c>
      <c r="AN170" s="103">
        <f>+AL170+AM170</f>
        <v>249900</v>
      </c>
      <c r="AO170" s="248" t="s">
        <v>61</v>
      </c>
      <c r="AP170" s="17" t="s">
        <v>52</v>
      </c>
      <c r="AQ170" s="17"/>
      <c r="AR170" s="252">
        <v>1080000</v>
      </c>
      <c r="AS170" s="97">
        <f t="shared" si="62"/>
        <v>205200</v>
      </c>
      <c r="AT170" s="103">
        <f t="shared" si="63"/>
        <v>1285200</v>
      </c>
      <c r="AU170" s="52" t="s">
        <v>61</v>
      </c>
      <c r="AV170" s="52" t="s">
        <v>42</v>
      </c>
      <c r="AW170" s="30"/>
      <c r="AX170" s="100"/>
      <c r="AY170" s="100"/>
      <c r="AZ170" s="124"/>
      <c r="BA170" s="169"/>
      <c r="BB170" s="116"/>
      <c r="BC170" s="116"/>
      <c r="BD170" s="247"/>
      <c r="BE170" s="124"/>
      <c r="BF170" s="124"/>
      <c r="BG170" s="116"/>
      <c r="BH170" s="116"/>
      <c r="BI170" s="116"/>
      <c r="BJ170" s="124"/>
      <c r="BK170" s="124"/>
      <c r="BL170" s="124"/>
      <c r="BM170" s="116"/>
      <c r="BN170" s="116"/>
      <c r="BO170" s="116"/>
      <c r="BP170" s="124"/>
      <c r="BQ170" s="116"/>
      <c r="BR170" s="116"/>
      <c r="BS170" s="116"/>
      <c r="BT170" s="116"/>
      <c r="BU170" s="116"/>
      <c r="BV170" s="236">
        <v>515400</v>
      </c>
      <c r="BW170" s="125">
        <f t="shared" si="58"/>
        <v>97926</v>
      </c>
      <c r="BX170" s="97">
        <f t="shared" si="59"/>
        <v>613326</v>
      </c>
      <c r="BY170" s="237" t="s">
        <v>63</v>
      </c>
      <c r="BZ170" s="237" t="s">
        <v>277</v>
      </c>
      <c r="CA170" s="116"/>
      <c r="CB170" s="247"/>
      <c r="CC170" s="125"/>
      <c r="CD170" s="247"/>
      <c r="CE170" s="116"/>
      <c r="CF170" s="116"/>
      <c r="CG170" s="34"/>
      <c r="CH170" s="236">
        <v>530862</v>
      </c>
      <c r="CI170" s="238">
        <f t="shared" si="60"/>
        <v>100863.78</v>
      </c>
      <c r="CJ170" s="236">
        <f t="shared" si="61"/>
        <v>631725.78</v>
      </c>
      <c r="CK170" s="237" t="s">
        <v>63</v>
      </c>
      <c r="CL170" s="237" t="s">
        <v>277</v>
      </c>
      <c r="CM170" s="116"/>
      <c r="CN170" s="247"/>
      <c r="CO170" s="125"/>
      <c r="CP170" s="247"/>
      <c r="CQ170" s="116"/>
      <c r="CR170" s="116"/>
      <c r="CS170" s="116"/>
      <c r="CT170" s="125">
        <v>416667</v>
      </c>
      <c r="CU170" s="125">
        <f>CT170*0.19</f>
        <v>79166.73</v>
      </c>
      <c r="CV170" s="125">
        <f>CT170+CU170</f>
        <v>495833.73</v>
      </c>
      <c r="CW170" s="116"/>
      <c r="CX170" s="116"/>
      <c r="CY170" s="116"/>
      <c r="CZ170" s="102">
        <v>285714</v>
      </c>
      <c r="DA170" s="125">
        <f>+CZ170*0.19</f>
        <v>54285.66</v>
      </c>
      <c r="DB170" s="102">
        <f>+CZ170+DA170</f>
        <v>339999.66000000003</v>
      </c>
      <c r="DC170" s="31" t="s">
        <v>154</v>
      </c>
      <c r="DD170" s="17" t="s">
        <v>65</v>
      </c>
      <c r="DE170" s="11">
        <v>1086890100</v>
      </c>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
      <c r="EU170" s="11"/>
      <c r="EV170" s="11"/>
      <c r="EW170" s="11"/>
      <c r="EX170" s="11"/>
      <c r="EY170" s="11"/>
      <c r="EZ170" s="11"/>
      <c r="FA170" s="11"/>
      <c r="FB170" s="11"/>
      <c r="FC170" s="11"/>
      <c r="FD170" s="11"/>
      <c r="FE170" s="11"/>
      <c r="FF170" s="11"/>
      <c r="FG170" s="11"/>
      <c r="FH170" s="17">
        <f t="shared" si="52"/>
        <v>3988230.2600000002</v>
      </c>
      <c r="FI170" s="31">
        <f t="shared" si="53"/>
        <v>7</v>
      </c>
      <c r="FJ170" s="68">
        <f t="shared" si="54"/>
        <v>569747.18000000005</v>
      </c>
    </row>
    <row r="171" spans="1:166" ht="27" x14ac:dyDescent="0.25">
      <c r="A171" s="248">
        <f>Distribución_Reactivos!A171</f>
        <v>169</v>
      </c>
      <c r="B171" s="248" t="str">
        <f>Distribución_Reactivos!B171</f>
        <v>D-XylosaX3877-25G (sigma)</v>
      </c>
      <c r="C171" s="248" t="str">
        <f>Distribución_Reactivos!C171</f>
        <v>Sigma-Aldrich</v>
      </c>
      <c r="D171" s="248" t="str">
        <f>Distribución_Reactivos!D171</f>
        <v>Frasco x 25 g</v>
      </c>
      <c r="E171" s="29">
        <v>1</v>
      </c>
      <c r="F171" s="212">
        <v>0</v>
      </c>
      <c r="G171" s="214">
        <v>0</v>
      </c>
      <c r="H171" s="221">
        <v>260253</v>
      </c>
      <c r="I171" s="221">
        <v>0</v>
      </c>
      <c r="J171" s="221">
        <v>0</v>
      </c>
      <c r="K171" s="221">
        <v>0</v>
      </c>
      <c r="L171" s="247">
        <f>H171</f>
        <v>260253</v>
      </c>
      <c r="M171" s="247"/>
      <c r="N171" s="217"/>
      <c r="O171" s="97"/>
      <c r="P171" s="97"/>
      <c r="Q171" s="115"/>
      <c r="R171" s="115"/>
      <c r="S171" s="53"/>
      <c r="T171" s="97"/>
      <c r="U171" s="101"/>
      <c r="V171" s="97"/>
      <c r="W171" s="115"/>
      <c r="X171" s="115"/>
      <c r="Y171" s="11"/>
      <c r="Z171" s="101"/>
      <c r="AA171" s="97"/>
      <c r="AB171" s="97"/>
      <c r="AC171" s="115"/>
      <c r="AD171" s="44"/>
      <c r="AE171" s="11"/>
      <c r="AF171" s="102"/>
      <c r="AG171" s="125"/>
      <c r="AH171" s="97"/>
      <c r="AI171" s="11"/>
      <c r="AJ171" s="11"/>
      <c r="AK171" s="17"/>
      <c r="AL171" s="97"/>
      <c r="AM171" s="97"/>
      <c r="AN171" s="101"/>
      <c r="AO171" s="248"/>
      <c r="AP171" s="17"/>
      <c r="AQ171" s="17"/>
      <c r="AR171" s="252">
        <v>345000</v>
      </c>
      <c r="AS171" s="97">
        <f t="shared" si="62"/>
        <v>65550</v>
      </c>
      <c r="AT171" s="103">
        <f t="shared" si="63"/>
        <v>410550</v>
      </c>
      <c r="AU171" s="52" t="s">
        <v>41</v>
      </c>
      <c r="AV171" s="52" t="s">
        <v>42</v>
      </c>
      <c r="AW171" s="30"/>
      <c r="AX171" s="100"/>
      <c r="AY171" s="100"/>
      <c r="AZ171" s="124"/>
      <c r="BA171" s="169"/>
      <c r="BB171" s="116"/>
      <c r="BC171" s="116"/>
      <c r="BD171" s="247"/>
      <c r="BE171" s="124"/>
      <c r="BF171" s="124"/>
      <c r="BG171" s="116"/>
      <c r="BH171" s="116"/>
      <c r="BI171" s="116"/>
      <c r="BJ171" s="124"/>
      <c r="BK171" s="124"/>
      <c r="BL171" s="124"/>
      <c r="BM171" s="116"/>
      <c r="BN171" s="116"/>
      <c r="BO171" s="116"/>
      <c r="BP171" s="124"/>
      <c r="BQ171" s="116"/>
      <c r="BR171" s="116"/>
      <c r="BS171" s="116"/>
      <c r="BT171" s="116"/>
      <c r="BU171" s="116"/>
      <c r="BV171" s="236">
        <v>390800</v>
      </c>
      <c r="BW171" s="125">
        <f t="shared" si="58"/>
        <v>74252</v>
      </c>
      <c r="BX171" s="97">
        <f t="shared" si="59"/>
        <v>465052</v>
      </c>
      <c r="BY171" s="237" t="s">
        <v>105</v>
      </c>
      <c r="BZ171" s="237" t="s">
        <v>228</v>
      </c>
      <c r="CA171" s="116"/>
      <c r="CB171" s="247"/>
      <c r="CC171" s="125"/>
      <c r="CD171" s="247"/>
      <c r="CE171" s="116"/>
      <c r="CF171" s="116"/>
      <c r="CG171" s="34"/>
      <c r="CH171" s="236">
        <v>398616</v>
      </c>
      <c r="CI171" s="238">
        <f t="shared" si="60"/>
        <v>75737.040000000008</v>
      </c>
      <c r="CJ171" s="236">
        <f t="shared" si="61"/>
        <v>474353.04000000004</v>
      </c>
      <c r="CK171" s="237" t="s">
        <v>105</v>
      </c>
      <c r="CL171" s="237" t="s">
        <v>228</v>
      </c>
      <c r="CM171" s="116"/>
      <c r="CN171" s="247"/>
      <c r="CO171" s="125"/>
      <c r="CP171" s="247"/>
      <c r="CQ171" s="116"/>
      <c r="CR171" s="116"/>
      <c r="CS171" s="116"/>
      <c r="CT171" s="247"/>
      <c r="CU171" s="125"/>
      <c r="CV171" s="247"/>
      <c r="CW171" s="116"/>
      <c r="CX171" s="116"/>
      <c r="CY171" s="116"/>
      <c r="CZ171" s="102">
        <v>646571</v>
      </c>
      <c r="DA171" s="125">
        <f>+CZ171*0.19</f>
        <v>122848.49</v>
      </c>
      <c r="DB171" s="102">
        <f>+CZ171+DA171</f>
        <v>769419.49</v>
      </c>
      <c r="DC171" s="31" t="s">
        <v>154</v>
      </c>
      <c r="DD171" s="17" t="s">
        <v>65</v>
      </c>
      <c r="DE171" s="11" t="s">
        <v>279</v>
      </c>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
      <c r="EU171" s="11"/>
      <c r="EV171" s="11"/>
      <c r="EW171" s="11"/>
      <c r="EX171" s="11"/>
      <c r="EY171" s="11"/>
      <c r="EZ171" s="11"/>
      <c r="FA171" s="11"/>
      <c r="FB171" s="11"/>
      <c r="FC171" s="11"/>
      <c r="FD171" s="11"/>
      <c r="FE171" s="11"/>
      <c r="FF171" s="252"/>
      <c r="FG171" s="61"/>
      <c r="FH171" s="17">
        <f t="shared" si="52"/>
        <v>2119374.5300000003</v>
      </c>
      <c r="FI171" s="31">
        <f t="shared" si="53"/>
        <v>4</v>
      </c>
      <c r="FJ171" s="68">
        <f t="shared" si="54"/>
        <v>529843.63250000007</v>
      </c>
    </row>
    <row r="172" spans="1:166" ht="38.25" x14ac:dyDescent="0.25">
      <c r="A172" s="248">
        <f>Distribución_Reactivos!A172</f>
        <v>170</v>
      </c>
      <c r="B172" s="248" t="str">
        <f>Distribución_Reactivos!B172</f>
        <v>EDTA  CAS 6381-92-6</v>
      </c>
      <c r="C172" s="248" t="str">
        <f>Distribución_Reactivos!C172</f>
        <v>Merck o equivalentes</v>
      </c>
      <c r="D172" s="248" t="str">
        <f>Distribución_Reactivos!D172</f>
        <v>Frasco x 100 g</v>
      </c>
      <c r="E172" s="29">
        <v>1</v>
      </c>
      <c r="F172" s="212">
        <v>206465</v>
      </c>
      <c r="G172" s="214">
        <v>198135</v>
      </c>
      <c r="H172" s="221">
        <v>196066.3</v>
      </c>
      <c r="I172" s="221">
        <v>195993</v>
      </c>
      <c r="J172" s="221">
        <v>337774.93936000002</v>
      </c>
      <c r="K172" s="221">
        <v>0</v>
      </c>
      <c r="L172" s="247">
        <f>AVERAGE(F172,H172,J172)</f>
        <v>246768.74645333333</v>
      </c>
      <c r="M172" s="247">
        <f>AVERAGE(G172,I172)*E1</f>
        <v>202975.92</v>
      </c>
      <c r="N172" s="217"/>
      <c r="O172" s="97"/>
      <c r="P172" s="97"/>
      <c r="Q172" s="115"/>
      <c r="R172" s="115"/>
      <c r="S172" s="53"/>
      <c r="T172" s="97"/>
      <c r="U172" s="97"/>
      <c r="V172" s="97"/>
      <c r="W172" s="115"/>
      <c r="X172" s="115"/>
      <c r="Y172" s="11"/>
      <c r="Z172" s="97"/>
      <c r="AA172" s="97"/>
      <c r="AB172" s="97"/>
      <c r="AC172" s="44"/>
      <c r="AD172" s="44"/>
      <c r="AE172" s="11"/>
      <c r="AF172" s="102">
        <v>160000</v>
      </c>
      <c r="AG172" s="125">
        <f>AF172*19%</f>
        <v>30400</v>
      </c>
      <c r="AH172" s="97">
        <f>+AF172+AG172</f>
        <v>190400</v>
      </c>
      <c r="AI172" s="11"/>
      <c r="AJ172" s="11"/>
      <c r="AK172" s="17"/>
      <c r="AL172" s="97">
        <v>240000</v>
      </c>
      <c r="AM172" s="97">
        <f>+AL172*0.19</f>
        <v>45600</v>
      </c>
      <c r="AN172" s="103">
        <f>+AL172+AM172</f>
        <v>285600</v>
      </c>
      <c r="AO172" s="248" t="s">
        <v>82</v>
      </c>
      <c r="AP172" s="17" t="s">
        <v>52</v>
      </c>
      <c r="AQ172" s="17"/>
      <c r="AR172" s="252">
        <v>144000</v>
      </c>
      <c r="AS172" s="97">
        <f t="shared" si="62"/>
        <v>27360</v>
      </c>
      <c r="AT172" s="103">
        <f t="shared" si="63"/>
        <v>171360</v>
      </c>
      <c r="AU172" s="52" t="s">
        <v>61</v>
      </c>
      <c r="AV172" s="52" t="s">
        <v>42</v>
      </c>
      <c r="AW172" s="30"/>
      <c r="AX172" s="100"/>
      <c r="AY172" s="100"/>
      <c r="AZ172" s="124"/>
      <c r="BA172" s="169"/>
      <c r="BB172" s="116"/>
      <c r="BC172" s="116"/>
      <c r="BD172" s="247"/>
      <c r="BE172" s="124"/>
      <c r="BF172" s="124"/>
      <c r="BG172" s="116"/>
      <c r="BH172" s="116"/>
      <c r="BI172" s="116"/>
      <c r="BJ172" s="124"/>
      <c r="BK172" s="124"/>
      <c r="BL172" s="124"/>
      <c r="BM172" s="116"/>
      <c r="BN172" s="116"/>
      <c r="BO172" s="116"/>
      <c r="BP172" s="124">
        <f>+(248318/250)*100</f>
        <v>99327.200000000012</v>
      </c>
      <c r="BQ172" s="125">
        <f>BP172*19%</f>
        <v>18872.168000000001</v>
      </c>
      <c r="BR172" s="97">
        <f>+BP172+BQ172</f>
        <v>118199.36800000002</v>
      </c>
      <c r="BS172" s="31" t="s">
        <v>280</v>
      </c>
      <c r="BT172" s="34" t="s">
        <v>281</v>
      </c>
      <c r="BU172" s="5" t="s">
        <v>282</v>
      </c>
      <c r="BV172" s="236">
        <v>119100</v>
      </c>
      <c r="BW172" s="125">
        <f t="shared" si="58"/>
        <v>22629</v>
      </c>
      <c r="BX172" s="97">
        <f t="shared" si="59"/>
        <v>141729</v>
      </c>
      <c r="BY172" s="237" t="s">
        <v>63</v>
      </c>
      <c r="BZ172" s="237" t="s">
        <v>277</v>
      </c>
      <c r="CA172" s="116"/>
      <c r="CB172" s="247"/>
      <c r="CC172" s="125"/>
      <c r="CD172" s="247"/>
      <c r="CE172" s="116"/>
      <c r="CF172" s="116"/>
      <c r="CG172" s="34"/>
      <c r="CH172" s="236">
        <v>122673</v>
      </c>
      <c r="CI172" s="238">
        <f t="shared" si="60"/>
        <v>23307.87</v>
      </c>
      <c r="CJ172" s="236">
        <f t="shared" si="61"/>
        <v>145980.87</v>
      </c>
      <c r="CK172" s="237" t="s">
        <v>63</v>
      </c>
      <c r="CL172" s="237" t="s">
        <v>277</v>
      </c>
      <c r="CM172" s="116"/>
      <c r="CN172" s="247"/>
      <c r="CO172" s="125"/>
      <c r="CP172" s="247"/>
      <c r="CQ172" s="116"/>
      <c r="CR172" s="116"/>
      <c r="CS172" s="116"/>
      <c r="CT172" s="247"/>
      <c r="CU172" s="125"/>
      <c r="CV172" s="247"/>
      <c r="CW172" s="116"/>
      <c r="CX172" s="116"/>
      <c r="CY172" s="116"/>
      <c r="CZ172" s="102"/>
      <c r="DA172" s="125"/>
      <c r="DB172" s="102"/>
      <c r="DC172" s="31"/>
      <c r="DD172" s="17"/>
      <c r="DE172" s="27"/>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
      <c r="EU172" s="11"/>
      <c r="EV172" s="11"/>
      <c r="EW172" s="11"/>
      <c r="EX172" s="11"/>
      <c r="EY172" s="11"/>
      <c r="EZ172" s="11"/>
      <c r="FA172" s="11"/>
      <c r="FB172" s="11"/>
      <c r="FC172" s="11"/>
      <c r="FD172" s="11"/>
      <c r="FE172" s="11"/>
      <c r="FF172" s="11"/>
      <c r="FG172" s="11"/>
      <c r="FH172" s="17">
        <f t="shared" si="52"/>
        <v>1256245.1580000003</v>
      </c>
      <c r="FI172" s="31">
        <f t="shared" si="53"/>
        <v>7</v>
      </c>
      <c r="FJ172" s="68">
        <f t="shared" si="54"/>
        <v>179463.59400000004</v>
      </c>
    </row>
    <row r="173" spans="1:166" ht="25.5" x14ac:dyDescent="0.25">
      <c r="A173" s="248">
        <f>Distribución_Reactivos!A173</f>
        <v>171</v>
      </c>
      <c r="B173" s="248" t="str">
        <f>Distribución_Reactivos!B173</f>
        <v>EDTA sal disódica dihidrato</v>
      </c>
      <c r="C173" s="248" t="str">
        <f>Distribución_Reactivos!C173</f>
        <v>Sigma o equivalente</v>
      </c>
      <c r="D173" s="248" t="str">
        <f>Distribución_Reactivos!D173</f>
        <v>Frasco x 500 g</v>
      </c>
      <c r="E173" s="29">
        <v>1</v>
      </c>
      <c r="F173" s="212">
        <v>0</v>
      </c>
      <c r="G173" s="214">
        <v>0</v>
      </c>
      <c r="H173" s="221">
        <v>0</v>
      </c>
      <c r="I173" s="221">
        <v>0</v>
      </c>
      <c r="J173" s="221">
        <v>0</v>
      </c>
      <c r="K173" s="221">
        <v>0</v>
      </c>
      <c r="L173" s="247"/>
      <c r="M173" s="247"/>
      <c r="N173" s="217"/>
      <c r="O173" s="97"/>
      <c r="P173" s="97"/>
      <c r="Q173" s="115"/>
      <c r="R173" s="115"/>
      <c r="S173" s="53"/>
      <c r="T173" s="97">
        <v>930000</v>
      </c>
      <c r="U173" s="105">
        <f>+T173*0.19</f>
        <v>176700</v>
      </c>
      <c r="V173" s="97">
        <f>+T173+U173</f>
        <v>1106700</v>
      </c>
      <c r="W173" s="115" t="s">
        <v>77</v>
      </c>
      <c r="X173" s="115" t="s">
        <v>129</v>
      </c>
      <c r="Y173" s="11"/>
      <c r="Z173" s="97"/>
      <c r="AA173" s="97"/>
      <c r="AB173" s="97"/>
      <c r="AC173" s="44"/>
      <c r="AD173" s="44"/>
      <c r="AE173" s="11"/>
      <c r="AF173" s="102"/>
      <c r="AG173" s="125"/>
      <c r="AH173" s="97"/>
      <c r="AI173" s="11"/>
      <c r="AJ173" s="11"/>
      <c r="AK173" s="17"/>
      <c r="AL173" s="97">
        <v>389000</v>
      </c>
      <c r="AM173" s="97">
        <f>+AL173*0.19</f>
        <v>73910</v>
      </c>
      <c r="AN173" s="103">
        <f>+AL173+AM173</f>
        <v>462910</v>
      </c>
      <c r="AO173" s="248" t="s">
        <v>77</v>
      </c>
      <c r="AP173" s="17" t="s">
        <v>52</v>
      </c>
      <c r="AQ173" s="17"/>
      <c r="AR173" s="252">
        <f>720000*2</f>
        <v>1440000</v>
      </c>
      <c r="AS173" s="97">
        <f t="shared" si="62"/>
        <v>273600</v>
      </c>
      <c r="AT173" s="103">
        <f t="shared" si="63"/>
        <v>1713600</v>
      </c>
      <c r="AU173" s="52" t="s">
        <v>82</v>
      </c>
      <c r="AV173" s="52" t="s">
        <v>42</v>
      </c>
      <c r="AW173" s="30"/>
      <c r="AX173" s="100">
        <v>403109.52</v>
      </c>
      <c r="AY173" s="100">
        <f>+AX173*0.19</f>
        <v>76590.808799999999</v>
      </c>
      <c r="AZ173" s="124">
        <f>+AX173+AY173</f>
        <v>479700.32880000002</v>
      </c>
      <c r="BA173" s="169" t="s">
        <v>77</v>
      </c>
      <c r="BB173" s="116" t="s">
        <v>72</v>
      </c>
      <c r="BC173" s="116"/>
      <c r="BD173" s="247"/>
      <c r="BE173" s="124"/>
      <c r="BF173" s="124"/>
      <c r="BG173" s="116"/>
      <c r="BH173" s="116"/>
      <c r="BI173" s="116"/>
      <c r="BJ173" s="124"/>
      <c r="BK173" s="124"/>
      <c r="BL173" s="124"/>
      <c r="BM173" s="116"/>
      <c r="BN173" s="116"/>
      <c r="BO173" s="116"/>
      <c r="BP173" s="124"/>
      <c r="BQ173" s="116"/>
      <c r="BR173" s="116"/>
      <c r="BS173" s="116"/>
      <c r="BT173" s="116"/>
      <c r="BU173" s="116"/>
      <c r="BV173" s="187"/>
      <c r="BW173" s="125"/>
      <c r="BX173" s="97"/>
      <c r="BY173" s="246"/>
      <c r="BZ173" s="246"/>
      <c r="CA173" s="116"/>
      <c r="CB173" s="247"/>
      <c r="CC173" s="125"/>
      <c r="CD173" s="247"/>
      <c r="CE173" s="116"/>
      <c r="CF173" s="116"/>
      <c r="CG173" s="34"/>
      <c r="CH173" s="187"/>
      <c r="CI173" s="195"/>
      <c r="CJ173" s="187"/>
      <c r="CK173" s="246"/>
      <c r="CL173" s="246"/>
      <c r="CM173" s="116"/>
      <c r="CN173" s="247"/>
      <c r="CO173" s="125"/>
      <c r="CP173" s="247"/>
      <c r="CQ173" s="116"/>
      <c r="CR173" s="116"/>
      <c r="CS173" s="116"/>
      <c r="CT173" s="247"/>
      <c r="CU173" s="125"/>
      <c r="CV173" s="247"/>
      <c r="CW173" s="116"/>
      <c r="CX173" s="116"/>
      <c r="CY173" s="116"/>
      <c r="CZ173" s="102">
        <v>547310</v>
      </c>
      <c r="DA173" s="125">
        <f>+CZ173*0.19</f>
        <v>103988.9</v>
      </c>
      <c r="DB173" s="102">
        <f>+CZ173+DA173</f>
        <v>651298.9</v>
      </c>
      <c r="DC173" s="31"/>
      <c r="DD173" s="17" t="s">
        <v>65</v>
      </c>
      <c r="DE173" s="11">
        <v>1084541000</v>
      </c>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
      <c r="EU173" s="11"/>
      <c r="EV173" s="11"/>
      <c r="EW173" s="11"/>
      <c r="EX173" s="11"/>
      <c r="EY173" s="11"/>
      <c r="EZ173" s="11"/>
      <c r="FA173" s="11"/>
      <c r="FB173" s="11"/>
      <c r="FC173" s="11"/>
      <c r="FD173" s="11"/>
      <c r="FE173" s="11"/>
      <c r="FF173" s="11"/>
      <c r="FG173" s="11"/>
      <c r="FH173" s="17">
        <f t="shared" si="52"/>
        <v>4414209.2288000006</v>
      </c>
      <c r="FI173" s="31">
        <f t="shared" si="53"/>
        <v>5</v>
      </c>
      <c r="FJ173" s="68">
        <f t="shared" si="54"/>
        <v>882841.84576000017</v>
      </c>
    </row>
    <row r="174" spans="1:166" ht="25.5" x14ac:dyDescent="0.25">
      <c r="A174" s="248">
        <f>Distribución_Reactivos!A174</f>
        <v>172</v>
      </c>
      <c r="B174" s="248" t="str">
        <f>Distribución_Reactivos!B174</f>
        <v xml:space="preserve">Electrode solution storage-para almacenar o guardar electrodos de pH </v>
      </c>
      <c r="C174" s="248" t="str">
        <f>Distribución_Reactivos!C174</f>
        <v>Orion</v>
      </c>
      <c r="D174" s="248" t="str">
        <f>Distribución_Reactivos!D174</f>
        <v>Frasco x 100 ml</v>
      </c>
      <c r="E174" s="29">
        <v>1</v>
      </c>
      <c r="F174" s="212">
        <v>0</v>
      </c>
      <c r="G174" s="214">
        <v>0</v>
      </c>
      <c r="H174" s="221">
        <v>613088</v>
      </c>
      <c r="I174" s="221">
        <v>0</v>
      </c>
      <c r="J174" s="221">
        <v>0</v>
      </c>
      <c r="K174" s="221">
        <v>0</v>
      </c>
      <c r="L174" s="247">
        <f>H174</f>
        <v>613088</v>
      </c>
      <c r="M174" s="247"/>
      <c r="N174" s="217"/>
      <c r="O174" s="97"/>
      <c r="P174" s="97"/>
      <c r="Q174" s="115"/>
      <c r="R174" s="115"/>
      <c r="S174" s="53"/>
      <c r="T174" s="97"/>
      <c r="U174" s="97"/>
      <c r="V174" s="97"/>
      <c r="W174" s="115"/>
      <c r="X174" s="115"/>
      <c r="Y174" s="11"/>
      <c r="Z174" s="97"/>
      <c r="AA174" s="97"/>
      <c r="AB174" s="97"/>
      <c r="AC174" s="44"/>
      <c r="AD174" s="44"/>
      <c r="AE174" s="11"/>
      <c r="AF174" s="102"/>
      <c r="AG174" s="125"/>
      <c r="AH174" s="97"/>
      <c r="AI174" s="11"/>
      <c r="AJ174" s="11"/>
      <c r="AK174" s="17"/>
      <c r="AL174" s="97"/>
      <c r="AM174" s="97"/>
      <c r="AN174" s="100"/>
      <c r="AO174" s="248"/>
      <c r="AP174" s="17"/>
      <c r="AQ174" s="17"/>
      <c r="AR174" s="252">
        <f>2656800/5</f>
        <v>531360</v>
      </c>
      <c r="AS174" s="97">
        <f t="shared" si="62"/>
        <v>100958.39999999999</v>
      </c>
      <c r="AT174" s="103">
        <f t="shared" si="63"/>
        <v>632318.4</v>
      </c>
      <c r="AU174" s="52" t="s">
        <v>236</v>
      </c>
      <c r="AV174" s="52" t="s">
        <v>42</v>
      </c>
      <c r="AW174" s="30"/>
      <c r="AX174" s="100"/>
      <c r="AY174" s="100"/>
      <c r="AZ174" s="124"/>
      <c r="BA174" s="169"/>
      <c r="BB174" s="116"/>
      <c r="BC174" s="116"/>
      <c r="BD174" s="247"/>
      <c r="BE174" s="124"/>
      <c r="BF174" s="124"/>
      <c r="BG174" s="116"/>
      <c r="BH174" s="116"/>
      <c r="BI174" s="116"/>
      <c r="BJ174" s="124"/>
      <c r="BK174" s="124"/>
      <c r="BL174" s="124"/>
      <c r="BM174" s="116"/>
      <c r="BN174" s="116"/>
      <c r="BO174" s="116"/>
      <c r="BP174" s="124"/>
      <c r="BQ174" s="116"/>
      <c r="BR174" s="116"/>
      <c r="BS174" s="116"/>
      <c r="BT174" s="116"/>
      <c r="BU174" s="116"/>
      <c r="BV174" s="187"/>
      <c r="BW174" s="125"/>
      <c r="BX174" s="97"/>
      <c r="BY174" s="246"/>
      <c r="BZ174" s="246"/>
      <c r="CA174" s="116"/>
      <c r="CB174" s="247">
        <v>425600</v>
      </c>
      <c r="CC174" s="125">
        <f>+CB174*19%</f>
        <v>80864</v>
      </c>
      <c r="CD174" s="247">
        <f>+CC174+CB174</f>
        <v>506464</v>
      </c>
      <c r="CE174" s="116"/>
      <c r="CF174" s="116"/>
      <c r="CG174" s="34"/>
      <c r="CH174" s="187"/>
      <c r="CI174" s="195"/>
      <c r="CJ174" s="187"/>
      <c r="CK174" s="246"/>
      <c r="CL174" s="246"/>
      <c r="CM174" s="116"/>
      <c r="CN174" s="247"/>
      <c r="CO174" s="125"/>
      <c r="CP174" s="247"/>
      <c r="CQ174" s="116"/>
      <c r="CR174" s="116"/>
      <c r="CS174" s="116"/>
      <c r="CT174" s="247"/>
      <c r="CU174" s="125"/>
      <c r="CV174" s="247"/>
      <c r="CW174" s="116"/>
      <c r="CX174" s="116"/>
      <c r="CY174" s="116"/>
      <c r="CZ174" s="102"/>
      <c r="DA174" s="125"/>
      <c r="DB174" s="102"/>
      <c r="DC174" s="31"/>
      <c r="DD174" s="17"/>
      <c r="DE174" s="11"/>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
      <c r="EU174" s="11"/>
      <c r="EV174" s="11"/>
      <c r="EW174" s="11"/>
      <c r="EX174" s="11"/>
      <c r="EY174" s="11"/>
      <c r="EZ174" s="11"/>
      <c r="FA174" s="11"/>
      <c r="FB174" s="11"/>
      <c r="FC174" s="11"/>
      <c r="FD174" s="11"/>
      <c r="FE174" s="11"/>
      <c r="FF174" s="11"/>
      <c r="FG174" s="11"/>
      <c r="FH174" s="17">
        <f t="shared" si="52"/>
        <v>1138782.3999999999</v>
      </c>
      <c r="FI174" s="31">
        <f t="shared" si="53"/>
        <v>2</v>
      </c>
      <c r="FJ174" s="68">
        <f t="shared" si="54"/>
        <v>569391.19999999995</v>
      </c>
    </row>
    <row r="175" spans="1:166" x14ac:dyDescent="0.25">
      <c r="A175" s="248">
        <f>Distribución_Reactivos!A175</f>
        <v>173</v>
      </c>
      <c r="B175" s="248" t="str">
        <f>Distribución_Reactivos!B175</f>
        <v>Eliminador de nucleasas</v>
      </c>
      <c r="C175" s="248" t="str">
        <f>Distribución_Reactivos!C175</f>
        <v>Varios</v>
      </c>
      <c r="D175" s="248" t="str">
        <f>Distribución_Reactivos!D175</f>
        <v>Spray x 500 mL</v>
      </c>
      <c r="E175" s="29">
        <v>1</v>
      </c>
      <c r="F175" s="212">
        <v>0</v>
      </c>
      <c r="G175" s="214">
        <v>0</v>
      </c>
      <c r="H175" s="221">
        <v>0</v>
      </c>
      <c r="I175" s="221">
        <v>0</v>
      </c>
      <c r="J175" s="221">
        <v>380800</v>
      </c>
      <c r="K175" s="221">
        <v>0</v>
      </c>
      <c r="L175" s="247">
        <f>J175</f>
        <v>380800</v>
      </c>
      <c r="M175" s="247"/>
      <c r="N175" s="217"/>
      <c r="O175" s="97"/>
      <c r="P175" s="97"/>
      <c r="Q175" s="115"/>
      <c r="R175" s="115"/>
      <c r="S175" s="53"/>
      <c r="T175" s="97">
        <v>207000</v>
      </c>
      <c r="U175" s="105">
        <f>+T175*0.19</f>
        <v>39330</v>
      </c>
      <c r="V175" s="97">
        <f>+T175+U175</f>
        <v>246330</v>
      </c>
      <c r="W175" s="115" t="s">
        <v>283</v>
      </c>
      <c r="X175" s="115" t="s">
        <v>284</v>
      </c>
      <c r="Y175" s="11"/>
      <c r="Z175" s="97"/>
      <c r="AA175" s="97"/>
      <c r="AB175" s="97"/>
      <c r="AC175" s="44"/>
      <c r="AD175" s="44"/>
      <c r="AE175" s="11"/>
      <c r="AF175" s="102"/>
      <c r="AG175" s="125"/>
      <c r="AH175" s="97"/>
      <c r="AI175" s="11"/>
      <c r="AJ175" s="11"/>
      <c r="AK175" s="17"/>
      <c r="AL175" s="97"/>
      <c r="AM175" s="97"/>
      <c r="AN175" s="101"/>
      <c r="AO175" s="248"/>
      <c r="AP175" s="17"/>
      <c r="AQ175" s="17"/>
      <c r="AR175" s="252">
        <v>320000</v>
      </c>
      <c r="AS175" s="97">
        <f t="shared" si="62"/>
        <v>60800</v>
      </c>
      <c r="AT175" s="103">
        <f t="shared" si="63"/>
        <v>380800</v>
      </c>
      <c r="AU175" s="52" t="s">
        <v>283</v>
      </c>
      <c r="AV175" s="52" t="s">
        <v>284</v>
      </c>
      <c r="AW175" s="30"/>
      <c r="AX175" s="100"/>
      <c r="AY175" s="174"/>
      <c r="AZ175" s="124"/>
      <c r="BA175" s="169"/>
      <c r="BB175" s="116"/>
      <c r="BC175" s="116"/>
      <c r="BD175" s="247"/>
      <c r="BE175" s="124"/>
      <c r="BF175" s="124"/>
      <c r="BG175" s="116"/>
      <c r="BH175" s="116"/>
      <c r="BI175" s="116"/>
      <c r="BJ175" s="124"/>
      <c r="BK175" s="124"/>
      <c r="BL175" s="124"/>
      <c r="BM175" s="116"/>
      <c r="BN175" s="116"/>
      <c r="BO175" s="116"/>
      <c r="BP175" s="124"/>
      <c r="BQ175" s="116"/>
      <c r="BR175" s="116"/>
      <c r="BS175" s="116"/>
      <c r="BT175" s="116"/>
      <c r="BU175" s="116"/>
      <c r="BV175" s="187"/>
      <c r="BW175" s="125"/>
      <c r="BX175" s="97"/>
      <c r="BY175" s="246"/>
      <c r="BZ175" s="246"/>
      <c r="CA175" s="116"/>
      <c r="CB175" s="247"/>
      <c r="CC175" s="125"/>
      <c r="CD175" s="247"/>
      <c r="CE175" s="116"/>
      <c r="CF175" s="116"/>
      <c r="CG175" s="34"/>
      <c r="CH175" s="187"/>
      <c r="CI175" s="195"/>
      <c r="CJ175" s="187"/>
      <c r="CK175" s="246"/>
      <c r="CL175" s="246"/>
      <c r="CM175" s="116"/>
      <c r="CN175" s="247"/>
      <c r="CO175" s="125"/>
      <c r="CP175" s="247"/>
      <c r="CQ175" s="116"/>
      <c r="CR175" s="116"/>
      <c r="CS175" s="116"/>
      <c r="CT175" s="247"/>
      <c r="CU175" s="125"/>
      <c r="CV175" s="247"/>
      <c r="CW175" s="116"/>
      <c r="CX175" s="116"/>
      <c r="CY175" s="116"/>
      <c r="CZ175" s="102"/>
      <c r="DA175" s="125"/>
      <c r="DB175" s="102"/>
      <c r="DC175" s="31"/>
      <c r="DD175" s="17"/>
      <c r="DE175" s="11"/>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
      <c r="EU175" s="11"/>
      <c r="EV175" s="11"/>
      <c r="EW175" s="11"/>
      <c r="EX175" s="11"/>
      <c r="EY175" s="11"/>
      <c r="EZ175" s="11"/>
      <c r="FA175" s="11"/>
      <c r="FB175" s="11"/>
      <c r="FC175" s="11"/>
      <c r="FD175" s="11"/>
      <c r="FE175" s="11"/>
      <c r="FF175" s="11"/>
      <c r="FG175" s="11"/>
      <c r="FH175" s="17">
        <f t="shared" si="52"/>
        <v>627130</v>
      </c>
      <c r="FI175" s="31">
        <f t="shared" si="53"/>
        <v>2</v>
      </c>
      <c r="FJ175" s="68">
        <f t="shared" si="54"/>
        <v>313565</v>
      </c>
    </row>
    <row r="176" spans="1:166" ht="25.5" x14ac:dyDescent="0.25">
      <c r="A176" s="248">
        <f>Distribución_Reactivos!A176</f>
        <v>174</v>
      </c>
      <c r="B176" s="248" t="str">
        <f>Distribución_Reactivos!B176</f>
        <v>EMJH enriquecimiento</v>
      </c>
      <c r="C176" s="248" t="str">
        <f>Distribución_Reactivos!C176</f>
        <v xml:space="preserve">Difco </v>
      </c>
      <c r="D176" s="248" t="str">
        <f>Distribución_Reactivos!D176</f>
        <v>Caja x 6 frascos x 100 ml</v>
      </c>
      <c r="E176" s="29">
        <v>1</v>
      </c>
      <c r="F176" s="212">
        <v>5786860</v>
      </c>
      <c r="G176" s="214">
        <v>2722720</v>
      </c>
      <c r="H176" s="221">
        <v>2702728</v>
      </c>
      <c r="I176" s="221">
        <v>0</v>
      </c>
      <c r="J176" s="221">
        <v>2858856</v>
      </c>
      <c r="K176" s="221">
        <v>2856000</v>
      </c>
      <c r="L176" s="247">
        <f>AVERAGE(F176,H176,J176)</f>
        <v>3782814.6666666665</v>
      </c>
      <c r="M176" s="247">
        <f>AVERAGE(G176,K176)*E1</f>
        <v>2873040.8000000003</v>
      </c>
      <c r="N176" s="217"/>
      <c r="O176" s="97"/>
      <c r="P176" s="97"/>
      <c r="Q176" s="115"/>
      <c r="R176" s="115"/>
      <c r="S176" s="53"/>
      <c r="T176" s="97"/>
      <c r="U176" s="97"/>
      <c r="V176" s="97"/>
      <c r="W176" s="115"/>
      <c r="X176" s="115"/>
      <c r="Y176" s="11"/>
      <c r="Z176" s="97"/>
      <c r="AA176" s="97"/>
      <c r="AB176" s="97"/>
      <c r="AC176" s="44"/>
      <c r="AD176" s="44"/>
      <c r="AE176" s="11"/>
      <c r="AF176" s="102"/>
      <c r="AG176" s="125"/>
      <c r="AH176" s="97"/>
      <c r="AI176" s="11"/>
      <c r="AJ176" s="11"/>
      <c r="AK176" s="17"/>
      <c r="AL176" s="97"/>
      <c r="AM176" s="97"/>
      <c r="AN176" s="101"/>
      <c r="AO176" s="248"/>
      <c r="AP176" s="17"/>
      <c r="AQ176" s="17"/>
      <c r="AR176" s="252"/>
      <c r="AS176" s="136"/>
      <c r="AT176" s="137"/>
      <c r="AU176" s="52"/>
      <c r="AV176" s="52"/>
      <c r="AW176" s="30"/>
      <c r="AX176" s="100"/>
      <c r="AY176" s="174"/>
      <c r="AZ176" s="124"/>
      <c r="BA176" s="169"/>
      <c r="BB176" s="116"/>
      <c r="BC176" s="116"/>
      <c r="BD176" s="247"/>
      <c r="BE176" s="124"/>
      <c r="BF176" s="124"/>
      <c r="BG176" s="116"/>
      <c r="BH176" s="116"/>
      <c r="BI176" s="116"/>
      <c r="BJ176" s="124"/>
      <c r="BK176" s="124"/>
      <c r="BL176" s="124"/>
      <c r="BM176" s="116"/>
      <c r="BN176" s="116"/>
      <c r="BO176" s="116"/>
      <c r="BP176" s="124"/>
      <c r="BQ176" s="116"/>
      <c r="BR176" s="116"/>
      <c r="BS176" s="116"/>
      <c r="BT176" s="116"/>
      <c r="BU176" s="116"/>
      <c r="BV176" s="187"/>
      <c r="BW176" s="125"/>
      <c r="BX176" s="97"/>
      <c r="BY176" s="246"/>
      <c r="BZ176" s="246"/>
      <c r="CA176" s="116"/>
      <c r="CB176" s="247"/>
      <c r="CC176" s="125"/>
      <c r="CD176" s="247"/>
      <c r="CE176" s="116"/>
      <c r="CF176" s="116"/>
      <c r="CG176" s="34"/>
      <c r="CH176" s="187"/>
      <c r="CI176" s="195"/>
      <c r="CJ176" s="187"/>
      <c r="CK176" s="246"/>
      <c r="CL176" s="246"/>
      <c r="CM176" s="116"/>
      <c r="CN176" s="247"/>
      <c r="CO176" s="125"/>
      <c r="CP176" s="247"/>
      <c r="CQ176" s="116"/>
      <c r="CR176" s="116"/>
      <c r="CS176" s="116"/>
      <c r="CT176" s="247"/>
      <c r="CU176" s="125"/>
      <c r="CV176" s="247"/>
      <c r="CW176" s="116"/>
      <c r="CX176" s="116"/>
      <c r="CY176" s="116"/>
      <c r="CZ176" s="102"/>
      <c r="DA176" s="125"/>
      <c r="DB176" s="102"/>
      <c r="DC176" s="31"/>
      <c r="DD176" s="17"/>
      <c r="DE176" s="11"/>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
      <c r="EU176" s="11"/>
      <c r="EV176" s="11"/>
      <c r="EW176" s="11"/>
      <c r="EX176" s="11"/>
      <c r="EY176" s="11"/>
      <c r="EZ176" s="11"/>
      <c r="FA176" s="11"/>
      <c r="FB176" s="11"/>
      <c r="FC176" s="11"/>
      <c r="FD176" s="11"/>
      <c r="FE176" s="11"/>
      <c r="FF176" s="11"/>
      <c r="FG176" s="11"/>
      <c r="FH176" s="17">
        <f t="shared" si="52"/>
        <v>2873040.8000000003</v>
      </c>
      <c r="FI176" s="31">
        <f t="shared" si="53"/>
        <v>1</v>
      </c>
      <c r="FJ176" s="68">
        <f t="shared" si="54"/>
        <v>2873040.8000000003</v>
      </c>
    </row>
    <row r="177" spans="1:166" ht="25.5" x14ac:dyDescent="0.25">
      <c r="A177" s="248">
        <f>Distribución_Reactivos!A177</f>
        <v>175</v>
      </c>
      <c r="B177" s="248" t="str">
        <f>Distribución_Reactivos!B177</f>
        <v>Entellan</v>
      </c>
      <c r="C177" s="248" t="str">
        <f>Distribución_Reactivos!C177</f>
        <v>Merck o equivalente</v>
      </c>
      <c r="D177" s="248" t="str">
        <f>Distribución_Reactivos!D177</f>
        <v>Frasco x 100 ml</v>
      </c>
      <c r="E177" s="29">
        <v>1</v>
      </c>
      <c r="F177" s="212">
        <v>1110032</v>
      </c>
      <c r="G177" s="214">
        <v>1054459</v>
      </c>
      <c r="H177" s="221">
        <v>491428.36586666666</v>
      </c>
      <c r="I177" s="221">
        <v>491351</v>
      </c>
      <c r="J177" s="221">
        <v>464657.31666666665</v>
      </c>
      <c r="K177" s="221">
        <v>455413</v>
      </c>
      <c r="L177" s="247">
        <f>AVERAGE(F177,H177,J177)</f>
        <v>688705.89417777781</v>
      </c>
      <c r="M177" s="247">
        <f>AVERAGE(G177,I177,K177)*E1</f>
        <v>687086.56333333335</v>
      </c>
      <c r="N177" s="217"/>
      <c r="O177" s="97"/>
      <c r="P177" s="97"/>
      <c r="Q177" s="44"/>
      <c r="R177" s="44"/>
      <c r="S177" s="5"/>
      <c r="T177" s="97"/>
      <c r="U177" s="97"/>
      <c r="V177" s="97"/>
      <c r="W177" s="11"/>
      <c r="X177" s="11"/>
      <c r="Y177" s="11"/>
      <c r="Z177" s="97"/>
      <c r="AA177" s="97"/>
      <c r="AB177" s="97"/>
      <c r="AC177" s="44"/>
      <c r="AD177" s="44"/>
      <c r="AE177" s="11"/>
      <c r="AF177" s="102">
        <v>150000</v>
      </c>
      <c r="AG177" s="125">
        <f>AF177*19%</f>
        <v>28500</v>
      </c>
      <c r="AH177" s="97">
        <f>+AF177+AG177</f>
        <v>178500</v>
      </c>
      <c r="AI177" s="11"/>
      <c r="AJ177" s="11"/>
      <c r="AK177" s="11"/>
      <c r="AL177" s="97"/>
      <c r="AM177" s="97"/>
      <c r="AN177" s="97"/>
      <c r="AO177" s="248"/>
      <c r="AP177" s="11"/>
      <c r="AQ177" s="11"/>
      <c r="AR177" s="252"/>
      <c r="AS177" s="252"/>
      <c r="AT177" s="252"/>
      <c r="AU177" s="52"/>
      <c r="AV177" s="42"/>
      <c r="AW177" s="11"/>
      <c r="AX177" s="252"/>
      <c r="AY177" s="252"/>
      <c r="AZ177" s="252"/>
      <c r="BA177" s="11"/>
      <c r="BB177" s="11"/>
      <c r="BC177" s="11"/>
      <c r="BD177" s="247"/>
      <c r="BE177" s="124"/>
      <c r="BF177" s="124"/>
      <c r="BG177" s="116"/>
      <c r="BH177" s="11"/>
      <c r="BI177" s="116"/>
      <c r="BJ177" s="124"/>
      <c r="BK177" s="124"/>
      <c r="BL177" s="124"/>
      <c r="BM177" s="116"/>
      <c r="BN177" s="116"/>
      <c r="BO177" s="116"/>
      <c r="BP177" s="124"/>
      <c r="BQ177" s="116"/>
      <c r="BR177" s="116"/>
      <c r="BS177" s="116"/>
      <c r="BT177" s="116"/>
      <c r="BU177" s="116"/>
      <c r="BV177" s="187"/>
      <c r="BW177" s="125"/>
      <c r="BX177" s="97"/>
      <c r="BY177" s="246"/>
      <c r="BZ177" s="246"/>
      <c r="CA177" s="116"/>
      <c r="CB177" s="247"/>
      <c r="CC177" s="125"/>
      <c r="CD177" s="247"/>
      <c r="CE177" s="116"/>
      <c r="CF177" s="116"/>
      <c r="CG177" s="34"/>
      <c r="CH177" s="187"/>
      <c r="CI177" s="195"/>
      <c r="CJ177" s="187"/>
      <c r="CK177" s="246"/>
      <c r="CL177" s="246"/>
      <c r="CM177" s="116"/>
      <c r="CN177" s="247"/>
      <c r="CO177" s="125"/>
      <c r="CP177" s="247"/>
      <c r="CQ177" s="116"/>
      <c r="CR177" s="116"/>
      <c r="CS177" s="116"/>
      <c r="CT177" s="247"/>
      <c r="CU177" s="125"/>
      <c r="CV177" s="247"/>
      <c r="CW177" s="116"/>
      <c r="CX177" s="116"/>
      <c r="CY177" s="116"/>
      <c r="CZ177" s="102"/>
      <c r="DA177" s="125"/>
      <c r="DB177" s="102"/>
      <c r="DC177" s="31"/>
      <c r="DD177" s="17"/>
      <c r="DE177" s="11"/>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
      <c r="EU177" s="11"/>
      <c r="EV177" s="11"/>
      <c r="EW177" s="11"/>
      <c r="EX177" s="11"/>
      <c r="EY177" s="11"/>
      <c r="EZ177" s="11"/>
      <c r="FA177" s="11"/>
      <c r="FB177" s="11"/>
      <c r="FC177" s="11"/>
      <c r="FD177" s="11"/>
      <c r="FE177" s="11"/>
      <c r="FF177" s="11"/>
      <c r="FG177" s="11"/>
      <c r="FH177" s="17">
        <f t="shared" si="52"/>
        <v>865586.56333333335</v>
      </c>
      <c r="FI177" s="31">
        <f t="shared" si="53"/>
        <v>2</v>
      </c>
      <c r="FJ177" s="68">
        <f t="shared" si="54"/>
        <v>432793.28166666668</v>
      </c>
    </row>
    <row r="178" spans="1:166" ht="25.5" x14ac:dyDescent="0.25">
      <c r="A178" s="248">
        <f>Distribución_Reactivos!A178</f>
        <v>176</v>
      </c>
      <c r="B178" s="248" t="str">
        <f>Distribución_Reactivos!B178</f>
        <v>Enzima Sau. Thermo Ref. ERO191</v>
      </c>
      <c r="C178" s="248" t="str">
        <f>Distribución_Reactivos!C178</f>
        <v>Thermo Ref. ERO191</v>
      </c>
      <c r="D178" s="248" t="str">
        <f>Distribución_Reactivos!D178</f>
        <v xml:space="preserve">Kit </v>
      </c>
      <c r="E178" s="29">
        <v>1</v>
      </c>
      <c r="F178" s="212">
        <v>0</v>
      </c>
      <c r="G178" s="214">
        <v>0</v>
      </c>
      <c r="H178" s="221">
        <v>0</v>
      </c>
      <c r="I178" s="221">
        <v>0</v>
      </c>
      <c r="J178" s="221">
        <v>414553.16000000003</v>
      </c>
      <c r="K178" s="221">
        <v>0</v>
      </c>
      <c r="L178" s="247">
        <f>J178</f>
        <v>414553.16000000003</v>
      </c>
      <c r="M178" s="247"/>
      <c r="N178" s="217"/>
      <c r="O178" s="97"/>
      <c r="P178" s="97"/>
      <c r="Q178" s="115"/>
      <c r="R178" s="115"/>
      <c r="S178" s="53"/>
      <c r="T178" s="97"/>
      <c r="U178" s="105"/>
      <c r="V178" s="97"/>
      <c r="W178" s="115"/>
      <c r="X178" s="115"/>
      <c r="Y178" s="11"/>
      <c r="Z178" s="97"/>
      <c r="AA178" s="97"/>
      <c r="AB178" s="97"/>
      <c r="AC178" s="44"/>
      <c r="AD178" s="44"/>
      <c r="AE178" s="11"/>
      <c r="AF178" s="102"/>
      <c r="AG178" s="125"/>
      <c r="AH178" s="97"/>
      <c r="AI178" s="11"/>
      <c r="AJ178" s="11"/>
      <c r="AK178" s="17"/>
      <c r="AL178" s="97"/>
      <c r="AM178" s="97"/>
      <c r="AN178" s="101"/>
      <c r="AO178" s="248"/>
      <c r="AP178" s="17"/>
      <c r="AQ178" s="17"/>
      <c r="AR178" s="252">
        <v>348364</v>
      </c>
      <c r="AS178" s="97">
        <f>+AR178*0.19</f>
        <v>66189.16</v>
      </c>
      <c r="AT178" s="103">
        <f>+AR178+AS178</f>
        <v>414553.16000000003</v>
      </c>
      <c r="AU178" s="52" t="s">
        <v>285</v>
      </c>
      <c r="AV178" s="52" t="s">
        <v>138</v>
      </c>
      <c r="AW178" s="30"/>
      <c r="AX178" s="100"/>
      <c r="AY178" s="100"/>
      <c r="AZ178" s="124"/>
      <c r="BA178" s="169"/>
      <c r="BB178" s="116"/>
      <c r="BC178" s="116"/>
      <c r="BD178" s="247"/>
      <c r="BE178" s="124"/>
      <c r="BF178" s="124"/>
      <c r="BG178" s="116"/>
      <c r="BH178" s="116"/>
      <c r="BI178" s="116"/>
      <c r="BJ178" s="124"/>
      <c r="BK178" s="124"/>
      <c r="BL178" s="124"/>
      <c r="BM178" s="116"/>
      <c r="BN178" s="116"/>
      <c r="BO178" s="116"/>
      <c r="BP178" s="124"/>
      <c r="BQ178" s="116"/>
      <c r="BR178" s="116"/>
      <c r="BS178" s="116"/>
      <c r="BT178" s="116"/>
      <c r="BU178" s="116"/>
      <c r="BV178" s="187"/>
      <c r="BW178" s="125"/>
      <c r="BX178" s="97"/>
      <c r="BY178" s="246"/>
      <c r="BZ178" s="246"/>
      <c r="CA178" s="116"/>
      <c r="CB178" s="247"/>
      <c r="CC178" s="125"/>
      <c r="CD178" s="247"/>
      <c r="CE178" s="116"/>
      <c r="CF178" s="116"/>
      <c r="CG178" s="34"/>
      <c r="CH178" s="187"/>
      <c r="CI178" s="195"/>
      <c r="CJ178" s="187"/>
      <c r="CK178" s="246"/>
      <c r="CL178" s="246"/>
      <c r="CM178" s="116"/>
      <c r="CN178" s="247"/>
      <c r="CO178" s="125"/>
      <c r="CP178" s="247"/>
      <c r="CQ178" s="116"/>
      <c r="CR178" s="116"/>
      <c r="CS178" s="116"/>
      <c r="CT178" s="247"/>
      <c r="CU178" s="125"/>
      <c r="CV178" s="247"/>
      <c r="CW178" s="116"/>
      <c r="CX178" s="116"/>
      <c r="CY178" s="116"/>
      <c r="CZ178" s="102"/>
      <c r="DA178" s="125"/>
      <c r="DB178" s="102"/>
      <c r="DC178" s="31"/>
      <c r="DD178" s="17"/>
      <c r="DE178" s="11"/>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
      <c r="EU178" s="11"/>
      <c r="EV178" s="11"/>
      <c r="EW178" s="11"/>
      <c r="EX178" s="11"/>
      <c r="EY178" s="11"/>
      <c r="EZ178" s="11"/>
      <c r="FA178" s="11"/>
      <c r="FB178" s="11"/>
      <c r="FC178" s="11"/>
      <c r="FD178" s="11"/>
      <c r="FE178" s="11"/>
      <c r="FF178" s="11"/>
      <c r="FG178" s="11"/>
      <c r="FH178" s="17">
        <f t="shared" si="52"/>
        <v>414553.16000000003</v>
      </c>
      <c r="FI178" s="31">
        <f t="shared" si="53"/>
        <v>1</v>
      </c>
      <c r="FJ178" s="68">
        <f t="shared" si="54"/>
        <v>414553.16000000003</v>
      </c>
    </row>
    <row r="179" spans="1:166" ht="25.5" x14ac:dyDescent="0.25">
      <c r="A179" s="248">
        <f>Distribución_Reactivos!A179</f>
        <v>177</v>
      </c>
      <c r="B179" s="248" t="str">
        <f>Distribución_Reactivos!B179</f>
        <v>Eosina CAS 17372-87-1</v>
      </c>
      <c r="C179" s="248" t="str">
        <f>Distribución_Reactivos!C179</f>
        <v>Merck</v>
      </c>
      <c r="D179" s="248" t="str">
        <f>Distribución_Reactivos!D179</f>
        <v>Frasco x 25 g</v>
      </c>
      <c r="E179" s="29">
        <v>1</v>
      </c>
      <c r="F179" s="212">
        <v>601783</v>
      </c>
      <c r="G179" s="214">
        <v>586670</v>
      </c>
      <c r="H179" s="221">
        <v>468918.43137999997</v>
      </c>
      <c r="I179" s="221">
        <v>468860</v>
      </c>
      <c r="J179" s="221">
        <v>588053.375</v>
      </c>
      <c r="K179" s="221">
        <v>455414</v>
      </c>
      <c r="L179" s="247">
        <f>AVERAGE(F179,H179,J179)</f>
        <v>552918.26879333332</v>
      </c>
      <c r="M179" s="247">
        <f>AVERAGE(G179,I179,K179)*E1</f>
        <v>518757.44</v>
      </c>
      <c r="N179" s="217"/>
      <c r="O179" s="97"/>
      <c r="P179" s="97"/>
      <c r="Q179" s="115"/>
      <c r="R179" s="115"/>
      <c r="S179" s="53"/>
      <c r="T179" s="97"/>
      <c r="U179" s="97"/>
      <c r="V179" s="97"/>
      <c r="W179" s="115"/>
      <c r="X179" s="115"/>
      <c r="Y179" s="11"/>
      <c r="Z179" s="97"/>
      <c r="AA179" s="97"/>
      <c r="AB179" s="97"/>
      <c r="AC179" s="44"/>
      <c r="AD179" s="44"/>
      <c r="AE179" s="11"/>
      <c r="AF179" s="102">
        <v>700000</v>
      </c>
      <c r="AG179" s="125">
        <f>AF179*19%</f>
        <v>133000</v>
      </c>
      <c r="AH179" s="97">
        <f>+AF179+AG179</f>
        <v>833000</v>
      </c>
      <c r="AI179" s="11"/>
      <c r="AJ179" s="11"/>
      <c r="AK179" s="17"/>
      <c r="AL179" s="97"/>
      <c r="AM179" s="97"/>
      <c r="AN179" s="127"/>
      <c r="AO179" s="248"/>
      <c r="AP179" s="17"/>
      <c r="AQ179" s="17"/>
      <c r="AR179" s="252">
        <v>1159200</v>
      </c>
      <c r="AS179" s="97">
        <f>+AR179*0.19</f>
        <v>220248</v>
      </c>
      <c r="AT179" s="103">
        <f>+AR179+AS179</f>
        <v>1379448</v>
      </c>
      <c r="AU179" s="52" t="s">
        <v>41</v>
      </c>
      <c r="AV179" s="52" t="s">
        <v>42</v>
      </c>
      <c r="AW179" s="30"/>
      <c r="AX179" s="100"/>
      <c r="AY179" s="100"/>
      <c r="AZ179" s="124"/>
      <c r="BA179" s="169"/>
      <c r="BB179" s="116"/>
      <c r="BC179" s="116"/>
      <c r="BD179" s="247"/>
      <c r="BE179" s="124"/>
      <c r="BF179" s="124"/>
      <c r="BG179" s="116"/>
      <c r="BH179" s="116"/>
      <c r="BI179" s="116"/>
      <c r="BJ179" s="124"/>
      <c r="BK179" s="124"/>
      <c r="BL179" s="124"/>
      <c r="BM179" s="116"/>
      <c r="BN179" s="116"/>
      <c r="BO179" s="116"/>
      <c r="BP179" s="124"/>
      <c r="BQ179" s="116"/>
      <c r="BR179" s="116"/>
      <c r="BS179" s="116"/>
      <c r="BT179" s="116"/>
      <c r="BU179" s="116"/>
      <c r="BV179" s="187"/>
      <c r="BW179" s="125"/>
      <c r="BX179" s="97"/>
      <c r="BY179" s="246"/>
      <c r="BZ179" s="246"/>
      <c r="CA179" s="116"/>
      <c r="CB179" s="247"/>
      <c r="CC179" s="125"/>
      <c r="CD179" s="247"/>
      <c r="CE179" s="116"/>
      <c r="CF179" s="116"/>
      <c r="CG179" s="34"/>
      <c r="CH179" s="187"/>
      <c r="CI179" s="195"/>
      <c r="CJ179" s="187"/>
      <c r="CK179" s="246"/>
      <c r="CL179" s="246"/>
      <c r="CM179" s="116"/>
      <c r="CN179" s="247"/>
      <c r="CO179" s="125"/>
      <c r="CP179" s="247"/>
      <c r="CQ179" s="116"/>
      <c r="CR179" s="116"/>
      <c r="CS179" s="116"/>
      <c r="CT179" s="247"/>
      <c r="CU179" s="125"/>
      <c r="CV179" s="247"/>
      <c r="CW179" s="116"/>
      <c r="CX179" s="116"/>
      <c r="CY179" s="116"/>
      <c r="CZ179" s="102"/>
      <c r="DA179" s="125"/>
      <c r="DB179" s="102"/>
      <c r="DC179" s="31"/>
      <c r="DD179" s="17"/>
      <c r="DE179" s="11"/>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
      <c r="EU179" s="11"/>
      <c r="EV179" s="11"/>
      <c r="EW179" s="11"/>
      <c r="EX179" s="11"/>
      <c r="EY179" s="11"/>
      <c r="EZ179" s="11"/>
      <c r="FA179" s="11"/>
      <c r="FB179" s="11"/>
      <c r="FC179" s="11"/>
      <c r="FD179" s="11"/>
      <c r="FE179" s="11"/>
      <c r="FF179" s="11"/>
      <c r="FG179" s="11"/>
      <c r="FH179" s="17">
        <f t="shared" si="52"/>
        <v>2731205.44</v>
      </c>
      <c r="FI179" s="31">
        <f t="shared" si="53"/>
        <v>3</v>
      </c>
      <c r="FJ179" s="68">
        <f t="shared" si="54"/>
        <v>910401.81333333335</v>
      </c>
    </row>
    <row r="180" spans="1:166" ht="25.5" x14ac:dyDescent="0.25">
      <c r="A180" s="248">
        <f>Distribución_Reactivos!A180</f>
        <v>178</v>
      </c>
      <c r="B180" s="248" t="str">
        <f>Distribución_Reactivos!B180</f>
        <v>Eosina Y</v>
      </c>
      <c r="C180" s="248" t="str">
        <f>Distribución_Reactivos!C180</f>
        <v>Sigma Aldrich / Merck / JT Baker</v>
      </c>
      <c r="D180" s="248" t="str">
        <f>Distribución_Reactivos!D180</f>
        <v>Frasco x 25 g</v>
      </c>
      <c r="E180" s="29">
        <v>1</v>
      </c>
      <c r="F180" s="212">
        <v>0</v>
      </c>
      <c r="G180" s="214">
        <v>0</v>
      </c>
      <c r="H180" s="221">
        <v>432559.875</v>
      </c>
      <c r="I180" s="221">
        <v>0</v>
      </c>
      <c r="J180" s="221">
        <v>744262.29499999993</v>
      </c>
      <c r="K180" s="221">
        <v>0</v>
      </c>
      <c r="L180" s="247">
        <f>AVERAGE(H180,J180)</f>
        <v>588411.08499999996</v>
      </c>
      <c r="M180" s="247"/>
      <c r="N180" s="217"/>
      <c r="O180" s="97"/>
      <c r="P180" s="97"/>
      <c r="Q180" s="115"/>
      <c r="R180" s="115"/>
      <c r="S180" s="53"/>
      <c r="T180" s="97"/>
      <c r="U180" s="97"/>
      <c r="V180" s="97"/>
      <c r="W180" s="115"/>
      <c r="X180" s="115"/>
      <c r="Y180" s="11"/>
      <c r="Z180" s="97"/>
      <c r="AA180" s="97"/>
      <c r="AB180" s="97"/>
      <c r="AC180" s="44"/>
      <c r="AD180" s="44"/>
      <c r="AE180" s="11"/>
      <c r="AF180" s="102"/>
      <c r="AG180" s="125"/>
      <c r="AH180" s="97"/>
      <c r="AI180" s="11"/>
      <c r="AJ180" s="11"/>
      <c r="AK180" s="17"/>
      <c r="AL180" s="97">
        <v>398000</v>
      </c>
      <c r="AM180" s="97">
        <f>+AL180*0.19</f>
        <v>75620</v>
      </c>
      <c r="AN180" s="103">
        <f>+AL180+AM180</f>
        <v>473620</v>
      </c>
      <c r="AO180" s="248" t="s">
        <v>286</v>
      </c>
      <c r="AP180" s="17" t="s">
        <v>52</v>
      </c>
      <c r="AQ180" s="17"/>
      <c r="AR180" s="252">
        <v>1159200</v>
      </c>
      <c r="AS180" s="97">
        <f>+AR180*0.19</f>
        <v>220248</v>
      </c>
      <c r="AT180" s="103">
        <f>+AR180+AS180</f>
        <v>1379448</v>
      </c>
      <c r="AU180" s="52" t="s">
        <v>41</v>
      </c>
      <c r="AV180" s="52" t="s">
        <v>42</v>
      </c>
      <c r="AW180" s="30"/>
      <c r="AX180" s="100"/>
      <c r="AY180" s="174"/>
      <c r="AZ180" s="124"/>
      <c r="BA180" s="169"/>
      <c r="BB180" s="116"/>
      <c r="BC180" s="116"/>
      <c r="BD180" s="247"/>
      <c r="BE180" s="124"/>
      <c r="BF180" s="124"/>
      <c r="BG180" s="116"/>
      <c r="BH180" s="116"/>
      <c r="BI180" s="116"/>
      <c r="BJ180" s="124"/>
      <c r="BK180" s="124"/>
      <c r="BL180" s="124"/>
      <c r="BM180" s="116"/>
      <c r="BN180" s="116"/>
      <c r="BO180" s="116"/>
      <c r="BP180" s="124"/>
      <c r="BQ180" s="116"/>
      <c r="BR180" s="116"/>
      <c r="BS180" s="116"/>
      <c r="BT180" s="116"/>
      <c r="BU180" s="116"/>
      <c r="BV180" s="187"/>
      <c r="BW180" s="125"/>
      <c r="BX180" s="97"/>
      <c r="BY180" s="246"/>
      <c r="BZ180" s="246"/>
      <c r="CA180" s="116"/>
      <c r="CB180" s="247"/>
      <c r="CC180" s="125"/>
      <c r="CD180" s="247"/>
      <c r="CE180" s="116"/>
      <c r="CF180" s="116"/>
      <c r="CG180" s="34"/>
      <c r="CH180" s="187"/>
      <c r="CI180" s="195"/>
      <c r="CJ180" s="187"/>
      <c r="CK180" s="246"/>
      <c r="CL180" s="246"/>
      <c r="CM180" s="116"/>
      <c r="CN180" s="247"/>
      <c r="CO180" s="125"/>
      <c r="CP180" s="247"/>
      <c r="CQ180" s="116"/>
      <c r="CR180" s="116"/>
      <c r="CS180" s="116"/>
      <c r="CT180" s="247"/>
      <c r="CU180" s="125"/>
      <c r="CV180" s="247"/>
      <c r="CW180" s="116"/>
      <c r="CX180" s="116"/>
      <c r="CY180" s="116"/>
      <c r="CZ180" s="102"/>
      <c r="DA180" s="125"/>
      <c r="DB180" s="102"/>
      <c r="DC180" s="31"/>
      <c r="DD180" s="17"/>
      <c r="DE180" s="11"/>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
      <c r="EU180" s="11"/>
      <c r="EV180" s="11"/>
      <c r="EW180" s="11"/>
      <c r="EX180" s="11"/>
      <c r="EY180" s="11"/>
      <c r="EZ180" s="11"/>
      <c r="FA180" s="11"/>
      <c r="FB180" s="11"/>
      <c r="FC180" s="11"/>
      <c r="FD180" s="11"/>
      <c r="FE180" s="11"/>
      <c r="FF180" s="11"/>
      <c r="FG180" s="11"/>
      <c r="FH180" s="17">
        <f t="shared" ref="FH180:FH233" si="64">SUM(M180,P180,V180,AB180,AH180,AN180,AT180,AZ180,BF180,BL180,BR180,BX180,CD180,CJ180,CP180,CV180,DB180,DH180,DN180,DT180,DZ180,EF180,EL180,ER180,EX180,FD180)</f>
        <v>1853068</v>
      </c>
      <c r="FI180" s="31">
        <f t="shared" ref="FI180:FI233" si="65">COUNTA(M180,N180,T180,Z180,AF180,AL180,AR180,AX180,BD180,BJ180,BP180,BV180,CB180,CH180,CN180,CT180,CZ180,DF180,DL180,DR180,DX180,ED180,EJ180,EP180,EV180,FB180)</f>
        <v>2</v>
      </c>
      <c r="FJ180" s="68">
        <f t="shared" ref="FJ180:FJ233" si="66">IFERROR(FH180/FI180," ")</f>
        <v>926534</v>
      </c>
    </row>
    <row r="181" spans="1:166" ht="25.5" x14ac:dyDescent="0.25">
      <c r="A181" s="248">
        <f>Distribución_Reactivos!A181</f>
        <v>179</v>
      </c>
      <c r="B181" s="248" t="str">
        <f>Distribución_Reactivos!B181</f>
        <v>Escala de Mac Farland Completa</v>
      </c>
      <c r="C181" s="248" t="str">
        <f>Distribución_Reactivos!C181</f>
        <v>Cualquier marca</v>
      </c>
      <c r="D181" s="248" t="str">
        <f>Distribución_Reactivos!D181</f>
        <v>Tubos escala 0,5 a 10</v>
      </c>
      <c r="E181" s="29">
        <v>1</v>
      </c>
      <c r="F181" s="212">
        <v>972914.25</v>
      </c>
      <c r="G181" s="214">
        <v>972825</v>
      </c>
      <c r="H181" s="221">
        <v>1781278.4029249998</v>
      </c>
      <c r="I181" s="221">
        <v>0</v>
      </c>
      <c r="J181" s="221">
        <v>1329453.125</v>
      </c>
      <c r="K181" s="221">
        <v>0</v>
      </c>
      <c r="L181" s="247">
        <f>AVERAGE(F181,H181,J181)</f>
        <v>1361215.2593083333</v>
      </c>
      <c r="M181" s="247">
        <f>G181*E1</f>
        <v>1002009.75</v>
      </c>
      <c r="N181" s="217"/>
      <c r="O181" s="97"/>
      <c r="P181" s="97"/>
      <c r="Q181" s="115"/>
      <c r="R181" s="115"/>
      <c r="S181" s="53"/>
      <c r="T181" s="97"/>
      <c r="U181" s="97"/>
      <c r="V181" s="97"/>
      <c r="W181" s="115"/>
      <c r="X181" s="115"/>
      <c r="Y181" s="11"/>
      <c r="Z181" s="97"/>
      <c r="AA181" s="97"/>
      <c r="AB181" s="97"/>
      <c r="AC181" s="44"/>
      <c r="AD181" s="44"/>
      <c r="AE181" s="11"/>
      <c r="AF181" s="102"/>
      <c r="AG181" s="125"/>
      <c r="AH181" s="97"/>
      <c r="AI181" s="11"/>
      <c r="AJ181" s="11"/>
      <c r="AK181" s="17"/>
      <c r="AL181" s="97"/>
      <c r="AM181" s="97"/>
      <c r="AN181" s="101"/>
      <c r="AO181" s="248"/>
      <c r="AP181" s="17"/>
      <c r="AQ181" s="17"/>
      <c r="AR181" s="252"/>
      <c r="AS181" s="136"/>
      <c r="AT181" s="137"/>
      <c r="AU181" s="52"/>
      <c r="AV181" s="52"/>
      <c r="AW181" s="30"/>
      <c r="AX181" s="100"/>
      <c r="AY181" s="174"/>
      <c r="AZ181" s="124"/>
      <c r="BA181" s="169"/>
      <c r="BB181" s="116"/>
      <c r="BC181" s="116"/>
      <c r="BD181" s="247"/>
      <c r="BE181" s="124"/>
      <c r="BF181" s="124"/>
      <c r="BG181" s="116"/>
      <c r="BH181" s="116"/>
      <c r="BI181" s="116"/>
      <c r="BJ181" s="124"/>
      <c r="BK181" s="124"/>
      <c r="BL181" s="124"/>
      <c r="BM181" s="116"/>
      <c r="BN181" s="116"/>
      <c r="BO181" s="116"/>
      <c r="BP181" s="124"/>
      <c r="BQ181" s="116"/>
      <c r="BR181" s="116"/>
      <c r="BS181" s="116"/>
      <c r="BT181" s="116"/>
      <c r="BU181" s="116"/>
      <c r="BV181" s="187"/>
      <c r="BW181" s="125"/>
      <c r="BX181" s="97"/>
      <c r="BY181" s="246"/>
      <c r="BZ181" s="246"/>
      <c r="CA181" s="116"/>
      <c r="CB181" s="247"/>
      <c r="CC181" s="125"/>
      <c r="CD181" s="247"/>
      <c r="CE181" s="116"/>
      <c r="CF181" s="116"/>
      <c r="CG181" s="34"/>
      <c r="CH181" s="187"/>
      <c r="CI181" s="195"/>
      <c r="CJ181" s="187"/>
      <c r="CK181" s="246"/>
      <c r="CL181" s="246"/>
      <c r="CM181" s="116"/>
      <c r="CN181" s="247"/>
      <c r="CO181" s="125"/>
      <c r="CP181" s="247"/>
      <c r="CQ181" s="116"/>
      <c r="CR181" s="116"/>
      <c r="CS181" s="116"/>
      <c r="CT181" s="247"/>
      <c r="CU181" s="125"/>
      <c r="CV181" s="247"/>
      <c r="CW181" s="116"/>
      <c r="CX181" s="116"/>
      <c r="CY181" s="116"/>
      <c r="CZ181" s="102"/>
      <c r="DA181" s="125"/>
      <c r="DB181" s="102"/>
      <c r="DC181" s="31"/>
      <c r="DD181" s="17"/>
      <c r="DE181" s="11"/>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
      <c r="EU181" s="11"/>
      <c r="EV181" s="11"/>
      <c r="EW181" s="11"/>
      <c r="EX181" s="11"/>
      <c r="EY181" s="11"/>
      <c r="EZ181" s="11"/>
      <c r="FA181" s="11"/>
      <c r="FB181" s="11"/>
      <c r="FC181" s="11"/>
      <c r="FD181" s="11"/>
      <c r="FE181" s="11"/>
      <c r="FF181" s="11"/>
      <c r="FG181" s="11"/>
      <c r="FH181" s="17">
        <f t="shared" si="64"/>
        <v>1002009.75</v>
      </c>
      <c r="FI181" s="31">
        <f t="shared" si="65"/>
        <v>1</v>
      </c>
      <c r="FJ181" s="68">
        <f t="shared" si="66"/>
        <v>1002009.75</v>
      </c>
    </row>
    <row r="182" spans="1:166" x14ac:dyDescent="0.25">
      <c r="A182" s="248">
        <f>Distribución_Reactivos!A182</f>
        <v>180</v>
      </c>
      <c r="B182" s="248" t="str">
        <f>Distribución_Reactivos!B182</f>
        <v>Esmalte Transparente para Uñas</v>
      </c>
      <c r="C182" s="248" t="str">
        <f>Distribución_Reactivos!C182</f>
        <v>Checo</v>
      </c>
      <c r="D182" s="248" t="str">
        <f>Distribución_Reactivos!D182</f>
        <v>Unidad</v>
      </c>
      <c r="E182" s="29">
        <v>1</v>
      </c>
      <c r="F182" s="212">
        <v>0</v>
      </c>
      <c r="G182" s="214">
        <v>0</v>
      </c>
      <c r="H182" s="221">
        <v>22610</v>
      </c>
      <c r="I182" s="221">
        <v>0</v>
      </c>
      <c r="J182" s="221">
        <v>19516</v>
      </c>
      <c r="K182" s="221">
        <v>0</v>
      </c>
      <c r="L182" s="247">
        <f>AVERAGE(H182,J182)</f>
        <v>21063</v>
      </c>
      <c r="M182" s="247"/>
      <c r="N182" s="217"/>
      <c r="O182" s="97"/>
      <c r="P182" s="97"/>
      <c r="Q182" s="115"/>
      <c r="R182" s="115"/>
      <c r="S182" s="53"/>
      <c r="T182" s="97"/>
      <c r="U182" s="97"/>
      <c r="V182" s="97"/>
      <c r="W182" s="115"/>
      <c r="X182" s="115"/>
      <c r="Y182" s="11"/>
      <c r="Z182" s="97"/>
      <c r="AA182" s="97"/>
      <c r="AB182" s="97"/>
      <c r="AC182" s="44"/>
      <c r="AD182" s="44"/>
      <c r="AE182" s="250"/>
      <c r="AF182" s="102">
        <v>10000</v>
      </c>
      <c r="AG182" s="125">
        <f>AF182*19%</f>
        <v>1900</v>
      </c>
      <c r="AH182" s="97">
        <f>+AF182+AG182</f>
        <v>11900</v>
      </c>
      <c r="AI182" s="11"/>
      <c r="AJ182" s="11"/>
      <c r="AK182" s="17"/>
      <c r="AL182" s="97"/>
      <c r="AM182" s="97"/>
      <c r="AN182" s="101"/>
      <c r="AO182" s="248"/>
      <c r="AP182" s="17"/>
      <c r="AQ182" s="17"/>
      <c r="AR182" s="252"/>
      <c r="AS182" s="136"/>
      <c r="AT182" s="137"/>
      <c r="AU182" s="52"/>
      <c r="AV182" s="52"/>
      <c r="AW182" s="30"/>
      <c r="AX182" s="100"/>
      <c r="AY182" s="100"/>
      <c r="AZ182" s="124"/>
      <c r="BA182" s="169"/>
      <c r="BB182" s="116"/>
      <c r="BC182" s="116"/>
      <c r="BD182" s="247"/>
      <c r="BE182" s="124"/>
      <c r="BF182" s="124"/>
      <c r="BG182" s="116"/>
      <c r="BH182" s="116"/>
      <c r="BI182" s="116"/>
      <c r="BJ182" s="124"/>
      <c r="BK182" s="124"/>
      <c r="BL182" s="124"/>
      <c r="BM182" s="116"/>
      <c r="BN182" s="116"/>
      <c r="BO182" s="116"/>
      <c r="BP182" s="124"/>
      <c r="BQ182" s="116"/>
      <c r="BR182" s="116"/>
      <c r="BS182" s="116"/>
      <c r="BT182" s="116"/>
      <c r="BU182" s="116"/>
      <c r="BV182" s="187"/>
      <c r="BW182" s="125"/>
      <c r="BX182" s="97"/>
      <c r="BY182" s="246"/>
      <c r="BZ182" s="246"/>
      <c r="CA182" s="116"/>
      <c r="CB182" s="247"/>
      <c r="CC182" s="125"/>
      <c r="CD182" s="247"/>
      <c r="CE182" s="116"/>
      <c r="CF182" s="116"/>
      <c r="CG182" s="34"/>
      <c r="CH182" s="187"/>
      <c r="CI182" s="195"/>
      <c r="CJ182" s="187"/>
      <c r="CK182" s="246"/>
      <c r="CL182" s="246"/>
      <c r="CM182" s="116"/>
      <c r="CN182" s="247"/>
      <c r="CO182" s="125"/>
      <c r="CP182" s="247"/>
      <c r="CQ182" s="116"/>
      <c r="CR182" s="116"/>
      <c r="CS182" s="116"/>
      <c r="CT182" s="247"/>
      <c r="CU182" s="125"/>
      <c r="CV182" s="247"/>
      <c r="CW182" s="116"/>
      <c r="CX182" s="116"/>
      <c r="CY182" s="116"/>
      <c r="CZ182" s="102"/>
      <c r="DA182" s="125"/>
      <c r="DB182" s="102"/>
      <c r="DC182" s="31"/>
      <c r="DD182" s="17"/>
      <c r="DE182" s="11"/>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
      <c r="EU182" s="11"/>
      <c r="EV182" s="11"/>
      <c r="EW182" s="11"/>
      <c r="EX182" s="11"/>
      <c r="EY182" s="11"/>
      <c r="EZ182" s="11"/>
      <c r="FA182" s="11"/>
      <c r="FB182" s="11"/>
      <c r="FC182" s="11"/>
      <c r="FD182" s="11"/>
      <c r="FE182" s="11"/>
      <c r="FF182" s="11"/>
      <c r="FG182" s="11"/>
      <c r="FH182" s="17">
        <f t="shared" si="64"/>
        <v>11900</v>
      </c>
      <c r="FI182" s="31">
        <f t="shared" si="65"/>
        <v>1</v>
      </c>
      <c r="FJ182" s="68">
        <f t="shared" si="66"/>
        <v>11900</v>
      </c>
    </row>
    <row r="183" spans="1:166" ht="51" x14ac:dyDescent="0.25">
      <c r="A183" s="248">
        <f>Distribución_Reactivos!A183</f>
        <v>181</v>
      </c>
      <c r="B183" s="248" t="str">
        <f>Distribución_Reactivos!B183</f>
        <v>Estándar de  2-NP-AHD trazable, con certificado con método de análisis e incertidumbre, vigencia no menor a Diciembre de 2022</v>
      </c>
      <c r="C183" s="248" t="str">
        <f>Distribución_Reactivos!C183</f>
        <v>Dr Ehrenstorfer C15654450 o equivalente</v>
      </c>
      <c r="D183" s="248" t="str">
        <f>Distribución_Reactivos!D183</f>
        <v>Frasco x 10 mg</v>
      </c>
      <c r="E183" s="29">
        <v>1</v>
      </c>
      <c r="F183" s="212">
        <v>0</v>
      </c>
      <c r="G183" s="214">
        <v>0</v>
      </c>
      <c r="H183" s="221">
        <v>0</v>
      </c>
      <c r="I183" s="221">
        <v>0</v>
      </c>
      <c r="J183" s="221">
        <v>0</v>
      </c>
      <c r="K183" s="221">
        <v>0</v>
      </c>
      <c r="L183" s="247"/>
      <c r="M183" s="247"/>
      <c r="N183" s="217"/>
      <c r="O183" s="97"/>
      <c r="P183" s="97"/>
      <c r="Q183" s="115"/>
      <c r="R183" s="115"/>
      <c r="S183" s="53"/>
      <c r="T183" s="97"/>
      <c r="U183" s="97"/>
      <c r="V183" s="97"/>
      <c r="W183" s="115"/>
      <c r="X183" s="115"/>
      <c r="Y183" s="11"/>
      <c r="Z183" s="97"/>
      <c r="AA183" s="97"/>
      <c r="AB183" s="97"/>
      <c r="AC183" s="44"/>
      <c r="AD183" s="44"/>
      <c r="AE183" s="250"/>
      <c r="AF183" s="102"/>
      <c r="AG183" s="125"/>
      <c r="AH183" s="97"/>
      <c r="AI183" s="11"/>
      <c r="AJ183" s="11"/>
      <c r="AK183" s="17"/>
      <c r="AL183" s="97"/>
      <c r="AM183" s="97"/>
      <c r="AN183" s="101"/>
      <c r="AO183" s="248"/>
      <c r="AP183" s="17"/>
      <c r="AQ183" s="17"/>
      <c r="AR183" s="252">
        <v>964800</v>
      </c>
      <c r="AS183" s="97">
        <f t="shared" ref="AS183:AS188" si="67">+AR183*0.19</f>
        <v>183312</v>
      </c>
      <c r="AT183" s="103">
        <f t="shared" ref="AT183:AT188" si="68">+AR183+AS183</f>
        <v>1148112</v>
      </c>
      <c r="AU183" s="52" t="s">
        <v>287</v>
      </c>
      <c r="AV183" s="52" t="s">
        <v>42</v>
      </c>
      <c r="AW183" s="30"/>
      <c r="AX183" s="100"/>
      <c r="AY183" s="100"/>
      <c r="AZ183" s="124"/>
      <c r="BA183" s="169"/>
      <c r="BB183" s="116"/>
      <c r="BC183" s="116"/>
      <c r="BD183" s="247"/>
      <c r="BE183" s="124"/>
      <c r="BF183" s="124"/>
      <c r="BG183" s="116"/>
      <c r="BH183" s="116"/>
      <c r="BI183" s="116"/>
      <c r="BJ183" s="124"/>
      <c r="BK183" s="124"/>
      <c r="BL183" s="124"/>
      <c r="BM183" s="116"/>
      <c r="BN183" s="116"/>
      <c r="BO183" s="116"/>
      <c r="BP183" s="124"/>
      <c r="BQ183" s="116"/>
      <c r="BR183" s="116"/>
      <c r="BS183" s="116"/>
      <c r="BT183" s="116"/>
      <c r="BU183" s="116"/>
      <c r="BV183" s="187"/>
      <c r="BW183" s="125"/>
      <c r="BX183" s="97"/>
      <c r="BY183" s="246"/>
      <c r="BZ183" s="246"/>
      <c r="CA183" s="116"/>
      <c r="CB183" s="247"/>
      <c r="CC183" s="125"/>
      <c r="CD183" s="247"/>
      <c r="CE183" s="116"/>
      <c r="CF183" s="116"/>
      <c r="CG183" s="34"/>
      <c r="CH183" s="187"/>
      <c r="CI183" s="195"/>
      <c r="CJ183" s="187"/>
      <c r="CK183" s="246"/>
      <c r="CL183" s="246"/>
      <c r="CM183" s="116"/>
      <c r="CN183" s="247"/>
      <c r="CO183" s="125"/>
      <c r="CP183" s="247"/>
      <c r="CQ183" s="116"/>
      <c r="CR183" s="116"/>
      <c r="CS183" s="116"/>
      <c r="CT183" s="125">
        <v>1050000</v>
      </c>
      <c r="CU183" s="125">
        <f t="shared" ref="CU183:CU189" si="69">CT183*0.19</f>
        <v>199500</v>
      </c>
      <c r="CV183" s="125">
        <f t="shared" ref="CV183:CV216" si="70">CU183+CT183</f>
        <v>1249500</v>
      </c>
      <c r="CW183" s="116"/>
      <c r="CX183" s="116"/>
      <c r="CY183" s="116"/>
      <c r="CZ183" s="102"/>
      <c r="DA183" s="125"/>
      <c r="DB183" s="102"/>
      <c r="DC183" s="31"/>
      <c r="DD183" s="17"/>
      <c r="DE183" s="11"/>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
      <c r="EU183" s="11"/>
      <c r="EV183" s="11"/>
      <c r="EW183" s="11"/>
      <c r="EX183" s="11"/>
      <c r="EY183" s="11"/>
      <c r="EZ183" s="11"/>
      <c r="FA183" s="11"/>
      <c r="FB183" s="11"/>
      <c r="FC183" s="11"/>
      <c r="FD183" s="11"/>
      <c r="FE183" s="11"/>
      <c r="FF183" s="11"/>
      <c r="FG183" s="11"/>
      <c r="FH183" s="17">
        <f t="shared" si="64"/>
        <v>2397612</v>
      </c>
      <c r="FI183" s="31">
        <f t="shared" si="65"/>
        <v>2</v>
      </c>
      <c r="FJ183" s="68">
        <f t="shared" si="66"/>
        <v>1198806</v>
      </c>
    </row>
    <row r="184" spans="1:166" ht="51" x14ac:dyDescent="0.25">
      <c r="A184" s="248">
        <f>Distribución_Reactivos!A184</f>
        <v>182</v>
      </c>
      <c r="B184" s="248" t="str">
        <f>Distribución_Reactivos!B184</f>
        <v>Estándar de  2-NP-AMOZ trazable, con certificado con método de análisis e incertidumbre, vigencia no menor a Diciembre de 2022</v>
      </c>
      <c r="C184" s="248" t="str">
        <f>Distribución_Reactivos!C184</f>
        <v>Dr Ehrenstorfer C15654480 o equivalente</v>
      </c>
      <c r="D184" s="248" t="str">
        <f>Distribución_Reactivos!D184</f>
        <v>Frasco x 10 mg</v>
      </c>
      <c r="E184" s="29">
        <v>1</v>
      </c>
      <c r="F184" s="212">
        <v>0</v>
      </c>
      <c r="G184" s="214">
        <v>0</v>
      </c>
      <c r="H184" s="221">
        <v>0</v>
      </c>
      <c r="I184" s="221">
        <v>0</v>
      </c>
      <c r="J184" s="221">
        <v>0</v>
      </c>
      <c r="K184" s="221">
        <v>0</v>
      </c>
      <c r="L184" s="247"/>
      <c r="M184" s="247"/>
      <c r="N184" s="217"/>
      <c r="O184" s="97"/>
      <c r="P184" s="97"/>
      <c r="Q184" s="115"/>
      <c r="R184" s="115"/>
      <c r="S184" s="53"/>
      <c r="T184" s="97"/>
      <c r="U184" s="97"/>
      <c r="V184" s="97"/>
      <c r="W184" s="115"/>
      <c r="X184" s="115"/>
      <c r="Y184" s="11"/>
      <c r="Z184" s="97"/>
      <c r="AA184" s="97"/>
      <c r="AB184" s="97"/>
      <c r="AC184" s="44"/>
      <c r="AD184" s="44"/>
      <c r="AE184" s="11"/>
      <c r="AF184" s="102"/>
      <c r="AG184" s="125"/>
      <c r="AH184" s="97"/>
      <c r="AI184" s="11"/>
      <c r="AJ184" s="11"/>
      <c r="AK184" s="17"/>
      <c r="AL184" s="97"/>
      <c r="AM184" s="97"/>
      <c r="AN184" s="101"/>
      <c r="AO184" s="248"/>
      <c r="AP184" s="17"/>
      <c r="AQ184" s="17"/>
      <c r="AR184" s="252">
        <v>921600</v>
      </c>
      <c r="AS184" s="97">
        <f t="shared" si="67"/>
        <v>175104</v>
      </c>
      <c r="AT184" s="103">
        <f t="shared" si="68"/>
        <v>1096704</v>
      </c>
      <c r="AU184" s="52" t="s">
        <v>287</v>
      </c>
      <c r="AV184" s="52" t="s">
        <v>42</v>
      </c>
      <c r="AW184" s="30"/>
      <c r="AX184" s="100"/>
      <c r="AY184" s="100"/>
      <c r="AZ184" s="124"/>
      <c r="BA184" s="169"/>
      <c r="BB184" s="116"/>
      <c r="BC184" s="116"/>
      <c r="BD184" s="247"/>
      <c r="BE184" s="124"/>
      <c r="BF184" s="124"/>
      <c r="BG184" s="116"/>
      <c r="BH184" s="116"/>
      <c r="BI184" s="116"/>
      <c r="BJ184" s="124"/>
      <c r="BK184" s="124"/>
      <c r="BL184" s="124"/>
      <c r="BM184" s="116"/>
      <c r="BN184" s="116"/>
      <c r="BO184" s="116"/>
      <c r="BP184" s="124"/>
      <c r="BQ184" s="116"/>
      <c r="BR184" s="116"/>
      <c r="BS184" s="116"/>
      <c r="BT184" s="116"/>
      <c r="BU184" s="116"/>
      <c r="BV184" s="187"/>
      <c r="BW184" s="125"/>
      <c r="BX184" s="97"/>
      <c r="BY184" s="246"/>
      <c r="BZ184" s="246"/>
      <c r="CA184" s="116"/>
      <c r="CB184" s="247"/>
      <c r="CC184" s="125"/>
      <c r="CD184" s="247"/>
      <c r="CE184" s="116"/>
      <c r="CF184" s="116"/>
      <c r="CG184" s="34"/>
      <c r="CH184" s="187"/>
      <c r="CI184" s="195"/>
      <c r="CJ184" s="187"/>
      <c r="CK184" s="246"/>
      <c r="CL184" s="246"/>
      <c r="CM184" s="116"/>
      <c r="CN184" s="247"/>
      <c r="CO184" s="125"/>
      <c r="CP184" s="247"/>
      <c r="CQ184" s="116"/>
      <c r="CR184" s="116"/>
      <c r="CS184" s="116"/>
      <c r="CT184" s="125">
        <v>995520</v>
      </c>
      <c r="CU184" s="125">
        <f t="shared" si="69"/>
        <v>189148.79999999999</v>
      </c>
      <c r="CV184" s="125">
        <f t="shared" si="70"/>
        <v>1184668.8</v>
      </c>
      <c r="CW184" s="116"/>
      <c r="CX184" s="116"/>
      <c r="CY184" s="116"/>
      <c r="CZ184" s="102"/>
      <c r="DA184" s="125"/>
      <c r="DB184" s="102"/>
      <c r="DC184" s="31"/>
      <c r="DD184" s="17"/>
      <c r="DE184" s="11"/>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
      <c r="EU184" s="11"/>
      <c r="EV184" s="11"/>
      <c r="EW184" s="11"/>
      <c r="EX184" s="11"/>
      <c r="EY184" s="11"/>
      <c r="EZ184" s="11"/>
      <c r="FA184" s="11"/>
      <c r="FB184" s="11"/>
      <c r="FC184" s="11"/>
      <c r="FD184" s="11"/>
      <c r="FE184" s="11"/>
      <c r="FF184" s="11"/>
      <c r="FG184" s="11"/>
      <c r="FH184" s="17">
        <f t="shared" si="64"/>
        <v>2281372.7999999998</v>
      </c>
      <c r="FI184" s="31">
        <f t="shared" si="65"/>
        <v>2</v>
      </c>
      <c r="FJ184" s="68">
        <f t="shared" si="66"/>
        <v>1140686.3999999999</v>
      </c>
    </row>
    <row r="185" spans="1:166" ht="51" x14ac:dyDescent="0.25">
      <c r="A185" s="248">
        <f>Distribución_Reactivos!A185</f>
        <v>183</v>
      </c>
      <c r="B185" s="248" t="str">
        <f>Distribución_Reactivos!B185</f>
        <v>Estándar de  2-NP-AOZ trazable, con certificado con método de análisis e incertidumbre, vigencia no menor a Diciembre de 2022</v>
      </c>
      <c r="C185" s="248" t="str">
        <f>Distribución_Reactivos!C185</f>
        <v>Dr Ehrenstorfer C15654500 o equivalente</v>
      </c>
      <c r="D185" s="248" t="str">
        <f>Distribución_Reactivos!D185</f>
        <v>Frasco x 10 mg</v>
      </c>
      <c r="E185" s="29">
        <v>1</v>
      </c>
      <c r="F185" s="212">
        <v>0</v>
      </c>
      <c r="G185" s="214">
        <v>0</v>
      </c>
      <c r="H185" s="221">
        <v>0</v>
      </c>
      <c r="I185" s="221">
        <v>0</v>
      </c>
      <c r="J185" s="221">
        <v>0</v>
      </c>
      <c r="K185" s="221">
        <v>0</v>
      </c>
      <c r="L185" s="247"/>
      <c r="M185" s="247"/>
      <c r="N185" s="217"/>
      <c r="O185" s="97"/>
      <c r="P185" s="97"/>
      <c r="Q185" s="115"/>
      <c r="R185" s="115"/>
      <c r="S185" s="53"/>
      <c r="T185" s="97"/>
      <c r="U185" s="97"/>
      <c r="V185" s="97"/>
      <c r="W185" s="115"/>
      <c r="X185" s="115"/>
      <c r="Y185" s="11"/>
      <c r="Z185" s="97"/>
      <c r="AA185" s="97"/>
      <c r="AB185" s="97"/>
      <c r="AC185" s="44"/>
      <c r="AD185" s="44"/>
      <c r="AE185" s="11"/>
      <c r="AF185" s="102"/>
      <c r="AG185" s="125"/>
      <c r="AH185" s="97"/>
      <c r="AI185" s="11"/>
      <c r="AJ185" s="11"/>
      <c r="AK185" s="17"/>
      <c r="AL185" s="97"/>
      <c r="AM185" s="97"/>
      <c r="AN185" s="101"/>
      <c r="AO185" s="248"/>
      <c r="AP185" s="17"/>
      <c r="AQ185" s="17"/>
      <c r="AR185" s="252">
        <v>864000</v>
      </c>
      <c r="AS185" s="97">
        <f t="shared" si="67"/>
        <v>164160</v>
      </c>
      <c r="AT185" s="103">
        <f t="shared" si="68"/>
        <v>1028160</v>
      </c>
      <c r="AU185" s="52" t="s">
        <v>287</v>
      </c>
      <c r="AV185" s="52" t="s">
        <v>42</v>
      </c>
      <c r="AW185" s="30"/>
      <c r="AX185" s="100"/>
      <c r="AY185" s="100"/>
      <c r="AZ185" s="124"/>
      <c r="BA185" s="169"/>
      <c r="BB185" s="116"/>
      <c r="BC185" s="116"/>
      <c r="BD185" s="247"/>
      <c r="BE185" s="124"/>
      <c r="BF185" s="124"/>
      <c r="BG185" s="116"/>
      <c r="BH185" s="116"/>
      <c r="BI185" s="116"/>
      <c r="BJ185" s="124"/>
      <c r="BK185" s="124"/>
      <c r="BL185" s="124"/>
      <c r="BM185" s="116"/>
      <c r="BN185" s="116"/>
      <c r="BO185" s="116"/>
      <c r="BP185" s="124"/>
      <c r="BQ185" s="116"/>
      <c r="BR185" s="116"/>
      <c r="BS185" s="116"/>
      <c r="BT185" s="116"/>
      <c r="BU185" s="116"/>
      <c r="BV185" s="187"/>
      <c r="BW185" s="125"/>
      <c r="BX185" s="97"/>
      <c r="BY185" s="246"/>
      <c r="BZ185" s="246"/>
      <c r="CA185" s="116"/>
      <c r="CB185" s="247"/>
      <c r="CC185" s="125"/>
      <c r="CD185" s="247"/>
      <c r="CE185" s="116"/>
      <c r="CF185" s="116"/>
      <c r="CG185" s="34"/>
      <c r="CH185" s="187"/>
      <c r="CI185" s="195"/>
      <c r="CJ185" s="187"/>
      <c r="CK185" s="246"/>
      <c r="CL185" s="246"/>
      <c r="CM185" s="116"/>
      <c r="CN185" s="247"/>
      <c r="CO185" s="125"/>
      <c r="CP185" s="247"/>
      <c r="CQ185" s="116"/>
      <c r="CR185" s="116"/>
      <c r="CS185" s="116"/>
      <c r="CT185" s="125">
        <v>995520</v>
      </c>
      <c r="CU185" s="125">
        <f t="shared" si="69"/>
        <v>189148.79999999999</v>
      </c>
      <c r="CV185" s="125">
        <f t="shared" si="70"/>
        <v>1184668.8</v>
      </c>
      <c r="CW185" s="116"/>
      <c r="CX185" s="116"/>
      <c r="CY185" s="116"/>
      <c r="CZ185" s="102"/>
      <c r="DA185" s="125"/>
      <c r="DB185" s="102"/>
      <c r="DC185" s="31"/>
      <c r="DD185" s="17"/>
      <c r="DE185" s="11"/>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
      <c r="EU185" s="11"/>
      <c r="EV185" s="11"/>
      <c r="EW185" s="11"/>
      <c r="EX185" s="11"/>
      <c r="EY185" s="11"/>
      <c r="EZ185" s="11"/>
      <c r="FA185" s="11"/>
      <c r="FB185" s="11"/>
      <c r="FC185" s="11"/>
      <c r="FD185" s="11"/>
      <c r="FE185" s="11"/>
      <c r="FF185" s="11"/>
      <c r="FG185" s="11"/>
      <c r="FH185" s="17">
        <f t="shared" si="64"/>
        <v>2212828.7999999998</v>
      </c>
      <c r="FI185" s="31">
        <f t="shared" si="65"/>
        <v>2</v>
      </c>
      <c r="FJ185" s="68">
        <f t="shared" si="66"/>
        <v>1106414.3999999999</v>
      </c>
    </row>
    <row r="186" spans="1:166" ht="51" x14ac:dyDescent="0.25">
      <c r="A186" s="248">
        <f>Distribución_Reactivos!A186</f>
        <v>184</v>
      </c>
      <c r="B186" s="248" t="str">
        <f>Distribución_Reactivos!B186</f>
        <v>Estándar de  2-NP-SCA trazable, con certificado con método de análisis e incertidumbre, vigencia no menor a Diciembre de 2022</v>
      </c>
      <c r="C186" s="248" t="str">
        <f>Distribución_Reactivos!C186</f>
        <v>Dr Ehrenstorfer C15654520 o equivalente</v>
      </c>
      <c r="D186" s="248" t="str">
        <f>Distribución_Reactivos!D186</f>
        <v>Frasco x 10 mg</v>
      </c>
      <c r="E186" s="29">
        <v>1</v>
      </c>
      <c r="F186" s="212">
        <v>0</v>
      </c>
      <c r="G186" s="214">
        <v>0</v>
      </c>
      <c r="H186" s="221">
        <v>0</v>
      </c>
      <c r="I186" s="221">
        <v>0</v>
      </c>
      <c r="J186" s="221">
        <v>0</v>
      </c>
      <c r="K186" s="221">
        <v>0</v>
      </c>
      <c r="L186" s="247"/>
      <c r="M186" s="247"/>
      <c r="N186" s="217"/>
      <c r="O186" s="97"/>
      <c r="P186" s="97"/>
      <c r="Q186" s="115"/>
      <c r="R186" s="115"/>
      <c r="S186" s="53"/>
      <c r="T186" s="97"/>
      <c r="U186" s="97"/>
      <c r="V186" s="97"/>
      <c r="W186" s="115"/>
      <c r="X186" s="115"/>
      <c r="Y186" s="11"/>
      <c r="Z186" s="97"/>
      <c r="AA186" s="97"/>
      <c r="AB186" s="97"/>
      <c r="AC186" s="44"/>
      <c r="AD186" s="44"/>
      <c r="AE186" s="11"/>
      <c r="AF186" s="102"/>
      <c r="AG186" s="125"/>
      <c r="AH186" s="97"/>
      <c r="AI186" s="11"/>
      <c r="AJ186" s="11"/>
      <c r="AK186" s="17"/>
      <c r="AL186" s="97"/>
      <c r="AM186" s="97"/>
      <c r="AN186" s="101"/>
      <c r="AO186" s="248"/>
      <c r="AP186" s="17"/>
      <c r="AQ186" s="17"/>
      <c r="AR186" s="252">
        <v>180000</v>
      </c>
      <c r="AS186" s="97">
        <f t="shared" si="67"/>
        <v>34200</v>
      </c>
      <c r="AT186" s="103">
        <f t="shared" si="68"/>
        <v>214200</v>
      </c>
      <c r="AU186" s="52" t="s">
        <v>287</v>
      </c>
      <c r="AV186" s="52" t="s">
        <v>42</v>
      </c>
      <c r="AW186" s="30"/>
      <c r="AX186" s="100"/>
      <c r="AY186" s="172"/>
      <c r="AZ186" s="124"/>
      <c r="BA186" s="169"/>
      <c r="BB186" s="116"/>
      <c r="BC186" s="116"/>
      <c r="BD186" s="247"/>
      <c r="BE186" s="124"/>
      <c r="BF186" s="124"/>
      <c r="BG186" s="116"/>
      <c r="BH186" s="116"/>
      <c r="BI186" s="116"/>
      <c r="BJ186" s="124"/>
      <c r="BK186" s="124"/>
      <c r="BL186" s="124"/>
      <c r="BM186" s="116"/>
      <c r="BN186" s="116"/>
      <c r="BO186" s="116"/>
      <c r="BP186" s="124"/>
      <c r="BQ186" s="116"/>
      <c r="BR186" s="116"/>
      <c r="BS186" s="116"/>
      <c r="BT186" s="116"/>
      <c r="BU186" s="116"/>
      <c r="BV186" s="187"/>
      <c r="BW186" s="125"/>
      <c r="BX186" s="97"/>
      <c r="BY186" s="246"/>
      <c r="BZ186" s="246"/>
      <c r="CA186" s="116"/>
      <c r="CB186" s="247"/>
      <c r="CC186" s="125"/>
      <c r="CD186" s="247"/>
      <c r="CE186" s="116"/>
      <c r="CF186" s="116"/>
      <c r="CG186" s="34"/>
      <c r="CH186" s="187"/>
      <c r="CI186" s="195"/>
      <c r="CJ186" s="187"/>
      <c r="CK186" s="246"/>
      <c r="CL186" s="246"/>
      <c r="CM186" s="116"/>
      <c r="CN186" s="247"/>
      <c r="CO186" s="125"/>
      <c r="CP186" s="247"/>
      <c r="CQ186" s="116"/>
      <c r="CR186" s="116"/>
      <c r="CS186" s="116"/>
      <c r="CT186" s="125">
        <v>250239.99999999997</v>
      </c>
      <c r="CU186" s="125">
        <f t="shared" si="69"/>
        <v>47545.599999999999</v>
      </c>
      <c r="CV186" s="125">
        <f t="shared" si="70"/>
        <v>297785.59999999998</v>
      </c>
      <c r="CW186" s="116"/>
      <c r="CX186" s="116"/>
      <c r="CY186" s="116"/>
      <c r="CZ186" s="102"/>
      <c r="DA186" s="125"/>
      <c r="DB186" s="102"/>
      <c r="DC186" s="31"/>
      <c r="DD186" s="17"/>
      <c r="DE186" s="11"/>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
      <c r="EU186" s="11"/>
      <c r="EV186" s="11"/>
      <c r="EW186" s="11"/>
      <c r="EX186" s="11"/>
      <c r="EY186" s="11"/>
      <c r="EZ186" s="11"/>
      <c r="FA186" s="11"/>
      <c r="FB186" s="11"/>
      <c r="FC186" s="11"/>
      <c r="FD186" s="11"/>
      <c r="FE186" s="11"/>
      <c r="FF186" s="11"/>
      <c r="FG186" s="11"/>
      <c r="FH186" s="17">
        <f t="shared" si="64"/>
        <v>511985.6</v>
      </c>
      <c r="FI186" s="31">
        <f t="shared" si="65"/>
        <v>2</v>
      </c>
      <c r="FJ186" s="68">
        <f t="shared" si="66"/>
        <v>255992.8</v>
      </c>
    </row>
    <row r="187" spans="1:166" ht="66" customHeight="1" x14ac:dyDescent="0.25">
      <c r="A187" s="248">
        <f>Distribución_Reactivos!A187</f>
        <v>185</v>
      </c>
      <c r="B187" s="248" t="str">
        <f>Distribución_Reactivos!B187</f>
        <v>Estándar de  2-Thiouracil trazable, con certificado con método de análisis e incertidumbre, vigencia no menor a Diciembre de 2022</v>
      </c>
      <c r="C187" s="248" t="str">
        <f>Distribución_Reactivos!C187</f>
        <v>Dr Ehrenstorfer C17561500</v>
      </c>
      <c r="D187" s="248" t="str">
        <f>Distribución_Reactivos!D187</f>
        <v>Frasco x 250 mg</v>
      </c>
      <c r="E187" s="29">
        <v>1</v>
      </c>
      <c r="F187" s="212">
        <v>0</v>
      </c>
      <c r="G187" s="214">
        <v>0</v>
      </c>
      <c r="H187" s="221">
        <v>0</v>
      </c>
      <c r="I187" s="221">
        <v>0</v>
      </c>
      <c r="J187" s="221">
        <v>0</v>
      </c>
      <c r="K187" s="221">
        <v>0</v>
      </c>
      <c r="L187" s="247"/>
      <c r="M187" s="247"/>
      <c r="N187" s="217"/>
      <c r="O187" s="97"/>
      <c r="P187" s="97"/>
      <c r="Q187" s="115"/>
      <c r="R187" s="115"/>
      <c r="S187" s="53"/>
      <c r="T187" s="97"/>
      <c r="U187" s="97"/>
      <c r="V187" s="97"/>
      <c r="W187" s="115"/>
      <c r="X187" s="115"/>
      <c r="Y187" s="11"/>
      <c r="Z187" s="97"/>
      <c r="AA187" s="97"/>
      <c r="AB187" s="97"/>
      <c r="AC187" s="44"/>
      <c r="AD187" s="44"/>
      <c r="AE187" s="11"/>
      <c r="AF187" s="102"/>
      <c r="AG187" s="125"/>
      <c r="AH187" s="97"/>
      <c r="AI187" s="11"/>
      <c r="AJ187" s="11"/>
      <c r="AK187" s="17"/>
      <c r="AL187" s="97"/>
      <c r="AM187" s="97"/>
      <c r="AN187" s="101"/>
      <c r="AO187" s="248"/>
      <c r="AP187" s="17"/>
      <c r="AQ187" s="17"/>
      <c r="AR187" s="252">
        <v>561600</v>
      </c>
      <c r="AS187" s="97">
        <f t="shared" si="67"/>
        <v>106704</v>
      </c>
      <c r="AT187" s="103">
        <f t="shared" si="68"/>
        <v>668304</v>
      </c>
      <c r="AU187" s="52" t="s">
        <v>287</v>
      </c>
      <c r="AV187" s="52" t="s">
        <v>42</v>
      </c>
      <c r="AW187" s="30"/>
      <c r="AX187" s="100"/>
      <c r="AY187" s="100"/>
      <c r="AZ187" s="124"/>
      <c r="BA187" s="169"/>
      <c r="BB187" s="116"/>
      <c r="BC187" s="116"/>
      <c r="BD187" s="247"/>
      <c r="BE187" s="124"/>
      <c r="BF187" s="124"/>
      <c r="BG187" s="116"/>
      <c r="BH187" s="116"/>
      <c r="BI187" s="116"/>
      <c r="BJ187" s="124"/>
      <c r="BK187" s="124"/>
      <c r="BL187" s="124"/>
      <c r="BM187" s="116"/>
      <c r="BN187" s="116"/>
      <c r="BO187" s="116"/>
      <c r="BP187" s="124"/>
      <c r="BQ187" s="116"/>
      <c r="BR187" s="116"/>
      <c r="BS187" s="116"/>
      <c r="BT187" s="116"/>
      <c r="BU187" s="116"/>
      <c r="BV187" s="187"/>
      <c r="BW187" s="125"/>
      <c r="BX187" s="97"/>
      <c r="BY187" s="246"/>
      <c r="BZ187" s="246"/>
      <c r="CA187" s="116"/>
      <c r="CB187" s="247"/>
      <c r="CC187" s="125"/>
      <c r="CD187" s="247"/>
      <c r="CE187" s="116"/>
      <c r="CF187" s="116"/>
      <c r="CG187" s="34"/>
      <c r="CH187" s="187"/>
      <c r="CI187" s="195"/>
      <c r="CJ187" s="187"/>
      <c r="CK187" s="246"/>
      <c r="CL187" s="246"/>
      <c r="CM187" s="116"/>
      <c r="CN187" s="247"/>
      <c r="CO187" s="125"/>
      <c r="CP187" s="247"/>
      <c r="CQ187" s="116"/>
      <c r="CR187" s="116"/>
      <c r="CS187" s="116"/>
      <c r="CT187" s="125">
        <v>233920</v>
      </c>
      <c r="CU187" s="125">
        <f t="shared" si="69"/>
        <v>44444.800000000003</v>
      </c>
      <c r="CV187" s="125">
        <f t="shared" si="70"/>
        <v>278364.79999999999</v>
      </c>
      <c r="CW187" s="116"/>
      <c r="CX187" s="116"/>
      <c r="CY187" s="116"/>
      <c r="CZ187" s="102"/>
      <c r="DA187" s="125"/>
      <c r="DB187" s="102"/>
      <c r="DC187" s="31"/>
      <c r="DD187" s="17"/>
      <c r="DE187" s="11"/>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
      <c r="EU187" s="11"/>
      <c r="EV187" s="11"/>
      <c r="EW187" s="11"/>
      <c r="EX187" s="11"/>
      <c r="EY187" s="11"/>
      <c r="EZ187" s="11"/>
      <c r="FA187" s="11"/>
      <c r="FB187" s="11"/>
      <c r="FC187" s="11"/>
      <c r="FD187" s="11"/>
      <c r="FE187" s="11"/>
      <c r="FF187" s="11"/>
      <c r="FG187" s="11"/>
      <c r="FH187" s="17">
        <f t="shared" si="64"/>
        <v>946668.8</v>
      </c>
      <c r="FI187" s="31">
        <f t="shared" si="65"/>
        <v>2</v>
      </c>
      <c r="FJ187" s="68">
        <f t="shared" si="66"/>
        <v>473334.4</v>
      </c>
    </row>
    <row r="188" spans="1:166" ht="66" customHeight="1" x14ac:dyDescent="0.25">
      <c r="A188" s="248">
        <f>Distribución_Reactivos!A188</f>
        <v>186</v>
      </c>
      <c r="B188" s="248" t="str">
        <f>Distribución_Reactivos!B188</f>
        <v>Estándar de  6-Methyl-2-thiouracil trazable, con certificado con método de análisis e incertidumbre, vigencia no menor a Diciembre de 2022</v>
      </c>
      <c r="C188" s="248" t="str">
        <f>Distribución_Reactivos!C188</f>
        <v>Dr Ehrenstorfer C15144300</v>
      </c>
      <c r="D188" s="248" t="str">
        <f>Distribución_Reactivos!D188</f>
        <v>Frasco x 100 mg</v>
      </c>
      <c r="E188" s="29">
        <v>1</v>
      </c>
      <c r="F188" s="212">
        <v>0</v>
      </c>
      <c r="G188" s="214">
        <v>0</v>
      </c>
      <c r="H188" s="221">
        <v>0</v>
      </c>
      <c r="I188" s="221">
        <v>0</v>
      </c>
      <c r="J188" s="221">
        <v>0</v>
      </c>
      <c r="K188" s="221">
        <v>0</v>
      </c>
      <c r="L188" s="247"/>
      <c r="M188" s="247"/>
      <c r="N188" s="217"/>
      <c r="O188" s="97"/>
      <c r="P188" s="97"/>
      <c r="Q188" s="115"/>
      <c r="R188" s="115"/>
      <c r="S188" s="53"/>
      <c r="T188" s="97"/>
      <c r="U188" s="97"/>
      <c r="V188" s="97"/>
      <c r="W188" s="115"/>
      <c r="X188" s="115"/>
      <c r="Y188" s="11"/>
      <c r="Z188" s="97"/>
      <c r="AA188" s="97"/>
      <c r="AB188" s="97"/>
      <c r="AC188" s="44"/>
      <c r="AD188" s="44"/>
      <c r="AE188" s="11"/>
      <c r="AF188" s="102"/>
      <c r="AG188" s="125"/>
      <c r="AH188" s="97"/>
      <c r="AI188" s="11"/>
      <c r="AJ188" s="11"/>
      <c r="AK188" s="17"/>
      <c r="AL188" s="97"/>
      <c r="AM188" s="97"/>
      <c r="AN188" s="101"/>
      <c r="AO188" s="248"/>
      <c r="AP188" s="17"/>
      <c r="AQ188" s="17"/>
      <c r="AR188" s="252">
        <v>201600</v>
      </c>
      <c r="AS188" s="97">
        <f t="shared" si="67"/>
        <v>38304</v>
      </c>
      <c r="AT188" s="103">
        <f t="shared" si="68"/>
        <v>239904</v>
      </c>
      <c r="AU188" s="52" t="s">
        <v>287</v>
      </c>
      <c r="AV188" s="52" t="s">
        <v>42</v>
      </c>
      <c r="AW188" s="30"/>
      <c r="AX188" s="100"/>
      <c r="AY188" s="174"/>
      <c r="AZ188" s="124"/>
      <c r="BA188" s="169"/>
      <c r="BB188" s="116"/>
      <c r="BC188" s="116"/>
      <c r="BD188" s="247"/>
      <c r="BE188" s="124"/>
      <c r="BF188" s="124"/>
      <c r="BG188" s="116"/>
      <c r="BH188" s="116"/>
      <c r="BI188" s="116"/>
      <c r="BJ188" s="124"/>
      <c r="BK188" s="124"/>
      <c r="BL188" s="124"/>
      <c r="BM188" s="116"/>
      <c r="BN188" s="116"/>
      <c r="BO188" s="116"/>
      <c r="BP188" s="124"/>
      <c r="BQ188" s="116"/>
      <c r="BR188" s="116"/>
      <c r="BS188" s="116"/>
      <c r="BT188" s="116"/>
      <c r="BU188" s="116"/>
      <c r="BV188" s="187"/>
      <c r="BW188" s="125"/>
      <c r="BX188" s="97"/>
      <c r="BY188" s="246"/>
      <c r="BZ188" s="246"/>
      <c r="CA188" s="116"/>
      <c r="CB188" s="247"/>
      <c r="CC188" s="125"/>
      <c r="CD188" s="247"/>
      <c r="CE188" s="116"/>
      <c r="CF188" s="116"/>
      <c r="CG188" s="34"/>
      <c r="CH188" s="187"/>
      <c r="CI188" s="195"/>
      <c r="CJ188" s="187"/>
      <c r="CK188" s="246"/>
      <c r="CL188" s="246"/>
      <c r="CM188" s="116"/>
      <c r="CN188" s="247"/>
      <c r="CO188" s="125"/>
      <c r="CP188" s="247"/>
      <c r="CQ188" s="116"/>
      <c r="CR188" s="116"/>
      <c r="CS188" s="116"/>
      <c r="CT188" s="125">
        <v>244800</v>
      </c>
      <c r="CU188" s="125">
        <f t="shared" si="69"/>
        <v>46512</v>
      </c>
      <c r="CV188" s="125">
        <f t="shared" si="70"/>
        <v>291312</v>
      </c>
      <c r="CW188" s="116"/>
      <c r="CX188" s="116"/>
      <c r="CY188" s="116"/>
      <c r="CZ188" s="102"/>
      <c r="DA188" s="125"/>
      <c r="DB188" s="102"/>
      <c r="DC188" s="31"/>
      <c r="DD188" s="17"/>
      <c r="DE188" s="11"/>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
      <c r="EU188" s="11"/>
      <c r="EV188" s="11"/>
      <c r="EW188" s="11"/>
      <c r="EX188" s="11"/>
      <c r="EY188" s="11"/>
      <c r="EZ188" s="11"/>
      <c r="FA188" s="11"/>
      <c r="FB188" s="11"/>
      <c r="FC188" s="11"/>
      <c r="FD188" s="11"/>
      <c r="FE188" s="11"/>
      <c r="FF188" s="11"/>
      <c r="FG188" s="11"/>
      <c r="FH188" s="17">
        <f t="shared" si="64"/>
        <v>531216</v>
      </c>
      <c r="FI188" s="31">
        <f t="shared" si="65"/>
        <v>2</v>
      </c>
      <c r="FJ188" s="68">
        <f t="shared" si="66"/>
        <v>265608</v>
      </c>
    </row>
    <row r="189" spans="1:166" ht="66" customHeight="1" x14ac:dyDescent="0.25">
      <c r="A189" s="248">
        <f>Distribución_Reactivos!A189</f>
        <v>187</v>
      </c>
      <c r="B189" s="248" t="str">
        <f>Distribución_Reactivos!B189</f>
        <v>Estándar de  Boldenona CAS 846-48-0 trazable. Con certificado de análisis e incertidumbre. Fecha de vencimiento no inferior a 2 años</v>
      </c>
      <c r="C189" s="248" t="str">
        <f>Distribución_Reactivos!C189</f>
        <v>Dr Ehrenstorfer C10662000</v>
      </c>
      <c r="D189" s="248" t="str">
        <f>Distribución_Reactivos!D189</f>
        <v>Frasco x  100mg</v>
      </c>
      <c r="E189" s="29">
        <v>1</v>
      </c>
      <c r="F189" s="212">
        <v>428310.75</v>
      </c>
      <c r="G189" s="214">
        <v>340340</v>
      </c>
      <c r="H189" s="221">
        <v>2193566.6666666665</v>
      </c>
      <c r="I189" s="221">
        <v>0</v>
      </c>
      <c r="J189" s="221">
        <v>814133.14500000002</v>
      </c>
      <c r="K189" s="221">
        <v>0</v>
      </c>
      <c r="L189" s="247">
        <f>AVERAGE(F189,H189,J189)</f>
        <v>1145336.8538888888</v>
      </c>
      <c r="M189" s="247">
        <f>G189*E1</f>
        <v>350550.2</v>
      </c>
      <c r="N189" s="217"/>
      <c r="O189" s="97"/>
      <c r="P189" s="97"/>
      <c r="Q189" s="115"/>
      <c r="R189" s="115"/>
      <c r="S189" s="53"/>
      <c r="T189" s="97"/>
      <c r="U189" s="97"/>
      <c r="V189" s="97"/>
      <c r="W189" s="115"/>
      <c r="X189" s="115"/>
      <c r="Y189" s="11"/>
      <c r="Z189" s="97"/>
      <c r="AA189" s="97"/>
      <c r="AB189" s="97"/>
      <c r="AC189" s="44"/>
      <c r="AD189" s="44"/>
      <c r="AE189" s="11"/>
      <c r="AF189" s="102"/>
      <c r="AG189" s="125"/>
      <c r="AH189" s="97"/>
      <c r="AI189" s="11"/>
      <c r="AJ189" s="11"/>
      <c r="AK189" s="17"/>
      <c r="AL189" s="97"/>
      <c r="AM189" s="97"/>
      <c r="AN189" s="101"/>
      <c r="AO189" s="248"/>
      <c r="AP189" s="17"/>
      <c r="AQ189" s="17"/>
      <c r="AR189" s="252"/>
      <c r="AS189" s="136"/>
      <c r="AT189" s="137"/>
      <c r="AU189" s="52"/>
      <c r="AV189" s="52"/>
      <c r="AW189" s="30"/>
      <c r="AX189" s="100"/>
      <c r="AY189" s="174"/>
      <c r="AZ189" s="124"/>
      <c r="BA189" s="169"/>
      <c r="BB189" s="116"/>
      <c r="BC189" s="116"/>
      <c r="BD189" s="247"/>
      <c r="BE189" s="124"/>
      <c r="BF189" s="124"/>
      <c r="BG189" s="116"/>
      <c r="BH189" s="116"/>
      <c r="BI189" s="116"/>
      <c r="BJ189" s="124"/>
      <c r="BK189" s="124"/>
      <c r="BL189" s="124"/>
      <c r="BM189" s="116"/>
      <c r="BN189" s="116"/>
      <c r="BO189" s="116"/>
      <c r="BP189" s="124"/>
      <c r="BQ189" s="116"/>
      <c r="BR189" s="116"/>
      <c r="BS189" s="116"/>
      <c r="BT189" s="116"/>
      <c r="BU189" s="116"/>
      <c r="BV189" s="187"/>
      <c r="BW189" s="125"/>
      <c r="BX189" s="97"/>
      <c r="BY189" s="246"/>
      <c r="BZ189" s="246"/>
      <c r="CA189" s="116"/>
      <c r="CB189" s="247"/>
      <c r="CC189" s="125"/>
      <c r="CD189" s="247"/>
      <c r="CE189" s="116"/>
      <c r="CF189" s="116"/>
      <c r="CG189" s="34"/>
      <c r="CH189" s="187"/>
      <c r="CI189" s="195"/>
      <c r="CJ189" s="187"/>
      <c r="CK189" s="246"/>
      <c r="CL189" s="246"/>
      <c r="CM189" s="116"/>
      <c r="CN189" s="247"/>
      <c r="CO189" s="125"/>
      <c r="CP189" s="247"/>
      <c r="CQ189" s="116"/>
      <c r="CR189" s="116"/>
      <c r="CS189" s="116"/>
      <c r="CT189" s="125">
        <v>342720</v>
      </c>
      <c r="CU189" s="125">
        <f t="shared" si="69"/>
        <v>65116.800000000003</v>
      </c>
      <c r="CV189" s="125">
        <f t="shared" si="70"/>
        <v>407836.8</v>
      </c>
      <c r="CW189" s="116"/>
      <c r="CX189" s="116"/>
      <c r="CY189" s="116"/>
      <c r="CZ189" s="102"/>
      <c r="DA189" s="125"/>
      <c r="DB189" s="102"/>
      <c r="DC189" s="31"/>
      <c r="DD189" s="17"/>
      <c r="DE189" s="11"/>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
      <c r="EU189" s="11"/>
      <c r="EV189" s="11"/>
      <c r="EW189" s="11"/>
      <c r="EX189" s="11"/>
      <c r="EY189" s="11"/>
      <c r="EZ189" s="11"/>
      <c r="FA189" s="11"/>
      <c r="FB189" s="11"/>
      <c r="FC189" s="11"/>
      <c r="FD189" s="11"/>
      <c r="FE189" s="11"/>
      <c r="FF189" s="11"/>
      <c r="FG189" s="11"/>
      <c r="FH189" s="17">
        <f t="shared" si="64"/>
        <v>758387</v>
      </c>
      <c r="FI189" s="31">
        <f t="shared" si="65"/>
        <v>2</v>
      </c>
      <c r="FJ189" s="68">
        <f t="shared" si="66"/>
        <v>379193.5</v>
      </c>
    </row>
    <row r="190" spans="1:166" ht="66" customHeight="1" x14ac:dyDescent="0.25">
      <c r="A190" s="248">
        <f>Distribución_Reactivos!A190</f>
        <v>188</v>
      </c>
      <c r="B190" s="248" t="str">
        <f>Distribución_Reactivos!B190</f>
        <v>Estándar de  Clenbuterol Clorhidrato trazable, con certificado con método de análisis e incertidumbre, vigencia no menor a Diciembre de 2022</v>
      </c>
      <c r="C190" s="248" t="str">
        <f>Distribución_Reactivos!C190</f>
        <v>Dr Ehrenstorfer o equivalente</v>
      </c>
      <c r="D190" s="248" t="str">
        <f>Distribución_Reactivos!D190</f>
        <v>Frasco x 100 mg</v>
      </c>
      <c r="E190" s="29">
        <v>1</v>
      </c>
      <c r="F190" s="212">
        <v>0</v>
      </c>
      <c r="G190" s="214">
        <v>0</v>
      </c>
      <c r="H190" s="221">
        <v>0</v>
      </c>
      <c r="I190" s="221">
        <v>0</v>
      </c>
      <c r="J190" s="221">
        <v>0</v>
      </c>
      <c r="K190" s="221">
        <v>0</v>
      </c>
      <c r="L190" s="247"/>
      <c r="M190" s="247"/>
      <c r="N190" s="217"/>
      <c r="O190" s="97"/>
      <c r="P190" s="97"/>
      <c r="Q190" s="115"/>
      <c r="R190" s="115"/>
      <c r="S190" s="53"/>
      <c r="T190" s="97"/>
      <c r="U190" s="97"/>
      <c r="V190" s="97"/>
      <c r="W190" s="115"/>
      <c r="X190" s="115"/>
      <c r="Y190" s="11"/>
      <c r="Z190" s="97"/>
      <c r="AA190" s="97"/>
      <c r="AB190" s="97"/>
      <c r="AC190" s="44"/>
      <c r="AD190" s="44"/>
      <c r="AE190" s="11"/>
      <c r="AF190" s="102"/>
      <c r="AG190" s="125"/>
      <c r="AH190" s="97"/>
      <c r="AI190" s="11"/>
      <c r="AJ190" s="11"/>
      <c r="AK190" s="17"/>
      <c r="AL190" s="97"/>
      <c r="AM190" s="97"/>
      <c r="AN190" s="103"/>
      <c r="AO190" s="248"/>
      <c r="AP190" s="17"/>
      <c r="AQ190" s="17"/>
      <c r="AR190" s="252"/>
      <c r="AS190" s="141"/>
      <c r="AT190" s="124"/>
      <c r="AU190" s="52"/>
      <c r="AV190" s="52"/>
      <c r="AW190" s="30"/>
      <c r="AX190" s="100"/>
      <c r="AY190" s="174"/>
      <c r="AZ190" s="124"/>
      <c r="BA190" s="169"/>
      <c r="BB190" s="116"/>
      <c r="BC190" s="116"/>
      <c r="BD190" s="247"/>
      <c r="BE190" s="124"/>
      <c r="BF190" s="124"/>
      <c r="BG190" s="116"/>
      <c r="BH190" s="116"/>
      <c r="BI190" s="116"/>
      <c r="BJ190" s="124"/>
      <c r="BK190" s="124"/>
      <c r="BL190" s="124"/>
      <c r="BM190" s="116"/>
      <c r="BN190" s="116"/>
      <c r="BO190" s="116"/>
      <c r="BP190" s="124"/>
      <c r="BQ190" s="116"/>
      <c r="BR190" s="116"/>
      <c r="BS190" s="116"/>
      <c r="BT190" s="116"/>
      <c r="BU190" s="116"/>
      <c r="BV190" s="187"/>
      <c r="BW190" s="125"/>
      <c r="BX190" s="97"/>
      <c r="BY190" s="246"/>
      <c r="BZ190" s="246"/>
      <c r="CA190" s="116"/>
      <c r="CB190" s="247"/>
      <c r="CC190" s="125"/>
      <c r="CD190" s="247"/>
      <c r="CE190" s="116"/>
      <c r="CF190" s="116"/>
      <c r="CG190" s="34"/>
      <c r="CH190" s="187"/>
      <c r="CI190" s="195"/>
      <c r="CJ190" s="187"/>
      <c r="CK190" s="246"/>
      <c r="CL190" s="246"/>
      <c r="CM190" s="116"/>
      <c r="CN190" s="247"/>
      <c r="CO190" s="125"/>
      <c r="CP190" s="247"/>
      <c r="CQ190" s="116"/>
      <c r="CR190" s="116"/>
      <c r="CS190" s="116"/>
      <c r="CT190" s="247">
        <v>183000</v>
      </c>
      <c r="CU190" s="125">
        <f>CT190*0</f>
        <v>0</v>
      </c>
      <c r="CV190" s="125">
        <f t="shared" si="70"/>
        <v>183000</v>
      </c>
      <c r="CW190" s="116"/>
      <c r="CX190" s="116"/>
      <c r="CY190" s="116"/>
      <c r="CZ190" s="102"/>
      <c r="DA190" s="125"/>
      <c r="DB190" s="102"/>
      <c r="DC190" s="31"/>
      <c r="DD190" s="17"/>
      <c r="DE190" s="11"/>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
      <c r="EU190" s="11"/>
      <c r="EV190" s="11"/>
      <c r="EW190" s="11"/>
      <c r="EX190" s="11"/>
      <c r="EY190" s="11"/>
      <c r="EZ190" s="11"/>
      <c r="FA190" s="11"/>
      <c r="FB190" s="11"/>
      <c r="FC190" s="11"/>
      <c r="FD190" s="11"/>
      <c r="FE190" s="11"/>
      <c r="FF190" s="11"/>
      <c r="FG190" s="11"/>
      <c r="FH190" s="17">
        <f t="shared" si="64"/>
        <v>183000</v>
      </c>
      <c r="FI190" s="31">
        <f t="shared" si="65"/>
        <v>1</v>
      </c>
      <c r="FJ190" s="68">
        <f t="shared" si="66"/>
        <v>183000</v>
      </c>
    </row>
    <row r="191" spans="1:166" ht="57" customHeight="1" x14ac:dyDescent="0.25">
      <c r="A191" s="248">
        <f>Distribución_Reactivos!A191</f>
        <v>189</v>
      </c>
      <c r="B191" s="248" t="str">
        <f>Distribución_Reactivos!B191</f>
        <v>Estándar de  SEMICARBAZIDE. HCl trazable, con certificado con método de análisis e incertidumbre, vigencia no menor a Diciembre de 2022</v>
      </c>
      <c r="C191" s="248" t="str">
        <f>Distribución_Reactivos!C191</f>
        <v>Dr Ehenstorfer. DRE-C16933500</v>
      </c>
      <c r="D191" s="248" t="str">
        <f>Distribución_Reactivos!D191</f>
        <v>Frasco  x 100 mg</v>
      </c>
      <c r="E191" s="29">
        <v>1</v>
      </c>
      <c r="F191" s="212">
        <v>0</v>
      </c>
      <c r="G191" s="214">
        <v>0</v>
      </c>
      <c r="H191" s="221">
        <v>0</v>
      </c>
      <c r="I191" s="221">
        <v>0</v>
      </c>
      <c r="J191" s="221">
        <v>0</v>
      </c>
      <c r="K191" s="221">
        <v>0</v>
      </c>
      <c r="L191" s="247"/>
      <c r="M191" s="247"/>
      <c r="N191" s="217"/>
      <c r="O191" s="97"/>
      <c r="P191" s="97"/>
      <c r="Q191" s="115"/>
      <c r="R191" s="115"/>
      <c r="S191" s="53"/>
      <c r="T191" s="97"/>
      <c r="U191" s="101"/>
      <c r="V191" s="97"/>
      <c r="W191" s="115"/>
      <c r="X191" s="115"/>
      <c r="Y191" s="11"/>
      <c r="Z191" s="97"/>
      <c r="AA191" s="97"/>
      <c r="AB191" s="97"/>
      <c r="AC191" s="44"/>
      <c r="AD191" s="44"/>
      <c r="AE191" s="11"/>
      <c r="AF191" s="102"/>
      <c r="AG191" s="125"/>
      <c r="AH191" s="97"/>
      <c r="AI191" s="11"/>
      <c r="AJ191" s="11"/>
      <c r="AK191" s="17"/>
      <c r="AL191" s="97"/>
      <c r="AM191" s="97"/>
      <c r="AN191" s="101"/>
      <c r="AO191" s="248"/>
      <c r="AP191" s="17"/>
      <c r="AQ191" s="17"/>
      <c r="AR191" s="252"/>
      <c r="AS191" s="136"/>
      <c r="AT191" s="137"/>
      <c r="AU191" s="52"/>
      <c r="AV191" s="52"/>
      <c r="AW191" s="30"/>
      <c r="AX191" s="100"/>
      <c r="AY191" s="100"/>
      <c r="AZ191" s="124"/>
      <c r="BA191" s="169"/>
      <c r="BB191" s="116"/>
      <c r="BC191" s="116"/>
      <c r="BD191" s="247"/>
      <c r="BE191" s="124"/>
      <c r="BF191" s="124"/>
      <c r="BG191" s="116"/>
      <c r="BH191" s="116"/>
      <c r="BI191" s="116"/>
      <c r="BJ191" s="124"/>
      <c r="BK191" s="124"/>
      <c r="BL191" s="124"/>
      <c r="BM191" s="116"/>
      <c r="BN191" s="116"/>
      <c r="BO191" s="116"/>
      <c r="BP191" s="124"/>
      <c r="BQ191" s="116"/>
      <c r="BR191" s="116"/>
      <c r="BS191" s="116"/>
      <c r="BT191" s="116"/>
      <c r="BU191" s="116"/>
      <c r="BV191" s="236">
        <v>1722800</v>
      </c>
      <c r="BW191" s="125">
        <f t="shared" ref="BW191:BW219" si="71">BV191*19%</f>
        <v>327332</v>
      </c>
      <c r="BX191" s="97">
        <f t="shared" ref="BX191:BX222" si="72">+BV191+BW191</f>
        <v>2050132</v>
      </c>
      <c r="BY191" s="237" t="s">
        <v>288</v>
      </c>
      <c r="BZ191" s="237" t="s">
        <v>289</v>
      </c>
      <c r="CA191" s="116"/>
      <c r="CB191" s="247"/>
      <c r="CC191" s="125"/>
      <c r="CD191" s="247"/>
      <c r="CE191" s="116"/>
      <c r="CF191" s="116"/>
      <c r="CG191" s="34"/>
      <c r="CH191" s="236">
        <v>1791712</v>
      </c>
      <c r="CI191" s="238">
        <f t="shared" ref="CI191:CI197" si="73">+CH191*0.19</f>
        <v>340425.28</v>
      </c>
      <c r="CJ191" s="236">
        <f t="shared" ref="CJ191:CJ197" si="74">+CH191+CI191</f>
        <v>2132137.2800000003</v>
      </c>
      <c r="CK191" s="237" t="s">
        <v>288</v>
      </c>
      <c r="CL191" s="237" t="s">
        <v>289</v>
      </c>
      <c r="CM191" s="116"/>
      <c r="CN191" s="247"/>
      <c r="CO191" s="125"/>
      <c r="CP191" s="247"/>
      <c r="CQ191" s="116"/>
      <c r="CR191" s="116"/>
      <c r="CS191" s="116"/>
      <c r="CT191" s="125">
        <v>250239.99999999997</v>
      </c>
      <c r="CU191" s="125">
        <f t="shared" ref="CU191:CU202" si="75">CT191*0.19</f>
        <v>47545.599999999999</v>
      </c>
      <c r="CV191" s="125">
        <f t="shared" si="70"/>
        <v>297785.59999999998</v>
      </c>
      <c r="CW191" s="116"/>
      <c r="CX191" s="116"/>
      <c r="CY191" s="116"/>
      <c r="CZ191" s="102"/>
      <c r="DA191" s="125"/>
      <c r="DB191" s="102"/>
      <c r="DC191" s="31"/>
      <c r="DD191" s="17"/>
      <c r="DE191" s="11"/>
      <c r="DF191" s="116"/>
      <c r="DG191" s="116"/>
      <c r="DH191" s="116"/>
      <c r="DI191" s="116"/>
      <c r="DJ191" s="116"/>
      <c r="DK191" s="116"/>
      <c r="DL191" s="116"/>
      <c r="DM191" s="116"/>
      <c r="DN191" s="116"/>
      <c r="DO191" s="116"/>
      <c r="DP191" s="116"/>
      <c r="DQ191" s="116"/>
      <c r="DR191" s="116"/>
      <c r="DS191" s="116"/>
      <c r="DT191" s="116"/>
      <c r="DU191" s="116"/>
      <c r="DV191" s="116"/>
      <c r="DW191" s="116"/>
      <c r="DX191" s="116"/>
      <c r="DY191" s="116"/>
      <c r="DZ191" s="116"/>
      <c r="EA191" s="116"/>
      <c r="EB191" s="116"/>
      <c r="EC191" s="116"/>
      <c r="ED191" s="116"/>
      <c r="EE191" s="116"/>
      <c r="EF191" s="116"/>
      <c r="EG191" s="116"/>
      <c r="EH191" s="116"/>
      <c r="EI191" s="116"/>
      <c r="EJ191" s="116"/>
      <c r="EK191" s="116"/>
      <c r="EL191" s="116"/>
      <c r="EM191" s="116"/>
      <c r="EN191" s="116"/>
      <c r="EO191" s="116"/>
      <c r="EP191" s="116"/>
      <c r="EQ191" s="116"/>
      <c r="ER191" s="116"/>
      <c r="ES191" s="116"/>
      <c r="ET191" s="11"/>
      <c r="EU191" s="11"/>
      <c r="EV191" s="11"/>
      <c r="EW191" s="11"/>
      <c r="EX191" s="11"/>
      <c r="EY191" s="11"/>
      <c r="EZ191" s="11"/>
      <c r="FA191" s="11"/>
      <c r="FB191" s="11"/>
      <c r="FC191" s="11"/>
      <c r="FD191" s="11"/>
      <c r="FE191" s="11"/>
      <c r="FF191" s="11"/>
      <c r="FG191" s="11"/>
      <c r="FH191" s="17">
        <f t="shared" si="64"/>
        <v>4480054.88</v>
      </c>
      <c r="FI191" s="31">
        <f t="shared" si="65"/>
        <v>3</v>
      </c>
      <c r="FJ191" s="68">
        <f t="shared" si="66"/>
        <v>1493351.6266666667</v>
      </c>
    </row>
    <row r="192" spans="1:166" ht="57" customHeight="1" x14ac:dyDescent="0.25">
      <c r="A192" s="248">
        <f>Distribución_Reactivos!A192</f>
        <v>190</v>
      </c>
      <c r="B192" s="248" t="str">
        <f>Distribución_Reactivos!B192</f>
        <v>Estándar de  zinc 1000 mg/l certificada con trazabilidad e incertidumbre y fecha de vencimiento no inferior a 2 años</v>
      </c>
      <c r="C192" s="248" t="str">
        <f>Distribución_Reactivos!C192</f>
        <v>Merck (referencia 1198060100) o equivalente</v>
      </c>
      <c r="D192" s="248" t="str">
        <f>Distribución_Reactivos!D192</f>
        <v>Frasco x 100 ml</v>
      </c>
      <c r="E192" s="29">
        <v>1</v>
      </c>
      <c r="F192" s="212">
        <v>0</v>
      </c>
      <c r="G192" s="214">
        <v>0</v>
      </c>
      <c r="H192" s="221">
        <v>177429.45</v>
      </c>
      <c r="I192" s="221">
        <v>177429</v>
      </c>
      <c r="J192" s="221">
        <v>161252.93333333332</v>
      </c>
      <c r="K192" s="221">
        <v>0</v>
      </c>
      <c r="L192" s="247">
        <f>AVERAGE(H192,J192)</f>
        <v>169341.19166666665</v>
      </c>
      <c r="M192" s="247">
        <f>I192*E1</f>
        <v>182751.87</v>
      </c>
      <c r="N192" s="217"/>
      <c r="O192" s="97"/>
      <c r="P192" s="97"/>
      <c r="Q192" s="115"/>
      <c r="R192" s="115"/>
      <c r="S192" s="53"/>
      <c r="T192" s="97"/>
      <c r="U192" s="97"/>
      <c r="V192" s="97"/>
      <c r="W192" s="115"/>
      <c r="X192" s="115"/>
      <c r="Y192" s="11"/>
      <c r="Z192" s="97"/>
      <c r="AA192" s="97"/>
      <c r="AB192" s="97"/>
      <c r="AC192" s="44"/>
      <c r="AD192" s="44"/>
      <c r="AE192" s="11"/>
      <c r="AF192" s="102"/>
      <c r="AG192" s="125"/>
      <c r="AH192" s="97"/>
      <c r="AI192" s="11"/>
      <c r="AJ192" s="11"/>
      <c r="AK192" s="17"/>
      <c r="AL192" s="97">
        <v>95000</v>
      </c>
      <c r="AM192" s="97">
        <f>+AL192*0.19</f>
        <v>18050</v>
      </c>
      <c r="AN192" s="103">
        <f>+AL192+AM192</f>
        <v>113050</v>
      </c>
      <c r="AO192" s="248" t="s">
        <v>51</v>
      </c>
      <c r="AP192" s="17" t="s">
        <v>52</v>
      </c>
      <c r="AQ192" s="17"/>
      <c r="AR192" s="252">
        <v>95520</v>
      </c>
      <c r="AS192" s="97">
        <f t="shared" ref="AS192:AS197" si="76">+AR192*0.19</f>
        <v>18148.8</v>
      </c>
      <c r="AT192" s="103">
        <f t="shared" ref="AT192:AT197" si="77">+AR192+AS192</f>
        <v>113668.8</v>
      </c>
      <c r="AU192" s="52" t="s">
        <v>51</v>
      </c>
      <c r="AV192" s="52" t="s">
        <v>52</v>
      </c>
      <c r="AW192" s="30"/>
      <c r="AX192" s="100"/>
      <c r="AY192" s="172"/>
      <c r="AZ192" s="124"/>
      <c r="BA192" s="169"/>
      <c r="BB192" s="116"/>
      <c r="BC192" s="116"/>
      <c r="BD192" s="247"/>
      <c r="BE192" s="124"/>
      <c r="BF192" s="124"/>
      <c r="BG192" s="116"/>
      <c r="BH192" s="116"/>
      <c r="BI192" s="116"/>
      <c r="BJ192" s="124"/>
      <c r="BK192" s="124"/>
      <c r="BL192" s="124"/>
      <c r="BM192" s="116"/>
      <c r="BN192" s="116"/>
      <c r="BO192" s="116"/>
      <c r="BP192" s="124"/>
      <c r="BQ192" s="116"/>
      <c r="BR192" s="116"/>
      <c r="BS192" s="116"/>
      <c r="BT192" s="116"/>
      <c r="BU192" s="116"/>
      <c r="BV192" s="236">
        <v>243200</v>
      </c>
      <c r="BW192" s="125">
        <f t="shared" si="71"/>
        <v>46208</v>
      </c>
      <c r="BX192" s="97">
        <f t="shared" si="72"/>
        <v>289408</v>
      </c>
      <c r="BY192" s="237" t="s">
        <v>290</v>
      </c>
      <c r="BZ192" s="237" t="s">
        <v>93</v>
      </c>
      <c r="CA192" s="116"/>
      <c r="CB192" s="247"/>
      <c r="CC192" s="125"/>
      <c r="CD192" s="247"/>
      <c r="CE192" s="116"/>
      <c r="CF192" s="116"/>
      <c r="CG192" s="34"/>
      <c r="CH192" s="236">
        <v>248064</v>
      </c>
      <c r="CI192" s="238">
        <f t="shared" si="73"/>
        <v>47132.160000000003</v>
      </c>
      <c r="CJ192" s="236">
        <f t="shared" si="74"/>
        <v>295196.16000000003</v>
      </c>
      <c r="CK192" s="237" t="s">
        <v>290</v>
      </c>
      <c r="CL192" s="237" t="s">
        <v>93</v>
      </c>
      <c r="CM192" s="116"/>
      <c r="CN192" s="247"/>
      <c r="CO192" s="125"/>
      <c r="CP192" s="247"/>
      <c r="CQ192" s="116"/>
      <c r="CR192" s="116"/>
      <c r="CS192" s="116"/>
      <c r="CT192" s="125">
        <v>168000</v>
      </c>
      <c r="CU192" s="125">
        <f t="shared" si="75"/>
        <v>31920</v>
      </c>
      <c r="CV192" s="125">
        <f t="shared" si="70"/>
        <v>199920</v>
      </c>
      <c r="CW192" s="116"/>
      <c r="CX192" s="116"/>
      <c r="CY192" s="116"/>
      <c r="CZ192" s="102"/>
      <c r="DA192" s="125"/>
      <c r="DB192" s="102"/>
      <c r="DC192" s="31"/>
      <c r="DD192" s="17"/>
      <c r="DE192" s="11"/>
      <c r="DF192" s="116"/>
      <c r="DG192" s="116"/>
      <c r="DH192" s="116"/>
      <c r="DI192" s="116"/>
      <c r="DJ192" s="116"/>
      <c r="DK192" s="116"/>
      <c r="DL192" s="116"/>
      <c r="DM192" s="116"/>
      <c r="DN192" s="116"/>
      <c r="DO192" s="116"/>
      <c r="DP192" s="116"/>
      <c r="DQ192" s="116"/>
      <c r="DR192" s="116"/>
      <c r="DS192" s="116"/>
      <c r="DT192" s="116"/>
      <c r="DU192" s="116"/>
      <c r="DV192" s="116"/>
      <c r="DW192" s="116"/>
      <c r="DX192" s="116"/>
      <c r="DY192" s="116"/>
      <c r="DZ192" s="116"/>
      <c r="EA192" s="116"/>
      <c r="EB192" s="116"/>
      <c r="EC192" s="116"/>
      <c r="ED192" s="116"/>
      <c r="EE192" s="116"/>
      <c r="EF192" s="116"/>
      <c r="EG192" s="116"/>
      <c r="EH192" s="116"/>
      <c r="EI192" s="116"/>
      <c r="EJ192" s="116"/>
      <c r="EK192" s="116"/>
      <c r="EL192" s="116"/>
      <c r="EM192" s="116"/>
      <c r="EN192" s="116"/>
      <c r="EO192" s="116"/>
      <c r="EP192" s="116"/>
      <c r="EQ192" s="116"/>
      <c r="ER192" s="116"/>
      <c r="ES192" s="116"/>
      <c r="ET192" s="11"/>
      <c r="EU192" s="11"/>
      <c r="EV192" s="11"/>
      <c r="EW192" s="11"/>
      <c r="EX192" s="11"/>
      <c r="EY192" s="11"/>
      <c r="EZ192" s="11"/>
      <c r="FA192" s="11"/>
      <c r="FB192" s="11"/>
      <c r="FC192" s="11"/>
      <c r="FD192" s="11"/>
      <c r="FE192" s="11"/>
      <c r="FF192" s="11"/>
      <c r="FG192" s="11"/>
      <c r="FH192" s="17">
        <f t="shared" si="64"/>
        <v>1193994.83</v>
      </c>
      <c r="FI192" s="31">
        <f t="shared" si="65"/>
        <v>6</v>
      </c>
      <c r="FJ192" s="68">
        <f t="shared" si="66"/>
        <v>198999.13833333334</v>
      </c>
    </row>
    <row r="193" spans="1:166" ht="57" customHeight="1" x14ac:dyDescent="0.25">
      <c r="A193" s="248">
        <f>Distribución_Reactivos!A193</f>
        <v>191</v>
      </c>
      <c r="B193" s="248" t="str">
        <f>Distribución_Reactivos!B193</f>
        <v>Estándar de cadmio de 1000 mg/L solución certificada con trazabilidad e incertidumbre y con Fecha de vencimiento no inferior a 2 años</v>
      </c>
      <c r="C193" s="248" t="str">
        <f>Distribución_Reactivos!C193</f>
        <v>Merck (referencia 1197770100) o equivalente</v>
      </c>
      <c r="D193" s="248" t="str">
        <f>Distribución_Reactivos!D193</f>
        <v>Frasco x 100 ml</v>
      </c>
      <c r="E193" s="29">
        <v>1</v>
      </c>
      <c r="F193" s="212">
        <v>371676.66666666663</v>
      </c>
      <c r="G193" s="214">
        <v>22134</v>
      </c>
      <c r="H193" s="221">
        <v>171262.27499999999</v>
      </c>
      <c r="I193" s="221">
        <v>171241</v>
      </c>
      <c r="J193" s="221">
        <v>126749.875</v>
      </c>
      <c r="K193" s="221">
        <v>0</v>
      </c>
      <c r="L193" s="247">
        <f>AVERAGE(F193,H193,J193)</f>
        <v>223229.60555555555</v>
      </c>
      <c r="M193" s="247">
        <f>AVERAGE(G193,I193)*E1</f>
        <v>99588.125</v>
      </c>
      <c r="N193" s="217"/>
      <c r="O193" s="97"/>
      <c r="P193" s="97"/>
      <c r="Q193" s="115"/>
      <c r="R193" s="115"/>
      <c r="S193" s="53"/>
      <c r="T193" s="97"/>
      <c r="U193" s="101"/>
      <c r="V193" s="97"/>
      <c r="W193" s="115"/>
      <c r="X193" s="115"/>
      <c r="Y193" s="11"/>
      <c r="Z193" s="97"/>
      <c r="AA193" s="97"/>
      <c r="AB193" s="97"/>
      <c r="AC193" s="44"/>
      <c r="AD193" s="44"/>
      <c r="AE193" s="11"/>
      <c r="AF193" s="102"/>
      <c r="AG193" s="125"/>
      <c r="AH193" s="97"/>
      <c r="AI193" s="11"/>
      <c r="AJ193" s="11"/>
      <c r="AK193" s="17"/>
      <c r="AL193" s="97">
        <v>120000</v>
      </c>
      <c r="AM193" s="97">
        <f>+AL193*0.19</f>
        <v>22800</v>
      </c>
      <c r="AN193" s="103">
        <f>+AL193+AM193</f>
        <v>142800</v>
      </c>
      <c r="AO193" s="248" t="s">
        <v>51</v>
      </c>
      <c r="AP193" s="17" t="s">
        <v>52</v>
      </c>
      <c r="AQ193" s="17"/>
      <c r="AR193" s="252">
        <v>95520</v>
      </c>
      <c r="AS193" s="97">
        <f t="shared" si="76"/>
        <v>18148.8</v>
      </c>
      <c r="AT193" s="103">
        <f t="shared" si="77"/>
        <v>113668.8</v>
      </c>
      <c r="AU193" s="52" t="s">
        <v>51</v>
      </c>
      <c r="AV193" s="52" t="s">
        <v>52</v>
      </c>
      <c r="AW193" s="30"/>
      <c r="AX193" s="100"/>
      <c r="AY193" s="100"/>
      <c r="AZ193" s="124"/>
      <c r="BA193" s="169"/>
      <c r="BB193" s="116"/>
      <c r="BC193" s="116"/>
      <c r="BD193" s="247"/>
      <c r="BE193" s="124"/>
      <c r="BF193" s="124"/>
      <c r="BG193" s="116"/>
      <c r="BH193" s="116"/>
      <c r="BI193" s="116"/>
      <c r="BJ193" s="124"/>
      <c r="BK193" s="124"/>
      <c r="BL193" s="124"/>
      <c r="BM193" s="116"/>
      <c r="BN193" s="116"/>
      <c r="BO193" s="116"/>
      <c r="BP193" s="124"/>
      <c r="BQ193" s="116"/>
      <c r="BR193" s="116"/>
      <c r="BS193" s="116"/>
      <c r="BT193" s="116"/>
      <c r="BU193" s="116"/>
      <c r="BV193" s="236">
        <v>223300</v>
      </c>
      <c r="BW193" s="125">
        <f t="shared" si="71"/>
        <v>42427</v>
      </c>
      <c r="BX193" s="97">
        <f t="shared" si="72"/>
        <v>265727</v>
      </c>
      <c r="BY193" s="237" t="s">
        <v>291</v>
      </c>
      <c r="BZ193" s="237" t="s">
        <v>93</v>
      </c>
      <c r="CA193" s="116"/>
      <c r="CB193" s="247"/>
      <c r="CC193" s="125"/>
      <c r="CD193" s="247"/>
      <c r="CE193" s="116"/>
      <c r="CF193" s="116"/>
      <c r="CG193" s="34"/>
      <c r="CH193" s="236">
        <v>236698</v>
      </c>
      <c r="CI193" s="238">
        <f t="shared" si="73"/>
        <v>44972.62</v>
      </c>
      <c r="CJ193" s="236">
        <f t="shared" si="74"/>
        <v>281670.62</v>
      </c>
      <c r="CK193" s="237" t="s">
        <v>291</v>
      </c>
      <c r="CL193" s="237" t="s">
        <v>93</v>
      </c>
      <c r="CM193" s="116"/>
      <c r="CN193" s="247"/>
      <c r="CO193" s="125"/>
      <c r="CP193" s="247"/>
      <c r="CQ193" s="116"/>
      <c r="CR193" s="116"/>
      <c r="CS193" s="116"/>
      <c r="CT193" s="125">
        <v>527680</v>
      </c>
      <c r="CU193" s="125">
        <f t="shared" si="75"/>
        <v>100259.2</v>
      </c>
      <c r="CV193" s="125">
        <f t="shared" si="70"/>
        <v>627939.19999999995</v>
      </c>
      <c r="CW193" s="116"/>
      <c r="CX193" s="116"/>
      <c r="CY193" s="116"/>
      <c r="CZ193" s="102">
        <v>92690</v>
      </c>
      <c r="DA193" s="125">
        <f>+CZ193*0.19</f>
        <v>17611.099999999999</v>
      </c>
      <c r="DB193" s="102">
        <f>+CZ193+DA193</f>
        <v>110301.1</v>
      </c>
      <c r="DC193" s="31" t="s">
        <v>292</v>
      </c>
      <c r="DD193" s="17" t="s">
        <v>65</v>
      </c>
      <c r="DE193" s="11"/>
      <c r="DF193" s="116"/>
      <c r="DG193" s="116"/>
      <c r="DH193" s="116"/>
      <c r="DI193" s="116"/>
      <c r="DJ193" s="116"/>
      <c r="DK193" s="116"/>
      <c r="DL193" s="116"/>
      <c r="DM193" s="116"/>
      <c r="DN193" s="116"/>
      <c r="DO193" s="116"/>
      <c r="DP193" s="116"/>
      <c r="DQ193" s="116"/>
      <c r="DR193" s="116"/>
      <c r="DS193" s="116"/>
      <c r="DT193" s="116"/>
      <c r="DU193" s="116"/>
      <c r="DV193" s="116"/>
      <c r="DW193" s="116"/>
      <c r="DX193" s="116"/>
      <c r="DY193" s="116"/>
      <c r="DZ193" s="116"/>
      <c r="EA193" s="116"/>
      <c r="EB193" s="116"/>
      <c r="EC193" s="116"/>
      <c r="ED193" s="116"/>
      <c r="EE193" s="116"/>
      <c r="EF193" s="116"/>
      <c r="EG193" s="116"/>
      <c r="EH193" s="116"/>
      <c r="EI193" s="116"/>
      <c r="EJ193" s="116"/>
      <c r="EK193" s="116"/>
      <c r="EL193" s="116"/>
      <c r="EM193" s="116"/>
      <c r="EN193" s="116"/>
      <c r="EO193" s="116"/>
      <c r="EP193" s="116"/>
      <c r="EQ193" s="116"/>
      <c r="ER193" s="116"/>
      <c r="ES193" s="116"/>
      <c r="ET193" s="11"/>
      <c r="EU193" s="11"/>
      <c r="EV193" s="11"/>
      <c r="EW193" s="11"/>
      <c r="EX193" s="11"/>
      <c r="EY193" s="11"/>
      <c r="EZ193" s="11"/>
      <c r="FA193" s="11"/>
      <c r="FB193" s="11"/>
      <c r="FC193" s="11"/>
      <c r="FD193" s="11"/>
      <c r="FE193" s="11"/>
      <c r="FF193" s="11"/>
      <c r="FG193" s="11"/>
      <c r="FH193" s="17">
        <f t="shared" si="64"/>
        <v>1641694.8450000002</v>
      </c>
      <c r="FI193" s="31">
        <f t="shared" si="65"/>
        <v>7</v>
      </c>
      <c r="FJ193" s="68">
        <f t="shared" si="66"/>
        <v>234527.83500000002</v>
      </c>
    </row>
    <row r="194" spans="1:166" ht="57" customHeight="1" x14ac:dyDescent="0.25">
      <c r="A194" s="248">
        <f>Distribución_Reactivos!A194</f>
        <v>192</v>
      </c>
      <c r="B194" s="248" t="str">
        <f>Distribución_Reactivos!B194</f>
        <v>Estándar de calcio 1000 mg/L solución certificada con trazabilidad e incertidumbre y con fecha de vencimiento no anterior a noviembre de 2022</v>
      </c>
      <c r="C194" s="248" t="str">
        <f>Distribución_Reactivos!C194</f>
        <v>Merck (referencia 1197780100) o equivalente</v>
      </c>
      <c r="D194" s="248" t="str">
        <f>Distribución_Reactivos!D194</f>
        <v>Frasco x 100 ml</v>
      </c>
      <c r="E194" s="29">
        <v>1</v>
      </c>
      <c r="F194" s="212">
        <v>0</v>
      </c>
      <c r="G194" s="214">
        <v>0</v>
      </c>
      <c r="H194" s="221">
        <v>0</v>
      </c>
      <c r="I194" s="221">
        <v>0</v>
      </c>
      <c r="J194" s="221">
        <v>0</v>
      </c>
      <c r="K194" s="221">
        <v>0</v>
      </c>
      <c r="L194" s="247"/>
      <c r="M194" s="247"/>
      <c r="N194" s="217"/>
      <c r="O194" s="97"/>
      <c r="P194" s="97"/>
      <c r="Q194" s="115"/>
      <c r="R194" s="115"/>
      <c r="S194" s="53"/>
      <c r="T194" s="97"/>
      <c r="U194" s="97"/>
      <c r="V194" s="97"/>
      <c r="W194" s="115"/>
      <c r="X194" s="115"/>
      <c r="Y194" s="11"/>
      <c r="Z194" s="97"/>
      <c r="AA194" s="97"/>
      <c r="AB194" s="97"/>
      <c r="AC194" s="44"/>
      <c r="AD194" s="44"/>
      <c r="AE194" s="11"/>
      <c r="AF194" s="102"/>
      <c r="AG194" s="125"/>
      <c r="AH194" s="97"/>
      <c r="AI194" s="11"/>
      <c r="AJ194" s="11"/>
      <c r="AK194" s="17"/>
      <c r="AL194" s="97">
        <v>95000</v>
      </c>
      <c r="AM194" s="97">
        <f>+AL194*0.19</f>
        <v>18050</v>
      </c>
      <c r="AN194" s="103">
        <f>+AL194+AM194</f>
        <v>113050</v>
      </c>
      <c r="AO194" s="248" t="s">
        <v>51</v>
      </c>
      <c r="AP194" s="17" t="s">
        <v>52</v>
      </c>
      <c r="AQ194" s="17"/>
      <c r="AR194" s="252">
        <v>95520</v>
      </c>
      <c r="AS194" s="97">
        <f t="shared" si="76"/>
        <v>18148.8</v>
      </c>
      <c r="AT194" s="103">
        <f t="shared" si="77"/>
        <v>113668.8</v>
      </c>
      <c r="AU194" s="52" t="s">
        <v>51</v>
      </c>
      <c r="AV194" s="52" t="s">
        <v>52</v>
      </c>
      <c r="AW194" s="30"/>
      <c r="AX194" s="100"/>
      <c r="AY194" s="100"/>
      <c r="AZ194" s="124"/>
      <c r="BA194" s="169"/>
      <c r="BB194" s="116"/>
      <c r="BC194" s="116"/>
      <c r="BD194" s="247"/>
      <c r="BE194" s="124"/>
      <c r="BF194" s="124"/>
      <c r="BG194" s="116"/>
      <c r="BH194" s="116"/>
      <c r="BI194" s="116"/>
      <c r="BJ194" s="124"/>
      <c r="BK194" s="124"/>
      <c r="BL194" s="124"/>
      <c r="BM194" s="116"/>
      <c r="BN194" s="116"/>
      <c r="BO194" s="116"/>
      <c r="BP194" s="124"/>
      <c r="BQ194" s="116"/>
      <c r="BR194" s="116"/>
      <c r="BS194" s="116"/>
      <c r="BT194" s="116"/>
      <c r="BU194" s="116"/>
      <c r="BV194" s="236">
        <v>277800</v>
      </c>
      <c r="BW194" s="125">
        <f t="shared" si="71"/>
        <v>52782</v>
      </c>
      <c r="BX194" s="97">
        <f t="shared" si="72"/>
        <v>330582</v>
      </c>
      <c r="BY194" s="237" t="s">
        <v>291</v>
      </c>
      <c r="BZ194" s="237" t="s">
        <v>93</v>
      </c>
      <c r="CA194" s="116"/>
      <c r="CB194" s="247"/>
      <c r="CC194" s="125"/>
      <c r="CD194" s="247"/>
      <c r="CE194" s="116"/>
      <c r="CF194" s="116"/>
      <c r="CG194" s="34"/>
      <c r="CH194" s="236">
        <v>280578</v>
      </c>
      <c r="CI194" s="238">
        <f t="shared" si="73"/>
        <v>53309.82</v>
      </c>
      <c r="CJ194" s="236">
        <f t="shared" si="74"/>
        <v>333887.82</v>
      </c>
      <c r="CK194" s="237" t="s">
        <v>291</v>
      </c>
      <c r="CL194" s="237" t="s">
        <v>93</v>
      </c>
      <c r="CM194" s="116"/>
      <c r="CN194" s="247"/>
      <c r="CO194" s="125"/>
      <c r="CP194" s="247"/>
      <c r="CQ194" s="116"/>
      <c r="CR194" s="116"/>
      <c r="CS194" s="116"/>
      <c r="CT194" s="125">
        <v>209000</v>
      </c>
      <c r="CU194" s="125">
        <f t="shared" si="75"/>
        <v>39710</v>
      </c>
      <c r="CV194" s="125">
        <f t="shared" si="70"/>
        <v>248710</v>
      </c>
      <c r="CW194" s="116"/>
      <c r="CX194" s="116"/>
      <c r="CY194" s="116"/>
      <c r="CZ194" s="102">
        <v>115310</v>
      </c>
      <c r="DA194" s="125">
        <f>+CZ194*0.19</f>
        <v>21908.9</v>
      </c>
      <c r="DB194" s="102">
        <f>+CZ194+DA194</f>
        <v>137218.9</v>
      </c>
      <c r="DC194" s="31" t="s">
        <v>292</v>
      </c>
      <c r="DD194" s="17" t="s">
        <v>65</v>
      </c>
      <c r="DE194" s="11">
        <v>1197780100</v>
      </c>
      <c r="DF194" s="116"/>
      <c r="DG194" s="116"/>
      <c r="DH194" s="116"/>
      <c r="DI194" s="116"/>
      <c r="DJ194" s="116"/>
      <c r="DK194" s="116"/>
      <c r="DL194" s="116"/>
      <c r="DM194" s="116"/>
      <c r="DN194" s="116"/>
      <c r="DO194" s="116"/>
      <c r="DP194" s="116"/>
      <c r="DQ194" s="116"/>
      <c r="DR194" s="116"/>
      <c r="DS194" s="116"/>
      <c r="DT194" s="116"/>
      <c r="DU194" s="116"/>
      <c r="DV194" s="116"/>
      <c r="DW194" s="116"/>
      <c r="DX194" s="116"/>
      <c r="DY194" s="116"/>
      <c r="DZ194" s="116"/>
      <c r="EA194" s="116"/>
      <c r="EB194" s="116"/>
      <c r="EC194" s="116"/>
      <c r="ED194" s="116"/>
      <c r="EE194" s="116"/>
      <c r="EF194" s="116"/>
      <c r="EG194" s="116"/>
      <c r="EH194" s="116"/>
      <c r="EI194" s="116"/>
      <c r="EJ194" s="116"/>
      <c r="EK194" s="116"/>
      <c r="EL194" s="116"/>
      <c r="EM194" s="116"/>
      <c r="EN194" s="116"/>
      <c r="EO194" s="116"/>
      <c r="EP194" s="116"/>
      <c r="EQ194" s="116"/>
      <c r="ER194" s="116"/>
      <c r="ES194" s="116"/>
      <c r="ET194" s="11"/>
      <c r="EU194" s="11"/>
      <c r="EV194" s="11"/>
      <c r="EW194" s="11"/>
      <c r="EX194" s="11"/>
      <c r="EY194" s="11"/>
      <c r="EZ194" s="11"/>
      <c r="FA194" s="11"/>
      <c r="FB194" s="11"/>
      <c r="FC194" s="11"/>
      <c r="FD194" s="11"/>
      <c r="FE194" s="11"/>
      <c r="FF194" s="11"/>
      <c r="FG194" s="11"/>
      <c r="FH194" s="17">
        <f t="shared" si="64"/>
        <v>1277117.52</v>
      </c>
      <c r="FI194" s="31">
        <f t="shared" si="65"/>
        <v>6</v>
      </c>
      <c r="FJ194" s="68">
        <f t="shared" si="66"/>
        <v>212852.92</v>
      </c>
    </row>
    <row r="195" spans="1:166" ht="57" customHeight="1" x14ac:dyDescent="0.25">
      <c r="A195" s="248">
        <f>Distribución_Reactivos!A195</f>
        <v>193</v>
      </c>
      <c r="B195" s="248" t="str">
        <f>Distribución_Reactivos!B195</f>
        <v>Estándar de cobalto 1000 mg/L solución certificada con trazabilidad e incertidumbre y fecha de vencimiento no inferior a 2 años</v>
      </c>
      <c r="C195" s="248" t="str">
        <f>Distribución_Reactivos!C195</f>
        <v>Merck (referencia 1197780100) o equivalente</v>
      </c>
      <c r="D195" s="248" t="str">
        <f>Distribución_Reactivos!D195</f>
        <v>Frasco x 100 ml</v>
      </c>
      <c r="E195" s="29">
        <v>1</v>
      </c>
      <c r="F195" s="212">
        <v>543889.5</v>
      </c>
      <c r="G195" s="214">
        <v>516579</v>
      </c>
      <c r="H195" s="221">
        <v>145189.375</v>
      </c>
      <c r="I195" s="221">
        <v>145180</v>
      </c>
      <c r="J195" s="221">
        <v>263979.1875</v>
      </c>
      <c r="K195" s="221">
        <v>0</v>
      </c>
      <c r="L195" s="247">
        <f>AVERAGE(F195,H195,J195)</f>
        <v>317686.02083333331</v>
      </c>
      <c r="M195" s="247">
        <f>AVERAGE(G195,I195)*E1</f>
        <v>340805.88500000001</v>
      </c>
      <c r="N195" s="217"/>
      <c r="O195" s="97"/>
      <c r="P195" s="97"/>
      <c r="Q195" s="115"/>
      <c r="R195" s="115"/>
      <c r="S195" s="53"/>
      <c r="T195" s="97"/>
      <c r="U195" s="101"/>
      <c r="V195" s="97"/>
      <c r="W195" s="115"/>
      <c r="X195" s="115"/>
      <c r="Y195" s="11"/>
      <c r="Z195" s="97"/>
      <c r="AA195" s="97"/>
      <c r="AB195" s="97"/>
      <c r="AC195" s="44"/>
      <c r="AD195" s="44"/>
      <c r="AE195" s="11"/>
      <c r="AF195" s="102"/>
      <c r="AG195" s="125"/>
      <c r="AH195" s="97"/>
      <c r="AI195" s="11"/>
      <c r="AJ195" s="11"/>
      <c r="AK195" s="17"/>
      <c r="AL195" s="97">
        <v>120000</v>
      </c>
      <c r="AM195" s="97">
        <f>+AL195*0.19</f>
        <v>22800</v>
      </c>
      <c r="AN195" s="103">
        <f>+AL195+AM195</f>
        <v>142800</v>
      </c>
      <c r="AO195" s="248" t="s">
        <v>51</v>
      </c>
      <c r="AP195" s="17" t="s">
        <v>293</v>
      </c>
      <c r="AQ195" s="17"/>
      <c r="AR195" s="252">
        <v>95520</v>
      </c>
      <c r="AS195" s="97">
        <f t="shared" si="76"/>
        <v>18148.8</v>
      </c>
      <c r="AT195" s="103">
        <f t="shared" si="77"/>
        <v>113668.8</v>
      </c>
      <c r="AU195" s="52" t="s">
        <v>51</v>
      </c>
      <c r="AV195" s="52" t="s">
        <v>52</v>
      </c>
      <c r="AW195" s="30"/>
      <c r="AX195" s="100"/>
      <c r="AY195" s="100"/>
      <c r="AZ195" s="124"/>
      <c r="BA195" s="169"/>
      <c r="BB195" s="116"/>
      <c r="BC195" s="116"/>
      <c r="BD195" s="247"/>
      <c r="BE195" s="124"/>
      <c r="BF195" s="124"/>
      <c r="BG195" s="116"/>
      <c r="BH195" s="116"/>
      <c r="BI195" s="116"/>
      <c r="BJ195" s="124"/>
      <c r="BK195" s="124"/>
      <c r="BL195" s="124"/>
      <c r="BM195" s="116"/>
      <c r="BN195" s="116"/>
      <c r="BO195" s="116"/>
      <c r="BP195" s="124"/>
      <c r="BQ195" s="116"/>
      <c r="BR195" s="116"/>
      <c r="BS195" s="116"/>
      <c r="BT195" s="116"/>
      <c r="BU195" s="116"/>
      <c r="BV195" s="236">
        <v>277800</v>
      </c>
      <c r="BW195" s="125">
        <f t="shared" si="71"/>
        <v>52782</v>
      </c>
      <c r="BX195" s="97">
        <f t="shared" si="72"/>
        <v>330582</v>
      </c>
      <c r="BY195" s="237" t="s">
        <v>291</v>
      </c>
      <c r="BZ195" s="237" t="s">
        <v>93</v>
      </c>
      <c r="CA195" s="116"/>
      <c r="CB195" s="247"/>
      <c r="CC195" s="125"/>
      <c r="CD195" s="247"/>
      <c r="CE195" s="116"/>
      <c r="CF195" s="116"/>
      <c r="CG195" s="34"/>
      <c r="CH195" s="236">
        <v>288912</v>
      </c>
      <c r="CI195" s="238">
        <f t="shared" si="73"/>
        <v>54893.279999999999</v>
      </c>
      <c r="CJ195" s="236">
        <f t="shared" si="74"/>
        <v>343805.28</v>
      </c>
      <c r="CK195" s="237" t="s">
        <v>291</v>
      </c>
      <c r="CL195" s="237" t="s">
        <v>93</v>
      </c>
      <c r="CM195" s="116"/>
      <c r="CN195" s="247"/>
      <c r="CO195" s="125"/>
      <c r="CP195" s="247"/>
      <c r="CQ195" s="116"/>
      <c r="CR195" s="116"/>
      <c r="CS195" s="116"/>
      <c r="CT195" s="125">
        <v>331840</v>
      </c>
      <c r="CU195" s="125">
        <f t="shared" si="75"/>
        <v>63049.599999999999</v>
      </c>
      <c r="CV195" s="125">
        <f t="shared" si="70"/>
        <v>394889.6</v>
      </c>
      <c r="CW195" s="116"/>
      <c r="CX195" s="116"/>
      <c r="CY195" s="116"/>
      <c r="CZ195" s="102"/>
      <c r="DA195" s="125"/>
      <c r="DB195" s="102"/>
      <c r="DC195" s="31"/>
      <c r="DD195" s="17"/>
      <c r="DE195" s="11"/>
      <c r="DF195" s="116"/>
      <c r="DG195" s="116"/>
      <c r="DH195" s="116"/>
      <c r="DI195" s="116"/>
      <c r="DJ195" s="116"/>
      <c r="DK195" s="116"/>
      <c r="DL195" s="116"/>
      <c r="DM195" s="116"/>
      <c r="DN195" s="116"/>
      <c r="DO195" s="116"/>
      <c r="DP195" s="116"/>
      <c r="DQ195" s="116"/>
      <c r="DR195" s="116"/>
      <c r="DS195" s="116"/>
      <c r="DT195" s="116"/>
      <c r="DU195" s="116"/>
      <c r="DV195" s="116"/>
      <c r="DW195" s="116"/>
      <c r="DX195" s="116"/>
      <c r="DY195" s="116"/>
      <c r="DZ195" s="116"/>
      <c r="EA195" s="116"/>
      <c r="EB195" s="116"/>
      <c r="EC195" s="116"/>
      <c r="ED195" s="116"/>
      <c r="EE195" s="116"/>
      <c r="EF195" s="116"/>
      <c r="EG195" s="116"/>
      <c r="EH195" s="116"/>
      <c r="EI195" s="116"/>
      <c r="EJ195" s="116"/>
      <c r="EK195" s="116"/>
      <c r="EL195" s="116"/>
      <c r="EM195" s="116"/>
      <c r="EN195" s="116"/>
      <c r="EO195" s="116"/>
      <c r="EP195" s="116"/>
      <c r="EQ195" s="116"/>
      <c r="ER195" s="116"/>
      <c r="ES195" s="116"/>
      <c r="ET195" s="11"/>
      <c r="EU195" s="11"/>
      <c r="EV195" s="11"/>
      <c r="EW195" s="11"/>
      <c r="EX195" s="11"/>
      <c r="EY195" s="11"/>
      <c r="EZ195" s="11"/>
      <c r="FA195" s="11"/>
      <c r="FB195" s="11"/>
      <c r="FC195" s="11"/>
      <c r="FD195" s="11"/>
      <c r="FE195" s="11"/>
      <c r="FF195" s="11"/>
      <c r="FG195" s="11"/>
      <c r="FH195" s="17">
        <f t="shared" si="64"/>
        <v>1666551.5649999999</v>
      </c>
      <c r="FI195" s="31">
        <f t="shared" si="65"/>
        <v>6</v>
      </c>
      <c r="FJ195" s="68">
        <f t="shared" si="66"/>
        <v>277758.59416666668</v>
      </c>
    </row>
    <row r="196" spans="1:166" ht="57" customHeight="1" x14ac:dyDescent="0.25">
      <c r="A196" s="248">
        <f>Distribución_Reactivos!A196</f>
        <v>194</v>
      </c>
      <c r="B196" s="248" t="str">
        <f>Distribución_Reactivos!B196</f>
        <v>Estándar de cobre 1000 mg/L solución trazable a SRM de NIST certificada con trazabilidad e incertidumbre y fecha de vencimiento no inferior a 2 años</v>
      </c>
      <c r="C196" s="248" t="str">
        <f>Distribución_Reactivos!C196</f>
        <v>Merck (referencia 1197860100) o equivalente</v>
      </c>
      <c r="D196" s="248" t="str">
        <f>Distribución_Reactivos!D196</f>
        <v>Frasco x 100 ml</v>
      </c>
      <c r="E196" s="29">
        <v>1</v>
      </c>
      <c r="F196" s="212">
        <v>0</v>
      </c>
      <c r="G196" s="214">
        <v>0</v>
      </c>
      <c r="H196" s="221">
        <v>0</v>
      </c>
      <c r="I196" s="221">
        <v>0</v>
      </c>
      <c r="J196" s="221">
        <v>161252.93333333332</v>
      </c>
      <c r="K196" s="221">
        <v>158032</v>
      </c>
      <c r="L196" s="247">
        <f t="shared" ref="L196:L202" si="78">J196</f>
        <v>161252.93333333332</v>
      </c>
      <c r="M196" s="247">
        <f>K196*E1</f>
        <v>162772.96</v>
      </c>
      <c r="N196" s="217"/>
      <c r="O196" s="97"/>
      <c r="P196" s="97"/>
      <c r="Q196" s="115"/>
      <c r="R196" s="115"/>
      <c r="S196" s="53"/>
      <c r="T196" s="97"/>
      <c r="U196" s="97"/>
      <c r="V196" s="97"/>
      <c r="W196" s="115"/>
      <c r="X196" s="115"/>
      <c r="Y196" s="11"/>
      <c r="Z196" s="97"/>
      <c r="AA196" s="97"/>
      <c r="AB196" s="97"/>
      <c r="AC196" s="44"/>
      <c r="AD196" s="44"/>
      <c r="AE196" s="11"/>
      <c r="AF196" s="102"/>
      <c r="AG196" s="125"/>
      <c r="AH196" s="97"/>
      <c r="AI196" s="11"/>
      <c r="AJ196" s="11"/>
      <c r="AK196" s="17"/>
      <c r="AL196" s="97">
        <v>95000</v>
      </c>
      <c r="AM196" s="97">
        <f>+AL196*0.19</f>
        <v>18050</v>
      </c>
      <c r="AN196" s="103">
        <f>+AL196+AM196</f>
        <v>113050</v>
      </c>
      <c r="AO196" s="248" t="s">
        <v>51</v>
      </c>
      <c r="AP196" s="17" t="s">
        <v>52</v>
      </c>
      <c r="AQ196" s="17"/>
      <c r="AR196" s="252">
        <v>95520</v>
      </c>
      <c r="AS196" s="97">
        <f t="shared" si="76"/>
        <v>18148.8</v>
      </c>
      <c r="AT196" s="103">
        <f t="shared" si="77"/>
        <v>113668.8</v>
      </c>
      <c r="AU196" s="52" t="s">
        <v>51</v>
      </c>
      <c r="AV196" s="52" t="s">
        <v>52</v>
      </c>
      <c r="AW196" s="30"/>
      <c r="AX196" s="100"/>
      <c r="AY196" s="172"/>
      <c r="AZ196" s="124"/>
      <c r="BA196" s="169"/>
      <c r="BB196" s="116"/>
      <c r="BC196" s="116"/>
      <c r="BD196" s="247"/>
      <c r="BE196" s="124"/>
      <c r="BF196" s="124"/>
      <c r="BG196" s="116"/>
      <c r="BH196" s="116"/>
      <c r="BI196" s="116"/>
      <c r="BJ196" s="124"/>
      <c r="BK196" s="124"/>
      <c r="BL196" s="124"/>
      <c r="BM196" s="116"/>
      <c r="BN196" s="116"/>
      <c r="BO196" s="116"/>
      <c r="BP196" s="124"/>
      <c r="BQ196" s="116"/>
      <c r="BR196" s="116"/>
      <c r="BS196" s="116"/>
      <c r="BT196" s="116"/>
      <c r="BU196" s="116"/>
      <c r="BV196" s="236">
        <v>277800</v>
      </c>
      <c r="BW196" s="125">
        <f t="shared" si="71"/>
        <v>52782</v>
      </c>
      <c r="BX196" s="97">
        <f t="shared" si="72"/>
        <v>330582</v>
      </c>
      <c r="BY196" s="237" t="s">
        <v>291</v>
      </c>
      <c r="BZ196" s="237" t="s">
        <v>93</v>
      </c>
      <c r="CA196" s="116"/>
      <c r="CB196" s="247"/>
      <c r="CC196" s="125"/>
      <c r="CD196" s="247"/>
      <c r="CE196" s="116"/>
      <c r="CF196" s="116"/>
      <c r="CG196" s="34"/>
      <c r="CH196" s="236">
        <v>297246</v>
      </c>
      <c r="CI196" s="238">
        <f t="shared" si="73"/>
        <v>56476.74</v>
      </c>
      <c r="CJ196" s="236">
        <f t="shared" si="74"/>
        <v>353722.74</v>
      </c>
      <c r="CK196" s="237" t="s">
        <v>291</v>
      </c>
      <c r="CL196" s="237" t="s">
        <v>93</v>
      </c>
      <c r="CM196" s="116"/>
      <c r="CN196" s="247"/>
      <c r="CO196" s="125"/>
      <c r="CP196" s="247"/>
      <c r="CQ196" s="116"/>
      <c r="CR196" s="116"/>
      <c r="CS196" s="116"/>
      <c r="CT196" s="125">
        <v>212160</v>
      </c>
      <c r="CU196" s="125">
        <f t="shared" si="75"/>
        <v>40310.400000000001</v>
      </c>
      <c r="CV196" s="125">
        <f t="shared" si="70"/>
        <v>252470.39999999999</v>
      </c>
      <c r="CW196" s="116"/>
      <c r="CX196" s="116"/>
      <c r="CY196" s="116"/>
      <c r="CZ196" s="102">
        <v>115310</v>
      </c>
      <c r="DA196" s="125">
        <f>+CZ196*0.19</f>
        <v>21908.9</v>
      </c>
      <c r="DB196" s="102">
        <f>+CZ196+DA196</f>
        <v>137218.9</v>
      </c>
      <c r="DC196" s="31" t="s">
        <v>292</v>
      </c>
      <c r="DD196" s="17" t="s">
        <v>65</v>
      </c>
      <c r="DE196" s="11"/>
      <c r="DF196" s="116"/>
      <c r="DG196" s="116"/>
      <c r="DH196" s="116"/>
      <c r="DI196" s="116"/>
      <c r="DJ196" s="116"/>
      <c r="DK196" s="116"/>
      <c r="DL196" s="116"/>
      <c r="DM196" s="116"/>
      <c r="DN196" s="116"/>
      <c r="DO196" s="116"/>
      <c r="DP196" s="116"/>
      <c r="DQ196" s="116"/>
      <c r="DR196" s="116"/>
      <c r="DS196" s="116"/>
      <c r="DT196" s="116"/>
      <c r="DU196" s="116"/>
      <c r="DV196" s="116"/>
      <c r="DW196" s="116"/>
      <c r="DX196" s="116"/>
      <c r="DY196" s="116"/>
      <c r="DZ196" s="116"/>
      <c r="EA196" s="116"/>
      <c r="EB196" s="116"/>
      <c r="EC196" s="116"/>
      <c r="ED196" s="116"/>
      <c r="EE196" s="116"/>
      <c r="EF196" s="116"/>
      <c r="EG196" s="116"/>
      <c r="EH196" s="116"/>
      <c r="EI196" s="116"/>
      <c r="EJ196" s="116"/>
      <c r="EK196" s="116"/>
      <c r="EL196" s="116"/>
      <c r="EM196" s="116"/>
      <c r="EN196" s="116"/>
      <c r="EO196" s="116"/>
      <c r="EP196" s="116"/>
      <c r="EQ196" s="116"/>
      <c r="ER196" s="116"/>
      <c r="ES196" s="116"/>
      <c r="ET196" s="11"/>
      <c r="EU196" s="11"/>
      <c r="EV196" s="11"/>
      <c r="EW196" s="11"/>
      <c r="EX196" s="11"/>
      <c r="EY196" s="11"/>
      <c r="EZ196" s="11"/>
      <c r="FA196" s="11"/>
      <c r="FB196" s="11"/>
      <c r="FC196" s="11"/>
      <c r="FD196" s="11"/>
      <c r="FE196" s="11"/>
      <c r="FF196" s="11"/>
      <c r="FG196" s="11"/>
      <c r="FH196" s="17">
        <f t="shared" si="64"/>
        <v>1463485.7999999998</v>
      </c>
      <c r="FI196" s="31">
        <f t="shared" si="65"/>
        <v>7</v>
      </c>
      <c r="FJ196" s="68">
        <f t="shared" si="66"/>
        <v>209069.39999999997</v>
      </c>
    </row>
    <row r="197" spans="1:166" ht="51" x14ac:dyDescent="0.25">
      <c r="A197" s="248">
        <f>Distribución_Reactivos!A197</f>
        <v>195</v>
      </c>
      <c r="B197" s="248" t="str">
        <f>Distribución_Reactivos!B197</f>
        <v>Estandar de dienestrol trazable, con certificado con método de análisis e incertidumbre, vigencia no menor a Diciembre de 2022</v>
      </c>
      <c r="C197" s="248" t="str">
        <f>Distribución_Reactivos!C197</f>
        <v xml:space="preserve">Dr Ehrenstorfer 
 REF:
DRE‐C12598000 </v>
      </c>
      <c r="D197" s="248" t="str">
        <f>Distribución_Reactivos!D197</f>
        <v>Frasco  x 25 mg</v>
      </c>
      <c r="E197" s="29">
        <v>1</v>
      </c>
      <c r="F197" s="212">
        <v>0</v>
      </c>
      <c r="G197" s="214">
        <v>0</v>
      </c>
      <c r="H197" s="221">
        <v>0</v>
      </c>
      <c r="I197" s="221">
        <v>0</v>
      </c>
      <c r="J197" s="221">
        <v>920507.245</v>
      </c>
      <c r="K197" s="221">
        <v>887740</v>
      </c>
      <c r="L197" s="247">
        <f t="shared" si="78"/>
        <v>920507.245</v>
      </c>
      <c r="M197" s="247">
        <f>K197*E1</f>
        <v>914372.20000000007</v>
      </c>
      <c r="N197" s="217"/>
      <c r="O197" s="97"/>
      <c r="P197" s="97"/>
      <c r="Q197" s="115"/>
      <c r="R197" s="115"/>
      <c r="S197" s="53"/>
      <c r="T197" s="97"/>
      <c r="U197" s="97"/>
      <c r="V197" s="97"/>
      <c r="W197" s="115"/>
      <c r="X197" s="115"/>
      <c r="Y197" s="11"/>
      <c r="Z197" s="97"/>
      <c r="AA197" s="97"/>
      <c r="AB197" s="97"/>
      <c r="AC197" s="44"/>
      <c r="AD197" s="44"/>
      <c r="AE197" s="11"/>
      <c r="AF197" s="102"/>
      <c r="AG197" s="125"/>
      <c r="AH197" s="97"/>
      <c r="AI197" s="11"/>
      <c r="AJ197" s="11"/>
      <c r="AK197" s="17"/>
      <c r="AL197" s="97"/>
      <c r="AM197" s="97"/>
      <c r="AN197" s="103"/>
      <c r="AO197" s="248"/>
      <c r="AP197" s="17"/>
      <c r="AQ197" s="17"/>
      <c r="AR197" s="252">
        <v>511200</v>
      </c>
      <c r="AS197" s="97">
        <f t="shared" si="76"/>
        <v>97128</v>
      </c>
      <c r="AT197" s="103">
        <f t="shared" si="77"/>
        <v>608328</v>
      </c>
      <c r="AU197" s="52" t="s">
        <v>184</v>
      </c>
      <c r="AV197" s="52" t="s">
        <v>42</v>
      </c>
      <c r="AW197" s="30"/>
      <c r="AX197" s="100"/>
      <c r="AY197" s="174"/>
      <c r="AZ197" s="124"/>
      <c r="BA197" s="169"/>
      <c r="BB197" s="116"/>
      <c r="BC197" s="116"/>
      <c r="BD197" s="247"/>
      <c r="BE197" s="124"/>
      <c r="BF197" s="124"/>
      <c r="BG197" s="116"/>
      <c r="BH197" s="116"/>
      <c r="BI197" s="116"/>
      <c r="BJ197" s="124"/>
      <c r="BK197" s="124"/>
      <c r="BL197" s="124"/>
      <c r="BM197" s="116"/>
      <c r="BN197" s="116"/>
      <c r="BO197" s="116"/>
      <c r="BP197" s="124"/>
      <c r="BQ197" s="116"/>
      <c r="BR197" s="116"/>
      <c r="BS197" s="116"/>
      <c r="BT197" s="116"/>
      <c r="BU197" s="116"/>
      <c r="BV197" s="236">
        <v>841500</v>
      </c>
      <c r="BW197" s="125">
        <f t="shared" si="71"/>
        <v>159885</v>
      </c>
      <c r="BX197" s="97">
        <f t="shared" si="72"/>
        <v>1001385</v>
      </c>
      <c r="BY197" s="237" t="s">
        <v>294</v>
      </c>
      <c r="BZ197" s="237" t="s">
        <v>295</v>
      </c>
      <c r="CA197" s="116"/>
      <c r="CB197" s="247"/>
      <c r="CC197" s="125"/>
      <c r="CD197" s="247"/>
      <c r="CE197" s="116"/>
      <c r="CF197" s="116"/>
      <c r="CG197" s="34"/>
      <c r="CH197" s="236">
        <v>875160</v>
      </c>
      <c r="CI197" s="238">
        <f t="shared" si="73"/>
        <v>166280.4</v>
      </c>
      <c r="CJ197" s="236">
        <f t="shared" si="74"/>
        <v>1041440.4</v>
      </c>
      <c r="CK197" s="237" t="s">
        <v>294</v>
      </c>
      <c r="CL197" s="237" t="s">
        <v>295</v>
      </c>
      <c r="CM197" s="116"/>
      <c r="CN197" s="247"/>
      <c r="CO197" s="125"/>
      <c r="CP197" s="247"/>
      <c r="CQ197" s="116"/>
      <c r="CR197" s="116"/>
      <c r="CS197" s="116"/>
      <c r="CT197" s="125">
        <v>250239.99999999997</v>
      </c>
      <c r="CU197" s="125">
        <f t="shared" si="75"/>
        <v>47545.599999999999</v>
      </c>
      <c r="CV197" s="125">
        <f t="shared" si="70"/>
        <v>297785.59999999998</v>
      </c>
      <c r="CW197" s="116"/>
      <c r="CX197" s="116"/>
      <c r="CY197" s="116"/>
      <c r="CZ197" s="102"/>
      <c r="DA197" s="125"/>
      <c r="DB197" s="102"/>
      <c r="DC197" s="31"/>
      <c r="DD197" s="17"/>
      <c r="DE197" s="11"/>
      <c r="DF197" s="116"/>
      <c r="DG197" s="116"/>
      <c r="DH197" s="116"/>
      <c r="DI197" s="116"/>
      <c r="DJ197" s="116"/>
      <c r="DK197" s="116"/>
      <c r="DL197" s="116"/>
      <c r="DM197" s="116"/>
      <c r="DN197" s="116"/>
      <c r="DO197" s="116"/>
      <c r="DP197" s="116"/>
      <c r="DQ197" s="116"/>
      <c r="DR197" s="116"/>
      <c r="DS197" s="116"/>
      <c r="DT197" s="116"/>
      <c r="DU197" s="116"/>
      <c r="DV197" s="116"/>
      <c r="DW197" s="116"/>
      <c r="DX197" s="116"/>
      <c r="DY197" s="116"/>
      <c r="DZ197" s="116"/>
      <c r="EA197" s="116"/>
      <c r="EB197" s="116"/>
      <c r="EC197" s="116"/>
      <c r="ED197" s="116"/>
      <c r="EE197" s="116"/>
      <c r="EF197" s="116"/>
      <c r="EG197" s="116"/>
      <c r="EH197" s="116"/>
      <c r="EI197" s="116"/>
      <c r="EJ197" s="116"/>
      <c r="EK197" s="116"/>
      <c r="EL197" s="116"/>
      <c r="EM197" s="116"/>
      <c r="EN197" s="116"/>
      <c r="EO197" s="116"/>
      <c r="EP197" s="116"/>
      <c r="EQ197" s="116"/>
      <c r="ER197" s="116"/>
      <c r="ES197" s="116"/>
      <c r="ET197" s="11"/>
      <c r="EU197" s="11"/>
      <c r="EV197" s="11"/>
      <c r="EW197" s="11"/>
      <c r="EX197" s="11"/>
      <c r="EY197" s="11"/>
      <c r="EZ197" s="11"/>
      <c r="FA197" s="11"/>
      <c r="FB197" s="11"/>
      <c r="FC197" s="11"/>
      <c r="FD197" s="11"/>
      <c r="FE197" s="11"/>
      <c r="FF197" s="11"/>
      <c r="FG197" s="11"/>
      <c r="FH197" s="17">
        <f t="shared" si="64"/>
        <v>3863311.2</v>
      </c>
      <c r="FI197" s="31">
        <f t="shared" si="65"/>
        <v>5</v>
      </c>
      <c r="FJ197" s="68">
        <f t="shared" si="66"/>
        <v>772662.24</v>
      </c>
    </row>
    <row r="198" spans="1:166" ht="51" x14ac:dyDescent="0.25">
      <c r="A198" s="248">
        <f>Distribución_Reactivos!A198</f>
        <v>196</v>
      </c>
      <c r="B198" s="248" t="str">
        <f>Distribución_Reactivos!B198</f>
        <v>Estandar de Dietilestilbestrol trazable, con certificado con método de análisis e incertidumbre, vigencia no menor a Diciembre de 2022</v>
      </c>
      <c r="C198" s="248" t="str">
        <f>Distribución_Reactivos!C198</f>
        <v xml:space="preserve">        Dr Ehrenstorfer  REF:
DRE‐C12607000 </v>
      </c>
      <c r="D198" s="248" t="str">
        <f>Distribución_Reactivos!D198</f>
        <v>Frasco  x 100 mg</v>
      </c>
      <c r="E198" s="29">
        <v>1</v>
      </c>
      <c r="F198" s="212">
        <v>0</v>
      </c>
      <c r="G198" s="214">
        <v>0</v>
      </c>
      <c r="H198" s="221">
        <v>0</v>
      </c>
      <c r="I198" s="221">
        <v>0</v>
      </c>
      <c r="J198" s="221">
        <v>812235.69</v>
      </c>
      <c r="K198" s="221">
        <v>784210</v>
      </c>
      <c r="L198" s="247">
        <f t="shared" si="78"/>
        <v>812235.69</v>
      </c>
      <c r="M198" s="247">
        <f>K198*E1</f>
        <v>807736.3</v>
      </c>
      <c r="N198" s="217"/>
      <c r="O198" s="97"/>
      <c r="P198" s="97"/>
      <c r="Q198" s="115"/>
      <c r="R198" s="115"/>
      <c r="S198" s="53"/>
      <c r="T198" s="97"/>
      <c r="U198" s="97"/>
      <c r="V198" s="97"/>
      <c r="W198" s="115"/>
      <c r="X198" s="115"/>
      <c r="Y198" s="11"/>
      <c r="Z198" s="97"/>
      <c r="AA198" s="97"/>
      <c r="AB198" s="97"/>
      <c r="AC198" s="44"/>
      <c r="AD198" s="44"/>
      <c r="AE198" s="11"/>
      <c r="AF198" s="102"/>
      <c r="AG198" s="125"/>
      <c r="AH198" s="97"/>
      <c r="AI198" s="11"/>
      <c r="AJ198" s="11"/>
      <c r="AK198" s="17"/>
      <c r="AL198" s="97"/>
      <c r="AM198" s="97"/>
      <c r="AN198" s="103"/>
      <c r="AO198" s="248"/>
      <c r="AP198" s="17"/>
      <c r="AQ198" s="17"/>
      <c r="AR198" s="252"/>
      <c r="AS198" s="135"/>
      <c r="AT198" s="124"/>
      <c r="AU198" s="52"/>
      <c r="AV198" s="52"/>
      <c r="AW198" s="30"/>
      <c r="AX198" s="100"/>
      <c r="AY198" s="174"/>
      <c r="AZ198" s="124"/>
      <c r="BA198" s="169"/>
      <c r="BB198" s="116"/>
      <c r="BC198" s="116"/>
      <c r="BD198" s="247"/>
      <c r="BE198" s="124"/>
      <c r="BF198" s="124"/>
      <c r="BG198" s="116"/>
      <c r="BH198" s="116"/>
      <c r="BI198" s="116"/>
      <c r="BJ198" s="124"/>
      <c r="BK198" s="124"/>
      <c r="BL198" s="124"/>
      <c r="BM198" s="116"/>
      <c r="BN198" s="116"/>
      <c r="BO198" s="116"/>
      <c r="BP198" s="124"/>
      <c r="BQ198" s="116"/>
      <c r="BR198" s="116"/>
      <c r="BS198" s="116"/>
      <c r="BT198" s="116"/>
      <c r="BU198" s="116"/>
      <c r="BV198" s="236">
        <v>1227800</v>
      </c>
      <c r="BW198" s="125">
        <f t="shared" si="71"/>
        <v>233282</v>
      </c>
      <c r="BX198" s="97">
        <f t="shared" si="72"/>
        <v>1461082</v>
      </c>
      <c r="BY198" s="237" t="s">
        <v>288</v>
      </c>
      <c r="BZ198" s="237" t="s">
        <v>295</v>
      </c>
      <c r="CA198" s="116"/>
      <c r="CB198" s="247"/>
      <c r="CC198" s="125"/>
      <c r="CD198" s="247"/>
      <c r="CE198" s="116"/>
      <c r="CF198" s="116"/>
      <c r="CG198" s="34"/>
      <c r="CH198" s="236"/>
      <c r="CI198" s="238"/>
      <c r="CJ198" s="236"/>
      <c r="CK198" s="237"/>
      <c r="CL198" s="237"/>
      <c r="CM198" s="116"/>
      <c r="CN198" s="247"/>
      <c r="CO198" s="125"/>
      <c r="CP198" s="247"/>
      <c r="CQ198" s="116"/>
      <c r="CR198" s="116"/>
      <c r="CS198" s="116"/>
      <c r="CT198" s="125">
        <v>1408960</v>
      </c>
      <c r="CU198" s="125">
        <f t="shared" si="75"/>
        <v>267702.40000000002</v>
      </c>
      <c r="CV198" s="125">
        <f t="shared" si="70"/>
        <v>1676662.4</v>
      </c>
      <c r="CW198" s="116"/>
      <c r="CX198" s="116"/>
      <c r="CY198" s="116"/>
      <c r="CZ198" s="102"/>
      <c r="DA198" s="125"/>
      <c r="DB198" s="102"/>
      <c r="DC198" s="31"/>
      <c r="DD198" s="17"/>
      <c r="DE198" s="11"/>
      <c r="DF198" s="116"/>
      <c r="DG198" s="116"/>
      <c r="DH198" s="116"/>
      <c r="DI198" s="116"/>
      <c r="DJ198" s="116"/>
      <c r="DK198" s="116"/>
      <c r="DL198" s="116"/>
      <c r="DM198" s="116"/>
      <c r="DN198" s="116"/>
      <c r="DO198" s="116"/>
      <c r="DP198" s="116"/>
      <c r="DQ198" s="116"/>
      <c r="DR198" s="116"/>
      <c r="DS198" s="116"/>
      <c r="DT198" s="116"/>
      <c r="DU198" s="116"/>
      <c r="DV198" s="116"/>
      <c r="DW198" s="116"/>
      <c r="DX198" s="116"/>
      <c r="DY198" s="116"/>
      <c r="DZ198" s="116"/>
      <c r="EA198" s="116"/>
      <c r="EB198" s="116"/>
      <c r="EC198" s="116"/>
      <c r="ED198" s="116"/>
      <c r="EE198" s="116"/>
      <c r="EF198" s="116"/>
      <c r="EG198" s="116"/>
      <c r="EH198" s="116"/>
      <c r="EI198" s="116"/>
      <c r="EJ198" s="116"/>
      <c r="EK198" s="116"/>
      <c r="EL198" s="116"/>
      <c r="EM198" s="116"/>
      <c r="EN198" s="116"/>
      <c r="EO198" s="116"/>
      <c r="EP198" s="116"/>
      <c r="EQ198" s="116"/>
      <c r="ER198" s="116"/>
      <c r="ES198" s="116"/>
      <c r="ET198" s="11"/>
      <c r="EU198" s="11"/>
      <c r="EV198" s="11"/>
      <c r="EW198" s="11"/>
      <c r="EX198" s="11"/>
      <c r="EY198" s="11"/>
      <c r="EZ198" s="11"/>
      <c r="FA198" s="11"/>
      <c r="FB198" s="11"/>
      <c r="FC198" s="11"/>
      <c r="FD198" s="11"/>
      <c r="FE198" s="11"/>
      <c r="FF198" s="11"/>
      <c r="FG198" s="11"/>
      <c r="FH198" s="17">
        <f t="shared" si="64"/>
        <v>3945480.6999999997</v>
      </c>
      <c r="FI198" s="31">
        <f t="shared" si="65"/>
        <v>3</v>
      </c>
      <c r="FJ198" s="68">
        <f t="shared" si="66"/>
        <v>1315160.2333333332</v>
      </c>
    </row>
    <row r="199" spans="1:166" ht="59.25" customHeight="1" x14ac:dyDescent="0.25">
      <c r="A199" s="248">
        <f>Distribución_Reactivos!A199</f>
        <v>197</v>
      </c>
      <c r="B199" s="248" t="str">
        <f>Distribución_Reactivos!B199</f>
        <v>Estándar de Dimetridazole 250 mg. Trazable, con certificado con método de análisis e incertidumbre, vigencia no menor a Diciembre de 2022</v>
      </c>
      <c r="C199" s="248" t="str">
        <f>Distribución_Reactivos!C199</f>
        <v>DRE‐C12772000</v>
      </c>
      <c r="D199" s="248" t="str">
        <f>Distribución_Reactivos!D199</f>
        <v>Frasco x 250 mg</v>
      </c>
      <c r="E199" s="29">
        <v>1</v>
      </c>
      <c r="F199" s="212">
        <v>0</v>
      </c>
      <c r="G199" s="214">
        <v>0</v>
      </c>
      <c r="H199" s="221">
        <v>0</v>
      </c>
      <c r="I199" s="221">
        <v>0</v>
      </c>
      <c r="J199" s="221">
        <v>942445.49</v>
      </c>
      <c r="K199" s="221">
        <v>909160</v>
      </c>
      <c r="L199" s="247">
        <f t="shared" si="78"/>
        <v>942445.49</v>
      </c>
      <c r="M199" s="247">
        <f>K199*E1</f>
        <v>936434.8</v>
      </c>
      <c r="N199" s="217"/>
      <c r="O199" s="97"/>
      <c r="P199" s="97"/>
      <c r="Q199" s="115"/>
      <c r="R199" s="115"/>
      <c r="S199" s="53"/>
      <c r="T199" s="97"/>
      <c r="U199" s="97"/>
      <c r="V199" s="97"/>
      <c r="W199" s="115"/>
      <c r="X199" s="115"/>
      <c r="Y199" s="11"/>
      <c r="Z199" s="97"/>
      <c r="AA199" s="97"/>
      <c r="AB199" s="97"/>
      <c r="AC199" s="44"/>
      <c r="AD199" s="44"/>
      <c r="AE199" s="250"/>
      <c r="AF199" s="102"/>
      <c r="AG199" s="125"/>
      <c r="AH199" s="97"/>
      <c r="AI199" s="11"/>
      <c r="AJ199" s="11"/>
      <c r="AK199" s="17"/>
      <c r="AL199" s="97"/>
      <c r="AM199" s="97"/>
      <c r="AN199" s="103"/>
      <c r="AO199" s="248"/>
      <c r="AP199" s="17"/>
      <c r="AQ199" s="17"/>
      <c r="AR199" s="252"/>
      <c r="AS199" s="135"/>
      <c r="AT199" s="124"/>
      <c r="AU199" s="52"/>
      <c r="AV199" s="52"/>
      <c r="AW199" s="30"/>
      <c r="AX199" s="100"/>
      <c r="AY199" s="172"/>
      <c r="AZ199" s="124"/>
      <c r="BA199" s="169"/>
      <c r="BB199" s="116"/>
      <c r="BC199" s="116"/>
      <c r="BD199" s="247"/>
      <c r="BE199" s="124"/>
      <c r="BF199" s="124"/>
      <c r="BG199" s="116"/>
      <c r="BH199" s="116"/>
      <c r="BI199" s="116"/>
      <c r="BJ199" s="124"/>
      <c r="BK199" s="124"/>
      <c r="BL199" s="124"/>
      <c r="BM199" s="116"/>
      <c r="BN199" s="116"/>
      <c r="BO199" s="116"/>
      <c r="BP199" s="124"/>
      <c r="BQ199" s="116"/>
      <c r="BR199" s="116"/>
      <c r="BS199" s="116"/>
      <c r="BT199" s="116"/>
      <c r="BU199" s="116"/>
      <c r="BV199" s="236">
        <v>634600</v>
      </c>
      <c r="BW199" s="125">
        <f t="shared" si="71"/>
        <v>120574</v>
      </c>
      <c r="BX199" s="97">
        <f t="shared" si="72"/>
        <v>755174</v>
      </c>
      <c r="BY199" s="237" t="s">
        <v>296</v>
      </c>
      <c r="BZ199" s="237" t="s">
        <v>295</v>
      </c>
      <c r="CA199" s="116"/>
      <c r="CB199" s="247"/>
      <c r="CC199" s="125"/>
      <c r="CD199" s="247"/>
      <c r="CE199" s="116"/>
      <c r="CF199" s="116"/>
      <c r="CG199" s="34"/>
      <c r="CH199" s="236">
        <v>647292</v>
      </c>
      <c r="CI199" s="238">
        <f>+CH199*0.19</f>
        <v>122985.48</v>
      </c>
      <c r="CJ199" s="236">
        <f>+CH199+CI199</f>
        <v>770277.48</v>
      </c>
      <c r="CK199" s="237" t="s">
        <v>296</v>
      </c>
      <c r="CL199" s="237" t="s">
        <v>295</v>
      </c>
      <c r="CM199" s="116"/>
      <c r="CN199" s="247"/>
      <c r="CO199" s="125"/>
      <c r="CP199" s="247"/>
      <c r="CQ199" s="116"/>
      <c r="CR199" s="116"/>
      <c r="CS199" s="116"/>
      <c r="CT199" s="125">
        <v>3410880</v>
      </c>
      <c r="CU199" s="125">
        <f t="shared" si="75"/>
        <v>648067.19999999995</v>
      </c>
      <c r="CV199" s="125">
        <f t="shared" si="70"/>
        <v>4058947.2</v>
      </c>
      <c r="CW199" s="116"/>
      <c r="CX199" s="116"/>
      <c r="CY199" s="116"/>
      <c r="CZ199" s="102"/>
      <c r="DA199" s="125"/>
      <c r="DB199" s="102"/>
      <c r="DC199" s="31"/>
      <c r="DD199" s="17"/>
      <c r="DE199" s="11"/>
      <c r="DF199" s="116"/>
      <c r="DG199" s="116"/>
      <c r="DH199" s="116"/>
      <c r="DI199" s="116"/>
      <c r="DJ199" s="116"/>
      <c r="DK199" s="116"/>
      <c r="DL199" s="116"/>
      <c r="DM199" s="116"/>
      <c r="DN199" s="116"/>
      <c r="DO199" s="116"/>
      <c r="DP199" s="116"/>
      <c r="DQ199" s="116"/>
      <c r="DR199" s="116"/>
      <c r="DS199" s="116"/>
      <c r="DT199" s="116"/>
      <c r="DU199" s="116"/>
      <c r="DV199" s="116"/>
      <c r="DW199" s="116"/>
      <c r="DX199" s="116"/>
      <c r="DY199" s="116"/>
      <c r="DZ199" s="116"/>
      <c r="EA199" s="116"/>
      <c r="EB199" s="116"/>
      <c r="EC199" s="116"/>
      <c r="ED199" s="116"/>
      <c r="EE199" s="116"/>
      <c r="EF199" s="116"/>
      <c r="EG199" s="116"/>
      <c r="EH199" s="116"/>
      <c r="EI199" s="116"/>
      <c r="EJ199" s="116"/>
      <c r="EK199" s="116"/>
      <c r="EL199" s="116"/>
      <c r="EM199" s="116"/>
      <c r="EN199" s="116"/>
      <c r="EO199" s="116"/>
      <c r="EP199" s="116"/>
      <c r="EQ199" s="116"/>
      <c r="ER199" s="116"/>
      <c r="ES199" s="116"/>
      <c r="ET199" s="11"/>
      <c r="EU199" s="11"/>
      <c r="EV199" s="11"/>
      <c r="EW199" s="11"/>
      <c r="EX199" s="11"/>
      <c r="EY199" s="11"/>
      <c r="EZ199" s="11"/>
      <c r="FA199" s="11"/>
      <c r="FB199" s="11"/>
      <c r="FC199" s="11"/>
      <c r="FD199" s="11"/>
      <c r="FE199" s="11"/>
      <c r="FF199" s="11"/>
      <c r="FG199" s="11"/>
      <c r="FH199" s="17">
        <f t="shared" si="64"/>
        <v>6520833.4800000004</v>
      </c>
      <c r="FI199" s="31">
        <f t="shared" si="65"/>
        <v>4</v>
      </c>
      <c r="FJ199" s="68">
        <f t="shared" si="66"/>
        <v>1630208.37</v>
      </c>
    </row>
    <row r="200" spans="1:166" ht="62.25" customHeight="1" x14ac:dyDescent="0.25">
      <c r="A200" s="248">
        <f>Distribución_Reactivos!A200</f>
        <v>198</v>
      </c>
      <c r="B200" s="248" t="str">
        <f>Distribución_Reactivos!B200</f>
        <v>Estándar de Dimetridazole D3 10 mg. Trazable, con certificado con método de análisis e incertidumbre, vigencia no menor a Diciembre de 2022</v>
      </c>
      <c r="C200" s="248" t="str">
        <f>Distribución_Reactivos!C200</f>
        <v>DRE‐C12772010</v>
      </c>
      <c r="D200" s="248" t="str">
        <f>Distribución_Reactivos!D200</f>
        <v>Frasco x 10 mg</v>
      </c>
      <c r="E200" s="29">
        <v>1</v>
      </c>
      <c r="F200" s="212">
        <v>0</v>
      </c>
      <c r="G200" s="214">
        <v>0</v>
      </c>
      <c r="H200" s="221">
        <v>0</v>
      </c>
      <c r="I200" s="221">
        <v>0</v>
      </c>
      <c r="J200" s="221">
        <v>5016743.6900000004</v>
      </c>
      <c r="K200" s="221">
        <v>4840920</v>
      </c>
      <c r="L200" s="247">
        <f t="shared" si="78"/>
        <v>5016743.6900000004</v>
      </c>
      <c r="M200" s="247">
        <f>K200*E1</f>
        <v>4986147.6000000006</v>
      </c>
      <c r="N200" s="217"/>
      <c r="O200" s="97"/>
      <c r="P200" s="97"/>
      <c r="Q200" s="115"/>
      <c r="R200" s="115"/>
      <c r="S200" s="53"/>
      <c r="T200" s="97"/>
      <c r="U200" s="97"/>
      <c r="V200" s="97"/>
      <c r="W200" s="115"/>
      <c r="X200" s="115"/>
      <c r="Y200" s="11"/>
      <c r="Z200" s="97"/>
      <c r="AA200" s="97"/>
      <c r="AB200" s="97"/>
      <c r="AC200" s="44"/>
      <c r="AD200" s="44"/>
      <c r="AE200" s="11"/>
      <c r="AF200" s="102"/>
      <c r="AG200" s="125"/>
      <c r="AH200" s="97"/>
      <c r="AI200" s="11"/>
      <c r="AJ200" s="11"/>
      <c r="AK200" s="17"/>
      <c r="AL200" s="97"/>
      <c r="AM200" s="97"/>
      <c r="AN200" s="103"/>
      <c r="AO200" s="248"/>
      <c r="AP200" s="17"/>
      <c r="AQ200" s="17"/>
      <c r="AR200" s="252">
        <v>1130400</v>
      </c>
      <c r="AS200" s="97">
        <f>+AR200*0.19</f>
        <v>214776</v>
      </c>
      <c r="AT200" s="103">
        <f>+AR200+AS200</f>
        <v>1345176</v>
      </c>
      <c r="AU200" s="52" t="s">
        <v>297</v>
      </c>
      <c r="AV200" s="52" t="s">
        <v>42</v>
      </c>
      <c r="AW200" s="30"/>
      <c r="AX200" s="100"/>
      <c r="AY200" s="100"/>
      <c r="AZ200" s="124"/>
      <c r="BA200" s="169"/>
      <c r="BB200" s="116"/>
      <c r="BC200" s="116"/>
      <c r="BD200" s="247"/>
      <c r="BE200" s="124"/>
      <c r="BF200" s="124"/>
      <c r="BG200" s="116"/>
      <c r="BH200" s="116"/>
      <c r="BI200" s="116"/>
      <c r="BJ200" s="124"/>
      <c r="BK200" s="124"/>
      <c r="BL200" s="124"/>
      <c r="BM200" s="116"/>
      <c r="BN200" s="116"/>
      <c r="BO200" s="116"/>
      <c r="BP200" s="124"/>
      <c r="BQ200" s="116"/>
      <c r="BR200" s="116"/>
      <c r="BS200" s="116"/>
      <c r="BT200" s="116"/>
      <c r="BU200" s="116"/>
      <c r="BV200" s="241">
        <v>3626000</v>
      </c>
      <c r="BW200" s="125">
        <f t="shared" si="71"/>
        <v>688940</v>
      </c>
      <c r="BX200" s="97">
        <f t="shared" si="72"/>
        <v>4314940</v>
      </c>
      <c r="BY200" s="237" t="s">
        <v>298</v>
      </c>
      <c r="BZ200" s="237" t="s">
        <v>295</v>
      </c>
      <c r="CA200" s="116"/>
      <c r="CB200" s="247"/>
      <c r="CC200" s="125"/>
      <c r="CD200" s="247"/>
      <c r="CE200" s="116"/>
      <c r="CF200" s="116"/>
      <c r="CG200" s="34"/>
      <c r="CH200" s="241"/>
      <c r="CI200" s="238"/>
      <c r="CJ200" s="236"/>
      <c r="CK200" s="237"/>
      <c r="CL200" s="237"/>
      <c r="CM200" s="116"/>
      <c r="CN200" s="247"/>
      <c r="CO200" s="125"/>
      <c r="CP200" s="247"/>
      <c r="CQ200" s="116"/>
      <c r="CR200" s="116"/>
      <c r="CS200" s="116"/>
      <c r="CT200" s="125">
        <v>3323840</v>
      </c>
      <c r="CU200" s="125">
        <f t="shared" si="75"/>
        <v>631529.6</v>
      </c>
      <c r="CV200" s="125">
        <f t="shared" si="70"/>
        <v>3955369.6</v>
      </c>
      <c r="CW200" s="116"/>
      <c r="CX200" s="116"/>
      <c r="CY200" s="116"/>
      <c r="CZ200" s="102"/>
      <c r="DA200" s="125"/>
      <c r="DB200" s="102"/>
      <c r="DC200" s="31"/>
      <c r="DD200" s="17"/>
      <c r="DE200" s="11"/>
      <c r="DF200" s="116"/>
      <c r="DG200" s="116"/>
      <c r="DH200" s="116"/>
      <c r="DI200" s="116"/>
      <c r="DJ200" s="116"/>
      <c r="DK200" s="116"/>
      <c r="DL200" s="116"/>
      <c r="DM200" s="116"/>
      <c r="DN200" s="116"/>
      <c r="DO200" s="116"/>
      <c r="DP200" s="116"/>
      <c r="DQ200" s="116"/>
      <c r="DR200" s="116"/>
      <c r="DS200" s="116"/>
      <c r="DT200" s="116"/>
      <c r="DU200" s="116"/>
      <c r="DV200" s="116"/>
      <c r="DW200" s="116"/>
      <c r="DX200" s="116"/>
      <c r="DY200" s="116"/>
      <c r="DZ200" s="116"/>
      <c r="EA200" s="116"/>
      <c r="EB200" s="116"/>
      <c r="EC200" s="116"/>
      <c r="ED200" s="116"/>
      <c r="EE200" s="116"/>
      <c r="EF200" s="116"/>
      <c r="EG200" s="116"/>
      <c r="EH200" s="116"/>
      <c r="EI200" s="116"/>
      <c r="EJ200" s="116"/>
      <c r="EK200" s="116"/>
      <c r="EL200" s="116"/>
      <c r="EM200" s="116"/>
      <c r="EN200" s="116"/>
      <c r="EO200" s="116"/>
      <c r="EP200" s="116"/>
      <c r="EQ200" s="116"/>
      <c r="ER200" s="116"/>
      <c r="ES200" s="116"/>
      <c r="ET200" s="11"/>
      <c r="EU200" s="11"/>
      <c r="EV200" s="11"/>
      <c r="EW200" s="11"/>
      <c r="EX200" s="11"/>
      <c r="EY200" s="11"/>
      <c r="EZ200" s="11"/>
      <c r="FA200" s="11"/>
      <c r="FB200" s="11"/>
      <c r="FC200" s="11"/>
      <c r="FD200" s="11"/>
      <c r="FE200" s="11"/>
      <c r="FF200" s="11"/>
      <c r="FG200" s="11"/>
      <c r="FH200" s="17">
        <f t="shared" si="64"/>
        <v>14601633.200000001</v>
      </c>
      <c r="FI200" s="31">
        <f t="shared" si="65"/>
        <v>4</v>
      </c>
      <c r="FJ200" s="68">
        <f t="shared" si="66"/>
        <v>3650408.3000000003</v>
      </c>
    </row>
    <row r="201" spans="1:166" ht="60.75" customHeight="1" x14ac:dyDescent="0.25">
      <c r="A201" s="248">
        <f>Distribución_Reactivos!A201</f>
        <v>199</v>
      </c>
      <c r="B201" s="248" t="str">
        <f>Distribución_Reactivos!B201</f>
        <v>Estándar de Dimetridazole‐2‐hydroxy . Trazable, con certificado con método de análisis e incertidumbre, vigencia no menor a Diciembre de 2022</v>
      </c>
      <c r="C201" s="248" t="str">
        <f>Distribución_Reactivos!C201</f>
        <v>DRE‐C12772050</v>
      </c>
      <c r="D201" s="248" t="str">
        <f>Distribución_Reactivos!D201</f>
        <v>Frasco x 10 mg</v>
      </c>
      <c r="E201" s="29">
        <v>1</v>
      </c>
      <c r="F201" s="212">
        <v>0</v>
      </c>
      <c r="G201" s="214">
        <v>0</v>
      </c>
      <c r="H201" s="221">
        <v>0</v>
      </c>
      <c r="I201" s="221">
        <v>0</v>
      </c>
      <c r="J201" s="221">
        <v>7288649.4450000003</v>
      </c>
      <c r="K201" s="221">
        <v>7034090</v>
      </c>
      <c r="L201" s="247">
        <f t="shared" si="78"/>
        <v>7288649.4450000003</v>
      </c>
      <c r="M201" s="247">
        <f>K201*E1</f>
        <v>7245112.7000000002</v>
      </c>
      <c r="N201" s="217"/>
      <c r="O201" s="97"/>
      <c r="P201" s="97"/>
      <c r="Q201" s="115"/>
      <c r="R201" s="115"/>
      <c r="S201" s="53"/>
      <c r="T201" s="97"/>
      <c r="U201" s="97"/>
      <c r="V201" s="97"/>
      <c r="W201" s="115"/>
      <c r="X201" s="115"/>
      <c r="Y201" s="11"/>
      <c r="Z201" s="97"/>
      <c r="AA201" s="97"/>
      <c r="AB201" s="97"/>
      <c r="AC201" s="44"/>
      <c r="AD201" s="44"/>
      <c r="AE201" s="11"/>
      <c r="AF201" s="102"/>
      <c r="AG201" s="125"/>
      <c r="AH201" s="97"/>
      <c r="AI201" s="11"/>
      <c r="AJ201" s="11"/>
      <c r="AK201" s="17"/>
      <c r="AL201" s="97"/>
      <c r="AM201" s="97"/>
      <c r="AN201" s="103"/>
      <c r="AO201" s="248"/>
      <c r="AP201" s="17"/>
      <c r="AQ201" s="17"/>
      <c r="AR201" s="252">
        <v>2124000</v>
      </c>
      <c r="AS201" s="97">
        <f>+AR201*0.19</f>
        <v>403560</v>
      </c>
      <c r="AT201" s="103">
        <f>+AR201+AS201</f>
        <v>2527560</v>
      </c>
      <c r="AU201" s="52" t="s">
        <v>287</v>
      </c>
      <c r="AV201" s="52" t="s">
        <v>42</v>
      </c>
      <c r="AW201" s="30"/>
      <c r="AX201" s="100"/>
      <c r="AY201" s="174"/>
      <c r="AZ201" s="124"/>
      <c r="BA201" s="169"/>
      <c r="BB201" s="116"/>
      <c r="BC201" s="116"/>
      <c r="BD201" s="247"/>
      <c r="BE201" s="124"/>
      <c r="BF201" s="124"/>
      <c r="BG201" s="116"/>
      <c r="BH201" s="116"/>
      <c r="BI201" s="116"/>
      <c r="BJ201" s="124"/>
      <c r="BK201" s="124"/>
      <c r="BL201" s="124"/>
      <c r="BM201" s="116"/>
      <c r="BN201" s="116"/>
      <c r="BO201" s="116"/>
      <c r="BP201" s="124"/>
      <c r="BQ201" s="116"/>
      <c r="BR201" s="116"/>
      <c r="BS201" s="116"/>
      <c r="BT201" s="116"/>
      <c r="BU201" s="116"/>
      <c r="BV201" s="241">
        <v>5800000</v>
      </c>
      <c r="BW201" s="125">
        <f t="shared" si="71"/>
        <v>1102000</v>
      </c>
      <c r="BX201" s="97">
        <f t="shared" si="72"/>
        <v>6902000</v>
      </c>
      <c r="BY201" s="237" t="s">
        <v>298</v>
      </c>
      <c r="BZ201" s="237" t="s">
        <v>295</v>
      </c>
      <c r="CA201" s="116"/>
      <c r="CB201" s="247"/>
      <c r="CC201" s="125"/>
      <c r="CD201" s="247"/>
      <c r="CE201" s="116"/>
      <c r="CF201" s="116"/>
      <c r="CG201" s="34"/>
      <c r="CH201" s="241"/>
      <c r="CI201" s="238"/>
      <c r="CJ201" s="236"/>
      <c r="CK201" s="237"/>
      <c r="CL201" s="237"/>
      <c r="CM201" s="116"/>
      <c r="CN201" s="247"/>
      <c r="CO201" s="125"/>
      <c r="CP201" s="247"/>
      <c r="CQ201" s="116"/>
      <c r="CR201" s="116"/>
      <c r="CS201" s="116"/>
      <c r="CT201" s="125">
        <v>326400</v>
      </c>
      <c r="CU201" s="125">
        <f t="shared" si="75"/>
        <v>62016</v>
      </c>
      <c r="CV201" s="125">
        <f t="shared" si="70"/>
        <v>388416</v>
      </c>
      <c r="CW201" s="116"/>
      <c r="CX201" s="116"/>
      <c r="CY201" s="116"/>
      <c r="CZ201" s="102"/>
      <c r="DA201" s="125"/>
      <c r="DB201" s="102"/>
      <c r="DC201" s="31"/>
      <c r="DD201" s="17"/>
      <c r="DE201" s="11"/>
      <c r="DF201" s="116"/>
      <c r="DG201" s="116"/>
      <c r="DH201" s="116"/>
      <c r="DI201" s="116"/>
      <c r="DJ201" s="116"/>
      <c r="DK201" s="116"/>
      <c r="DL201" s="116"/>
      <c r="DM201" s="116"/>
      <c r="DN201" s="116"/>
      <c r="DO201" s="116"/>
      <c r="DP201" s="116"/>
      <c r="DQ201" s="116"/>
      <c r="DR201" s="116"/>
      <c r="DS201" s="116"/>
      <c r="DT201" s="116"/>
      <c r="DU201" s="116"/>
      <c r="DV201" s="116"/>
      <c r="DW201" s="116"/>
      <c r="DX201" s="116"/>
      <c r="DY201" s="116"/>
      <c r="DZ201" s="116"/>
      <c r="EA201" s="116"/>
      <c r="EB201" s="116"/>
      <c r="EC201" s="116"/>
      <c r="ED201" s="116"/>
      <c r="EE201" s="116"/>
      <c r="EF201" s="116"/>
      <c r="EG201" s="116"/>
      <c r="EH201" s="116"/>
      <c r="EI201" s="116"/>
      <c r="EJ201" s="116"/>
      <c r="EK201" s="116"/>
      <c r="EL201" s="116"/>
      <c r="EM201" s="116"/>
      <c r="EN201" s="116"/>
      <c r="EO201" s="116"/>
      <c r="EP201" s="116"/>
      <c r="EQ201" s="116"/>
      <c r="ER201" s="116"/>
      <c r="ES201" s="116"/>
      <c r="ET201" s="11"/>
      <c r="EU201" s="11"/>
      <c r="EV201" s="11"/>
      <c r="EW201" s="11"/>
      <c r="EX201" s="11"/>
      <c r="EY201" s="11"/>
      <c r="EZ201" s="11"/>
      <c r="FA201" s="11"/>
      <c r="FB201" s="11"/>
      <c r="FC201" s="11"/>
      <c r="FD201" s="11"/>
      <c r="FE201" s="11"/>
      <c r="FF201" s="11"/>
      <c r="FG201" s="11"/>
      <c r="FH201" s="17">
        <f t="shared" si="64"/>
        <v>17063088.699999999</v>
      </c>
      <c r="FI201" s="31">
        <f t="shared" si="65"/>
        <v>4</v>
      </c>
      <c r="FJ201" s="68">
        <f t="shared" si="66"/>
        <v>4265772.1749999998</v>
      </c>
    </row>
    <row r="202" spans="1:166" ht="51" x14ac:dyDescent="0.25">
      <c r="A202" s="248">
        <f>Distribución_Reactivos!A202</f>
        <v>200</v>
      </c>
      <c r="B202" s="248" t="str">
        <f>Distribución_Reactivos!B202</f>
        <v>Estándar de Dimetridazole‐2‐hydroxy D3. Trazable, con certificado con método de análisis e incertidumbre, vigencia no menor a Diciembre de 2022</v>
      </c>
      <c r="C202" s="248" t="str">
        <f>Distribución_Reactivos!C202</f>
        <v xml:space="preserve">DRE‐C12772051 </v>
      </c>
      <c r="D202" s="248" t="str">
        <f>Distribución_Reactivos!D202</f>
        <v>Frasco x 10 mg</v>
      </c>
      <c r="E202" s="29">
        <v>1</v>
      </c>
      <c r="F202" s="212">
        <v>0</v>
      </c>
      <c r="G202" s="214">
        <v>0</v>
      </c>
      <c r="H202" s="221">
        <v>0</v>
      </c>
      <c r="I202" s="221">
        <v>0</v>
      </c>
      <c r="J202" s="221">
        <v>11743956.49</v>
      </c>
      <c r="K202" s="221">
        <v>11332370</v>
      </c>
      <c r="L202" s="247">
        <f t="shared" si="78"/>
        <v>11743956.49</v>
      </c>
      <c r="M202" s="247">
        <f>K202*E1</f>
        <v>11672341.1</v>
      </c>
      <c r="N202" s="217"/>
      <c r="O202" s="97"/>
      <c r="P202" s="97"/>
      <c r="Q202" s="115"/>
      <c r="R202" s="115"/>
      <c r="S202" s="53"/>
      <c r="T202" s="97"/>
      <c r="U202" s="97"/>
      <c r="V202" s="97"/>
      <c r="W202" s="115"/>
      <c r="X202" s="115"/>
      <c r="Y202" s="11"/>
      <c r="Z202" s="97"/>
      <c r="AA202" s="97"/>
      <c r="AB202" s="97"/>
      <c r="AC202" s="44"/>
      <c r="AD202" s="44"/>
      <c r="AE202" s="11"/>
      <c r="AF202" s="102"/>
      <c r="AG202" s="125"/>
      <c r="AH202" s="97"/>
      <c r="AI202" s="11"/>
      <c r="AJ202" s="11"/>
      <c r="AK202" s="17"/>
      <c r="AL202" s="97"/>
      <c r="AM202" s="97"/>
      <c r="AN202" s="101"/>
      <c r="AO202" s="248"/>
      <c r="AP202" s="17"/>
      <c r="AQ202" s="17"/>
      <c r="AR202" s="252"/>
      <c r="AS202" s="136"/>
      <c r="AT202" s="137"/>
      <c r="AU202" s="52"/>
      <c r="AV202" s="52"/>
      <c r="AW202" s="30"/>
      <c r="AX202" s="100"/>
      <c r="AY202" s="174"/>
      <c r="AZ202" s="124"/>
      <c r="BA202" s="169"/>
      <c r="BB202" s="116"/>
      <c r="BC202" s="116"/>
      <c r="BD202" s="247"/>
      <c r="BE202" s="124"/>
      <c r="BF202" s="124"/>
      <c r="BG202" s="116"/>
      <c r="BH202" s="116"/>
      <c r="BI202" s="116"/>
      <c r="BJ202" s="124"/>
      <c r="BK202" s="124"/>
      <c r="BL202" s="124"/>
      <c r="BM202" s="116"/>
      <c r="BN202" s="116"/>
      <c r="BO202" s="116"/>
      <c r="BP202" s="124"/>
      <c r="BQ202" s="116"/>
      <c r="BR202" s="116"/>
      <c r="BS202" s="116"/>
      <c r="BT202" s="116"/>
      <c r="BU202" s="116"/>
      <c r="BV202" s="241">
        <v>8554000</v>
      </c>
      <c r="BW202" s="125">
        <f t="shared" si="71"/>
        <v>1625260</v>
      </c>
      <c r="BX202" s="97">
        <f t="shared" si="72"/>
        <v>10179260</v>
      </c>
      <c r="BY202" s="237" t="s">
        <v>298</v>
      </c>
      <c r="BZ202" s="237" t="s">
        <v>295</v>
      </c>
      <c r="CA202" s="116"/>
      <c r="CB202" s="247"/>
      <c r="CC202" s="125"/>
      <c r="CD202" s="247"/>
      <c r="CE202" s="116"/>
      <c r="CF202" s="116"/>
      <c r="CG202" s="34"/>
      <c r="CH202" s="241"/>
      <c r="CI202" s="238"/>
      <c r="CJ202" s="236"/>
      <c r="CK202" s="237"/>
      <c r="CL202" s="237"/>
      <c r="CM202" s="116"/>
      <c r="CN202" s="247"/>
      <c r="CO202" s="125"/>
      <c r="CP202" s="247"/>
      <c r="CQ202" s="116"/>
      <c r="CR202" s="116"/>
      <c r="CS202" s="116"/>
      <c r="CT202" s="125">
        <v>225000</v>
      </c>
      <c r="CU202" s="125">
        <f t="shared" si="75"/>
        <v>42750</v>
      </c>
      <c r="CV202" s="125">
        <f t="shared" si="70"/>
        <v>267750</v>
      </c>
      <c r="CW202" s="116"/>
      <c r="CX202" s="116"/>
      <c r="CY202" s="116"/>
      <c r="CZ202" s="102"/>
      <c r="DA202" s="125"/>
      <c r="DB202" s="102"/>
      <c r="DC202" s="31"/>
      <c r="DD202" s="17"/>
      <c r="DE202" s="11"/>
      <c r="DF202" s="116"/>
      <c r="DG202" s="116"/>
      <c r="DH202" s="116"/>
      <c r="DI202" s="116"/>
      <c r="DJ202" s="116"/>
      <c r="DK202" s="116"/>
      <c r="DL202" s="116"/>
      <c r="DM202" s="116"/>
      <c r="DN202" s="116"/>
      <c r="DO202" s="116"/>
      <c r="DP202" s="116"/>
      <c r="DQ202" s="116"/>
      <c r="DR202" s="116"/>
      <c r="DS202" s="116"/>
      <c r="DT202" s="116"/>
      <c r="DU202" s="116"/>
      <c r="DV202" s="116"/>
      <c r="DW202" s="116"/>
      <c r="DX202" s="116"/>
      <c r="DY202" s="116"/>
      <c r="DZ202" s="116"/>
      <c r="EA202" s="116"/>
      <c r="EB202" s="116"/>
      <c r="EC202" s="116"/>
      <c r="ED202" s="116"/>
      <c r="EE202" s="116"/>
      <c r="EF202" s="116"/>
      <c r="EG202" s="116"/>
      <c r="EH202" s="116"/>
      <c r="EI202" s="116"/>
      <c r="EJ202" s="116"/>
      <c r="EK202" s="116"/>
      <c r="EL202" s="116"/>
      <c r="EM202" s="116"/>
      <c r="EN202" s="116"/>
      <c r="EO202" s="116"/>
      <c r="EP202" s="116"/>
      <c r="EQ202" s="116"/>
      <c r="ER202" s="116"/>
      <c r="ES202" s="116"/>
      <c r="ET202" s="11"/>
      <c r="EU202" s="11"/>
      <c r="EV202" s="11"/>
      <c r="EW202" s="11"/>
      <c r="EX202" s="11"/>
      <c r="EY202" s="11"/>
      <c r="EZ202" s="11"/>
      <c r="FA202" s="11"/>
      <c r="FB202" s="11"/>
      <c r="FC202" s="11"/>
      <c r="FD202" s="11"/>
      <c r="FE202" s="11"/>
      <c r="FF202" s="11"/>
      <c r="FG202" s="11"/>
      <c r="FH202" s="17">
        <f t="shared" si="64"/>
        <v>22119351.100000001</v>
      </c>
      <c r="FI202" s="31">
        <f t="shared" si="65"/>
        <v>3</v>
      </c>
      <c r="FJ202" s="68">
        <f t="shared" si="66"/>
        <v>7373117.0333333341</v>
      </c>
    </row>
    <row r="203" spans="1:166" ht="38.25" x14ac:dyDescent="0.25">
      <c r="A203" s="248">
        <f>Distribución_Reactivos!A203</f>
        <v>201</v>
      </c>
      <c r="B203" s="248" t="str">
        <f>Distribución_Reactivos!B203</f>
        <v>Estándar de fósforo 1000 mg/L trazable a SRM de NIST H3PO4 en H2O , solución  con certificado</v>
      </c>
      <c r="C203" s="248" t="str">
        <f>Distribución_Reactivos!C203</f>
        <v>Merck (referencia 1703400100) o equivalente</v>
      </c>
      <c r="D203" s="248" t="str">
        <f>Distribución_Reactivos!D203</f>
        <v>Frasco x 100 ml</v>
      </c>
      <c r="E203" s="29">
        <v>1</v>
      </c>
      <c r="F203" s="212">
        <v>997101</v>
      </c>
      <c r="G203" s="214">
        <v>333200</v>
      </c>
      <c r="H203" s="221">
        <v>293524.39999999997</v>
      </c>
      <c r="I203" s="221">
        <v>0</v>
      </c>
      <c r="J203" s="221">
        <v>375057.29800000001</v>
      </c>
      <c r="K203" s="221">
        <v>0</v>
      </c>
      <c r="L203" s="247">
        <f>AVERAGE(F203,H203,J203)</f>
        <v>555227.56599999999</v>
      </c>
      <c r="M203" s="247">
        <f>G203*E1</f>
        <v>343196</v>
      </c>
      <c r="N203" s="217"/>
      <c r="O203" s="97"/>
      <c r="P203" s="97"/>
      <c r="Q203" s="115"/>
      <c r="R203" s="115"/>
      <c r="S203" s="53"/>
      <c r="T203" s="97"/>
      <c r="U203" s="97"/>
      <c r="V203" s="97"/>
      <c r="W203" s="115"/>
      <c r="X203" s="115"/>
      <c r="Y203" s="11"/>
      <c r="Z203" s="97"/>
      <c r="AA203" s="97"/>
      <c r="AB203" s="97"/>
      <c r="AC203" s="44"/>
      <c r="AD203" s="44"/>
      <c r="AE203" s="11"/>
      <c r="AF203" s="102"/>
      <c r="AG203" s="125"/>
      <c r="AH203" s="97"/>
      <c r="AI203" s="11"/>
      <c r="AJ203" s="11"/>
      <c r="AK203" s="17"/>
      <c r="AL203" s="97">
        <v>170000</v>
      </c>
      <c r="AM203" s="97">
        <f>+AL203*0.19</f>
        <v>32300</v>
      </c>
      <c r="AN203" s="103">
        <f>+AL203+AM203</f>
        <v>202300</v>
      </c>
      <c r="AO203" s="248" t="s">
        <v>51</v>
      </c>
      <c r="AP203" s="17" t="s">
        <v>293</v>
      </c>
      <c r="AQ203" s="17"/>
      <c r="AR203" s="252">
        <v>159871</v>
      </c>
      <c r="AS203" s="97">
        <f>+AR203*0.19</f>
        <v>30375.49</v>
      </c>
      <c r="AT203" s="103">
        <f>+AR203+AS203</f>
        <v>190246.49</v>
      </c>
      <c r="AU203" s="52" t="s">
        <v>51</v>
      </c>
      <c r="AV203" s="52" t="s">
        <v>293</v>
      </c>
      <c r="AW203" s="30"/>
      <c r="AX203" s="100"/>
      <c r="AY203" s="174"/>
      <c r="AZ203" s="124"/>
      <c r="BA203" s="169"/>
      <c r="BB203" s="116"/>
      <c r="BC203" s="116"/>
      <c r="BD203" s="247"/>
      <c r="BE203" s="124"/>
      <c r="BF203" s="124"/>
      <c r="BG203" s="116"/>
      <c r="BH203" s="116"/>
      <c r="BI203" s="116"/>
      <c r="BJ203" s="124"/>
      <c r="BK203" s="124"/>
      <c r="BL203" s="124"/>
      <c r="BM203" s="116"/>
      <c r="BN203" s="116"/>
      <c r="BO203" s="116"/>
      <c r="BP203" s="124"/>
      <c r="BQ203" s="116"/>
      <c r="BR203" s="116"/>
      <c r="BS203" s="116"/>
      <c r="BT203" s="116"/>
      <c r="BU203" s="116"/>
      <c r="BV203" s="236">
        <v>1089900</v>
      </c>
      <c r="BW203" s="125">
        <f t="shared" si="71"/>
        <v>207081</v>
      </c>
      <c r="BX203" s="97">
        <f t="shared" si="72"/>
        <v>1296981</v>
      </c>
      <c r="BY203" s="237" t="s">
        <v>291</v>
      </c>
      <c r="BZ203" s="237" t="s">
        <v>93</v>
      </c>
      <c r="CA203" s="116"/>
      <c r="CB203" s="247"/>
      <c r="CC203" s="125"/>
      <c r="CD203" s="247"/>
      <c r="CE203" s="116"/>
      <c r="CF203" s="116"/>
      <c r="CG203" s="34"/>
      <c r="CH203" s="241">
        <v>1100799</v>
      </c>
      <c r="CI203" s="238">
        <f t="shared" ref="CI203:CI209" si="79">+CH203*0.19</f>
        <v>209151.81</v>
      </c>
      <c r="CJ203" s="236">
        <f t="shared" ref="CJ203:CJ209" si="80">+CH203+CI203</f>
        <v>1309950.81</v>
      </c>
      <c r="CK203" s="237" t="s">
        <v>291</v>
      </c>
      <c r="CL203" s="237" t="s">
        <v>93</v>
      </c>
      <c r="CM203" s="116"/>
      <c r="CN203" s="247"/>
      <c r="CO203" s="125"/>
      <c r="CP203" s="247"/>
      <c r="CQ203" s="116"/>
      <c r="CR203" s="116"/>
      <c r="CS203" s="116"/>
      <c r="CT203" s="125">
        <v>315520</v>
      </c>
      <c r="CU203" s="125">
        <f>CT203*0.19</f>
        <v>59948.800000000003</v>
      </c>
      <c r="CV203" s="125">
        <f t="shared" si="70"/>
        <v>375468.79999999999</v>
      </c>
      <c r="CW203" s="116"/>
      <c r="CX203" s="116"/>
      <c r="CY203" s="116"/>
      <c r="CZ203" s="102"/>
      <c r="DA203" s="125"/>
      <c r="DB203" s="102"/>
      <c r="DC203" s="31"/>
      <c r="DD203" s="17"/>
      <c r="DE203" s="11"/>
      <c r="DF203" s="116"/>
      <c r="DG203" s="116"/>
      <c r="DH203" s="116"/>
      <c r="DI203" s="116"/>
      <c r="DJ203" s="116"/>
      <c r="DK203" s="116"/>
      <c r="DL203" s="116"/>
      <c r="DM203" s="116"/>
      <c r="DN203" s="116"/>
      <c r="DO203" s="116"/>
      <c r="DP203" s="116"/>
      <c r="DQ203" s="116"/>
      <c r="DR203" s="116"/>
      <c r="DS203" s="116"/>
      <c r="DT203" s="116"/>
      <c r="DU203" s="116"/>
      <c r="DV203" s="116"/>
      <c r="DW203" s="116"/>
      <c r="DX203" s="116"/>
      <c r="DY203" s="116"/>
      <c r="DZ203" s="116"/>
      <c r="EA203" s="116"/>
      <c r="EB203" s="116"/>
      <c r="EC203" s="116"/>
      <c r="ED203" s="116"/>
      <c r="EE203" s="116"/>
      <c r="EF203" s="116"/>
      <c r="EG203" s="116"/>
      <c r="EH203" s="116"/>
      <c r="EI203" s="116"/>
      <c r="EJ203" s="116"/>
      <c r="EK203" s="116"/>
      <c r="EL203" s="116"/>
      <c r="EM203" s="116"/>
      <c r="EN203" s="116"/>
      <c r="EO203" s="116"/>
      <c r="EP203" s="116"/>
      <c r="EQ203" s="116"/>
      <c r="ER203" s="116"/>
      <c r="ES203" s="116"/>
      <c r="ET203" s="11"/>
      <c r="EU203" s="11"/>
      <c r="EV203" s="11"/>
      <c r="EW203" s="11"/>
      <c r="EX203" s="11"/>
      <c r="EY203" s="11"/>
      <c r="EZ203" s="11"/>
      <c r="FA203" s="11"/>
      <c r="FB203" s="11"/>
      <c r="FC203" s="11"/>
      <c r="FD203" s="11"/>
      <c r="FE203" s="11"/>
      <c r="FF203" s="11"/>
      <c r="FG203" s="11"/>
      <c r="FH203" s="17">
        <f t="shared" si="64"/>
        <v>3718143.0999999996</v>
      </c>
      <c r="FI203" s="31">
        <f t="shared" si="65"/>
        <v>6</v>
      </c>
      <c r="FJ203" s="68">
        <f t="shared" si="66"/>
        <v>619690.5166666666</v>
      </c>
    </row>
    <row r="204" spans="1:166" ht="51" x14ac:dyDescent="0.25">
      <c r="A204" s="248">
        <f>Distribución_Reactivos!A204</f>
        <v>202</v>
      </c>
      <c r="B204" s="248" t="str">
        <f>Distribución_Reactivos!B204</f>
        <v>Estandar de Hexestrol trazable, con certificado con método de análisis e incertidumbre, vigencia no menor a Diciembre de 2022</v>
      </c>
      <c r="C204" s="248" t="str">
        <f>Distribución_Reactivos!C204</f>
        <v>Dr Ehrenstorfer 
 REF:
DRE‐14202800</v>
      </c>
      <c r="D204" s="248" t="str">
        <f>Distribución_Reactivos!D204</f>
        <v>Frasco  x 100 mg</v>
      </c>
      <c r="E204" s="29">
        <v>1</v>
      </c>
      <c r="F204" s="212">
        <v>0</v>
      </c>
      <c r="G204" s="214">
        <v>0</v>
      </c>
      <c r="H204" s="221">
        <v>0</v>
      </c>
      <c r="I204" s="221">
        <v>0</v>
      </c>
      <c r="J204" s="221">
        <v>1213575.0900000001</v>
      </c>
      <c r="K204" s="221">
        <v>0</v>
      </c>
      <c r="L204" s="247">
        <f>J204</f>
        <v>1213575.0900000001</v>
      </c>
      <c r="M204" s="247"/>
      <c r="N204" s="217"/>
      <c r="O204" s="97"/>
      <c r="P204" s="97"/>
      <c r="Q204" s="115"/>
      <c r="R204" s="115"/>
      <c r="S204" s="53"/>
      <c r="T204" s="97"/>
      <c r="U204" s="101"/>
      <c r="V204" s="97"/>
      <c r="W204" s="115"/>
      <c r="X204" s="115"/>
      <c r="Y204" s="11"/>
      <c r="Z204" s="97"/>
      <c r="AA204" s="97"/>
      <c r="AB204" s="97"/>
      <c r="AC204" s="44"/>
      <c r="AD204" s="44"/>
      <c r="AE204" s="11"/>
      <c r="AF204" s="102"/>
      <c r="AG204" s="125"/>
      <c r="AH204" s="97"/>
      <c r="AI204" s="11"/>
      <c r="AJ204" s="11"/>
      <c r="AK204" s="17"/>
      <c r="AL204" s="97"/>
      <c r="AM204" s="97"/>
      <c r="AN204" s="101"/>
      <c r="AO204" s="248"/>
      <c r="AP204" s="17"/>
      <c r="AQ204" s="17"/>
      <c r="AR204" s="252"/>
      <c r="AS204" s="136"/>
      <c r="AT204" s="137"/>
      <c r="AU204" s="52"/>
      <c r="AV204" s="52"/>
      <c r="AW204" s="30"/>
      <c r="AX204" s="100"/>
      <c r="AY204" s="100"/>
      <c r="AZ204" s="124"/>
      <c r="BA204" s="169"/>
      <c r="BB204" s="116"/>
      <c r="BC204" s="116"/>
      <c r="BD204" s="247"/>
      <c r="BE204" s="124"/>
      <c r="BF204" s="124"/>
      <c r="BG204" s="116"/>
      <c r="BH204" s="116"/>
      <c r="BI204" s="116"/>
      <c r="BJ204" s="124"/>
      <c r="BK204" s="124"/>
      <c r="BL204" s="124"/>
      <c r="BM204" s="116"/>
      <c r="BN204" s="116"/>
      <c r="BO204" s="116"/>
      <c r="BP204" s="124"/>
      <c r="BQ204" s="116"/>
      <c r="BR204" s="116"/>
      <c r="BS204" s="116"/>
      <c r="BT204" s="116"/>
      <c r="BU204" s="116"/>
      <c r="BV204" s="236">
        <v>827700</v>
      </c>
      <c r="BW204" s="125">
        <f t="shared" si="71"/>
        <v>157263</v>
      </c>
      <c r="BX204" s="97">
        <f t="shared" si="72"/>
        <v>984963</v>
      </c>
      <c r="BY204" s="237" t="s">
        <v>288</v>
      </c>
      <c r="BZ204" s="237" t="s">
        <v>295</v>
      </c>
      <c r="CA204" s="116"/>
      <c r="CB204" s="247"/>
      <c r="CC204" s="125"/>
      <c r="CD204" s="247"/>
      <c r="CE204" s="116"/>
      <c r="CF204" s="116"/>
      <c r="CG204" s="34"/>
      <c r="CH204" s="236">
        <v>877362</v>
      </c>
      <c r="CI204" s="238">
        <f t="shared" si="79"/>
        <v>166698.78</v>
      </c>
      <c r="CJ204" s="236">
        <f t="shared" si="80"/>
        <v>1044060.78</v>
      </c>
      <c r="CK204" s="237" t="s">
        <v>288</v>
      </c>
      <c r="CL204" s="237" t="s">
        <v>295</v>
      </c>
      <c r="CM204" s="116"/>
      <c r="CN204" s="247"/>
      <c r="CO204" s="125"/>
      <c r="CP204" s="247"/>
      <c r="CQ204" s="116"/>
      <c r="CR204" s="116"/>
      <c r="CS204" s="116"/>
      <c r="CT204" s="125">
        <v>293760</v>
      </c>
      <c r="CU204" s="125">
        <f>CT204*0.19</f>
        <v>55814.400000000001</v>
      </c>
      <c r="CV204" s="125">
        <f t="shared" si="70"/>
        <v>349574.40000000002</v>
      </c>
      <c r="CW204" s="116"/>
      <c r="CX204" s="116"/>
      <c r="CY204" s="116"/>
      <c r="CZ204" s="102"/>
      <c r="DA204" s="125"/>
      <c r="DB204" s="102"/>
      <c r="DC204" s="31"/>
      <c r="DD204" s="17"/>
      <c r="DE204" s="11"/>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
      <c r="EU204" s="11"/>
      <c r="EV204" s="11"/>
      <c r="EW204" s="11"/>
      <c r="EX204" s="11"/>
      <c r="EY204" s="11"/>
      <c r="EZ204" s="11"/>
      <c r="FA204" s="11"/>
      <c r="FB204" s="11"/>
      <c r="FC204" s="11"/>
      <c r="FD204" s="11"/>
      <c r="FE204" s="11"/>
      <c r="FF204" s="11"/>
      <c r="FG204" s="11"/>
      <c r="FH204" s="17">
        <f t="shared" si="64"/>
        <v>2378598.1800000002</v>
      </c>
      <c r="FI204" s="31">
        <f t="shared" si="65"/>
        <v>3</v>
      </c>
      <c r="FJ204" s="68">
        <f t="shared" si="66"/>
        <v>792866.06</v>
      </c>
    </row>
    <row r="205" spans="1:166" ht="51" x14ac:dyDescent="0.25">
      <c r="A205" s="248">
        <f>Distribución_Reactivos!A205</f>
        <v>203</v>
      </c>
      <c r="B205" s="248" t="str">
        <f>Distribución_Reactivos!B205</f>
        <v>Estándar de magnesio 1000 mg/L solución certificada con trazabilidad e incertidumbre y fecha de vencimiento no anterior a noviembre de 2022</v>
      </c>
      <c r="C205" s="248" t="str">
        <f>Distribución_Reactivos!C205</f>
        <v>Merck (referencia 1197880100) o equivalente</v>
      </c>
      <c r="D205" s="248" t="str">
        <f>Distribución_Reactivos!D205</f>
        <v>Frasco x 100 ml</v>
      </c>
      <c r="E205" s="29">
        <v>1</v>
      </c>
      <c r="F205" s="212">
        <v>0</v>
      </c>
      <c r="G205" s="214">
        <v>0</v>
      </c>
      <c r="H205" s="221">
        <v>0</v>
      </c>
      <c r="I205" s="221">
        <v>0</v>
      </c>
      <c r="J205" s="221">
        <v>113359.4</v>
      </c>
      <c r="K205" s="221">
        <v>0</v>
      </c>
      <c r="L205" s="247">
        <f>J205</f>
        <v>113359.4</v>
      </c>
      <c r="M205" s="247"/>
      <c r="N205" s="217"/>
      <c r="O205" s="97"/>
      <c r="P205" s="97"/>
      <c r="Q205" s="115"/>
      <c r="R205" s="115"/>
      <c r="S205" s="53"/>
      <c r="T205" s="97"/>
      <c r="U205" s="101"/>
      <c r="V205" s="97"/>
      <c r="W205" s="115"/>
      <c r="X205" s="115"/>
      <c r="Y205" s="11"/>
      <c r="Z205" s="97"/>
      <c r="AA205" s="97"/>
      <c r="AB205" s="97"/>
      <c r="AC205" s="44"/>
      <c r="AD205" s="44"/>
      <c r="AE205" s="11"/>
      <c r="AF205" s="102"/>
      <c r="AG205" s="125"/>
      <c r="AH205" s="97"/>
      <c r="AI205" s="11"/>
      <c r="AJ205" s="11"/>
      <c r="AK205" s="17"/>
      <c r="AL205" s="97">
        <v>95000</v>
      </c>
      <c r="AM205" s="97">
        <f>+AL205*0.19</f>
        <v>18050</v>
      </c>
      <c r="AN205" s="103">
        <f>+AL205+AM205</f>
        <v>113050</v>
      </c>
      <c r="AO205" s="248" t="s">
        <v>51</v>
      </c>
      <c r="AP205" s="17" t="s">
        <v>52</v>
      </c>
      <c r="AQ205" s="17"/>
      <c r="AR205" s="252">
        <v>95520</v>
      </c>
      <c r="AS205" s="97">
        <f t="shared" ref="AS205:AS214" si="81">+AR205*0.19</f>
        <v>18148.8</v>
      </c>
      <c r="AT205" s="103">
        <f t="shared" ref="AT205:AT214" si="82">+AR205+AS205</f>
        <v>113668.8</v>
      </c>
      <c r="AU205" s="52" t="s">
        <v>51</v>
      </c>
      <c r="AV205" s="52" t="s">
        <v>52</v>
      </c>
      <c r="AW205" s="30"/>
      <c r="AX205" s="100"/>
      <c r="AY205" s="100"/>
      <c r="AZ205" s="124"/>
      <c r="BA205" s="169"/>
      <c r="BB205" s="116"/>
      <c r="BC205" s="116"/>
      <c r="BD205" s="247"/>
      <c r="BE205" s="124"/>
      <c r="BF205" s="124"/>
      <c r="BG205" s="116"/>
      <c r="BH205" s="116"/>
      <c r="BI205" s="116"/>
      <c r="BJ205" s="124"/>
      <c r="BK205" s="124"/>
      <c r="BL205" s="124"/>
      <c r="BM205" s="116"/>
      <c r="BN205" s="116"/>
      <c r="BO205" s="116"/>
      <c r="BP205" s="124"/>
      <c r="BQ205" s="116"/>
      <c r="BR205" s="116"/>
      <c r="BS205" s="116"/>
      <c r="BT205" s="116"/>
      <c r="BU205" s="116"/>
      <c r="BV205" s="236">
        <v>315700</v>
      </c>
      <c r="BW205" s="125">
        <f t="shared" si="71"/>
        <v>59983</v>
      </c>
      <c r="BX205" s="97">
        <f t="shared" si="72"/>
        <v>375683</v>
      </c>
      <c r="BY205" s="237" t="s">
        <v>291</v>
      </c>
      <c r="BZ205" s="237" t="s">
        <v>93</v>
      </c>
      <c r="CA205" s="116"/>
      <c r="CB205" s="247"/>
      <c r="CC205" s="125"/>
      <c r="CD205" s="247"/>
      <c r="CE205" s="116"/>
      <c r="CF205" s="116"/>
      <c r="CG205" s="34"/>
      <c r="CH205" s="236">
        <v>334642</v>
      </c>
      <c r="CI205" s="238">
        <f t="shared" si="79"/>
        <v>63581.98</v>
      </c>
      <c r="CJ205" s="236">
        <f t="shared" si="80"/>
        <v>398223.98</v>
      </c>
      <c r="CK205" s="237" t="s">
        <v>291</v>
      </c>
      <c r="CL205" s="237" t="s">
        <v>93</v>
      </c>
      <c r="CM205" s="116"/>
      <c r="CN205" s="247"/>
      <c r="CO205" s="125"/>
      <c r="CP205" s="247"/>
      <c r="CQ205" s="116"/>
      <c r="CR205" s="116"/>
      <c r="CS205" s="116"/>
      <c r="CT205" s="125">
        <v>505920.00000000006</v>
      </c>
      <c r="CU205" s="125">
        <f>CT205*0.19</f>
        <v>96124.800000000017</v>
      </c>
      <c r="CV205" s="125">
        <f t="shared" si="70"/>
        <v>602044.80000000005</v>
      </c>
      <c r="CW205" s="116"/>
      <c r="CX205" s="116"/>
      <c r="CY205" s="116"/>
      <c r="CZ205" s="102"/>
      <c r="DA205" s="125"/>
      <c r="DB205" s="102"/>
      <c r="DC205" s="31"/>
      <c r="DD205" s="17"/>
      <c r="DE205" s="11"/>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
      <c r="EU205" s="11"/>
      <c r="EV205" s="11"/>
      <c r="EW205" s="11"/>
      <c r="EX205" s="11"/>
      <c r="EY205" s="11"/>
      <c r="EZ205" s="11"/>
      <c r="FA205" s="11"/>
      <c r="FB205" s="11"/>
      <c r="FC205" s="11"/>
      <c r="FD205" s="11"/>
      <c r="FE205" s="11"/>
      <c r="FF205" s="11"/>
      <c r="FG205" s="11"/>
      <c r="FH205" s="17">
        <f t="shared" si="64"/>
        <v>1602670.58</v>
      </c>
      <c r="FI205" s="31">
        <f t="shared" si="65"/>
        <v>5</v>
      </c>
      <c r="FJ205" s="68">
        <f t="shared" si="66"/>
        <v>320534.11600000004</v>
      </c>
    </row>
    <row r="206" spans="1:166" ht="38.25" x14ac:dyDescent="0.25">
      <c r="A206" s="248">
        <f>Distribución_Reactivos!A206</f>
        <v>204</v>
      </c>
      <c r="B206" s="248" t="str">
        <f>Distribución_Reactivos!B206</f>
        <v xml:space="preserve">Estándar de Manganeso 1000 mg/l Mn en solución, trazable a SRM de NIST </v>
      </c>
      <c r="C206" s="248" t="str">
        <f>Distribución_Reactivos!C206</f>
        <v>Merck (referencia 1197890100) o equivalente</v>
      </c>
      <c r="D206" s="248" t="str">
        <f>Distribución_Reactivos!D206</f>
        <v>Frasco x 100 ml</v>
      </c>
      <c r="E206" s="29">
        <v>1</v>
      </c>
      <c r="F206" s="212">
        <v>460440.75</v>
      </c>
      <c r="G206" s="214">
        <v>444227</v>
      </c>
      <c r="H206" s="221">
        <v>170189.4</v>
      </c>
      <c r="I206" s="221">
        <v>0</v>
      </c>
      <c r="J206" s="221">
        <v>237549.28750000003</v>
      </c>
      <c r="K206" s="221">
        <v>0</v>
      </c>
      <c r="L206" s="247">
        <f>AVERAGE(F206,H206,J206)</f>
        <v>289393.14583333331</v>
      </c>
      <c r="M206" s="247">
        <f>G206*E1</f>
        <v>457553.81</v>
      </c>
      <c r="N206" s="217"/>
      <c r="O206" s="97"/>
      <c r="P206" s="97"/>
      <c r="Q206" s="115"/>
      <c r="R206" s="115"/>
      <c r="S206" s="53"/>
      <c r="T206" s="97"/>
      <c r="U206" s="97"/>
      <c r="V206" s="97"/>
      <c r="W206" s="115"/>
      <c r="X206" s="115"/>
      <c r="Y206" s="11"/>
      <c r="Z206" s="97"/>
      <c r="AA206" s="97"/>
      <c r="AB206" s="97"/>
      <c r="AC206" s="44"/>
      <c r="AD206" s="44"/>
      <c r="AE206" s="11"/>
      <c r="AF206" s="102"/>
      <c r="AG206" s="125"/>
      <c r="AH206" s="97"/>
      <c r="AI206" s="11"/>
      <c r="AJ206" s="11"/>
      <c r="AK206" s="17"/>
      <c r="AL206" s="97">
        <v>95000</v>
      </c>
      <c r="AM206" s="97">
        <f>+AL206*0.19</f>
        <v>18050</v>
      </c>
      <c r="AN206" s="103">
        <f>+AL206+AM206</f>
        <v>113050</v>
      </c>
      <c r="AO206" s="248" t="s">
        <v>51</v>
      </c>
      <c r="AP206" s="17" t="s">
        <v>52</v>
      </c>
      <c r="AQ206" s="17"/>
      <c r="AR206" s="252">
        <v>95520</v>
      </c>
      <c r="AS206" s="97">
        <f t="shared" si="81"/>
        <v>18148.8</v>
      </c>
      <c r="AT206" s="103">
        <f t="shared" si="82"/>
        <v>113668.8</v>
      </c>
      <c r="AU206" s="52" t="s">
        <v>51</v>
      </c>
      <c r="AV206" s="52" t="s">
        <v>52</v>
      </c>
      <c r="AW206" s="30"/>
      <c r="AX206" s="100"/>
      <c r="AY206" s="172"/>
      <c r="AZ206" s="124"/>
      <c r="BA206" s="169"/>
      <c r="BB206" s="116"/>
      <c r="BC206" s="116"/>
      <c r="BD206" s="247"/>
      <c r="BE206" s="124"/>
      <c r="BF206" s="124"/>
      <c r="BG206" s="116"/>
      <c r="BH206" s="116"/>
      <c r="BI206" s="116"/>
      <c r="BJ206" s="124"/>
      <c r="BK206" s="124"/>
      <c r="BL206" s="124"/>
      <c r="BM206" s="116"/>
      <c r="BN206" s="116"/>
      <c r="BO206" s="116"/>
      <c r="BP206" s="124"/>
      <c r="BQ206" s="116"/>
      <c r="BR206" s="116"/>
      <c r="BS206" s="116"/>
      <c r="BT206" s="116"/>
      <c r="BU206" s="116"/>
      <c r="BV206" s="236">
        <v>316300</v>
      </c>
      <c r="BW206" s="125">
        <f t="shared" si="71"/>
        <v>60097</v>
      </c>
      <c r="BX206" s="97">
        <f t="shared" si="72"/>
        <v>376397</v>
      </c>
      <c r="BY206" s="237" t="s">
        <v>291</v>
      </c>
      <c r="BZ206" s="237" t="s">
        <v>93</v>
      </c>
      <c r="CA206" s="116"/>
      <c r="CB206" s="247"/>
      <c r="CC206" s="125"/>
      <c r="CD206" s="247"/>
      <c r="CE206" s="116"/>
      <c r="CF206" s="116"/>
      <c r="CG206" s="34"/>
      <c r="CH206" s="236">
        <v>335278</v>
      </c>
      <c r="CI206" s="238">
        <f t="shared" si="79"/>
        <v>63702.82</v>
      </c>
      <c r="CJ206" s="236">
        <f t="shared" si="80"/>
        <v>398980.82</v>
      </c>
      <c r="CK206" s="237" t="s">
        <v>291</v>
      </c>
      <c r="CL206" s="237" t="s">
        <v>93</v>
      </c>
      <c r="CM206" s="116"/>
      <c r="CN206" s="247"/>
      <c r="CO206" s="125"/>
      <c r="CP206" s="247"/>
      <c r="CQ206" s="116"/>
      <c r="CR206" s="116"/>
      <c r="CS206" s="116"/>
      <c r="CT206" s="125">
        <v>320960</v>
      </c>
      <c r="CU206" s="125">
        <f>CT206*0.19</f>
        <v>60982.400000000001</v>
      </c>
      <c r="CV206" s="125">
        <f t="shared" si="70"/>
        <v>381942.4</v>
      </c>
      <c r="CW206" s="116"/>
      <c r="CX206" s="116"/>
      <c r="CY206" s="116"/>
      <c r="CZ206" s="102">
        <v>131310</v>
      </c>
      <c r="DA206" s="125">
        <f>+CZ206*0.19</f>
        <v>24948.9</v>
      </c>
      <c r="DB206" s="102">
        <f>+CZ206+DA206</f>
        <v>156258.9</v>
      </c>
      <c r="DC206" s="31" t="s">
        <v>292</v>
      </c>
      <c r="DD206" s="17" t="s">
        <v>65</v>
      </c>
      <c r="DE206" s="11"/>
      <c r="DF206" s="116"/>
      <c r="DG206" s="116"/>
      <c r="DH206" s="116"/>
      <c r="DI206" s="116"/>
      <c r="DJ206" s="116"/>
      <c r="DK206" s="116"/>
      <c r="DL206" s="116"/>
      <c r="DM206" s="116"/>
      <c r="DN206" s="116"/>
      <c r="DO206" s="116"/>
      <c r="DP206" s="116"/>
      <c r="DQ206" s="116"/>
      <c r="DR206" s="116"/>
      <c r="DS206" s="116"/>
      <c r="DT206" s="116"/>
      <c r="DU206" s="116"/>
      <c r="DV206" s="116"/>
      <c r="DW206" s="116"/>
      <c r="DX206" s="116"/>
      <c r="DY206" s="116"/>
      <c r="DZ206" s="116"/>
      <c r="EA206" s="116"/>
      <c r="EB206" s="116"/>
      <c r="EC206" s="116"/>
      <c r="ED206" s="116"/>
      <c r="EE206" s="116"/>
      <c r="EF206" s="116"/>
      <c r="EG206" s="116"/>
      <c r="EH206" s="116"/>
      <c r="EI206" s="116"/>
      <c r="EJ206" s="116"/>
      <c r="EK206" s="116"/>
      <c r="EL206" s="116"/>
      <c r="EM206" s="116"/>
      <c r="EN206" s="116"/>
      <c r="EO206" s="116"/>
      <c r="EP206" s="116"/>
      <c r="EQ206" s="116"/>
      <c r="ER206" s="116"/>
      <c r="ES206" s="116"/>
      <c r="ET206" s="11"/>
      <c r="EU206" s="11"/>
      <c r="EV206" s="11"/>
      <c r="EW206" s="11"/>
      <c r="EX206" s="11"/>
      <c r="EY206" s="11"/>
      <c r="EZ206" s="11"/>
      <c r="FA206" s="11"/>
      <c r="FB206" s="11"/>
      <c r="FC206" s="11"/>
      <c r="FD206" s="11"/>
      <c r="FE206" s="11"/>
      <c r="FF206" s="11"/>
      <c r="FG206" s="11"/>
      <c r="FH206" s="17">
        <f t="shared" si="64"/>
        <v>1997851.73</v>
      </c>
      <c r="FI206" s="31">
        <f t="shared" si="65"/>
        <v>7</v>
      </c>
      <c r="FJ206" s="68">
        <f t="shared" si="66"/>
        <v>285407.39</v>
      </c>
    </row>
    <row r="207" spans="1:166" ht="65.25" customHeight="1" x14ac:dyDescent="0.25">
      <c r="A207" s="248">
        <f>Distribución_Reactivos!A207</f>
        <v>205</v>
      </c>
      <c r="B207" s="248" t="str">
        <f>Distribución_Reactivos!B207</f>
        <v>Estándar de methimazol ( Tapazol)</v>
      </c>
      <c r="C207" s="248" t="str">
        <f>Distribución_Reactivos!C207</f>
        <v>DrDr Ehrenstorfer.  DRE-C15020200</v>
      </c>
      <c r="D207" s="248" t="str">
        <f>Distribución_Reactivos!D207</f>
        <v>Frasco x 250 mg</v>
      </c>
      <c r="E207" s="29">
        <v>1</v>
      </c>
      <c r="F207" s="212">
        <v>0</v>
      </c>
      <c r="G207" s="214">
        <v>0</v>
      </c>
      <c r="H207" s="221">
        <v>511188.3</v>
      </c>
      <c r="I207" s="221">
        <v>511105</v>
      </c>
      <c r="J207" s="221">
        <v>1175352.29</v>
      </c>
      <c r="K207" s="221">
        <v>1134070</v>
      </c>
      <c r="L207" s="247">
        <f>AVERAGE(H207,J207)</f>
        <v>843270.29500000004</v>
      </c>
      <c r="M207" s="247">
        <f>AVERAGE(I207,K207)*E1</f>
        <v>847265.125</v>
      </c>
      <c r="N207" s="217"/>
      <c r="O207" s="97"/>
      <c r="P207" s="97"/>
      <c r="Q207" s="115"/>
      <c r="R207" s="115"/>
      <c r="S207" s="53"/>
      <c r="T207" s="97"/>
      <c r="U207" s="97"/>
      <c r="V207" s="97"/>
      <c r="W207" s="115"/>
      <c r="X207" s="115"/>
      <c r="Y207" s="11"/>
      <c r="Z207" s="97"/>
      <c r="AA207" s="97"/>
      <c r="AB207" s="97"/>
      <c r="AC207" s="44"/>
      <c r="AD207" s="44"/>
      <c r="AE207" s="11"/>
      <c r="AF207" s="102"/>
      <c r="AG207" s="125"/>
      <c r="AH207" s="97"/>
      <c r="AI207" s="11"/>
      <c r="AJ207" s="11"/>
      <c r="AK207" s="17"/>
      <c r="AL207" s="97"/>
      <c r="AM207" s="97"/>
      <c r="AN207" s="103"/>
      <c r="AO207" s="248"/>
      <c r="AP207" s="17"/>
      <c r="AQ207" s="17"/>
      <c r="AR207" s="252">
        <v>468000</v>
      </c>
      <c r="AS207" s="97">
        <f t="shared" si="81"/>
        <v>88920</v>
      </c>
      <c r="AT207" s="103">
        <f t="shared" si="82"/>
        <v>556920</v>
      </c>
      <c r="AU207" s="52" t="s">
        <v>299</v>
      </c>
      <c r="AV207" s="52" t="s">
        <v>42</v>
      </c>
      <c r="AW207" s="30"/>
      <c r="AX207" s="100"/>
      <c r="AY207" s="172"/>
      <c r="AZ207" s="124"/>
      <c r="BA207" s="169"/>
      <c r="BB207" s="116"/>
      <c r="BC207" s="116"/>
      <c r="BD207" s="247"/>
      <c r="BE207" s="124"/>
      <c r="BF207" s="124"/>
      <c r="BG207" s="116"/>
      <c r="BH207" s="116"/>
      <c r="BI207" s="116"/>
      <c r="BJ207" s="124"/>
      <c r="BK207" s="124"/>
      <c r="BL207" s="124"/>
      <c r="BM207" s="116"/>
      <c r="BN207" s="116"/>
      <c r="BO207" s="116"/>
      <c r="BP207" s="124"/>
      <c r="BQ207" s="116"/>
      <c r="BR207" s="116"/>
      <c r="BS207" s="116"/>
      <c r="BT207" s="116"/>
      <c r="BU207" s="116"/>
      <c r="BV207" s="236">
        <v>800100</v>
      </c>
      <c r="BW207" s="125">
        <f t="shared" si="71"/>
        <v>152019</v>
      </c>
      <c r="BX207" s="97">
        <f t="shared" si="72"/>
        <v>952119</v>
      </c>
      <c r="BY207" s="237" t="s">
        <v>296</v>
      </c>
      <c r="BZ207" s="237" t="s">
        <v>289</v>
      </c>
      <c r="CA207" s="116"/>
      <c r="CB207" s="247"/>
      <c r="CC207" s="125"/>
      <c r="CD207" s="247"/>
      <c r="CE207" s="116"/>
      <c r="CF207" s="116"/>
      <c r="CG207" s="34"/>
      <c r="CH207" s="236">
        <v>832104</v>
      </c>
      <c r="CI207" s="238">
        <f t="shared" si="79"/>
        <v>158099.76</v>
      </c>
      <c r="CJ207" s="236">
        <f t="shared" si="80"/>
        <v>990203.76</v>
      </c>
      <c r="CK207" s="237" t="s">
        <v>296</v>
      </c>
      <c r="CL207" s="237" t="s">
        <v>289</v>
      </c>
      <c r="CM207" s="116"/>
      <c r="CN207" s="247"/>
      <c r="CO207" s="125"/>
      <c r="CP207" s="247"/>
      <c r="CQ207" s="116"/>
      <c r="CR207" s="116"/>
      <c r="CS207" s="116"/>
      <c r="CT207" s="125">
        <v>391680</v>
      </c>
      <c r="CU207" s="125">
        <f>CT207*0.19</f>
        <v>74419.199999999997</v>
      </c>
      <c r="CV207" s="125">
        <f t="shared" si="70"/>
        <v>466099.20000000001</v>
      </c>
      <c r="CW207" s="116"/>
      <c r="CX207" s="116"/>
      <c r="CY207" s="116"/>
      <c r="CZ207" s="102"/>
      <c r="DA207" s="125"/>
      <c r="DB207" s="102"/>
      <c r="DC207" s="31"/>
      <c r="DD207" s="17"/>
      <c r="DE207" s="11"/>
      <c r="DF207" s="116"/>
      <c r="DG207" s="116"/>
      <c r="DH207" s="116"/>
      <c r="DI207" s="116"/>
      <c r="DJ207" s="116"/>
      <c r="DK207" s="116"/>
      <c r="DL207" s="116"/>
      <c r="DM207" s="116"/>
      <c r="DN207" s="116"/>
      <c r="DO207" s="116"/>
      <c r="DP207" s="116"/>
      <c r="DQ207" s="116"/>
      <c r="DR207" s="116"/>
      <c r="DS207" s="116"/>
      <c r="DT207" s="116"/>
      <c r="DU207" s="116"/>
      <c r="DV207" s="116"/>
      <c r="DW207" s="116"/>
      <c r="DX207" s="116"/>
      <c r="DY207" s="116"/>
      <c r="DZ207" s="116"/>
      <c r="EA207" s="116"/>
      <c r="EB207" s="116"/>
      <c r="EC207" s="116"/>
      <c r="ED207" s="116"/>
      <c r="EE207" s="116"/>
      <c r="EF207" s="116"/>
      <c r="EG207" s="116"/>
      <c r="EH207" s="116"/>
      <c r="EI207" s="116"/>
      <c r="EJ207" s="116"/>
      <c r="EK207" s="116"/>
      <c r="EL207" s="116"/>
      <c r="EM207" s="116"/>
      <c r="EN207" s="116"/>
      <c r="EO207" s="116"/>
      <c r="EP207" s="116"/>
      <c r="EQ207" s="116"/>
      <c r="ER207" s="116"/>
      <c r="ES207" s="116"/>
      <c r="ET207" s="11"/>
      <c r="EU207" s="11"/>
      <c r="EV207" s="11"/>
      <c r="EW207" s="11"/>
      <c r="EX207" s="11"/>
      <c r="EY207" s="11"/>
      <c r="EZ207" s="11"/>
      <c r="FA207" s="11"/>
      <c r="FB207" s="11"/>
      <c r="FC207" s="11"/>
      <c r="FD207" s="11"/>
      <c r="FE207" s="11"/>
      <c r="FF207" s="11"/>
      <c r="FG207" s="11"/>
      <c r="FH207" s="17">
        <f t="shared" si="64"/>
        <v>3812607.085</v>
      </c>
      <c r="FI207" s="31">
        <f t="shared" si="65"/>
        <v>5</v>
      </c>
      <c r="FJ207" s="68">
        <f t="shared" si="66"/>
        <v>762521.41700000002</v>
      </c>
    </row>
    <row r="208" spans="1:166" ht="40.5" x14ac:dyDescent="0.25">
      <c r="A208" s="248">
        <f>Distribución_Reactivos!A208</f>
        <v>206</v>
      </c>
      <c r="B208" s="248" t="str">
        <f>Distribución_Reactivos!B208</f>
        <v>Estándar de penicilina G benzatínica o Penicilina G procaínica o Penicilina G potásica</v>
      </c>
      <c r="C208" s="248" t="str">
        <f>Distribución_Reactivos!C208</f>
        <v xml:space="preserve"> Dr Ehrenstorfer</v>
      </c>
      <c r="D208" s="248" t="str">
        <f>Distribución_Reactivos!D208</f>
        <v>Frasco x 250 mg</v>
      </c>
      <c r="E208" s="29">
        <v>1</v>
      </c>
      <c r="F208" s="212">
        <v>2647631</v>
      </c>
      <c r="G208" s="214">
        <v>2515184</v>
      </c>
      <c r="H208" s="221">
        <v>1047596.6666666666</v>
      </c>
      <c r="I208" s="221">
        <v>0</v>
      </c>
      <c r="J208" s="221">
        <v>1346576.6300000001</v>
      </c>
      <c r="K208" s="221">
        <v>1309000</v>
      </c>
      <c r="L208" s="247">
        <f>AVERAGE(F208,H208,J208)</f>
        <v>1680601.4322222222</v>
      </c>
      <c r="M208" s="247">
        <f>AVERAGE(G208,K208)*E1</f>
        <v>1969454.76</v>
      </c>
      <c r="N208" s="217"/>
      <c r="O208" s="97"/>
      <c r="P208" s="97"/>
      <c r="Q208" s="115"/>
      <c r="R208" s="115"/>
      <c r="S208" s="53"/>
      <c r="T208" s="97"/>
      <c r="U208" s="97"/>
      <c r="V208" s="97"/>
      <c r="W208" s="115"/>
      <c r="X208" s="115"/>
      <c r="Y208" s="11"/>
      <c r="Z208" s="97"/>
      <c r="AA208" s="97"/>
      <c r="AB208" s="97"/>
      <c r="AC208" s="44"/>
      <c r="AD208" s="44"/>
      <c r="AE208" s="11"/>
      <c r="AF208" s="102"/>
      <c r="AG208" s="125"/>
      <c r="AH208" s="97"/>
      <c r="AI208" s="11"/>
      <c r="AJ208" s="11"/>
      <c r="AK208" s="17"/>
      <c r="AL208" s="97"/>
      <c r="AM208" s="97"/>
      <c r="AN208" s="101"/>
      <c r="AO208" s="248"/>
      <c r="AP208" s="17"/>
      <c r="AQ208" s="17"/>
      <c r="AR208" s="252">
        <v>252000</v>
      </c>
      <c r="AS208" s="97">
        <f t="shared" si="81"/>
        <v>47880</v>
      </c>
      <c r="AT208" s="103">
        <f t="shared" si="82"/>
        <v>299880</v>
      </c>
      <c r="AU208" s="52" t="s">
        <v>276</v>
      </c>
      <c r="AV208" s="52" t="s">
        <v>42</v>
      </c>
      <c r="AW208" s="30"/>
      <c r="AX208" s="100"/>
      <c r="AY208" s="172"/>
      <c r="AZ208" s="124"/>
      <c r="BA208" s="169"/>
      <c r="BB208" s="116"/>
      <c r="BC208" s="116"/>
      <c r="BD208" s="247"/>
      <c r="BE208" s="124"/>
      <c r="BF208" s="124"/>
      <c r="BG208" s="116"/>
      <c r="BH208" s="116"/>
      <c r="BI208" s="116"/>
      <c r="BJ208" s="124"/>
      <c r="BK208" s="124"/>
      <c r="BL208" s="124"/>
      <c r="BM208" s="116"/>
      <c r="BN208" s="116"/>
      <c r="BO208" s="116"/>
      <c r="BP208" s="124"/>
      <c r="BQ208" s="116"/>
      <c r="BR208" s="116"/>
      <c r="BS208" s="116"/>
      <c r="BT208" s="116"/>
      <c r="BU208" s="116"/>
      <c r="BV208" s="236">
        <v>529200</v>
      </c>
      <c r="BW208" s="125">
        <f t="shared" si="71"/>
        <v>100548</v>
      </c>
      <c r="BX208" s="97">
        <f t="shared" si="72"/>
        <v>629748</v>
      </c>
      <c r="BY208" s="237" t="s">
        <v>296</v>
      </c>
      <c r="BZ208" s="237" t="s">
        <v>289</v>
      </c>
      <c r="CA208" s="116"/>
      <c r="CB208" s="247"/>
      <c r="CC208" s="125"/>
      <c r="CD208" s="247"/>
      <c r="CE208" s="116"/>
      <c r="CF208" s="116"/>
      <c r="CG208" s="34"/>
      <c r="CH208" s="236">
        <v>539784</v>
      </c>
      <c r="CI208" s="238">
        <f t="shared" si="79"/>
        <v>102558.96</v>
      </c>
      <c r="CJ208" s="236">
        <f t="shared" si="80"/>
        <v>642342.96</v>
      </c>
      <c r="CK208" s="237" t="s">
        <v>296</v>
      </c>
      <c r="CL208" s="237" t="s">
        <v>289</v>
      </c>
      <c r="CM208" s="116"/>
      <c r="CN208" s="247"/>
      <c r="CO208" s="125"/>
      <c r="CP208" s="247"/>
      <c r="CQ208" s="116"/>
      <c r="CR208" s="116"/>
      <c r="CS208" s="116"/>
      <c r="CT208" s="247">
        <v>1185920</v>
      </c>
      <c r="CU208" s="125">
        <f>CT208*0</f>
        <v>0</v>
      </c>
      <c r="CV208" s="125">
        <f t="shared" si="70"/>
        <v>1185920</v>
      </c>
      <c r="CW208" s="116"/>
      <c r="CX208" s="116"/>
      <c r="CY208" s="116"/>
      <c r="CZ208" s="102"/>
      <c r="DA208" s="125"/>
      <c r="DB208" s="102"/>
      <c r="DC208" s="31"/>
      <c r="DD208" s="17"/>
      <c r="DE208" s="11"/>
      <c r="DF208" s="116"/>
      <c r="DG208" s="116"/>
      <c r="DH208" s="116"/>
      <c r="DI208" s="116"/>
      <c r="DJ208" s="116"/>
      <c r="DK208" s="116"/>
      <c r="DL208" s="116"/>
      <c r="DM208" s="116"/>
      <c r="DN208" s="116"/>
      <c r="DO208" s="116"/>
      <c r="DP208" s="116"/>
      <c r="DQ208" s="116"/>
      <c r="DR208" s="116"/>
      <c r="DS208" s="116"/>
      <c r="DT208" s="116"/>
      <c r="DU208" s="116"/>
      <c r="DV208" s="116"/>
      <c r="DW208" s="116"/>
      <c r="DX208" s="116"/>
      <c r="DY208" s="116"/>
      <c r="DZ208" s="116"/>
      <c r="EA208" s="116"/>
      <c r="EB208" s="116"/>
      <c r="EC208" s="116"/>
      <c r="ED208" s="116"/>
      <c r="EE208" s="116"/>
      <c r="EF208" s="116"/>
      <c r="EG208" s="116"/>
      <c r="EH208" s="116"/>
      <c r="EI208" s="116"/>
      <c r="EJ208" s="116"/>
      <c r="EK208" s="116"/>
      <c r="EL208" s="116"/>
      <c r="EM208" s="116"/>
      <c r="EN208" s="116"/>
      <c r="EO208" s="116"/>
      <c r="EP208" s="116"/>
      <c r="EQ208" s="116"/>
      <c r="ER208" s="116"/>
      <c r="ES208" s="116"/>
      <c r="ET208" s="11"/>
      <c r="EU208" s="11"/>
      <c r="EV208" s="11"/>
      <c r="EW208" s="11"/>
      <c r="EX208" s="11"/>
      <c r="EY208" s="11"/>
      <c r="EZ208" s="11"/>
      <c r="FA208" s="11"/>
      <c r="FB208" s="11"/>
      <c r="FC208" s="11"/>
      <c r="FD208" s="11"/>
      <c r="FE208" s="11"/>
      <c r="FF208" s="11"/>
      <c r="FG208" s="11"/>
      <c r="FH208" s="17">
        <f t="shared" si="64"/>
        <v>4727345.72</v>
      </c>
      <c r="FI208" s="31">
        <f t="shared" si="65"/>
        <v>5</v>
      </c>
      <c r="FJ208" s="68">
        <f t="shared" si="66"/>
        <v>945469.14399999997</v>
      </c>
    </row>
    <row r="209" spans="1:166" ht="51" x14ac:dyDescent="0.25">
      <c r="A209" s="248">
        <f>Distribución_Reactivos!A209</f>
        <v>207</v>
      </c>
      <c r="B209" s="248" t="str">
        <f>Distribución_Reactivos!B209</f>
        <v>Estándar de Ractopamina HCl CAS 90-274-24-1 trazable, con certificado de análisis e incertidumbre, fecha de vencimiento no inferior a 2 años</v>
      </c>
      <c r="C209" s="248" t="str">
        <f>Distribución_Reactivos!C209</f>
        <v>Dr Ehrenstorfer C16805000</v>
      </c>
      <c r="D209" s="248" t="str">
        <f>Distribución_Reactivos!D209</f>
        <v>Frasco x 250mg</v>
      </c>
      <c r="E209" s="29">
        <v>1</v>
      </c>
      <c r="F209" s="212">
        <v>662949</v>
      </c>
      <c r="G209" s="214">
        <v>0</v>
      </c>
      <c r="H209" s="221">
        <v>1848466.6666666667</v>
      </c>
      <c r="I209" s="221">
        <v>0</v>
      </c>
      <c r="J209" s="221">
        <v>1436205.645</v>
      </c>
      <c r="K209" s="221">
        <v>1386350</v>
      </c>
      <c r="L209" s="247">
        <f>AVERAGE(F209,H209,J209)</f>
        <v>1315873.7705555556</v>
      </c>
      <c r="M209" s="247">
        <f>K209*E1</f>
        <v>1427940.5</v>
      </c>
      <c r="N209" s="217"/>
      <c r="O209" s="97"/>
      <c r="P209" s="97"/>
      <c r="Q209" s="115"/>
      <c r="R209" s="115"/>
      <c r="S209" s="53"/>
      <c r="T209" s="97"/>
      <c r="U209" s="97"/>
      <c r="V209" s="97"/>
      <c r="W209" s="115"/>
      <c r="X209" s="115"/>
      <c r="Y209" s="11"/>
      <c r="Z209" s="97"/>
      <c r="AA209" s="97"/>
      <c r="AB209" s="97"/>
      <c r="AC209" s="44"/>
      <c r="AD209" s="44"/>
      <c r="AE209" s="11"/>
      <c r="AF209" s="102"/>
      <c r="AG209" s="125"/>
      <c r="AH209" s="97"/>
      <c r="AI209" s="11"/>
      <c r="AJ209" s="11"/>
      <c r="AK209" s="17"/>
      <c r="AL209" s="97"/>
      <c r="AM209" s="97"/>
      <c r="AN209" s="103"/>
      <c r="AO209" s="248"/>
      <c r="AP209" s="17"/>
      <c r="AQ209" s="17"/>
      <c r="AR209" s="252">
        <v>864000</v>
      </c>
      <c r="AS209" s="97">
        <f t="shared" si="81"/>
        <v>164160</v>
      </c>
      <c r="AT209" s="103">
        <f t="shared" si="82"/>
        <v>1028160</v>
      </c>
      <c r="AU209" s="52" t="s">
        <v>253</v>
      </c>
      <c r="AV209" s="52" t="s">
        <v>42</v>
      </c>
      <c r="AW209" s="30"/>
      <c r="AX209" s="100"/>
      <c r="AY209" s="172"/>
      <c r="AZ209" s="124"/>
      <c r="BA209" s="169"/>
      <c r="BB209" s="116"/>
      <c r="BC209" s="116"/>
      <c r="BD209" s="247"/>
      <c r="BE209" s="124"/>
      <c r="BF209" s="124"/>
      <c r="BG209" s="116"/>
      <c r="BH209" s="116"/>
      <c r="BI209" s="116"/>
      <c r="BJ209" s="124"/>
      <c r="BK209" s="124"/>
      <c r="BL209" s="124"/>
      <c r="BM209" s="116"/>
      <c r="BN209" s="116"/>
      <c r="BO209" s="116"/>
      <c r="BP209" s="124"/>
      <c r="BQ209" s="116"/>
      <c r="BR209" s="116"/>
      <c r="BS209" s="116"/>
      <c r="BT209" s="116"/>
      <c r="BU209" s="116"/>
      <c r="BV209" s="236">
        <v>1283000</v>
      </c>
      <c r="BW209" s="125">
        <f t="shared" si="71"/>
        <v>243770</v>
      </c>
      <c r="BX209" s="97">
        <f t="shared" si="72"/>
        <v>1526770</v>
      </c>
      <c r="BY209" s="237" t="s">
        <v>288</v>
      </c>
      <c r="BZ209" s="237" t="s">
        <v>289</v>
      </c>
      <c r="CA209" s="116"/>
      <c r="CB209" s="247"/>
      <c r="CC209" s="125"/>
      <c r="CD209" s="247"/>
      <c r="CE209" s="116"/>
      <c r="CF209" s="116"/>
      <c r="CG209" s="34"/>
      <c r="CH209" s="236">
        <v>1347150</v>
      </c>
      <c r="CI209" s="238">
        <f t="shared" si="79"/>
        <v>255958.5</v>
      </c>
      <c r="CJ209" s="236">
        <f t="shared" si="80"/>
        <v>1603108.5</v>
      </c>
      <c r="CK209" s="237" t="s">
        <v>288</v>
      </c>
      <c r="CL209" s="237" t="s">
        <v>289</v>
      </c>
      <c r="CM209" s="116"/>
      <c r="CN209" s="247"/>
      <c r="CO209" s="125"/>
      <c r="CP209" s="247"/>
      <c r="CQ209" s="116"/>
      <c r="CR209" s="116"/>
      <c r="CS209" s="116"/>
      <c r="CT209" s="125">
        <v>366000</v>
      </c>
      <c r="CU209" s="125">
        <f>CT209*0.19</f>
        <v>69540</v>
      </c>
      <c r="CV209" s="125">
        <f t="shared" si="70"/>
        <v>435540</v>
      </c>
      <c r="CW209" s="116"/>
      <c r="CX209" s="116"/>
      <c r="CY209" s="116"/>
      <c r="CZ209" s="102"/>
      <c r="DA209" s="125"/>
      <c r="DB209" s="102"/>
      <c r="DC209" s="31"/>
      <c r="DD209" s="17"/>
      <c r="DE209" s="11"/>
      <c r="DF209" s="116"/>
      <c r="DG209" s="116"/>
      <c r="DH209" s="116"/>
      <c r="DI209" s="116"/>
      <c r="DJ209" s="116"/>
      <c r="DK209" s="116"/>
      <c r="DL209" s="116"/>
      <c r="DM209" s="116"/>
      <c r="DN209" s="116"/>
      <c r="DO209" s="116"/>
      <c r="DP209" s="116"/>
      <c r="DQ209" s="116"/>
      <c r="DR209" s="116"/>
      <c r="DS209" s="116"/>
      <c r="DT209" s="116"/>
      <c r="DU209" s="116"/>
      <c r="DV209" s="116"/>
      <c r="DW209" s="116"/>
      <c r="DX209" s="116"/>
      <c r="DY209" s="116"/>
      <c r="DZ209" s="116"/>
      <c r="EA209" s="116"/>
      <c r="EB209" s="116"/>
      <c r="EC209" s="116"/>
      <c r="ED209" s="116"/>
      <c r="EE209" s="116"/>
      <c r="EF209" s="116"/>
      <c r="EG209" s="116"/>
      <c r="EH209" s="116"/>
      <c r="EI209" s="116"/>
      <c r="EJ209" s="116"/>
      <c r="EK209" s="116"/>
      <c r="EL209" s="116"/>
      <c r="EM209" s="116"/>
      <c r="EN209" s="116"/>
      <c r="EO209" s="116"/>
      <c r="EP209" s="116"/>
      <c r="EQ209" s="116"/>
      <c r="ER209" s="116"/>
      <c r="ES209" s="116"/>
      <c r="ET209" s="11"/>
      <c r="EU209" s="11"/>
      <c r="EV209" s="11"/>
      <c r="EW209" s="11"/>
      <c r="EX209" s="11"/>
      <c r="EY209" s="11"/>
      <c r="EZ209" s="11"/>
      <c r="FA209" s="11"/>
      <c r="FB209" s="11"/>
      <c r="FC209" s="11"/>
      <c r="FD209" s="11"/>
      <c r="FE209" s="11"/>
      <c r="FF209" s="11"/>
      <c r="FG209" s="11"/>
      <c r="FH209" s="17">
        <f t="shared" si="64"/>
        <v>6021519</v>
      </c>
      <c r="FI209" s="31">
        <f t="shared" si="65"/>
        <v>5</v>
      </c>
      <c r="FJ209" s="68">
        <f t="shared" si="66"/>
        <v>1204303.8</v>
      </c>
    </row>
    <row r="210" spans="1:166" ht="71.25" customHeight="1" x14ac:dyDescent="0.25">
      <c r="A210" s="248">
        <f>Distribución_Reactivos!A210</f>
        <v>208</v>
      </c>
      <c r="B210" s="248" t="str">
        <f>Distribución_Reactivos!B210</f>
        <v>Estandar de Ronidazol. Trazable, con certificado con método de análisis e incertidumbre, vigencia no menor a Diciembre de 2022</v>
      </c>
      <c r="C210" s="248" t="str">
        <f>Distribución_Reactivos!C210</f>
        <v>Dr Ehrenstorfer. 
DRE‐C16815500</v>
      </c>
      <c r="D210" s="248" t="str">
        <f>Distribución_Reactivos!D210</f>
        <v>Frasco x 100 mg</v>
      </c>
      <c r="E210" s="29">
        <v>1</v>
      </c>
      <c r="F210" s="212">
        <v>0</v>
      </c>
      <c r="G210" s="214">
        <v>0</v>
      </c>
      <c r="H210" s="221">
        <v>0</v>
      </c>
      <c r="I210" s="221">
        <v>0</v>
      </c>
      <c r="J210" s="221">
        <v>0</v>
      </c>
      <c r="K210" s="221">
        <v>0</v>
      </c>
      <c r="L210" s="247"/>
      <c r="M210" s="247"/>
      <c r="N210" s="217"/>
      <c r="O210" s="97"/>
      <c r="P210" s="97"/>
      <c r="Q210" s="115"/>
      <c r="R210" s="115"/>
      <c r="S210" s="53"/>
      <c r="T210" s="97"/>
      <c r="U210" s="97"/>
      <c r="V210" s="97"/>
      <c r="W210" s="115"/>
      <c r="X210" s="115"/>
      <c r="Y210" s="11"/>
      <c r="Z210" s="97"/>
      <c r="AA210" s="97"/>
      <c r="AB210" s="97"/>
      <c r="AC210" s="44"/>
      <c r="AD210" s="44"/>
      <c r="AE210" s="11"/>
      <c r="AF210" s="102"/>
      <c r="AG210" s="125"/>
      <c r="AH210" s="97"/>
      <c r="AI210" s="11"/>
      <c r="AJ210" s="11"/>
      <c r="AK210" s="17"/>
      <c r="AL210" s="97"/>
      <c r="AM210" s="97"/>
      <c r="AN210" s="103"/>
      <c r="AO210" s="248"/>
      <c r="AP210" s="17"/>
      <c r="AQ210" s="17"/>
      <c r="AR210" s="252">
        <v>1728000</v>
      </c>
      <c r="AS210" s="97">
        <f t="shared" si="81"/>
        <v>328320</v>
      </c>
      <c r="AT210" s="103">
        <f t="shared" si="82"/>
        <v>2056320</v>
      </c>
      <c r="AU210" s="52" t="s">
        <v>253</v>
      </c>
      <c r="AV210" s="52" t="s">
        <v>42</v>
      </c>
      <c r="AW210" s="30"/>
      <c r="AX210" s="100"/>
      <c r="AY210" s="100"/>
      <c r="AZ210" s="124"/>
      <c r="BA210" s="169"/>
      <c r="BB210" s="116"/>
      <c r="BC210" s="116"/>
      <c r="BD210" s="247"/>
      <c r="BE210" s="124"/>
      <c r="BF210" s="124"/>
      <c r="BG210" s="116"/>
      <c r="BH210" s="116"/>
      <c r="BI210" s="116"/>
      <c r="BJ210" s="124"/>
      <c r="BK210" s="124"/>
      <c r="BL210" s="124"/>
      <c r="BM210" s="116"/>
      <c r="BN210" s="116"/>
      <c r="BO210" s="116"/>
      <c r="BP210" s="124"/>
      <c r="BQ210" s="116"/>
      <c r="BR210" s="116"/>
      <c r="BS210" s="116"/>
      <c r="BT210" s="116"/>
      <c r="BU210" s="116"/>
      <c r="BV210" s="236">
        <v>1903800</v>
      </c>
      <c r="BW210" s="125">
        <f t="shared" si="71"/>
        <v>361722</v>
      </c>
      <c r="BX210" s="97">
        <f t="shared" si="72"/>
        <v>2265522</v>
      </c>
      <c r="BY210" s="237" t="s">
        <v>288</v>
      </c>
      <c r="BZ210" s="237" t="s">
        <v>289</v>
      </c>
      <c r="CA210" s="116"/>
      <c r="CB210" s="247"/>
      <c r="CC210" s="125"/>
      <c r="CD210" s="247"/>
      <c r="CE210" s="116"/>
      <c r="CF210" s="116"/>
      <c r="CG210" s="34"/>
      <c r="CH210" s="236"/>
      <c r="CI210" s="238"/>
      <c r="CJ210" s="236"/>
      <c r="CK210" s="237"/>
      <c r="CL210" s="237"/>
      <c r="CM210" s="116"/>
      <c r="CN210" s="247"/>
      <c r="CO210" s="125"/>
      <c r="CP210" s="247"/>
      <c r="CQ210" s="116"/>
      <c r="CR210" s="116"/>
      <c r="CS210" s="116"/>
      <c r="CT210" s="125">
        <v>231000</v>
      </c>
      <c r="CU210" s="125">
        <f>CT210*0.19</f>
        <v>43890</v>
      </c>
      <c r="CV210" s="125">
        <f t="shared" si="70"/>
        <v>274890</v>
      </c>
      <c r="CW210" s="116"/>
      <c r="CX210" s="116"/>
      <c r="CY210" s="116"/>
      <c r="CZ210" s="102"/>
      <c r="DA210" s="125"/>
      <c r="DB210" s="102"/>
      <c r="DC210" s="31"/>
      <c r="DD210" s="17"/>
      <c r="DE210" s="11"/>
      <c r="DF210" s="116"/>
      <c r="DG210" s="116"/>
      <c r="DH210" s="116"/>
      <c r="DI210" s="116"/>
      <c r="DJ210" s="116"/>
      <c r="DK210" s="116"/>
      <c r="DL210" s="116"/>
      <c r="DM210" s="116"/>
      <c r="DN210" s="116"/>
      <c r="DO210" s="116"/>
      <c r="DP210" s="116"/>
      <c r="DQ210" s="116"/>
      <c r="DR210" s="116"/>
      <c r="DS210" s="116"/>
      <c r="DT210" s="116"/>
      <c r="DU210" s="116"/>
      <c r="DV210" s="116"/>
      <c r="DW210" s="116"/>
      <c r="DX210" s="116"/>
      <c r="DY210" s="116"/>
      <c r="DZ210" s="116"/>
      <c r="EA210" s="116"/>
      <c r="EB210" s="116"/>
      <c r="EC210" s="116"/>
      <c r="ED210" s="116"/>
      <c r="EE210" s="116"/>
      <c r="EF210" s="116"/>
      <c r="EG210" s="116"/>
      <c r="EH210" s="116"/>
      <c r="EI210" s="116"/>
      <c r="EJ210" s="116"/>
      <c r="EK210" s="116"/>
      <c r="EL210" s="116"/>
      <c r="EM210" s="116"/>
      <c r="EN210" s="116"/>
      <c r="EO210" s="116"/>
      <c r="EP210" s="116"/>
      <c r="EQ210" s="116"/>
      <c r="ER210" s="116"/>
      <c r="ES210" s="116"/>
      <c r="ET210" s="11"/>
      <c r="EU210" s="11"/>
      <c r="EV210" s="11"/>
      <c r="EW210" s="11"/>
      <c r="EX210" s="11"/>
      <c r="EY210" s="11"/>
      <c r="EZ210" s="11"/>
      <c r="FA210" s="11"/>
      <c r="FB210" s="11"/>
      <c r="FC210" s="11"/>
      <c r="FD210" s="11"/>
      <c r="FE210" s="11"/>
      <c r="FF210" s="11"/>
      <c r="FG210" s="11"/>
      <c r="FH210" s="17">
        <f t="shared" si="64"/>
        <v>4596732</v>
      </c>
      <c r="FI210" s="31">
        <f t="shared" si="65"/>
        <v>3</v>
      </c>
      <c r="FJ210" s="68">
        <f t="shared" si="66"/>
        <v>1532244</v>
      </c>
    </row>
    <row r="211" spans="1:166" ht="51" x14ac:dyDescent="0.25">
      <c r="A211" s="248">
        <f>Distribución_Reactivos!A211</f>
        <v>209</v>
      </c>
      <c r="B211" s="248" t="str">
        <f>Distribución_Reactivos!B211</f>
        <v>Estandar de Ronidazole D3. Trazable, con certificado con método de análisis e incertidumbre, vigencia no menor a Diciembre de 2022</v>
      </c>
      <c r="C211" s="248" t="str">
        <f>Distribución_Reactivos!C211</f>
        <v>Dr Ehrenstorfer. DRE‐C16815501</v>
      </c>
      <c r="D211" s="248" t="str">
        <f>Distribución_Reactivos!D211</f>
        <v>Frasco x 10 mg</v>
      </c>
      <c r="E211" s="29">
        <v>1</v>
      </c>
      <c r="F211" s="212">
        <v>0</v>
      </c>
      <c r="G211" s="214">
        <v>0</v>
      </c>
      <c r="H211" s="221">
        <v>0</v>
      </c>
      <c r="I211" s="221">
        <v>0</v>
      </c>
      <c r="J211" s="221">
        <v>0</v>
      </c>
      <c r="K211" s="221">
        <v>0</v>
      </c>
      <c r="L211" s="247"/>
      <c r="M211" s="247"/>
      <c r="N211" s="217"/>
      <c r="O211" s="97"/>
      <c r="P211" s="97"/>
      <c r="Q211" s="115"/>
      <c r="R211" s="115"/>
      <c r="S211" s="53"/>
      <c r="T211" s="97"/>
      <c r="U211" s="97"/>
      <c r="V211" s="97"/>
      <c r="W211" s="115"/>
      <c r="X211" s="115"/>
      <c r="Y211" s="11"/>
      <c r="Z211" s="97"/>
      <c r="AA211" s="97"/>
      <c r="AB211" s="97"/>
      <c r="AC211" s="44"/>
      <c r="AD211" s="44"/>
      <c r="AE211" s="11"/>
      <c r="AF211" s="102"/>
      <c r="AG211" s="125"/>
      <c r="AH211" s="97"/>
      <c r="AI211" s="11"/>
      <c r="AJ211" s="11"/>
      <c r="AK211" s="17"/>
      <c r="AL211" s="97"/>
      <c r="AM211" s="97"/>
      <c r="AN211" s="103"/>
      <c r="AO211" s="248"/>
      <c r="AP211" s="17"/>
      <c r="AQ211" s="17"/>
      <c r="AR211" s="252">
        <v>1857600</v>
      </c>
      <c r="AS211" s="97">
        <f t="shared" si="81"/>
        <v>352944</v>
      </c>
      <c r="AT211" s="103">
        <f t="shared" si="82"/>
        <v>2210544</v>
      </c>
      <c r="AU211" s="52" t="s">
        <v>287</v>
      </c>
      <c r="AV211" s="52" t="s">
        <v>42</v>
      </c>
      <c r="AW211" s="30"/>
      <c r="AX211" s="100"/>
      <c r="AY211" s="172"/>
      <c r="AZ211" s="124"/>
      <c r="BA211" s="169"/>
      <c r="BB211" s="116"/>
      <c r="BC211" s="116"/>
      <c r="BD211" s="247"/>
      <c r="BE211" s="124"/>
      <c r="BF211" s="124"/>
      <c r="BG211" s="116"/>
      <c r="BH211" s="116"/>
      <c r="BI211" s="116"/>
      <c r="BJ211" s="124"/>
      <c r="BK211" s="124"/>
      <c r="BL211" s="124"/>
      <c r="BM211" s="116"/>
      <c r="BN211" s="116"/>
      <c r="BO211" s="116"/>
      <c r="BP211" s="124"/>
      <c r="BQ211" s="116"/>
      <c r="BR211" s="116"/>
      <c r="BS211" s="116"/>
      <c r="BT211" s="116"/>
      <c r="BU211" s="116"/>
      <c r="BV211" s="241">
        <v>4400000</v>
      </c>
      <c r="BW211" s="125">
        <f t="shared" si="71"/>
        <v>836000</v>
      </c>
      <c r="BX211" s="97">
        <f t="shared" si="72"/>
        <v>5236000</v>
      </c>
      <c r="BY211" s="237" t="s">
        <v>298</v>
      </c>
      <c r="BZ211" s="237" t="s">
        <v>289</v>
      </c>
      <c r="CA211" s="116"/>
      <c r="CB211" s="247"/>
      <c r="CC211" s="125"/>
      <c r="CD211" s="247"/>
      <c r="CE211" s="116"/>
      <c r="CF211" s="116"/>
      <c r="CG211" s="34"/>
      <c r="CH211" s="241"/>
      <c r="CI211" s="238"/>
      <c r="CJ211" s="236"/>
      <c r="CK211" s="237"/>
      <c r="CL211" s="237"/>
      <c r="CM211" s="116"/>
      <c r="CN211" s="247"/>
      <c r="CO211" s="125"/>
      <c r="CP211" s="247"/>
      <c r="CQ211" s="116"/>
      <c r="CR211" s="116"/>
      <c r="CS211" s="116"/>
      <c r="CT211" s="125">
        <v>92000</v>
      </c>
      <c r="CU211" s="125">
        <f>CT211*0.19</f>
        <v>17480</v>
      </c>
      <c r="CV211" s="125">
        <f t="shared" si="70"/>
        <v>109480</v>
      </c>
      <c r="CW211" s="116"/>
      <c r="CX211" s="116"/>
      <c r="CY211" s="116"/>
      <c r="CZ211" s="102"/>
      <c r="DA211" s="125"/>
      <c r="DB211" s="102"/>
      <c r="DC211" s="31"/>
      <c r="DD211" s="17"/>
      <c r="DE211" s="11"/>
      <c r="DF211" s="116"/>
      <c r="DG211" s="116"/>
      <c r="DH211" s="116"/>
      <c r="DI211" s="116"/>
      <c r="DJ211" s="116"/>
      <c r="DK211" s="116"/>
      <c r="DL211" s="116"/>
      <c r="DM211" s="116"/>
      <c r="DN211" s="116"/>
      <c r="DO211" s="116"/>
      <c r="DP211" s="116"/>
      <c r="DQ211" s="116"/>
      <c r="DR211" s="116"/>
      <c r="DS211" s="116"/>
      <c r="DT211" s="116"/>
      <c r="DU211" s="116"/>
      <c r="DV211" s="116"/>
      <c r="DW211" s="116"/>
      <c r="DX211" s="116"/>
      <c r="DY211" s="116"/>
      <c r="DZ211" s="116"/>
      <c r="EA211" s="116"/>
      <c r="EB211" s="116"/>
      <c r="EC211" s="116"/>
      <c r="ED211" s="116"/>
      <c r="EE211" s="116"/>
      <c r="EF211" s="116"/>
      <c r="EG211" s="116"/>
      <c r="EH211" s="116"/>
      <c r="EI211" s="116"/>
      <c r="EJ211" s="116"/>
      <c r="EK211" s="116"/>
      <c r="EL211" s="116"/>
      <c r="EM211" s="116"/>
      <c r="EN211" s="116"/>
      <c r="EO211" s="116"/>
      <c r="EP211" s="116"/>
      <c r="EQ211" s="116"/>
      <c r="ER211" s="116"/>
      <c r="ES211" s="116"/>
      <c r="ET211" s="11"/>
      <c r="EU211" s="11"/>
      <c r="EV211" s="11"/>
      <c r="EW211" s="11"/>
      <c r="EX211" s="11"/>
      <c r="EY211" s="11"/>
      <c r="EZ211" s="11"/>
      <c r="FA211" s="11"/>
      <c r="FB211" s="11"/>
      <c r="FC211" s="11"/>
      <c r="FD211" s="11"/>
      <c r="FE211" s="11"/>
      <c r="FF211" s="11"/>
      <c r="FG211" s="11"/>
      <c r="FH211" s="17">
        <f t="shared" si="64"/>
        <v>7556024</v>
      </c>
      <c r="FI211" s="31">
        <f t="shared" si="65"/>
        <v>3</v>
      </c>
      <c r="FJ211" s="68">
        <f t="shared" si="66"/>
        <v>2518674.6666666665</v>
      </c>
    </row>
    <row r="212" spans="1:166" ht="51" x14ac:dyDescent="0.25">
      <c r="A212" s="248">
        <f>Distribución_Reactivos!A212</f>
        <v>210</v>
      </c>
      <c r="B212" s="248" t="str">
        <f>Distribución_Reactivos!B212</f>
        <v>Estándar de Thiamphenicol 100 mg.Trazable, con certificado con método de análisis e incertidumbre, vigencia no menor a Diciembre de 2022</v>
      </c>
      <c r="C212" s="248" t="str">
        <f>Distribución_Reactivos!C212</f>
        <v>Dr Ehrenstorfer DRE‐C17457000</v>
      </c>
      <c r="D212" s="248" t="str">
        <f>Distribución_Reactivos!D212</f>
        <v>Frasco x 100 mg</v>
      </c>
      <c r="E212" s="29">
        <v>1</v>
      </c>
      <c r="F212" s="212">
        <v>0</v>
      </c>
      <c r="G212" s="214">
        <v>0</v>
      </c>
      <c r="H212" s="221">
        <v>0</v>
      </c>
      <c r="I212" s="221">
        <v>0</v>
      </c>
      <c r="J212" s="221">
        <v>0</v>
      </c>
      <c r="K212" s="221">
        <v>0</v>
      </c>
      <c r="L212" s="247"/>
      <c r="M212" s="247"/>
      <c r="N212" s="217"/>
      <c r="O212" s="97"/>
      <c r="P212" s="97"/>
      <c r="Q212" s="115"/>
      <c r="R212" s="115"/>
      <c r="S212" s="53"/>
      <c r="T212" s="97"/>
      <c r="U212" s="97"/>
      <c r="V212" s="97"/>
      <c r="W212" s="115"/>
      <c r="X212" s="115"/>
      <c r="Y212" s="11"/>
      <c r="Z212" s="97"/>
      <c r="AA212" s="97"/>
      <c r="AB212" s="97"/>
      <c r="AC212" s="44"/>
      <c r="AD212" s="44"/>
      <c r="AE212" s="11"/>
      <c r="AF212" s="102"/>
      <c r="AG212" s="125"/>
      <c r="AH212" s="97"/>
      <c r="AI212" s="11"/>
      <c r="AJ212" s="11"/>
      <c r="AK212" s="17"/>
      <c r="AL212" s="97"/>
      <c r="AM212" s="97"/>
      <c r="AN212" s="101"/>
      <c r="AO212" s="248"/>
      <c r="AP212" s="17"/>
      <c r="AQ212" s="17"/>
      <c r="AR212" s="252">
        <v>1188000</v>
      </c>
      <c r="AS212" s="97">
        <f t="shared" si="81"/>
        <v>225720</v>
      </c>
      <c r="AT212" s="103">
        <f t="shared" si="82"/>
        <v>1413720</v>
      </c>
      <c r="AU212" s="52" t="s">
        <v>253</v>
      </c>
      <c r="AV212" s="52" t="s">
        <v>42</v>
      </c>
      <c r="AW212" s="30"/>
      <c r="AX212" s="100"/>
      <c r="AY212" s="172"/>
      <c r="AZ212" s="124"/>
      <c r="BA212" s="169"/>
      <c r="BB212" s="116"/>
      <c r="BC212" s="116"/>
      <c r="BD212" s="247"/>
      <c r="BE212" s="124"/>
      <c r="BF212" s="124"/>
      <c r="BG212" s="116"/>
      <c r="BH212" s="116"/>
      <c r="BI212" s="116"/>
      <c r="BJ212" s="124"/>
      <c r="BK212" s="124"/>
      <c r="BL212" s="124"/>
      <c r="BM212" s="116"/>
      <c r="BN212" s="116"/>
      <c r="BO212" s="116"/>
      <c r="BP212" s="124"/>
      <c r="BQ212" s="116"/>
      <c r="BR212" s="116"/>
      <c r="BS212" s="116"/>
      <c r="BT212" s="116"/>
      <c r="BU212" s="116"/>
      <c r="BV212" s="236">
        <v>993300</v>
      </c>
      <c r="BW212" s="125">
        <f t="shared" si="71"/>
        <v>188727</v>
      </c>
      <c r="BX212" s="97">
        <f t="shared" si="72"/>
        <v>1182027</v>
      </c>
      <c r="BY212" s="237" t="s">
        <v>288</v>
      </c>
      <c r="BZ212" s="237" t="s">
        <v>289</v>
      </c>
      <c r="CA212" s="116"/>
      <c r="CB212" s="247"/>
      <c r="CC212" s="125"/>
      <c r="CD212" s="247"/>
      <c r="CE212" s="116"/>
      <c r="CF212" s="116"/>
      <c r="CG212" s="34"/>
      <c r="CH212" s="236">
        <v>1013166</v>
      </c>
      <c r="CI212" s="238">
        <f>+CH212*0.19</f>
        <v>192501.54</v>
      </c>
      <c r="CJ212" s="236">
        <f>+CH212+CI212</f>
        <v>1205667.54</v>
      </c>
      <c r="CK212" s="237" t="s">
        <v>288</v>
      </c>
      <c r="CL212" s="237" t="s">
        <v>289</v>
      </c>
      <c r="CM212" s="116"/>
      <c r="CN212" s="247"/>
      <c r="CO212" s="125"/>
      <c r="CP212" s="247"/>
      <c r="CQ212" s="116"/>
      <c r="CR212" s="116"/>
      <c r="CS212" s="116"/>
      <c r="CT212" s="125">
        <v>419000</v>
      </c>
      <c r="CU212" s="125">
        <f>CT212*0.19</f>
        <v>79610</v>
      </c>
      <c r="CV212" s="125">
        <f t="shared" si="70"/>
        <v>498610</v>
      </c>
      <c r="CW212" s="116"/>
      <c r="CX212" s="116"/>
      <c r="CY212" s="116"/>
      <c r="CZ212" s="102"/>
      <c r="DA212" s="125"/>
      <c r="DB212" s="102"/>
      <c r="DC212" s="31"/>
      <c r="DD212" s="17"/>
      <c r="DE212" s="11"/>
      <c r="DF212" s="116"/>
      <c r="DG212" s="116"/>
      <c r="DH212" s="116"/>
      <c r="DI212" s="116"/>
      <c r="DJ212" s="116"/>
      <c r="DK212" s="116"/>
      <c r="DL212" s="116"/>
      <c r="DM212" s="116"/>
      <c r="DN212" s="116"/>
      <c r="DO212" s="116"/>
      <c r="DP212" s="116"/>
      <c r="DQ212" s="116"/>
      <c r="DR212" s="116"/>
      <c r="DS212" s="116"/>
      <c r="DT212" s="116"/>
      <c r="DU212" s="116"/>
      <c r="DV212" s="116"/>
      <c r="DW212" s="116"/>
      <c r="DX212" s="116"/>
      <c r="DY212" s="116"/>
      <c r="DZ212" s="116"/>
      <c r="EA212" s="116"/>
      <c r="EB212" s="116"/>
      <c r="EC212" s="116"/>
      <c r="ED212" s="116"/>
      <c r="EE212" s="116"/>
      <c r="EF212" s="116"/>
      <c r="EG212" s="116"/>
      <c r="EH212" s="116"/>
      <c r="EI212" s="116"/>
      <c r="EJ212" s="116"/>
      <c r="EK212" s="116"/>
      <c r="EL212" s="116"/>
      <c r="EM212" s="116"/>
      <c r="EN212" s="116"/>
      <c r="EO212" s="116"/>
      <c r="EP212" s="116"/>
      <c r="EQ212" s="116"/>
      <c r="ER212" s="116"/>
      <c r="ES212" s="116"/>
      <c r="ET212" s="11"/>
      <c r="EU212" s="11"/>
      <c r="EV212" s="11"/>
      <c r="EW212" s="11"/>
      <c r="EX212" s="11"/>
      <c r="EY212" s="11"/>
      <c r="EZ212" s="11"/>
      <c r="FA212" s="11"/>
      <c r="FB212" s="11"/>
      <c r="FC212" s="11"/>
      <c r="FD212" s="11"/>
      <c r="FE212" s="11"/>
      <c r="FF212" s="11"/>
      <c r="FG212" s="11"/>
      <c r="FH212" s="17">
        <f t="shared" si="64"/>
        <v>4300024.54</v>
      </c>
      <c r="FI212" s="31">
        <f t="shared" si="65"/>
        <v>4</v>
      </c>
      <c r="FJ212" s="68">
        <f t="shared" si="66"/>
        <v>1075006.135</v>
      </c>
    </row>
    <row r="213" spans="1:166" ht="51" x14ac:dyDescent="0.25">
      <c r="A213" s="248">
        <f>Distribución_Reactivos!A213</f>
        <v>211</v>
      </c>
      <c r="B213" s="248" t="str">
        <f>Distribución_Reactivos!B213</f>
        <v>Estándar de Vitamina A trazable, con certificado de método de análisis e incertidumbre, fecha de vencimiento no menor a 2 años</v>
      </c>
      <c r="C213" s="248" t="str">
        <f>Distribución_Reactivos!C213</f>
        <v>USP 1716002, Dr. Ehrenstorfer, Sigma</v>
      </c>
      <c r="D213" s="248" t="str">
        <f>Distribución_Reactivos!D213</f>
        <v>Caja x 10 Ampollas, frascoX100mg</v>
      </c>
      <c r="E213" s="29">
        <v>1</v>
      </c>
      <c r="F213" s="212">
        <v>1785000</v>
      </c>
      <c r="G213" s="214">
        <v>1785000</v>
      </c>
      <c r="H213" s="221">
        <v>2380000</v>
      </c>
      <c r="I213" s="221">
        <v>0</v>
      </c>
      <c r="J213" s="221">
        <v>2145213</v>
      </c>
      <c r="K213" s="221">
        <v>0</v>
      </c>
      <c r="L213" s="247">
        <f>AVERAGE(F213,H213,J213)</f>
        <v>2103404.3333333335</v>
      </c>
      <c r="M213" s="247">
        <f>G213*E1</f>
        <v>1838550</v>
      </c>
      <c r="N213" s="217"/>
      <c r="O213" s="97"/>
      <c r="P213" s="97"/>
      <c r="Q213" s="115"/>
      <c r="R213" s="115"/>
      <c r="S213" s="53"/>
      <c r="T213" s="97"/>
      <c r="U213" s="97"/>
      <c r="V213" s="97"/>
      <c r="W213" s="115"/>
      <c r="X213" s="115"/>
      <c r="Y213" s="11"/>
      <c r="Z213" s="97"/>
      <c r="AA213" s="97"/>
      <c r="AB213" s="97"/>
      <c r="AC213" s="44"/>
      <c r="AD213" s="44"/>
      <c r="AE213" s="11"/>
      <c r="AF213" s="102"/>
      <c r="AG213" s="125"/>
      <c r="AH213" s="97"/>
      <c r="AI213" s="11"/>
      <c r="AJ213" s="11"/>
      <c r="AK213" s="17"/>
      <c r="AL213" s="97"/>
      <c r="AM213" s="97"/>
      <c r="AN213" s="101"/>
      <c r="AO213" s="248"/>
      <c r="AP213" s="17"/>
      <c r="AQ213" s="17"/>
      <c r="AR213" s="252">
        <v>2030400</v>
      </c>
      <c r="AS213" s="97">
        <f t="shared" si="81"/>
        <v>385776</v>
      </c>
      <c r="AT213" s="103">
        <f t="shared" si="82"/>
        <v>2416176</v>
      </c>
      <c r="AU213" s="52" t="s">
        <v>253</v>
      </c>
      <c r="AV213" s="52" t="s">
        <v>42</v>
      </c>
      <c r="AW213" s="30"/>
      <c r="AX213" s="100"/>
      <c r="AY213" s="100"/>
      <c r="AZ213" s="124"/>
      <c r="BA213" s="169"/>
      <c r="BB213" s="116"/>
      <c r="BC213" s="116"/>
      <c r="BD213" s="247"/>
      <c r="BE213" s="124"/>
      <c r="BF213" s="124"/>
      <c r="BG213" s="116"/>
      <c r="BH213" s="116"/>
      <c r="BI213" s="116"/>
      <c r="BJ213" s="124"/>
      <c r="BK213" s="124"/>
      <c r="BL213" s="124"/>
      <c r="BM213" s="116"/>
      <c r="BN213" s="116"/>
      <c r="BO213" s="116"/>
      <c r="BP213" s="124"/>
      <c r="BQ213" s="116"/>
      <c r="BR213" s="116"/>
      <c r="BS213" s="116"/>
      <c r="BT213" s="116"/>
      <c r="BU213" s="116"/>
      <c r="BV213" s="241">
        <v>5206000</v>
      </c>
      <c r="BW213" s="125">
        <f t="shared" si="71"/>
        <v>989140</v>
      </c>
      <c r="BX213" s="97">
        <f t="shared" si="72"/>
        <v>6195140</v>
      </c>
      <c r="BY213" s="237" t="s">
        <v>300</v>
      </c>
      <c r="BZ213" s="237" t="s">
        <v>301</v>
      </c>
      <c r="CA213" s="116"/>
      <c r="CB213" s="247"/>
      <c r="CC213" s="125"/>
      <c r="CD213" s="247"/>
      <c r="CE213" s="116"/>
      <c r="CF213" s="116"/>
      <c r="CG213" s="34"/>
      <c r="CH213" s="241"/>
      <c r="CI213" s="238"/>
      <c r="CJ213" s="236"/>
      <c r="CK213" s="237"/>
      <c r="CL213" s="237"/>
      <c r="CM213" s="116"/>
      <c r="CN213" s="247"/>
      <c r="CO213" s="125"/>
      <c r="CP213" s="247"/>
      <c r="CQ213" s="116"/>
      <c r="CR213" s="116"/>
      <c r="CS213" s="116"/>
      <c r="CT213" s="247">
        <v>592500</v>
      </c>
      <c r="CU213" s="125">
        <f>CT213*0</f>
        <v>0</v>
      </c>
      <c r="CV213" s="125">
        <f t="shared" si="70"/>
        <v>592500</v>
      </c>
      <c r="CW213" s="116"/>
      <c r="CX213" s="116"/>
      <c r="CY213" s="116"/>
      <c r="CZ213" s="102"/>
      <c r="DA213" s="125"/>
      <c r="DB213" s="102"/>
      <c r="DC213" s="31"/>
      <c r="DD213" s="17"/>
      <c r="DE213" s="11"/>
      <c r="DF213" s="116"/>
      <c r="DG213" s="116"/>
      <c r="DH213" s="116"/>
      <c r="DI213" s="116"/>
      <c r="DJ213" s="116"/>
      <c r="DK213" s="116"/>
      <c r="DL213" s="116"/>
      <c r="DM213" s="116"/>
      <c r="DN213" s="116"/>
      <c r="DO213" s="116"/>
      <c r="DP213" s="116"/>
      <c r="DQ213" s="116"/>
      <c r="DR213" s="116"/>
      <c r="DS213" s="116"/>
      <c r="DT213" s="116"/>
      <c r="DU213" s="116"/>
      <c r="DV213" s="116"/>
      <c r="DW213" s="116"/>
      <c r="DX213" s="116"/>
      <c r="DY213" s="116"/>
      <c r="DZ213" s="116"/>
      <c r="EA213" s="116"/>
      <c r="EB213" s="116"/>
      <c r="EC213" s="116"/>
      <c r="ED213" s="116"/>
      <c r="EE213" s="116"/>
      <c r="EF213" s="116"/>
      <c r="EG213" s="116"/>
      <c r="EH213" s="116"/>
      <c r="EI213" s="116"/>
      <c r="EJ213" s="116"/>
      <c r="EK213" s="116"/>
      <c r="EL213" s="116"/>
      <c r="EM213" s="116"/>
      <c r="EN213" s="116"/>
      <c r="EO213" s="116"/>
      <c r="EP213" s="116"/>
      <c r="EQ213" s="116"/>
      <c r="ER213" s="116"/>
      <c r="ES213" s="116"/>
      <c r="ET213" s="11"/>
      <c r="EU213" s="11"/>
      <c r="EV213" s="11"/>
      <c r="EW213" s="11"/>
      <c r="EX213" s="11"/>
      <c r="EY213" s="11"/>
      <c r="EZ213" s="11"/>
      <c r="FA213" s="11"/>
      <c r="FB213" s="11"/>
      <c r="FC213" s="11"/>
      <c r="FD213" s="11"/>
      <c r="FE213" s="11"/>
      <c r="FF213" s="11"/>
      <c r="FG213" s="11"/>
      <c r="FH213" s="17">
        <f t="shared" si="64"/>
        <v>11042366</v>
      </c>
      <c r="FI213" s="31">
        <f t="shared" si="65"/>
        <v>4</v>
      </c>
      <c r="FJ213" s="68">
        <f t="shared" si="66"/>
        <v>2760591.5</v>
      </c>
    </row>
    <row r="214" spans="1:166" ht="51" x14ac:dyDescent="0.25">
      <c r="A214" s="248">
        <f>Distribución_Reactivos!A214</f>
        <v>212</v>
      </c>
      <c r="B214" s="248" t="str">
        <f>Distribución_Reactivos!B214</f>
        <v>Estándar de Vitamina E Trazable, con certificado de método de análisis e incertidumbre y con fecha vigencia no menor a 2 años</v>
      </c>
      <c r="C214" s="248" t="str">
        <f>Distribución_Reactivos!C214</f>
        <v>USP 1667701 o Dr. Ehrenstorfer, o Sigma</v>
      </c>
      <c r="D214" s="248" t="str">
        <f>Distribución_Reactivos!D214</f>
        <v>Frasco x 250 mg</v>
      </c>
      <c r="E214" s="29">
        <v>1</v>
      </c>
      <c r="F214" s="212">
        <v>1785000</v>
      </c>
      <c r="G214" s="214">
        <v>1785000</v>
      </c>
      <c r="H214" s="221">
        <v>2558500</v>
      </c>
      <c r="I214" s="221">
        <v>0</v>
      </c>
      <c r="J214" s="221">
        <v>1022805</v>
      </c>
      <c r="K214" s="221">
        <v>0</v>
      </c>
      <c r="L214" s="247">
        <f>AVERAGE(F214,H214,J214)</f>
        <v>1788768.3333333333</v>
      </c>
      <c r="M214" s="247">
        <f>G214*E1</f>
        <v>1838550</v>
      </c>
      <c r="N214" s="217"/>
      <c r="O214" s="97"/>
      <c r="P214" s="97"/>
      <c r="Q214" s="115"/>
      <c r="R214" s="115"/>
      <c r="S214" s="53"/>
      <c r="T214" s="97"/>
      <c r="U214" s="97"/>
      <c r="V214" s="97"/>
      <c r="W214" s="115"/>
      <c r="X214" s="115"/>
      <c r="Y214" s="11"/>
      <c r="Z214" s="97"/>
      <c r="AA214" s="97"/>
      <c r="AB214" s="97"/>
      <c r="AC214" s="44"/>
      <c r="AD214" s="44"/>
      <c r="AE214" s="11"/>
      <c r="AF214" s="102"/>
      <c r="AG214" s="125"/>
      <c r="AH214" s="97"/>
      <c r="AI214" s="11"/>
      <c r="AJ214" s="11"/>
      <c r="AK214" s="17"/>
      <c r="AL214" s="97"/>
      <c r="AM214" s="97"/>
      <c r="AN214" s="103"/>
      <c r="AO214" s="248"/>
      <c r="AP214" s="17"/>
      <c r="AQ214" s="17"/>
      <c r="AR214" s="252">
        <v>144000</v>
      </c>
      <c r="AS214" s="97">
        <f t="shared" si="81"/>
        <v>27360</v>
      </c>
      <c r="AT214" s="103">
        <f t="shared" si="82"/>
        <v>171360</v>
      </c>
      <c r="AU214" s="52" t="s">
        <v>157</v>
      </c>
      <c r="AV214" s="52" t="s">
        <v>42</v>
      </c>
      <c r="AW214" s="30"/>
      <c r="AX214" s="100"/>
      <c r="AY214" s="174"/>
      <c r="AZ214" s="124"/>
      <c r="BA214" s="169"/>
      <c r="BB214" s="116"/>
      <c r="BC214" s="116"/>
      <c r="BD214" s="247"/>
      <c r="BE214" s="124"/>
      <c r="BF214" s="124"/>
      <c r="BG214" s="116"/>
      <c r="BH214" s="116"/>
      <c r="BI214" s="116"/>
      <c r="BJ214" s="124"/>
      <c r="BK214" s="124"/>
      <c r="BL214" s="124"/>
      <c r="BM214" s="116"/>
      <c r="BN214" s="116"/>
      <c r="BO214" s="116"/>
      <c r="BP214" s="124"/>
      <c r="BQ214" s="116"/>
      <c r="BR214" s="116"/>
      <c r="BS214" s="116"/>
      <c r="BT214" s="116"/>
      <c r="BU214" s="116"/>
      <c r="BV214" s="236">
        <f>1849200/2</f>
        <v>924600</v>
      </c>
      <c r="BW214" s="125">
        <f t="shared" si="71"/>
        <v>175674</v>
      </c>
      <c r="BX214" s="97">
        <f t="shared" si="72"/>
        <v>1100274</v>
      </c>
      <c r="BY214" s="237" t="s">
        <v>302</v>
      </c>
      <c r="BZ214" s="237" t="s">
        <v>303</v>
      </c>
      <c r="CA214" s="116"/>
      <c r="CB214" s="247"/>
      <c r="CC214" s="125"/>
      <c r="CD214" s="247"/>
      <c r="CE214" s="116"/>
      <c r="CF214" s="116"/>
      <c r="CG214" s="34"/>
      <c r="CH214" s="241">
        <f>1941660/2</f>
        <v>970830</v>
      </c>
      <c r="CI214" s="238">
        <f>+CH214*0.19</f>
        <v>184457.7</v>
      </c>
      <c r="CJ214" s="236">
        <f>+CH214+CI214</f>
        <v>1155287.7</v>
      </c>
      <c r="CK214" s="237" t="s">
        <v>302</v>
      </c>
      <c r="CL214" s="237" t="s">
        <v>303</v>
      </c>
      <c r="CM214" s="116"/>
      <c r="CN214" s="247"/>
      <c r="CO214" s="125"/>
      <c r="CP214" s="247"/>
      <c r="CQ214" s="116"/>
      <c r="CR214" s="116"/>
      <c r="CS214" s="116"/>
      <c r="CT214" s="247">
        <v>290000</v>
      </c>
      <c r="CU214" s="125">
        <f>CT214*0</f>
        <v>0</v>
      </c>
      <c r="CV214" s="125">
        <f t="shared" si="70"/>
        <v>290000</v>
      </c>
      <c r="CW214" s="116"/>
      <c r="CX214" s="116"/>
      <c r="CY214" s="116"/>
      <c r="CZ214" s="102"/>
      <c r="DA214" s="125"/>
      <c r="DB214" s="102"/>
      <c r="DC214" s="31"/>
      <c r="DD214" s="17"/>
      <c r="DE214" s="11"/>
      <c r="DF214" s="116"/>
      <c r="DG214" s="116"/>
      <c r="DH214" s="116"/>
      <c r="DI214" s="116"/>
      <c r="DJ214" s="116"/>
      <c r="DK214" s="116"/>
      <c r="DL214" s="116"/>
      <c r="DM214" s="116"/>
      <c r="DN214" s="116"/>
      <c r="DO214" s="116"/>
      <c r="DP214" s="116"/>
      <c r="DQ214" s="116"/>
      <c r="DR214" s="116"/>
      <c r="DS214" s="116"/>
      <c r="DT214" s="116"/>
      <c r="DU214" s="116"/>
      <c r="DV214" s="116"/>
      <c r="DW214" s="116"/>
      <c r="DX214" s="116"/>
      <c r="DY214" s="116"/>
      <c r="DZ214" s="116"/>
      <c r="EA214" s="116"/>
      <c r="EB214" s="116"/>
      <c r="EC214" s="116"/>
      <c r="ED214" s="116"/>
      <c r="EE214" s="116"/>
      <c r="EF214" s="116"/>
      <c r="EG214" s="116"/>
      <c r="EH214" s="116"/>
      <c r="EI214" s="116"/>
      <c r="EJ214" s="116"/>
      <c r="EK214" s="116"/>
      <c r="EL214" s="116"/>
      <c r="EM214" s="116"/>
      <c r="EN214" s="116"/>
      <c r="EO214" s="116"/>
      <c r="EP214" s="116"/>
      <c r="EQ214" s="116"/>
      <c r="ER214" s="116"/>
      <c r="ES214" s="116"/>
      <c r="ET214" s="11"/>
      <c r="EU214" s="11"/>
      <c r="EV214" s="11"/>
      <c r="EW214" s="11"/>
      <c r="EX214" s="11"/>
      <c r="EY214" s="11"/>
      <c r="EZ214" s="11"/>
      <c r="FA214" s="11"/>
      <c r="FB214" s="11"/>
      <c r="FC214" s="11"/>
      <c r="FD214" s="11"/>
      <c r="FE214" s="11"/>
      <c r="FF214" s="11"/>
      <c r="FG214" s="11"/>
      <c r="FH214" s="17">
        <f t="shared" si="64"/>
        <v>4555471.7</v>
      </c>
      <c r="FI214" s="31">
        <f t="shared" si="65"/>
        <v>5</v>
      </c>
      <c r="FJ214" s="68">
        <f t="shared" si="66"/>
        <v>911094.34000000008</v>
      </c>
    </row>
    <row r="215" spans="1:166" ht="62.25" customHeight="1" x14ac:dyDescent="0.25">
      <c r="A215" s="248">
        <f>Distribución_Reactivos!A215</f>
        <v>213</v>
      </c>
      <c r="B215" s="248" t="str">
        <f>Distribución_Reactivos!B215</f>
        <v>Estandar deFlorfenicol 250 mg. Trazable, con certificado con método de análisis e incertidumbre, vigencia no menor a Diciembre de 2022</v>
      </c>
      <c r="C215" s="248" t="str">
        <f>Distribución_Reactivos!C215</f>
        <v>Dr Ehrenstorfer. DRE‐C13665000</v>
      </c>
      <c r="D215" s="248" t="str">
        <f>Distribución_Reactivos!D215</f>
        <v>Frasco x 250 mg</v>
      </c>
      <c r="E215" s="29">
        <v>1</v>
      </c>
      <c r="F215" s="212">
        <v>0</v>
      </c>
      <c r="G215" s="214">
        <v>0</v>
      </c>
      <c r="H215" s="221">
        <v>0</v>
      </c>
      <c r="I215" s="221">
        <v>0</v>
      </c>
      <c r="J215" s="221">
        <v>0</v>
      </c>
      <c r="K215" s="221">
        <v>0</v>
      </c>
      <c r="L215" s="247"/>
      <c r="M215" s="247"/>
      <c r="N215" s="217"/>
      <c r="O215" s="97"/>
      <c r="P215" s="97"/>
      <c r="Q215" s="115"/>
      <c r="R215" s="115"/>
      <c r="S215" s="53"/>
      <c r="T215" s="97"/>
      <c r="U215" s="97"/>
      <c r="V215" s="97"/>
      <c r="W215" s="115"/>
      <c r="X215" s="115"/>
      <c r="Y215" s="11"/>
      <c r="Z215" s="97"/>
      <c r="AA215" s="97"/>
      <c r="AB215" s="97"/>
      <c r="AC215" s="44"/>
      <c r="AD215" s="44"/>
      <c r="AE215" s="11"/>
      <c r="AF215" s="102"/>
      <c r="AG215" s="125"/>
      <c r="AH215" s="97"/>
      <c r="AI215" s="11"/>
      <c r="AJ215" s="11"/>
      <c r="AK215" s="17"/>
      <c r="AL215" s="97"/>
      <c r="AM215" s="97"/>
      <c r="AN215" s="103"/>
      <c r="AO215" s="248"/>
      <c r="AP215" s="17"/>
      <c r="AQ215" s="17"/>
      <c r="AR215" s="252"/>
      <c r="AS215" s="141"/>
      <c r="AT215" s="124"/>
      <c r="AU215" s="52"/>
      <c r="AV215" s="52"/>
      <c r="AW215" s="30"/>
      <c r="AX215" s="100"/>
      <c r="AY215" s="172"/>
      <c r="AZ215" s="124"/>
      <c r="BA215" s="169"/>
      <c r="BB215" s="116"/>
      <c r="BC215" s="116"/>
      <c r="BD215" s="247"/>
      <c r="BE215" s="124"/>
      <c r="BF215" s="124"/>
      <c r="BG215" s="116"/>
      <c r="BH215" s="116"/>
      <c r="BI215" s="116"/>
      <c r="BJ215" s="124"/>
      <c r="BK215" s="124"/>
      <c r="BL215" s="124"/>
      <c r="BM215" s="116"/>
      <c r="BN215" s="116"/>
      <c r="BO215" s="116"/>
      <c r="BP215" s="124"/>
      <c r="BQ215" s="116"/>
      <c r="BR215" s="116"/>
      <c r="BS215" s="116"/>
      <c r="BT215" s="116"/>
      <c r="BU215" s="116"/>
      <c r="BV215" s="240">
        <v>2553000</v>
      </c>
      <c r="BW215" s="125">
        <f t="shared" si="71"/>
        <v>485070</v>
      </c>
      <c r="BX215" s="97">
        <f t="shared" si="72"/>
        <v>3038070</v>
      </c>
      <c r="BY215" s="237" t="s">
        <v>296</v>
      </c>
      <c r="BZ215" s="237" t="s">
        <v>289</v>
      </c>
      <c r="CA215" s="116"/>
      <c r="CB215" s="247"/>
      <c r="CC215" s="125"/>
      <c r="CD215" s="247"/>
      <c r="CE215" s="116"/>
      <c r="CF215" s="116"/>
      <c r="CG215" s="34"/>
      <c r="CH215" s="241">
        <v>2655120</v>
      </c>
      <c r="CI215" s="238">
        <f>+CH215*0.19</f>
        <v>504472.8</v>
      </c>
      <c r="CJ215" s="236">
        <f>+CH215+CI215</f>
        <v>3159592.8</v>
      </c>
      <c r="CK215" s="237" t="s">
        <v>296</v>
      </c>
      <c r="CL215" s="237" t="s">
        <v>289</v>
      </c>
      <c r="CM215" s="116"/>
      <c r="CN215" s="247"/>
      <c r="CO215" s="125"/>
      <c r="CP215" s="247"/>
      <c r="CQ215" s="116"/>
      <c r="CR215" s="116"/>
      <c r="CS215" s="116"/>
      <c r="CT215" s="125">
        <v>238000</v>
      </c>
      <c r="CU215" s="125">
        <f>CT215*0.19</f>
        <v>45220</v>
      </c>
      <c r="CV215" s="125">
        <f t="shared" si="70"/>
        <v>283220</v>
      </c>
      <c r="CW215" s="116"/>
      <c r="CX215" s="116"/>
      <c r="CY215" s="116"/>
      <c r="CZ215" s="102"/>
      <c r="DA215" s="125"/>
      <c r="DB215" s="102"/>
      <c r="DC215" s="31"/>
      <c r="DD215" s="17"/>
      <c r="DE215" s="11"/>
      <c r="DF215" s="116"/>
      <c r="DG215" s="116"/>
      <c r="DH215" s="116"/>
      <c r="DI215" s="116"/>
      <c r="DJ215" s="116"/>
      <c r="DK215" s="116"/>
      <c r="DL215" s="116"/>
      <c r="DM215" s="116"/>
      <c r="DN215" s="116"/>
      <c r="DO215" s="116"/>
      <c r="DP215" s="116"/>
      <c r="DQ215" s="116"/>
      <c r="DR215" s="116"/>
      <c r="DS215" s="116"/>
      <c r="DT215" s="116"/>
      <c r="DU215" s="116"/>
      <c r="DV215" s="116"/>
      <c r="DW215" s="116"/>
      <c r="DX215" s="116"/>
      <c r="DY215" s="116"/>
      <c r="DZ215" s="116"/>
      <c r="EA215" s="116"/>
      <c r="EB215" s="116"/>
      <c r="EC215" s="116"/>
      <c r="ED215" s="116"/>
      <c r="EE215" s="116"/>
      <c r="EF215" s="116"/>
      <c r="EG215" s="116"/>
      <c r="EH215" s="116"/>
      <c r="EI215" s="116"/>
      <c r="EJ215" s="116"/>
      <c r="EK215" s="116"/>
      <c r="EL215" s="116"/>
      <c r="EM215" s="116"/>
      <c r="EN215" s="116"/>
      <c r="EO215" s="116"/>
      <c r="EP215" s="116"/>
      <c r="EQ215" s="116"/>
      <c r="ER215" s="116"/>
      <c r="ES215" s="116"/>
      <c r="ET215" s="11"/>
      <c r="EU215" s="11"/>
      <c r="EV215" s="11"/>
      <c r="EW215" s="11"/>
      <c r="EX215" s="11"/>
      <c r="EY215" s="11"/>
      <c r="EZ215" s="11"/>
      <c r="FA215" s="11"/>
      <c r="FB215" s="11"/>
      <c r="FC215" s="11"/>
      <c r="FD215" s="11"/>
      <c r="FE215" s="11"/>
      <c r="FF215" s="11"/>
      <c r="FG215" s="11"/>
      <c r="FH215" s="17">
        <f t="shared" si="64"/>
        <v>6480882.7999999998</v>
      </c>
      <c r="FI215" s="31">
        <f t="shared" si="65"/>
        <v>3</v>
      </c>
      <c r="FJ215" s="68">
        <f t="shared" si="66"/>
        <v>2160294.2666666666</v>
      </c>
    </row>
    <row r="216" spans="1:166" ht="51" x14ac:dyDescent="0.25">
      <c r="A216" s="248">
        <f>Distribución_Reactivos!A216</f>
        <v>214</v>
      </c>
      <c r="B216" s="248" t="str">
        <f>Distribución_Reactivos!B216</f>
        <v>Estándar Ipronidazole 50 mg. Trazable, con certificado con método de análisis e incertidumbre, vigencia no menor a Diciembre de 2022</v>
      </c>
      <c r="C216" s="248" t="str">
        <f>Distribución_Reactivos!C216</f>
        <v>Dr Ehrenstorfer DRE‐C14370700</v>
      </c>
      <c r="D216" s="248" t="str">
        <f>Distribución_Reactivos!D216</f>
        <v>Frasco x 50 mg</v>
      </c>
      <c r="E216" s="29">
        <v>1</v>
      </c>
      <c r="F216" s="212">
        <v>0</v>
      </c>
      <c r="G216" s="214">
        <v>0</v>
      </c>
      <c r="H216" s="221">
        <v>0</v>
      </c>
      <c r="I216" s="221">
        <v>0</v>
      </c>
      <c r="J216" s="221">
        <v>0</v>
      </c>
      <c r="K216" s="221">
        <v>0</v>
      </c>
      <c r="L216" s="247"/>
      <c r="M216" s="247"/>
      <c r="N216" s="217"/>
      <c r="O216" s="97"/>
      <c r="P216" s="97"/>
      <c r="Q216" s="115"/>
      <c r="R216" s="115"/>
      <c r="S216" s="53"/>
      <c r="T216" s="97"/>
      <c r="U216" s="97"/>
      <c r="V216" s="97"/>
      <c r="W216" s="115"/>
      <c r="X216" s="115"/>
      <c r="Y216" s="11"/>
      <c r="Z216" s="97"/>
      <c r="AA216" s="97"/>
      <c r="AB216" s="97"/>
      <c r="AC216" s="44"/>
      <c r="AD216" s="44"/>
      <c r="AE216" s="11"/>
      <c r="AF216" s="102"/>
      <c r="AG216" s="125"/>
      <c r="AH216" s="97"/>
      <c r="AI216" s="11"/>
      <c r="AJ216" s="11"/>
      <c r="AK216" s="17"/>
      <c r="AL216" s="97"/>
      <c r="AM216" s="97"/>
      <c r="AN216" s="101"/>
      <c r="AO216" s="248"/>
      <c r="AP216" s="17"/>
      <c r="AQ216" s="17"/>
      <c r="AR216" s="252">
        <v>2160000</v>
      </c>
      <c r="AS216" s="97">
        <f>+AR216*0.19</f>
        <v>410400</v>
      </c>
      <c r="AT216" s="103">
        <f>+AR216+AS216</f>
        <v>2570400</v>
      </c>
      <c r="AU216" s="52" t="s">
        <v>287</v>
      </c>
      <c r="AV216" s="52" t="s">
        <v>42</v>
      </c>
      <c r="AW216" s="30"/>
      <c r="AX216" s="100"/>
      <c r="AY216" s="174"/>
      <c r="AZ216" s="124"/>
      <c r="BA216" s="169"/>
      <c r="BB216" s="116"/>
      <c r="BC216" s="116"/>
      <c r="BD216" s="247"/>
      <c r="BE216" s="124"/>
      <c r="BF216" s="124"/>
      <c r="BG216" s="116"/>
      <c r="BH216" s="116"/>
      <c r="BI216" s="116"/>
      <c r="BJ216" s="124"/>
      <c r="BK216" s="124"/>
      <c r="BL216" s="124"/>
      <c r="BM216" s="116"/>
      <c r="BN216" s="116"/>
      <c r="BO216" s="116"/>
      <c r="BP216" s="124"/>
      <c r="BQ216" s="116"/>
      <c r="BR216" s="116"/>
      <c r="BS216" s="116"/>
      <c r="BT216" s="116"/>
      <c r="BU216" s="116"/>
      <c r="BV216" s="240">
        <f>3008400/5</f>
        <v>601680</v>
      </c>
      <c r="BW216" s="125">
        <f t="shared" si="71"/>
        <v>114319.2</v>
      </c>
      <c r="BX216" s="97">
        <f t="shared" si="72"/>
        <v>715999.2</v>
      </c>
      <c r="BY216" s="237" t="s">
        <v>304</v>
      </c>
      <c r="BZ216" s="237" t="s">
        <v>289</v>
      </c>
      <c r="CA216" s="116"/>
      <c r="CB216" s="247"/>
      <c r="CC216" s="125"/>
      <c r="CD216" s="247"/>
      <c r="CE216" s="116"/>
      <c r="CF216" s="116"/>
      <c r="CG216" s="34"/>
      <c r="CH216" s="241"/>
      <c r="CI216" s="238"/>
      <c r="CJ216" s="236"/>
      <c r="CK216" s="237"/>
      <c r="CL216" s="237"/>
      <c r="CM216" s="116"/>
      <c r="CN216" s="247"/>
      <c r="CO216" s="125"/>
      <c r="CP216" s="247"/>
      <c r="CQ216" s="116"/>
      <c r="CR216" s="116"/>
      <c r="CS216" s="116"/>
      <c r="CT216" s="125">
        <v>1312000</v>
      </c>
      <c r="CU216" s="125">
        <f>CT216*0.19</f>
        <v>249280</v>
      </c>
      <c r="CV216" s="125">
        <f t="shared" si="70"/>
        <v>1561280</v>
      </c>
      <c r="CW216" s="116"/>
      <c r="CX216" s="116"/>
      <c r="CY216" s="116"/>
      <c r="CZ216" s="102"/>
      <c r="DA216" s="125"/>
      <c r="DB216" s="102"/>
      <c r="DC216" s="31"/>
      <c r="DD216" s="17"/>
      <c r="DE216" s="11"/>
      <c r="DF216" s="116"/>
      <c r="DG216" s="116"/>
      <c r="DH216" s="116"/>
      <c r="DI216" s="116"/>
      <c r="DJ216" s="116"/>
      <c r="DK216" s="116"/>
      <c r="DL216" s="116"/>
      <c r="DM216" s="116"/>
      <c r="DN216" s="116"/>
      <c r="DO216" s="116"/>
      <c r="DP216" s="116"/>
      <c r="DQ216" s="116"/>
      <c r="DR216" s="116"/>
      <c r="DS216" s="116"/>
      <c r="DT216" s="116"/>
      <c r="DU216" s="116"/>
      <c r="DV216" s="116"/>
      <c r="DW216" s="116"/>
      <c r="DX216" s="116"/>
      <c r="DY216" s="116"/>
      <c r="DZ216" s="116"/>
      <c r="EA216" s="116"/>
      <c r="EB216" s="116"/>
      <c r="EC216" s="116"/>
      <c r="ED216" s="116"/>
      <c r="EE216" s="116"/>
      <c r="EF216" s="116"/>
      <c r="EG216" s="116"/>
      <c r="EH216" s="116"/>
      <c r="EI216" s="116"/>
      <c r="EJ216" s="116"/>
      <c r="EK216" s="116"/>
      <c r="EL216" s="116"/>
      <c r="EM216" s="116"/>
      <c r="EN216" s="116"/>
      <c r="EO216" s="116"/>
      <c r="EP216" s="116"/>
      <c r="EQ216" s="116"/>
      <c r="ER216" s="116"/>
      <c r="ES216" s="116"/>
      <c r="ET216" s="11"/>
      <c r="EU216" s="11"/>
      <c r="EV216" s="11"/>
      <c r="EW216" s="11"/>
      <c r="EX216" s="11"/>
      <c r="EY216" s="11"/>
      <c r="EZ216" s="11"/>
      <c r="FA216" s="11"/>
      <c r="FB216" s="11"/>
      <c r="FC216" s="11"/>
      <c r="FD216" s="11"/>
      <c r="FE216" s="11"/>
      <c r="FF216" s="11"/>
      <c r="FG216" s="11"/>
      <c r="FH216" s="17">
        <f t="shared" si="64"/>
        <v>4847679.2</v>
      </c>
      <c r="FI216" s="31">
        <f t="shared" si="65"/>
        <v>3</v>
      </c>
      <c r="FJ216" s="68">
        <f t="shared" si="66"/>
        <v>1615893.0666666667</v>
      </c>
    </row>
    <row r="217" spans="1:166" ht="40.5" x14ac:dyDescent="0.25">
      <c r="A217" s="248">
        <f>Distribución_Reactivos!A217</f>
        <v>215</v>
      </c>
      <c r="B217" s="248" t="str">
        <f>Distribución_Reactivos!B217</f>
        <v>Estandar Oxytetracycline Hydrochloride fecha de vigencia no menor a 2 años</v>
      </c>
      <c r="C217" s="248" t="str">
        <f>Distribución_Reactivos!C217</f>
        <v>USP, Dr. Ehrenstorfer, Sigma Aldrich</v>
      </c>
      <c r="D217" s="248" t="str">
        <f>Distribución_Reactivos!D217</f>
        <v>mínimo 200 mg</v>
      </c>
      <c r="E217" s="29">
        <v>1</v>
      </c>
      <c r="F217" s="212">
        <v>355572</v>
      </c>
      <c r="G217" s="214">
        <v>344862</v>
      </c>
      <c r="H217" s="221">
        <v>1222730</v>
      </c>
      <c r="I217" s="221">
        <v>1222725</v>
      </c>
      <c r="J217" s="221">
        <v>626947.93000000005</v>
      </c>
      <c r="K217" s="221">
        <v>604520</v>
      </c>
      <c r="L217" s="247">
        <f>AVERAGE(F217,H217,J217)</f>
        <v>735083.31</v>
      </c>
      <c r="M217" s="247">
        <f>AVERAGE(G217,I217,K217)*E1</f>
        <v>745756.73666666669</v>
      </c>
      <c r="N217" s="217"/>
      <c r="O217" s="97"/>
      <c r="P217" s="97"/>
      <c r="Q217" s="115"/>
      <c r="R217" s="115"/>
      <c r="S217" s="53"/>
      <c r="T217" s="97"/>
      <c r="U217" s="97"/>
      <c r="V217" s="97"/>
      <c r="W217" s="115"/>
      <c r="X217" s="115"/>
      <c r="Y217" s="11"/>
      <c r="Z217" s="97"/>
      <c r="AA217" s="97"/>
      <c r="AB217" s="97"/>
      <c r="AC217" s="44"/>
      <c r="AD217" s="44"/>
      <c r="AE217" s="11"/>
      <c r="AF217" s="102"/>
      <c r="AG217" s="125"/>
      <c r="AH217" s="97"/>
      <c r="AI217" s="11"/>
      <c r="AJ217" s="11"/>
      <c r="AK217" s="17"/>
      <c r="AL217" s="97"/>
      <c r="AM217" s="97"/>
      <c r="AN217" s="101"/>
      <c r="AO217" s="248"/>
      <c r="AP217" s="17"/>
      <c r="AQ217" s="17"/>
      <c r="AR217" s="252">
        <v>352800</v>
      </c>
      <c r="AS217" s="97">
        <f>+AR217*0.19</f>
        <v>67032</v>
      </c>
      <c r="AT217" s="103">
        <f>+AR217+AS217</f>
        <v>419832</v>
      </c>
      <c r="AU217" s="52" t="s">
        <v>41</v>
      </c>
      <c r="AV217" s="52" t="s">
        <v>42</v>
      </c>
      <c r="AW217" s="30"/>
      <c r="AX217" s="100"/>
      <c r="AY217" s="100"/>
      <c r="AZ217" s="124"/>
      <c r="BA217" s="169"/>
      <c r="BB217" s="116"/>
      <c r="BC217" s="116"/>
      <c r="BD217" s="247"/>
      <c r="BE217" s="124"/>
      <c r="BF217" s="124"/>
      <c r="BG217" s="116"/>
      <c r="BH217" s="116"/>
      <c r="BI217" s="116"/>
      <c r="BJ217" s="124"/>
      <c r="BK217" s="124"/>
      <c r="BL217" s="124"/>
      <c r="BM217" s="116"/>
      <c r="BN217" s="116"/>
      <c r="BO217" s="116"/>
      <c r="BP217" s="124"/>
      <c r="BQ217" s="116"/>
      <c r="BR217" s="116"/>
      <c r="BS217" s="116"/>
      <c r="BT217" s="116"/>
      <c r="BU217" s="116"/>
      <c r="BV217" s="240">
        <v>1518400</v>
      </c>
      <c r="BW217" s="125">
        <f t="shared" si="71"/>
        <v>288496</v>
      </c>
      <c r="BX217" s="97">
        <f t="shared" si="72"/>
        <v>1806896</v>
      </c>
      <c r="BY217" s="237" t="s">
        <v>305</v>
      </c>
      <c r="BZ217" s="237" t="s">
        <v>289</v>
      </c>
      <c r="CA217" s="116"/>
      <c r="CB217" s="247"/>
      <c r="CC217" s="125"/>
      <c r="CD217" s="247"/>
      <c r="CE217" s="116"/>
      <c r="CF217" s="116"/>
      <c r="CG217" s="34"/>
      <c r="CH217" s="236"/>
      <c r="CI217" s="238"/>
      <c r="CJ217" s="236"/>
      <c r="CK217" s="237"/>
      <c r="CL217" s="237"/>
      <c r="CM217" s="116"/>
      <c r="CN217" s="247">
        <f>176181*2</f>
        <v>352362</v>
      </c>
      <c r="CO217" s="125">
        <f>+CN217*0.19</f>
        <v>66948.78</v>
      </c>
      <c r="CP217" s="247">
        <f>+CO217+CN217</f>
        <v>419310.78</v>
      </c>
      <c r="CQ217" s="116"/>
      <c r="CR217" s="116"/>
      <c r="CS217" s="116"/>
      <c r="CT217" s="247"/>
      <c r="CU217" s="125"/>
      <c r="CV217" s="247"/>
      <c r="CW217" s="116"/>
      <c r="CX217" s="116"/>
      <c r="CY217" s="116"/>
      <c r="CZ217" s="102"/>
      <c r="DA217" s="125"/>
      <c r="DB217" s="102"/>
      <c r="DC217" s="31"/>
      <c r="DD217" s="17"/>
      <c r="DE217" s="11"/>
      <c r="DF217" s="116"/>
      <c r="DG217" s="116"/>
      <c r="DH217" s="116"/>
      <c r="DI217" s="116"/>
      <c r="DJ217" s="116"/>
      <c r="DK217" s="116"/>
      <c r="DL217" s="116"/>
      <c r="DM217" s="116"/>
      <c r="DN217" s="116"/>
      <c r="DO217" s="116"/>
      <c r="DP217" s="116"/>
      <c r="DQ217" s="116"/>
      <c r="DR217" s="116"/>
      <c r="DS217" s="116"/>
      <c r="DT217" s="116"/>
      <c r="DU217" s="116"/>
      <c r="DV217" s="116"/>
      <c r="DW217" s="116"/>
      <c r="DX217" s="116"/>
      <c r="DY217" s="116"/>
      <c r="DZ217" s="116"/>
      <c r="EA217" s="116"/>
      <c r="EB217" s="116"/>
      <c r="EC217" s="116"/>
      <c r="ED217" s="116"/>
      <c r="EE217" s="116"/>
      <c r="EF217" s="116"/>
      <c r="EG217" s="116"/>
      <c r="EH217" s="116"/>
      <c r="EI217" s="116"/>
      <c r="EJ217" s="116"/>
      <c r="EK217" s="116"/>
      <c r="EL217" s="116"/>
      <c r="EM217" s="116"/>
      <c r="EN217" s="116"/>
      <c r="EO217" s="116"/>
      <c r="EP217" s="116"/>
      <c r="EQ217" s="116"/>
      <c r="ER217" s="116"/>
      <c r="ES217" s="116"/>
      <c r="ET217" s="11"/>
      <c r="EU217" s="11"/>
      <c r="EV217" s="11"/>
      <c r="EW217" s="11"/>
      <c r="EX217" s="11"/>
      <c r="EY217" s="11"/>
      <c r="EZ217" s="11"/>
      <c r="FA217" s="11"/>
      <c r="FB217" s="11"/>
      <c r="FC217" s="11"/>
      <c r="FD217" s="11"/>
      <c r="FE217" s="11"/>
      <c r="FF217" s="11"/>
      <c r="FG217" s="11"/>
      <c r="FH217" s="17">
        <f t="shared" si="64"/>
        <v>3391795.5166666666</v>
      </c>
      <c r="FI217" s="31">
        <f t="shared" si="65"/>
        <v>4</v>
      </c>
      <c r="FJ217" s="68">
        <f t="shared" si="66"/>
        <v>847948.87916666665</v>
      </c>
    </row>
    <row r="218" spans="1:166" ht="27" x14ac:dyDescent="0.25">
      <c r="A218" s="248">
        <f>Distribución_Reactivos!A218</f>
        <v>216</v>
      </c>
      <c r="B218" s="248" t="str">
        <f>Distribución_Reactivos!B218</f>
        <v>Etanol absoluto  anhidro</v>
      </c>
      <c r="C218" s="248" t="str">
        <f>Distribución_Reactivos!C218</f>
        <v>JT Baker, Merck, Mallinkrodt</v>
      </c>
      <c r="D218" s="248" t="str">
        <f>Distribución_Reactivos!D218</f>
        <v>Frasco x 2.5 litros</v>
      </c>
      <c r="E218" s="29">
        <v>1</v>
      </c>
      <c r="F218" s="212">
        <v>0</v>
      </c>
      <c r="G218" s="214">
        <v>0</v>
      </c>
      <c r="H218" s="221">
        <v>0</v>
      </c>
      <c r="I218" s="221">
        <v>0</v>
      </c>
      <c r="J218" s="221">
        <v>237693.71895161289</v>
      </c>
      <c r="K218" s="221">
        <v>231693</v>
      </c>
      <c r="L218" s="247">
        <f>J218</f>
        <v>237693.71895161289</v>
      </c>
      <c r="M218" s="247">
        <f>K218*E1</f>
        <v>238643.79</v>
      </c>
      <c r="N218" s="217"/>
      <c r="O218" s="97"/>
      <c r="P218" s="97"/>
      <c r="Q218" s="115"/>
      <c r="R218" s="115"/>
      <c r="S218" s="53"/>
      <c r="T218" s="97"/>
      <c r="U218" s="101"/>
      <c r="V218" s="97"/>
      <c r="W218" s="115"/>
      <c r="X218" s="115"/>
      <c r="Y218" s="11"/>
      <c r="Z218" s="97"/>
      <c r="AA218" s="97"/>
      <c r="AB218" s="97"/>
      <c r="AC218" s="44"/>
      <c r="AD218" s="44"/>
      <c r="AE218" s="11"/>
      <c r="AF218" s="102">
        <v>200000</v>
      </c>
      <c r="AG218" s="125">
        <f>AF218*19%</f>
        <v>38000</v>
      </c>
      <c r="AH218" s="97">
        <f>+AF218+AG218</f>
        <v>238000</v>
      </c>
      <c r="AI218" s="11"/>
      <c r="AJ218" s="11"/>
      <c r="AK218" s="17"/>
      <c r="AL218" s="97">
        <v>155000</v>
      </c>
      <c r="AM218" s="97">
        <f>+AL218*0.19</f>
        <v>29450</v>
      </c>
      <c r="AN218" s="103">
        <f>+AL218+AM218</f>
        <v>184450</v>
      </c>
      <c r="AO218" s="248" t="s">
        <v>95</v>
      </c>
      <c r="AP218" s="17" t="s">
        <v>52</v>
      </c>
      <c r="AQ218" s="17"/>
      <c r="AR218" s="252">
        <v>145794</v>
      </c>
      <c r="AS218" s="97">
        <f>+AR218*0.19</f>
        <v>27700.86</v>
      </c>
      <c r="AT218" s="103">
        <f>+AR218+AS218</f>
        <v>173494.86</v>
      </c>
      <c r="AU218" s="52" t="s">
        <v>96</v>
      </c>
      <c r="AV218" s="52" t="s">
        <v>52</v>
      </c>
      <c r="AW218" s="30"/>
      <c r="AX218" s="100"/>
      <c r="AY218" s="100"/>
      <c r="AZ218" s="124"/>
      <c r="BA218" s="169"/>
      <c r="BB218" s="116"/>
      <c r="BC218" s="116"/>
      <c r="BD218" s="247"/>
      <c r="BE218" s="124"/>
      <c r="BF218" s="124"/>
      <c r="BG218" s="116"/>
      <c r="BH218" s="116"/>
      <c r="BI218" s="116"/>
      <c r="BJ218" s="124"/>
      <c r="BK218" s="124"/>
      <c r="BL218" s="124"/>
      <c r="BM218" s="116"/>
      <c r="BN218" s="116"/>
      <c r="BO218" s="116"/>
      <c r="BP218" s="124"/>
      <c r="BQ218" s="116"/>
      <c r="BR218" s="116"/>
      <c r="BS218" s="116"/>
      <c r="BT218" s="116"/>
      <c r="BU218" s="116"/>
      <c r="BV218" s="236">
        <v>341800</v>
      </c>
      <c r="BW218" s="125">
        <f t="shared" si="71"/>
        <v>64942</v>
      </c>
      <c r="BX218" s="97">
        <f t="shared" si="72"/>
        <v>406742</v>
      </c>
      <c r="BY218" s="237" t="s">
        <v>306</v>
      </c>
      <c r="BZ218" s="237" t="s">
        <v>83</v>
      </c>
      <c r="CA218" s="116"/>
      <c r="CB218" s="247"/>
      <c r="CC218" s="125"/>
      <c r="CD218" s="247"/>
      <c r="CE218" s="116"/>
      <c r="CF218" s="116"/>
      <c r="CG218" s="34"/>
      <c r="CH218" s="236"/>
      <c r="CI218" s="238"/>
      <c r="CJ218" s="236"/>
      <c r="CK218" s="237"/>
      <c r="CL218" s="237"/>
      <c r="CM218" s="116"/>
      <c r="CN218" s="247"/>
      <c r="CO218" s="125"/>
      <c r="CP218" s="247"/>
      <c r="CQ218" s="116"/>
      <c r="CR218" s="116"/>
      <c r="CS218" s="116"/>
      <c r="CT218" s="247"/>
      <c r="CU218" s="125"/>
      <c r="CV218" s="247"/>
      <c r="CW218" s="116"/>
      <c r="CX218" s="116"/>
      <c r="CY218" s="116"/>
      <c r="CZ218" s="102">
        <v>139034</v>
      </c>
      <c r="DA218" s="125">
        <f>+CZ218*0.19</f>
        <v>26416.46</v>
      </c>
      <c r="DB218" s="102">
        <f>+CZ218+DA218</f>
        <v>165450.46</v>
      </c>
      <c r="DC218" s="31" t="s">
        <v>307</v>
      </c>
      <c r="DD218" s="17" t="s">
        <v>65</v>
      </c>
      <c r="DE218" s="11">
        <v>1009832500</v>
      </c>
      <c r="DF218" s="116"/>
      <c r="DG218" s="116"/>
      <c r="DH218" s="116"/>
      <c r="DI218" s="116"/>
      <c r="DJ218" s="116"/>
      <c r="DK218" s="116"/>
      <c r="DL218" s="116"/>
      <c r="DM218" s="116"/>
      <c r="DN218" s="116"/>
      <c r="DO218" s="116"/>
      <c r="DP218" s="116"/>
      <c r="DQ218" s="116"/>
      <c r="DR218" s="116"/>
      <c r="DS218" s="116"/>
      <c r="DT218" s="116"/>
      <c r="DU218" s="116"/>
      <c r="DV218" s="116"/>
      <c r="DW218" s="116"/>
      <c r="DX218" s="116"/>
      <c r="DY218" s="116"/>
      <c r="DZ218" s="116"/>
      <c r="EA218" s="116"/>
      <c r="EB218" s="116"/>
      <c r="EC218" s="116"/>
      <c r="ED218" s="116"/>
      <c r="EE218" s="116"/>
      <c r="EF218" s="116"/>
      <c r="EG218" s="116"/>
      <c r="EH218" s="116"/>
      <c r="EI218" s="116"/>
      <c r="EJ218" s="116"/>
      <c r="EK218" s="116"/>
      <c r="EL218" s="116"/>
      <c r="EM218" s="116"/>
      <c r="EN218" s="116"/>
      <c r="EO218" s="116"/>
      <c r="EP218" s="116"/>
      <c r="EQ218" s="116"/>
      <c r="ER218" s="116"/>
      <c r="ES218" s="116"/>
      <c r="ET218" s="11"/>
      <c r="EU218" s="11"/>
      <c r="EV218" s="11"/>
      <c r="EW218" s="11"/>
      <c r="EX218" s="11"/>
      <c r="EY218" s="11"/>
      <c r="EZ218" s="11"/>
      <c r="FA218" s="11"/>
      <c r="FB218" s="11"/>
      <c r="FC218" s="11"/>
      <c r="FD218" s="11"/>
      <c r="FE218" s="11"/>
      <c r="FF218" s="11"/>
      <c r="FG218" s="11"/>
      <c r="FH218" s="17">
        <f t="shared" si="64"/>
        <v>1406781.1099999999</v>
      </c>
      <c r="FI218" s="31">
        <f t="shared" si="65"/>
        <v>6</v>
      </c>
      <c r="FJ218" s="68">
        <f t="shared" si="66"/>
        <v>234463.51833333331</v>
      </c>
    </row>
    <row r="219" spans="1:166" ht="40.5" x14ac:dyDescent="0.25">
      <c r="A219" s="248">
        <f>Distribución_Reactivos!A219</f>
        <v>217</v>
      </c>
      <c r="B219" s="248" t="str">
        <f>Distribución_Reactivos!B219</f>
        <v>Etanol al 99.5% para biología molecular</v>
      </c>
      <c r="C219" s="248" t="str">
        <f>Distribución_Reactivos!C219</f>
        <v>Panreac A8075.1000PE</v>
      </c>
      <c r="D219" s="248" t="str">
        <f>Distribución_Reactivos!D219</f>
        <v>Frasco x 1 litro</v>
      </c>
      <c r="E219" s="29">
        <v>1</v>
      </c>
      <c r="F219" s="212">
        <v>153272</v>
      </c>
      <c r="G219" s="214">
        <v>149345</v>
      </c>
      <c r="H219" s="221">
        <v>159126.74591999999</v>
      </c>
      <c r="I219" s="221">
        <v>82110</v>
      </c>
      <c r="J219" s="221">
        <v>160791.60999999999</v>
      </c>
      <c r="K219" s="221">
        <v>160650</v>
      </c>
      <c r="L219" s="247">
        <f>AVERAGE(F219,H219,J219)</f>
        <v>157730.11864</v>
      </c>
      <c r="M219" s="247">
        <f>AVERAGE(G219,I219,K219)*E1</f>
        <v>134622.71666666667</v>
      </c>
      <c r="N219" s="217"/>
      <c r="O219" s="97"/>
      <c r="P219" s="97"/>
      <c r="Q219" s="115"/>
      <c r="R219" s="115"/>
      <c r="S219" s="53"/>
      <c r="T219" s="97"/>
      <c r="U219" s="97"/>
      <c r="V219" s="97"/>
      <c r="W219" s="115"/>
      <c r="X219" s="115"/>
      <c r="Y219" s="11"/>
      <c r="Z219" s="97"/>
      <c r="AA219" s="97"/>
      <c r="AB219" s="97"/>
      <c r="AC219" s="44"/>
      <c r="AD219" s="44"/>
      <c r="AE219" s="11"/>
      <c r="AF219" s="102">
        <v>140000</v>
      </c>
      <c r="AG219" s="125">
        <f>AF219*19%</f>
        <v>26600</v>
      </c>
      <c r="AH219" s="97">
        <f>+AF219+AG219</f>
        <v>166600</v>
      </c>
      <c r="AI219" s="11"/>
      <c r="AJ219" s="11"/>
      <c r="AK219" s="17"/>
      <c r="AL219" s="97">
        <v>156000</v>
      </c>
      <c r="AM219" s="97">
        <f>+AL219*0.19</f>
        <v>29640</v>
      </c>
      <c r="AN219" s="103">
        <f>+AL219+AM219</f>
        <v>185640</v>
      </c>
      <c r="AO219" s="248" t="s">
        <v>56</v>
      </c>
      <c r="AP219" s="17" t="s">
        <v>52</v>
      </c>
      <c r="AQ219" s="17"/>
      <c r="AR219" s="252">
        <v>128701</v>
      </c>
      <c r="AS219" s="97">
        <f>+AR219*0.19</f>
        <v>24453.19</v>
      </c>
      <c r="AT219" s="103">
        <f>+AR219+AS219</f>
        <v>153154.19</v>
      </c>
      <c r="AU219" s="52" t="s">
        <v>56</v>
      </c>
      <c r="AV219" s="52" t="s">
        <v>52</v>
      </c>
      <c r="AW219" s="30"/>
      <c r="AX219" s="100"/>
      <c r="AY219" s="100"/>
      <c r="AZ219" s="124"/>
      <c r="BA219" s="169"/>
      <c r="BB219" s="116"/>
      <c r="BC219" s="116"/>
      <c r="BD219" s="247"/>
      <c r="BE219" s="124"/>
      <c r="BF219" s="124"/>
      <c r="BG219" s="116"/>
      <c r="BH219" s="116"/>
      <c r="BI219" s="116"/>
      <c r="BJ219" s="124"/>
      <c r="BK219" s="124"/>
      <c r="BL219" s="124"/>
      <c r="BM219" s="116"/>
      <c r="BN219" s="116"/>
      <c r="BO219" s="116"/>
      <c r="BP219" s="124"/>
      <c r="BQ219" s="116"/>
      <c r="BR219" s="116"/>
      <c r="BS219" s="116"/>
      <c r="BT219" s="116"/>
      <c r="BU219" s="116"/>
      <c r="BV219" s="236">
        <v>436800</v>
      </c>
      <c r="BW219" s="125">
        <f t="shared" si="71"/>
        <v>82992</v>
      </c>
      <c r="BX219" s="97">
        <f t="shared" si="72"/>
        <v>519792</v>
      </c>
      <c r="BY219" s="237" t="s">
        <v>308</v>
      </c>
      <c r="BZ219" s="237" t="s">
        <v>52</v>
      </c>
      <c r="CA219" s="116"/>
      <c r="CB219" s="247"/>
      <c r="CC219" s="125"/>
      <c r="CD219" s="247"/>
      <c r="CE219" s="116"/>
      <c r="CF219" s="116"/>
      <c r="CG219" s="34"/>
      <c r="CH219" s="236">
        <v>441168</v>
      </c>
      <c r="CI219" s="238">
        <f>+CH219*0.19</f>
        <v>83821.919999999998</v>
      </c>
      <c r="CJ219" s="236">
        <f>+CH219+CI219</f>
        <v>524989.92000000004</v>
      </c>
      <c r="CK219" s="237" t="s">
        <v>308</v>
      </c>
      <c r="CL219" s="237" t="s">
        <v>52</v>
      </c>
      <c r="CM219" s="116"/>
      <c r="CN219" s="247"/>
      <c r="CO219" s="125"/>
      <c r="CP219" s="247"/>
      <c r="CQ219" s="116"/>
      <c r="CR219" s="116"/>
      <c r="CS219" s="116"/>
      <c r="CT219" s="247"/>
      <c r="CU219" s="125"/>
      <c r="CV219" s="247"/>
      <c r="CW219" s="116"/>
      <c r="CX219" s="116"/>
      <c r="CY219" s="116"/>
      <c r="CZ219" s="102"/>
      <c r="DA219" s="125"/>
      <c r="DB219" s="102"/>
      <c r="DC219" s="31"/>
      <c r="DD219" s="17"/>
      <c r="DE219" s="65"/>
      <c r="DF219" s="116"/>
      <c r="DG219" s="116"/>
      <c r="DH219" s="116"/>
      <c r="DI219" s="116"/>
      <c r="DJ219" s="116"/>
      <c r="DK219" s="116"/>
      <c r="DL219" s="116"/>
      <c r="DM219" s="116"/>
      <c r="DN219" s="116"/>
      <c r="DO219" s="116"/>
      <c r="DP219" s="116"/>
      <c r="DQ219" s="116"/>
      <c r="DR219" s="116"/>
      <c r="DS219" s="116"/>
      <c r="DT219" s="116"/>
      <c r="DU219" s="116"/>
      <c r="DV219" s="116"/>
      <c r="DW219" s="116"/>
      <c r="DX219" s="116"/>
      <c r="DY219" s="116"/>
      <c r="DZ219" s="116"/>
      <c r="EA219" s="116"/>
      <c r="EB219" s="116"/>
      <c r="EC219" s="116"/>
      <c r="ED219" s="116"/>
      <c r="EE219" s="116"/>
      <c r="EF219" s="116"/>
      <c r="EG219" s="116"/>
      <c r="EH219" s="116"/>
      <c r="EI219" s="116"/>
      <c r="EJ219" s="116"/>
      <c r="EK219" s="116"/>
      <c r="EL219" s="116"/>
      <c r="EM219" s="116"/>
      <c r="EN219" s="116"/>
      <c r="EO219" s="116"/>
      <c r="EP219" s="116"/>
      <c r="EQ219" s="116"/>
      <c r="ER219" s="116"/>
      <c r="ES219" s="116"/>
      <c r="ET219" s="11"/>
      <c r="EU219" s="11"/>
      <c r="EV219" s="11"/>
      <c r="EW219" s="11"/>
      <c r="EX219" s="11"/>
      <c r="EY219" s="11"/>
      <c r="EZ219" s="11"/>
      <c r="FA219" s="11"/>
      <c r="FB219" s="11"/>
      <c r="FC219" s="11"/>
      <c r="FD219" s="11"/>
      <c r="FE219" s="11"/>
      <c r="FF219" s="11"/>
      <c r="FG219" s="11"/>
      <c r="FH219" s="17">
        <f t="shared" si="64"/>
        <v>1684798.8266666667</v>
      </c>
      <c r="FI219" s="31">
        <f t="shared" si="65"/>
        <v>6</v>
      </c>
      <c r="FJ219" s="68">
        <f t="shared" si="66"/>
        <v>280799.80444444442</v>
      </c>
    </row>
    <row r="220" spans="1:166" ht="40.5" x14ac:dyDescent="0.25">
      <c r="A220" s="248">
        <f>Distribución_Reactivos!A220</f>
        <v>218</v>
      </c>
      <c r="B220" s="248" t="str">
        <f>Distribución_Reactivos!B220</f>
        <v>Etanol cetona gram</v>
      </c>
      <c r="C220" s="248" t="str">
        <f>Distribución_Reactivos!C220</f>
        <v>Albor o equivalente</v>
      </c>
      <c r="D220" s="248" t="str">
        <f>Distribución_Reactivos!D220</f>
        <v>Frasco x 1 litro</v>
      </c>
      <c r="E220" s="29">
        <v>1</v>
      </c>
      <c r="F220" s="212">
        <v>74441.666666666672</v>
      </c>
      <c r="G220" s="214">
        <v>72200</v>
      </c>
      <c r="H220" s="221">
        <v>164087.91376833332</v>
      </c>
      <c r="I220" s="221">
        <v>0</v>
      </c>
      <c r="J220" s="221">
        <v>124571.2</v>
      </c>
      <c r="K220" s="221">
        <v>99400</v>
      </c>
      <c r="L220" s="247">
        <f>AVERAGE(F220,H220,J220)</f>
        <v>121033.59347833334</v>
      </c>
      <c r="M220" s="247">
        <f>AVERAGE(G220,K220)*E1</f>
        <v>88374</v>
      </c>
      <c r="N220" s="217"/>
      <c r="O220" s="97"/>
      <c r="P220" s="97"/>
      <c r="Q220" s="115"/>
      <c r="R220" s="115"/>
      <c r="S220" s="53"/>
      <c r="T220" s="97"/>
      <c r="U220" s="101"/>
      <c r="V220" s="97"/>
      <c r="W220" s="115"/>
      <c r="X220" s="115"/>
      <c r="Y220" s="11"/>
      <c r="Z220" s="97"/>
      <c r="AA220" s="97"/>
      <c r="AB220" s="97"/>
      <c r="AC220" s="44"/>
      <c r="AD220" s="44"/>
      <c r="AE220" s="11"/>
      <c r="AF220" s="102">
        <v>75000</v>
      </c>
      <c r="AG220" s="125">
        <v>0</v>
      </c>
      <c r="AH220" s="97">
        <f>+AF220+AG220</f>
        <v>75000</v>
      </c>
      <c r="AI220" s="11"/>
      <c r="AJ220" s="11"/>
      <c r="AK220" s="17"/>
      <c r="AL220" s="97">
        <v>65000</v>
      </c>
      <c r="AM220" s="97">
        <f>+AL220*0</f>
        <v>0</v>
      </c>
      <c r="AN220" s="103">
        <f>+AL220+AM220</f>
        <v>65000</v>
      </c>
      <c r="AO220" s="248" t="s">
        <v>56</v>
      </c>
      <c r="AP220" s="17" t="s">
        <v>153</v>
      </c>
      <c r="AQ220" s="17"/>
      <c r="AR220" s="252">
        <v>48952</v>
      </c>
      <c r="AS220" s="97">
        <f>+AR220*0.19</f>
        <v>9300.880000000001</v>
      </c>
      <c r="AT220" s="103">
        <f>+AR220+AS220</f>
        <v>58252.880000000005</v>
      </c>
      <c r="AU220" s="52" t="s">
        <v>56</v>
      </c>
      <c r="AV220" s="52" t="s">
        <v>266</v>
      </c>
      <c r="AW220" s="30"/>
      <c r="AX220" s="100"/>
      <c r="AY220" s="174"/>
      <c r="AZ220" s="124"/>
      <c r="BA220" s="169"/>
      <c r="BB220" s="116"/>
      <c r="BC220" s="116"/>
      <c r="BD220" s="247"/>
      <c r="BE220" s="124"/>
      <c r="BF220" s="124"/>
      <c r="BG220" s="116"/>
      <c r="BH220" s="116"/>
      <c r="BI220" s="116"/>
      <c r="BJ220" s="124"/>
      <c r="BK220" s="124"/>
      <c r="BL220" s="124"/>
      <c r="BM220" s="116"/>
      <c r="BN220" s="116"/>
      <c r="BO220" s="116"/>
      <c r="BP220" s="124"/>
      <c r="BQ220" s="116"/>
      <c r="BR220" s="116"/>
      <c r="BS220" s="116"/>
      <c r="BT220" s="116"/>
      <c r="BU220" s="116"/>
      <c r="BV220" s="236">
        <v>120000</v>
      </c>
      <c r="BW220" s="125">
        <f>BV220*0</f>
        <v>0</v>
      </c>
      <c r="BX220" s="97">
        <f t="shared" si="72"/>
        <v>120000</v>
      </c>
      <c r="BY220" s="237" t="s">
        <v>308</v>
      </c>
      <c r="BZ220" s="237" t="s">
        <v>55</v>
      </c>
      <c r="CA220" s="116"/>
      <c r="CB220" s="247"/>
      <c r="CC220" s="125"/>
      <c r="CD220" s="247"/>
      <c r="CE220" s="116"/>
      <c r="CF220" s="116"/>
      <c r="CG220" s="34"/>
      <c r="CH220" s="236">
        <v>124800</v>
      </c>
      <c r="CI220" s="238">
        <f>+CH220*0</f>
        <v>0</v>
      </c>
      <c r="CJ220" s="236">
        <f>+CH220+CI220</f>
        <v>124800</v>
      </c>
      <c r="CK220" s="237" t="s">
        <v>308</v>
      </c>
      <c r="CL220" s="237" t="s">
        <v>55</v>
      </c>
      <c r="CM220" s="116"/>
      <c r="CN220" s="247"/>
      <c r="CO220" s="125"/>
      <c r="CP220" s="247"/>
      <c r="CQ220" s="116"/>
      <c r="CR220" s="116"/>
      <c r="CS220" s="116"/>
      <c r="CT220" s="247"/>
      <c r="CU220" s="125"/>
      <c r="CV220" s="247"/>
      <c r="CW220" s="116"/>
      <c r="CX220" s="116"/>
      <c r="CY220" s="116"/>
      <c r="CZ220" s="102"/>
      <c r="DA220" s="125"/>
      <c r="DB220" s="102"/>
      <c r="DC220" s="31"/>
      <c r="DD220" s="17"/>
      <c r="DE220" s="11"/>
      <c r="DF220" s="116"/>
      <c r="DG220" s="116"/>
      <c r="DH220" s="116"/>
      <c r="DI220" s="116"/>
      <c r="DJ220" s="116"/>
      <c r="DK220" s="116"/>
      <c r="DL220" s="116"/>
      <c r="DM220" s="116"/>
      <c r="DN220" s="116"/>
      <c r="DO220" s="116"/>
      <c r="DP220" s="116"/>
      <c r="DQ220" s="116"/>
      <c r="DR220" s="116"/>
      <c r="DS220" s="116"/>
      <c r="DT220" s="116"/>
      <c r="DU220" s="116"/>
      <c r="DV220" s="116"/>
      <c r="DW220" s="116"/>
      <c r="DX220" s="116"/>
      <c r="DY220" s="116"/>
      <c r="DZ220" s="116"/>
      <c r="EA220" s="116"/>
      <c r="EB220" s="116"/>
      <c r="EC220" s="116"/>
      <c r="ED220" s="116"/>
      <c r="EE220" s="116"/>
      <c r="EF220" s="116"/>
      <c r="EG220" s="116"/>
      <c r="EH220" s="116"/>
      <c r="EI220" s="116"/>
      <c r="EJ220" s="116"/>
      <c r="EK220" s="116"/>
      <c r="EL220" s="116"/>
      <c r="EM220" s="116"/>
      <c r="EN220" s="116"/>
      <c r="EO220" s="116"/>
      <c r="EP220" s="116"/>
      <c r="EQ220" s="116"/>
      <c r="ER220" s="116"/>
      <c r="ES220" s="116"/>
      <c r="ET220" s="11"/>
      <c r="EU220" s="11"/>
      <c r="EV220" s="11"/>
      <c r="EW220" s="11"/>
      <c r="EX220" s="11"/>
      <c r="EY220" s="11"/>
      <c r="EZ220" s="11"/>
      <c r="FA220" s="11"/>
      <c r="FB220" s="11"/>
      <c r="FC220" s="11"/>
      <c r="FD220" s="11"/>
      <c r="FE220" s="11"/>
      <c r="FF220" s="11"/>
      <c r="FG220" s="11"/>
      <c r="FH220" s="17">
        <f t="shared" si="64"/>
        <v>531426.88</v>
      </c>
      <c r="FI220" s="31">
        <f t="shared" si="65"/>
        <v>6</v>
      </c>
      <c r="FJ220" s="68">
        <f t="shared" si="66"/>
        <v>88571.146666666667</v>
      </c>
    </row>
    <row r="221" spans="1:166" ht="38.25" x14ac:dyDescent="0.25">
      <c r="A221" s="248">
        <f>Distribución_Reactivos!A221</f>
        <v>219</v>
      </c>
      <c r="B221" s="248" t="str">
        <f>Distribución_Reactivos!B221</f>
        <v xml:space="preserve">Eter de petroleo  para análisis </v>
      </c>
      <c r="C221" s="248" t="str">
        <f>Distribución_Reactivos!C221</f>
        <v>Merck, JT Baker, Sigma o equivalente</v>
      </c>
      <c r="D221" s="248" t="str">
        <f>Distribución_Reactivos!D221</f>
        <v>Frasco x 4 litros</v>
      </c>
      <c r="E221" s="29">
        <v>1</v>
      </c>
      <c r="F221" s="212">
        <v>407237.83333333337</v>
      </c>
      <c r="G221" s="214">
        <v>390915</v>
      </c>
      <c r="H221" s="221">
        <v>362257.22728809528</v>
      </c>
      <c r="I221" s="221">
        <v>362236</v>
      </c>
      <c r="J221" s="221">
        <v>433231.21574193548</v>
      </c>
      <c r="K221" s="221">
        <v>422450</v>
      </c>
      <c r="L221" s="247">
        <f>AVERAGE(F221,H221,J221)</f>
        <v>400908.75878778804</v>
      </c>
      <c r="M221" s="247">
        <f>AVERAGE(G221,I221,K221)*E1</f>
        <v>403623.01</v>
      </c>
      <c r="N221" s="217"/>
      <c r="O221" s="97"/>
      <c r="P221" s="97"/>
      <c r="Q221" s="115"/>
      <c r="R221" s="115"/>
      <c r="S221" s="53"/>
      <c r="T221" s="97"/>
      <c r="U221" s="97"/>
      <c r="V221" s="97"/>
      <c r="W221" s="115"/>
      <c r="X221" s="115"/>
      <c r="Y221" s="11"/>
      <c r="Z221" s="97"/>
      <c r="AA221" s="97"/>
      <c r="AB221" s="97"/>
      <c r="AC221" s="44"/>
      <c r="AD221" s="44"/>
      <c r="AE221" s="11"/>
      <c r="AF221" s="102"/>
      <c r="AG221" s="125"/>
      <c r="AH221" s="97"/>
      <c r="AI221" s="11"/>
      <c r="AJ221" s="11"/>
      <c r="AK221" s="17"/>
      <c r="AL221" s="97">
        <v>405000</v>
      </c>
      <c r="AM221" s="97">
        <f>+AL221*0.19</f>
        <v>76950</v>
      </c>
      <c r="AN221" s="103">
        <f>+AL221+AM221</f>
        <v>481950</v>
      </c>
      <c r="AO221" s="248" t="s">
        <v>86</v>
      </c>
      <c r="AP221" s="17" t="s">
        <v>52</v>
      </c>
      <c r="AQ221" s="17"/>
      <c r="AR221" s="252"/>
      <c r="AS221" s="136"/>
      <c r="AT221" s="137"/>
      <c r="AU221" s="52"/>
      <c r="AV221" s="52"/>
      <c r="AW221" s="30"/>
      <c r="AX221" s="100"/>
      <c r="AY221" s="174"/>
      <c r="AZ221" s="124"/>
      <c r="BA221" s="169"/>
      <c r="BB221" s="116"/>
      <c r="BC221" s="116"/>
      <c r="BD221" s="247"/>
      <c r="BE221" s="124"/>
      <c r="BF221" s="124"/>
      <c r="BG221" s="116"/>
      <c r="BH221" s="116"/>
      <c r="BI221" s="116"/>
      <c r="BJ221" s="124"/>
      <c r="BK221" s="124"/>
      <c r="BL221" s="124"/>
      <c r="BM221" s="116"/>
      <c r="BN221" s="116"/>
      <c r="BO221" s="116"/>
      <c r="BP221" s="124"/>
      <c r="BQ221" s="116"/>
      <c r="BR221" s="116"/>
      <c r="BS221" s="116"/>
      <c r="BT221" s="116"/>
      <c r="BU221" s="116"/>
      <c r="BV221" s="236">
        <v>425900</v>
      </c>
      <c r="BW221" s="125">
        <f>BV221*19%</f>
        <v>80921</v>
      </c>
      <c r="BX221" s="97">
        <f t="shared" si="72"/>
        <v>506821</v>
      </c>
      <c r="BY221" s="237" t="s">
        <v>306</v>
      </c>
      <c r="BZ221" s="237" t="s">
        <v>83</v>
      </c>
      <c r="CA221" s="116"/>
      <c r="CB221" s="247"/>
      <c r="CC221" s="125"/>
      <c r="CD221" s="247"/>
      <c r="CE221" s="116"/>
      <c r="CF221" s="116"/>
      <c r="CG221" s="34"/>
      <c r="CH221" s="236">
        <v>430159</v>
      </c>
      <c r="CI221" s="238">
        <f>+CH221*0.19</f>
        <v>81730.210000000006</v>
      </c>
      <c r="CJ221" s="236">
        <f>+CH221+CI221</f>
        <v>511889.21</v>
      </c>
      <c r="CK221" s="237" t="s">
        <v>306</v>
      </c>
      <c r="CL221" s="237" t="s">
        <v>83</v>
      </c>
      <c r="CM221" s="116"/>
      <c r="CN221" s="247"/>
      <c r="CO221" s="125"/>
      <c r="CP221" s="247"/>
      <c r="CQ221" s="116"/>
      <c r="CR221" s="116"/>
      <c r="CS221" s="116"/>
      <c r="CT221" s="247"/>
      <c r="CU221" s="125"/>
      <c r="CV221" s="247"/>
      <c r="CW221" s="116"/>
      <c r="CX221" s="116"/>
      <c r="CY221" s="116"/>
      <c r="CZ221" s="102"/>
      <c r="DA221" s="125"/>
      <c r="DB221" s="102"/>
      <c r="DC221" s="31"/>
      <c r="DD221" s="17"/>
      <c r="DE221" s="11"/>
      <c r="DF221" s="116"/>
      <c r="DG221" s="116"/>
      <c r="DH221" s="116"/>
      <c r="DI221" s="116"/>
      <c r="DJ221" s="116"/>
      <c r="DK221" s="116"/>
      <c r="DL221" s="116"/>
      <c r="DM221" s="116"/>
      <c r="DN221" s="116"/>
      <c r="DO221" s="116"/>
      <c r="DP221" s="116"/>
      <c r="DQ221" s="116"/>
      <c r="DR221" s="116"/>
      <c r="DS221" s="116"/>
      <c r="DT221" s="116"/>
      <c r="DU221" s="116"/>
      <c r="DV221" s="116"/>
      <c r="DW221" s="116"/>
      <c r="DX221" s="116"/>
      <c r="DY221" s="116"/>
      <c r="DZ221" s="116"/>
      <c r="EA221" s="116"/>
      <c r="EB221" s="116"/>
      <c r="EC221" s="116"/>
      <c r="ED221" s="116"/>
      <c r="EE221" s="116"/>
      <c r="EF221" s="116"/>
      <c r="EG221" s="116"/>
      <c r="EH221" s="116"/>
      <c r="EI221" s="116"/>
      <c r="EJ221" s="116"/>
      <c r="EK221" s="116"/>
      <c r="EL221" s="116"/>
      <c r="EM221" s="116"/>
      <c r="EN221" s="116"/>
      <c r="EO221" s="116"/>
      <c r="EP221" s="116"/>
      <c r="EQ221" s="116"/>
      <c r="ER221" s="116"/>
      <c r="ES221" s="116"/>
      <c r="ET221" s="11"/>
      <c r="EU221" s="11"/>
      <c r="EV221" s="11"/>
      <c r="EW221" s="11"/>
      <c r="EX221" s="11"/>
      <c r="EY221" s="11"/>
      <c r="EZ221" s="11"/>
      <c r="FA221" s="11"/>
      <c r="FB221" s="11"/>
      <c r="FC221" s="11"/>
      <c r="FD221" s="11"/>
      <c r="FE221" s="11"/>
      <c r="FF221" s="11"/>
      <c r="FG221" s="11"/>
      <c r="FH221" s="17">
        <f t="shared" si="64"/>
        <v>1904283.22</v>
      </c>
      <c r="FI221" s="31">
        <f t="shared" si="65"/>
        <v>4</v>
      </c>
      <c r="FJ221" s="68">
        <f t="shared" si="66"/>
        <v>476070.80499999999</v>
      </c>
    </row>
    <row r="222" spans="1:166" ht="40.5" x14ac:dyDescent="0.25">
      <c r="A222" s="248">
        <f>Distribución_Reactivos!A222</f>
        <v>220</v>
      </c>
      <c r="B222" s="248" t="str">
        <f>Distribución_Reactivos!B222</f>
        <v>Euparal mounting medium</v>
      </c>
      <c r="C222" s="248" t="str">
        <f>Distribución_Reactivos!C222</f>
        <v>Enthos o equivalente</v>
      </c>
      <c r="D222" s="248" t="str">
        <f>Distribución_Reactivos!D222</f>
        <v>Frasco de 100 a 500 ml</v>
      </c>
      <c r="E222" s="29">
        <v>1</v>
      </c>
      <c r="F222" s="212">
        <v>0</v>
      </c>
      <c r="G222" s="214">
        <v>0</v>
      </c>
      <c r="H222" s="221">
        <v>4522000</v>
      </c>
      <c r="I222" s="221">
        <v>0</v>
      </c>
      <c r="J222" s="221">
        <v>357193.97</v>
      </c>
      <c r="K222" s="221">
        <v>0</v>
      </c>
      <c r="L222" s="247">
        <f>AVERAGE(H222,J222)</f>
        <v>2439596.9849999999</v>
      </c>
      <c r="M222" s="247"/>
      <c r="N222" s="217"/>
      <c r="O222" s="97"/>
      <c r="P222" s="97"/>
      <c r="Q222" s="115"/>
      <c r="R222" s="115"/>
      <c r="S222" s="53"/>
      <c r="T222" s="97"/>
      <c r="U222" s="101"/>
      <c r="V222" s="97"/>
      <c r="W222" s="115"/>
      <c r="X222" s="115"/>
      <c r="Y222" s="11"/>
      <c r="Z222" s="97"/>
      <c r="AA222" s="97"/>
      <c r="AB222" s="97"/>
      <c r="AC222" s="44"/>
      <c r="AD222" s="44"/>
      <c r="AE222" s="11"/>
      <c r="AF222" s="102">
        <v>300000</v>
      </c>
      <c r="AG222" s="125">
        <f>AF222*19%</f>
        <v>57000</v>
      </c>
      <c r="AH222" s="97">
        <f>+AF222+AG222</f>
        <v>357000</v>
      </c>
      <c r="AI222" s="11"/>
      <c r="AJ222" s="11"/>
      <c r="AK222" s="17"/>
      <c r="AL222" s="97"/>
      <c r="AM222" s="97"/>
      <c r="AN222" s="101"/>
      <c r="AO222" s="248"/>
      <c r="AP222" s="17"/>
      <c r="AQ222" s="17"/>
      <c r="AR222" s="252"/>
      <c r="AS222" s="136"/>
      <c r="AT222" s="137"/>
      <c r="AU222" s="52"/>
      <c r="AV222" s="52"/>
      <c r="AW222" s="30"/>
      <c r="AX222" s="100"/>
      <c r="AY222" s="174"/>
      <c r="AZ222" s="124"/>
      <c r="BA222" s="169"/>
      <c r="BB222" s="116"/>
      <c r="BC222" s="116"/>
      <c r="BD222" s="247"/>
      <c r="BE222" s="124"/>
      <c r="BF222" s="124"/>
      <c r="BG222" s="116"/>
      <c r="BH222" s="116"/>
      <c r="BI222" s="116"/>
      <c r="BJ222" s="124"/>
      <c r="BK222" s="124"/>
      <c r="BL222" s="124"/>
      <c r="BM222" s="116"/>
      <c r="BN222" s="116"/>
      <c r="BO222" s="116"/>
      <c r="BP222" s="124"/>
      <c r="BQ222" s="116"/>
      <c r="BR222" s="116"/>
      <c r="BS222" s="116"/>
      <c r="BT222" s="116"/>
      <c r="BU222" s="116"/>
      <c r="BV222" s="236">
        <v>225600</v>
      </c>
      <c r="BW222" s="125">
        <f>BV222*19%</f>
        <v>42864</v>
      </c>
      <c r="BX222" s="97">
        <f t="shared" si="72"/>
        <v>268464</v>
      </c>
      <c r="BY222" s="237" t="s">
        <v>309</v>
      </c>
      <c r="BZ222" s="237" t="s">
        <v>310</v>
      </c>
      <c r="CA222" s="116"/>
      <c r="CB222" s="247"/>
      <c r="CC222" s="125"/>
      <c r="CD222" s="247"/>
      <c r="CE222" s="116"/>
      <c r="CF222" s="116"/>
      <c r="CG222" s="34"/>
      <c r="CH222" s="236">
        <v>236880</v>
      </c>
      <c r="CI222" s="238">
        <f>+CH222*0.19</f>
        <v>45007.199999999997</v>
      </c>
      <c r="CJ222" s="236">
        <f>+CH222+CI222</f>
        <v>281887.2</v>
      </c>
      <c r="CK222" s="237" t="s">
        <v>309</v>
      </c>
      <c r="CL222" s="237" t="s">
        <v>310</v>
      </c>
      <c r="CM222" s="116"/>
      <c r="CN222" s="247"/>
      <c r="CO222" s="125"/>
      <c r="CP222" s="247"/>
      <c r="CQ222" s="116"/>
      <c r="CR222" s="116"/>
      <c r="CS222" s="116"/>
      <c r="CT222" s="247"/>
      <c r="CU222" s="125"/>
      <c r="CV222" s="247"/>
      <c r="CW222" s="116"/>
      <c r="CX222" s="116"/>
      <c r="CY222" s="116"/>
      <c r="CZ222" s="102"/>
      <c r="DA222" s="125"/>
      <c r="DB222" s="102"/>
      <c r="DC222" s="31"/>
      <c r="DD222" s="17"/>
      <c r="DE222" s="11"/>
      <c r="DF222" s="116"/>
      <c r="DG222" s="116"/>
      <c r="DH222" s="116"/>
      <c r="DI222" s="116"/>
      <c r="DJ222" s="116"/>
      <c r="DK222" s="116"/>
      <c r="DL222" s="116"/>
      <c r="DM222" s="116"/>
      <c r="DN222" s="116"/>
      <c r="DO222" s="116"/>
      <c r="DP222" s="116"/>
      <c r="DQ222" s="116"/>
      <c r="DR222" s="116"/>
      <c r="DS222" s="116"/>
      <c r="DT222" s="116"/>
      <c r="DU222" s="116"/>
      <c r="DV222" s="116"/>
      <c r="DW222" s="116"/>
      <c r="DX222" s="116"/>
      <c r="DY222" s="116"/>
      <c r="DZ222" s="116"/>
      <c r="EA222" s="116"/>
      <c r="EB222" s="116"/>
      <c r="EC222" s="116"/>
      <c r="ED222" s="116"/>
      <c r="EE222" s="116"/>
      <c r="EF222" s="116"/>
      <c r="EG222" s="116"/>
      <c r="EH222" s="116"/>
      <c r="EI222" s="116"/>
      <c r="EJ222" s="116"/>
      <c r="EK222" s="116"/>
      <c r="EL222" s="116"/>
      <c r="EM222" s="116"/>
      <c r="EN222" s="116"/>
      <c r="EO222" s="116"/>
      <c r="EP222" s="116"/>
      <c r="EQ222" s="116"/>
      <c r="ER222" s="116"/>
      <c r="ES222" s="116"/>
      <c r="ET222" s="11"/>
      <c r="EU222" s="11"/>
      <c r="EV222" s="11"/>
      <c r="EW222" s="11"/>
      <c r="EX222" s="11"/>
      <c r="EY222" s="11"/>
      <c r="EZ222" s="11"/>
      <c r="FA222" s="11"/>
      <c r="FB222" s="11"/>
      <c r="FC222" s="11"/>
      <c r="FD222" s="11"/>
      <c r="FE222" s="11"/>
      <c r="FF222" s="11"/>
      <c r="FG222" s="11"/>
      <c r="FH222" s="17">
        <f t="shared" si="64"/>
        <v>907351.2</v>
      </c>
      <c r="FI222" s="31">
        <f t="shared" si="65"/>
        <v>3</v>
      </c>
      <c r="FJ222" s="68">
        <f t="shared" si="66"/>
        <v>302450.39999999997</v>
      </c>
    </row>
    <row r="223" spans="1:166" ht="38.25" x14ac:dyDescent="0.25">
      <c r="A223" s="248">
        <f>Distribución_Reactivos!A223</f>
        <v>221</v>
      </c>
      <c r="B223" s="248" t="str">
        <f>Distribución_Reactivos!B223</f>
        <v xml:space="preserve">Extran libre de fosfatos </v>
      </c>
      <c r="C223" s="248" t="str">
        <f>Distribución_Reactivos!C223</f>
        <v>Merck 1400002500 o equivalente.</v>
      </c>
      <c r="D223" s="248" t="str">
        <f>Distribución_Reactivos!D223</f>
        <v>Frasco x 2.5 litros</v>
      </c>
      <c r="E223" s="29">
        <v>1</v>
      </c>
      <c r="F223" s="212">
        <v>397460</v>
      </c>
      <c r="G223" s="214">
        <v>387464</v>
      </c>
      <c r="H223" s="221">
        <v>335819.84450000001</v>
      </c>
      <c r="I223" s="221">
        <v>335818</v>
      </c>
      <c r="J223" s="221">
        <v>246679.06666666665</v>
      </c>
      <c r="K223" s="221">
        <v>0</v>
      </c>
      <c r="L223" s="247">
        <f>AVERAGE(F223,H223,J223)</f>
        <v>326652.97038888891</v>
      </c>
      <c r="M223" s="247">
        <f>AVERAGE(G223,I223)*E1</f>
        <v>372490.23</v>
      </c>
      <c r="N223" s="217"/>
      <c r="O223" s="97"/>
      <c r="P223" s="97"/>
      <c r="Q223" s="115"/>
      <c r="R223" s="115"/>
      <c r="S223" s="53"/>
      <c r="T223" s="97"/>
      <c r="U223" s="97"/>
      <c r="V223" s="97"/>
      <c r="W223" s="115"/>
      <c r="X223" s="115"/>
      <c r="Y223" s="11"/>
      <c r="Z223" s="101"/>
      <c r="AA223" s="97"/>
      <c r="AB223" s="97"/>
      <c r="AC223" s="115"/>
      <c r="AD223" s="44"/>
      <c r="AE223" s="11"/>
      <c r="AF223" s="102">
        <v>200000</v>
      </c>
      <c r="AG223" s="125">
        <f>AF223*19%</f>
        <v>38000</v>
      </c>
      <c r="AH223" s="97">
        <f>+AF223+AG223</f>
        <v>238000</v>
      </c>
      <c r="AI223" s="11"/>
      <c r="AJ223" s="11"/>
      <c r="AK223" s="17"/>
      <c r="AL223" s="97"/>
      <c r="AM223" s="97"/>
      <c r="AN223" s="101"/>
      <c r="AO223" s="248"/>
      <c r="AP223" s="17"/>
      <c r="AQ223" s="17"/>
      <c r="AR223" s="252"/>
      <c r="AS223" s="136"/>
      <c r="AT223" s="137"/>
      <c r="AU223" s="52"/>
      <c r="AV223" s="52"/>
      <c r="AW223" s="30"/>
      <c r="AX223" s="100"/>
      <c r="AY223" s="100"/>
      <c r="AZ223" s="124"/>
      <c r="BA223" s="169"/>
      <c r="BB223" s="116"/>
      <c r="BC223" s="116"/>
      <c r="BD223" s="247"/>
      <c r="BE223" s="124"/>
      <c r="BF223" s="124"/>
      <c r="BG223" s="116"/>
      <c r="BH223" s="116"/>
      <c r="BI223" s="116"/>
      <c r="BJ223" s="124"/>
      <c r="BK223" s="124"/>
      <c r="BL223" s="124"/>
      <c r="BM223" s="116"/>
      <c r="BN223" s="116"/>
      <c r="BO223" s="116"/>
      <c r="BP223" s="124"/>
      <c r="BQ223" s="116"/>
      <c r="BR223" s="116"/>
      <c r="BS223" s="116"/>
      <c r="BT223" s="116"/>
      <c r="BU223" s="116"/>
      <c r="BV223" s="236">
        <v>486500</v>
      </c>
      <c r="BW223" s="125">
        <f t="shared" ref="BW223:BW229" si="83">BV223*19%</f>
        <v>92435</v>
      </c>
      <c r="BX223" s="97">
        <f t="shared" ref="BX223:BX229" si="84">+BV223+BW223</f>
        <v>578935</v>
      </c>
      <c r="BY223" s="237" t="s">
        <v>311</v>
      </c>
      <c r="BZ223" s="237" t="s">
        <v>93</v>
      </c>
      <c r="CA223" s="116"/>
      <c r="CB223" s="247"/>
      <c r="CC223" s="125"/>
      <c r="CD223" s="247"/>
      <c r="CE223" s="116"/>
      <c r="CF223" s="116"/>
      <c r="CG223" s="34"/>
      <c r="CH223" s="236"/>
      <c r="CI223" s="238"/>
      <c r="CJ223" s="236"/>
      <c r="CK223" s="237"/>
      <c r="CL223" s="237"/>
      <c r="CM223" s="116"/>
      <c r="CN223" s="247"/>
      <c r="CO223" s="125"/>
      <c r="CP223" s="247"/>
      <c r="CQ223" s="116"/>
      <c r="CR223" s="116"/>
      <c r="CS223" s="116"/>
      <c r="CT223" s="125">
        <v>366000</v>
      </c>
      <c r="CU223" s="125">
        <f>CT223*0.19</f>
        <v>69540</v>
      </c>
      <c r="CV223" s="125">
        <f>CU223+CT223</f>
        <v>435540</v>
      </c>
      <c r="CW223" s="116"/>
      <c r="CX223" s="116"/>
      <c r="CY223" s="116"/>
      <c r="CZ223" s="102">
        <v>201931</v>
      </c>
      <c r="DA223" s="125">
        <f>+CZ223*0.19</f>
        <v>38366.89</v>
      </c>
      <c r="DB223" s="102">
        <f>+CZ223+DA223</f>
        <v>240297.89</v>
      </c>
      <c r="DC223" s="31" t="s">
        <v>112</v>
      </c>
      <c r="DD223" s="17" t="s">
        <v>65</v>
      </c>
      <c r="DE223" s="11">
        <v>1400002500</v>
      </c>
      <c r="DF223" s="116"/>
      <c r="DG223" s="116"/>
      <c r="DH223" s="116"/>
      <c r="DI223" s="116"/>
      <c r="DJ223" s="116"/>
      <c r="DK223" s="116"/>
      <c r="DL223" s="116"/>
      <c r="DM223" s="116"/>
      <c r="DN223" s="116"/>
      <c r="DO223" s="116"/>
      <c r="DP223" s="116"/>
      <c r="DQ223" s="116"/>
      <c r="DR223" s="116"/>
      <c r="DS223" s="116"/>
      <c r="DT223" s="116"/>
      <c r="DU223" s="116"/>
      <c r="DV223" s="116"/>
      <c r="DW223" s="116"/>
      <c r="DX223" s="116"/>
      <c r="DY223" s="116"/>
      <c r="DZ223" s="116"/>
      <c r="EA223" s="116"/>
      <c r="EB223" s="116"/>
      <c r="EC223" s="116"/>
      <c r="ED223" s="116"/>
      <c r="EE223" s="116"/>
      <c r="EF223" s="116"/>
      <c r="EG223" s="116"/>
      <c r="EH223" s="116"/>
      <c r="EI223" s="116"/>
      <c r="EJ223" s="116"/>
      <c r="EK223" s="116"/>
      <c r="EL223" s="116"/>
      <c r="EM223" s="116"/>
      <c r="EN223" s="116"/>
      <c r="EO223" s="116"/>
      <c r="EP223" s="116"/>
      <c r="EQ223" s="116"/>
      <c r="ER223" s="116"/>
      <c r="ES223" s="116"/>
      <c r="ET223" s="11"/>
      <c r="EU223" s="11"/>
      <c r="EV223" s="11"/>
      <c r="EW223" s="11"/>
      <c r="EX223" s="11"/>
      <c r="EY223" s="11"/>
      <c r="EZ223" s="11"/>
      <c r="FA223" s="11"/>
      <c r="FB223" s="11"/>
      <c r="FC223" s="11"/>
      <c r="FD223" s="11"/>
      <c r="FE223" s="11"/>
      <c r="FF223" s="11"/>
      <c r="FG223" s="11"/>
      <c r="FH223" s="17">
        <f t="shared" si="64"/>
        <v>1865263.12</v>
      </c>
      <c r="FI223" s="31">
        <f t="shared" si="65"/>
        <v>5</v>
      </c>
      <c r="FJ223" s="68">
        <f t="shared" si="66"/>
        <v>373052.62400000001</v>
      </c>
    </row>
    <row r="224" spans="1:166" ht="38.25" x14ac:dyDescent="0.25">
      <c r="A224" s="248">
        <f>Distribución_Reactivos!A224</f>
        <v>222</v>
      </c>
      <c r="B224" s="248" t="str">
        <f>Distribución_Reactivos!B224</f>
        <v>Extran neutro</v>
      </c>
      <c r="C224" s="248" t="str">
        <f>Distribución_Reactivos!C224</f>
        <v>Merck 1.07553.5000 o equivalente</v>
      </c>
      <c r="D224" s="248" t="str">
        <f>Distribución_Reactivos!D224</f>
        <v>Frasco x 5 litros</v>
      </c>
      <c r="E224" s="29">
        <v>1</v>
      </c>
      <c r="F224" s="212">
        <v>254065</v>
      </c>
      <c r="G224" s="214">
        <v>247639</v>
      </c>
      <c r="H224" s="221">
        <v>251215.85737500002</v>
      </c>
      <c r="I224" s="221">
        <v>251209</v>
      </c>
      <c r="J224" s="221">
        <v>256050.31666666665</v>
      </c>
      <c r="K224" s="221">
        <v>250971</v>
      </c>
      <c r="L224" s="247">
        <f>AVERAGE(F224,H224,J224)</f>
        <v>253777.05801388889</v>
      </c>
      <c r="M224" s="247">
        <f>AVERAGE(G224,I224,K224)*E1</f>
        <v>257437.85666666666</v>
      </c>
      <c r="N224" s="217"/>
      <c r="O224" s="97"/>
      <c r="P224" s="97"/>
      <c r="Q224" s="115"/>
      <c r="R224" s="115"/>
      <c r="S224" s="53"/>
      <c r="T224" s="97"/>
      <c r="U224" s="97"/>
      <c r="V224" s="97"/>
      <c r="W224" s="115"/>
      <c r="X224" s="115"/>
      <c r="Y224" s="11"/>
      <c r="Z224" s="97"/>
      <c r="AA224" s="97"/>
      <c r="AB224" s="97"/>
      <c r="AC224" s="44"/>
      <c r="AD224" s="44"/>
      <c r="AE224" s="11"/>
      <c r="AF224" s="102">
        <v>250000</v>
      </c>
      <c r="AG224" s="125">
        <f>AF224*19%</f>
        <v>47500</v>
      </c>
      <c r="AH224" s="97">
        <f>+AF224+AG224</f>
        <v>297500</v>
      </c>
      <c r="AI224" s="11"/>
      <c r="AJ224" s="11"/>
      <c r="AK224" s="17"/>
      <c r="AL224" s="97">
        <v>145000</v>
      </c>
      <c r="AM224" s="97">
        <f>+AL224*0.19</f>
        <v>27550</v>
      </c>
      <c r="AN224" s="103">
        <f>+AL224+AM224</f>
        <v>172550</v>
      </c>
      <c r="AO224" s="248" t="s">
        <v>312</v>
      </c>
      <c r="AP224" s="17" t="s">
        <v>57</v>
      </c>
      <c r="AQ224" s="17"/>
      <c r="AR224" s="252"/>
      <c r="AS224" s="136"/>
      <c r="AT224" s="137"/>
      <c r="AU224" s="52"/>
      <c r="AV224" s="52"/>
      <c r="AW224" s="30"/>
      <c r="AX224" s="100"/>
      <c r="AY224" s="174"/>
      <c r="AZ224" s="124"/>
      <c r="BA224" s="169"/>
      <c r="BB224" s="116"/>
      <c r="BC224" s="116"/>
      <c r="BD224" s="247"/>
      <c r="BE224" s="124"/>
      <c r="BF224" s="124"/>
      <c r="BG224" s="116"/>
      <c r="BH224" s="116"/>
      <c r="BI224" s="116"/>
      <c r="BJ224" s="124"/>
      <c r="BK224" s="124"/>
      <c r="BL224" s="124"/>
      <c r="BM224" s="116"/>
      <c r="BN224" s="116"/>
      <c r="BO224" s="116"/>
      <c r="BP224" s="124"/>
      <c r="BQ224" s="116"/>
      <c r="BR224" s="116"/>
      <c r="BS224" s="116"/>
      <c r="BT224" s="116"/>
      <c r="BU224" s="116"/>
      <c r="BV224" s="236">
        <v>316300</v>
      </c>
      <c r="BW224" s="125">
        <f t="shared" si="83"/>
        <v>60097</v>
      </c>
      <c r="BX224" s="97">
        <f t="shared" si="84"/>
        <v>376397</v>
      </c>
      <c r="BY224" s="237" t="s">
        <v>313</v>
      </c>
      <c r="BZ224" s="237" t="s">
        <v>93</v>
      </c>
      <c r="CA224" s="116"/>
      <c r="CB224" s="247"/>
      <c r="CC224" s="125"/>
      <c r="CD224" s="247"/>
      <c r="CE224" s="116"/>
      <c r="CF224" s="116"/>
      <c r="CG224" s="34"/>
      <c r="CH224" s="236"/>
      <c r="CI224" s="238"/>
      <c r="CJ224" s="236"/>
      <c r="CK224" s="237"/>
      <c r="CL224" s="237"/>
      <c r="CM224" s="116"/>
      <c r="CN224" s="247"/>
      <c r="CO224" s="125"/>
      <c r="CP224" s="247"/>
      <c r="CQ224" s="116"/>
      <c r="CR224" s="116"/>
      <c r="CS224" s="116"/>
      <c r="CT224" s="125">
        <v>238000</v>
      </c>
      <c r="CU224" s="125">
        <f>CT224*0.19</f>
        <v>45220</v>
      </c>
      <c r="CV224" s="125">
        <f>CU224+CT224</f>
        <v>283220</v>
      </c>
      <c r="CW224" s="116"/>
      <c r="CX224" s="116"/>
      <c r="CY224" s="116"/>
      <c r="CZ224" s="102">
        <v>140000</v>
      </c>
      <c r="DA224" s="125">
        <f>+CZ224*0.19</f>
        <v>26600</v>
      </c>
      <c r="DB224" s="102">
        <f>+CZ224+DA224</f>
        <v>166600</v>
      </c>
      <c r="DC224" s="31" t="s">
        <v>314</v>
      </c>
      <c r="DD224" s="17" t="s">
        <v>65</v>
      </c>
      <c r="DE224" s="11">
        <v>1075535000</v>
      </c>
      <c r="DF224" s="116"/>
      <c r="DG224" s="116"/>
      <c r="DH224" s="116"/>
      <c r="DI224" s="116"/>
      <c r="DJ224" s="116"/>
      <c r="DK224" s="116"/>
      <c r="DL224" s="116"/>
      <c r="DM224" s="116"/>
      <c r="DN224" s="116"/>
      <c r="DO224" s="116"/>
      <c r="DP224" s="116"/>
      <c r="DQ224" s="116"/>
      <c r="DR224" s="116"/>
      <c r="DS224" s="116"/>
      <c r="DT224" s="116"/>
      <c r="DU224" s="116"/>
      <c r="DV224" s="116"/>
      <c r="DW224" s="116"/>
      <c r="DX224" s="116"/>
      <c r="DY224" s="116"/>
      <c r="DZ224" s="116"/>
      <c r="EA224" s="116"/>
      <c r="EB224" s="116"/>
      <c r="EC224" s="116"/>
      <c r="ED224" s="116"/>
      <c r="EE224" s="116"/>
      <c r="EF224" s="116"/>
      <c r="EG224" s="116"/>
      <c r="EH224" s="116"/>
      <c r="EI224" s="116"/>
      <c r="EJ224" s="116"/>
      <c r="EK224" s="116"/>
      <c r="EL224" s="116"/>
      <c r="EM224" s="116"/>
      <c r="EN224" s="116"/>
      <c r="EO224" s="116"/>
      <c r="EP224" s="116"/>
      <c r="EQ224" s="116"/>
      <c r="ER224" s="116"/>
      <c r="ES224" s="116"/>
      <c r="ET224" s="11"/>
      <c r="EU224" s="11"/>
      <c r="EV224" s="11"/>
      <c r="EW224" s="11"/>
      <c r="EX224" s="11"/>
      <c r="EY224" s="11"/>
      <c r="EZ224" s="11"/>
      <c r="FA224" s="11"/>
      <c r="FB224" s="11"/>
      <c r="FC224" s="11"/>
      <c r="FD224" s="11"/>
      <c r="FE224" s="11"/>
      <c r="FF224" s="11"/>
      <c r="FG224" s="11"/>
      <c r="FH224" s="17">
        <f t="shared" si="64"/>
        <v>1553704.8566666667</v>
      </c>
      <c r="FI224" s="31">
        <f t="shared" si="65"/>
        <v>6</v>
      </c>
      <c r="FJ224" s="68">
        <f t="shared" si="66"/>
        <v>258950.80944444446</v>
      </c>
    </row>
    <row r="225" spans="1:166" ht="25.5" x14ac:dyDescent="0.25">
      <c r="A225" s="248">
        <f>Distribución_Reactivos!A225</f>
        <v>223</v>
      </c>
      <c r="B225" s="248" t="str">
        <f>Distribución_Reactivos!B225</f>
        <v>Fenol-cloroformo-alcohol isoamilico 25:24:1.</v>
      </c>
      <c r="C225" s="248" t="str">
        <f>Distribución_Reactivos!C225</f>
        <v>Merck, JT. Baker o equivalente</v>
      </c>
      <c r="D225" s="248" t="str">
        <f>Distribución_Reactivos!D225</f>
        <v>Frasco x 400 ml o superior</v>
      </c>
      <c r="E225" s="29">
        <v>1</v>
      </c>
      <c r="F225" s="212">
        <v>0</v>
      </c>
      <c r="G225" s="214">
        <v>0</v>
      </c>
      <c r="H225" s="221">
        <v>0</v>
      </c>
      <c r="I225" s="221">
        <v>0</v>
      </c>
      <c r="J225" s="221">
        <v>974914.24333333329</v>
      </c>
      <c r="K225" s="221">
        <v>0</v>
      </c>
      <c r="L225" s="247">
        <f>J225</f>
        <v>974914.24333333329</v>
      </c>
      <c r="M225" s="247"/>
      <c r="N225" s="217"/>
      <c r="O225" s="97"/>
      <c r="P225" s="97"/>
      <c r="Q225" s="115"/>
      <c r="R225" s="115"/>
      <c r="S225" s="53"/>
      <c r="T225" s="97"/>
      <c r="U225" s="97"/>
      <c r="V225" s="97"/>
      <c r="W225" s="115"/>
      <c r="X225" s="115"/>
      <c r="Y225" s="11"/>
      <c r="Z225" s="97"/>
      <c r="AA225" s="97"/>
      <c r="AB225" s="97"/>
      <c r="AC225" s="44"/>
      <c r="AD225" s="44"/>
      <c r="AE225" s="11"/>
      <c r="AF225" s="102"/>
      <c r="AG225" s="125"/>
      <c r="AH225" s="97"/>
      <c r="AI225" s="11"/>
      <c r="AJ225" s="11"/>
      <c r="AK225" s="17"/>
      <c r="AL225" s="97"/>
      <c r="AM225" s="97"/>
      <c r="AN225" s="101"/>
      <c r="AO225" s="248"/>
      <c r="AP225" s="17"/>
      <c r="AQ225" s="17"/>
      <c r="AR225" s="252">
        <v>140767</v>
      </c>
      <c r="AS225" s="97">
        <f>+AR225*0.19</f>
        <v>26745.73</v>
      </c>
      <c r="AT225" s="103">
        <f>+AR225+AS225</f>
        <v>167512.73000000001</v>
      </c>
      <c r="AU225" s="52" t="s">
        <v>56</v>
      </c>
      <c r="AV225" s="52" t="s">
        <v>42</v>
      </c>
      <c r="AW225" s="30"/>
      <c r="AX225" s="100"/>
      <c r="AY225" s="172"/>
      <c r="AZ225" s="124"/>
      <c r="BA225" s="169"/>
      <c r="BB225" s="116"/>
      <c r="BC225" s="116"/>
      <c r="BD225" s="247"/>
      <c r="BE225" s="124"/>
      <c r="BF225" s="124"/>
      <c r="BG225" s="116"/>
      <c r="BH225" s="116"/>
      <c r="BI225" s="116"/>
      <c r="BJ225" s="124"/>
      <c r="BK225" s="124"/>
      <c r="BL225" s="124"/>
      <c r="BM225" s="116"/>
      <c r="BN225" s="116"/>
      <c r="BO225" s="116"/>
      <c r="BP225" s="124"/>
      <c r="BQ225" s="116"/>
      <c r="BR225" s="116"/>
      <c r="BS225" s="116"/>
      <c r="BT225" s="116"/>
      <c r="BU225" s="116"/>
      <c r="BV225" s="241">
        <v>2883200</v>
      </c>
      <c r="BW225" s="125">
        <f t="shared" si="83"/>
        <v>547808</v>
      </c>
      <c r="BX225" s="97">
        <f t="shared" si="84"/>
        <v>3431008</v>
      </c>
      <c r="BY225" s="237" t="s">
        <v>315</v>
      </c>
      <c r="BZ225" s="237" t="s">
        <v>316</v>
      </c>
      <c r="CA225" s="116"/>
      <c r="CB225" s="247"/>
      <c r="CC225" s="125"/>
      <c r="CD225" s="247"/>
      <c r="CE225" s="116"/>
      <c r="CF225" s="116"/>
      <c r="CG225" s="34"/>
      <c r="CH225" s="241">
        <v>3085024</v>
      </c>
      <c r="CI225" s="238">
        <f>+CH225*0.19</f>
        <v>586154.56000000006</v>
      </c>
      <c r="CJ225" s="236">
        <f>+CH225+CI225</f>
        <v>3671178.56</v>
      </c>
      <c r="CK225" s="237" t="s">
        <v>315</v>
      </c>
      <c r="CL225" s="237" t="s">
        <v>316</v>
      </c>
      <c r="CM225" s="116"/>
      <c r="CN225" s="247"/>
      <c r="CO225" s="125"/>
      <c r="CP225" s="247"/>
      <c r="CQ225" s="116"/>
      <c r="CR225" s="116"/>
      <c r="CS225" s="116"/>
      <c r="CT225" s="247"/>
      <c r="CU225" s="125"/>
      <c r="CV225" s="247"/>
      <c r="CW225" s="116"/>
      <c r="CX225" s="116"/>
      <c r="CY225" s="116"/>
      <c r="CZ225" s="102"/>
      <c r="DA225" s="125"/>
      <c r="DB225" s="102"/>
      <c r="DC225" s="31"/>
      <c r="DD225" s="17"/>
      <c r="DE225" s="11"/>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
      <c r="EU225" s="11"/>
      <c r="EV225" s="11"/>
      <c r="EW225" s="11"/>
      <c r="EX225" s="11"/>
      <c r="EY225" s="11"/>
      <c r="EZ225" s="11"/>
      <c r="FA225" s="11"/>
      <c r="FB225" s="11"/>
      <c r="FC225" s="11"/>
      <c r="FD225" s="11"/>
      <c r="FE225" s="11"/>
      <c r="FF225" s="11"/>
      <c r="FG225" s="11"/>
      <c r="FH225" s="17">
        <f t="shared" si="64"/>
        <v>7269699.29</v>
      </c>
      <c r="FI225" s="31">
        <f t="shared" si="65"/>
        <v>3</v>
      </c>
      <c r="FJ225" s="68">
        <f t="shared" si="66"/>
        <v>2423233.0966666667</v>
      </c>
    </row>
    <row r="226" spans="1:166" ht="40.5" x14ac:dyDescent="0.25">
      <c r="A226" s="248">
        <f>Distribución_Reactivos!A226</f>
        <v>224</v>
      </c>
      <c r="B226" s="248" t="str">
        <f>Distribución_Reactivos!B226</f>
        <v>Formiato de amonio grado masas</v>
      </c>
      <c r="C226" s="248" t="str">
        <f>Distribución_Reactivos!C226</f>
        <v>Sigma aldrich o equivalente</v>
      </c>
      <c r="D226" s="248" t="str">
        <f>Distribución_Reactivos!D226</f>
        <v>Frasco x 25 a 100 g</v>
      </c>
      <c r="E226" s="29">
        <v>1</v>
      </c>
      <c r="F226" s="212">
        <v>714000</v>
      </c>
      <c r="G226" s="214">
        <v>696150</v>
      </c>
      <c r="H226" s="221">
        <v>1444012.6400000001</v>
      </c>
      <c r="I226" s="221">
        <v>0</v>
      </c>
      <c r="J226" s="221">
        <v>919810.5</v>
      </c>
      <c r="K226" s="221">
        <v>0</v>
      </c>
      <c r="L226" s="247">
        <f>AVERAGE(F226,H226,J226)</f>
        <v>1025941.0466666667</v>
      </c>
      <c r="M226" s="247">
        <f>G226*E1</f>
        <v>717034.5</v>
      </c>
      <c r="N226" s="217"/>
      <c r="O226" s="97"/>
      <c r="P226" s="97"/>
      <c r="Q226" s="115"/>
      <c r="R226" s="115"/>
      <c r="S226" s="53"/>
      <c r="T226" s="97"/>
      <c r="U226" s="101"/>
      <c r="V226" s="97"/>
      <c r="W226" s="115"/>
      <c r="X226" s="115"/>
      <c r="Y226" s="11"/>
      <c r="Z226" s="97"/>
      <c r="AA226" s="97"/>
      <c r="AB226" s="97"/>
      <c r="AC226" s="44"/>
      <c r="AD226" s="44"/>
      <c r="AE226" s="11"/>
      <c r="AF226" s="102"/>
      <c r="AG226" s="125"/>
      <c r="AH226" s="97"/>
      <c r="AI226" s="11"/>
      <c r="AJ226" s="11"/>
      <c r="AK226" s="17"/>
      <c r="AL226" s="97"/>
      <c r="AM226" s="97"/>
      <c r="AN226" s="101"/>
      <c r="AO226" s="248"/>
      <c r="AP226" s="17"/>
      <c r="AQ226" s="17"/>
      <c r="AR226" s="252">
        <f>+(201600/100)*250</f>
        <v>504000</v>
      </c>
      <c r="AS226" s="97">
        <f>+AR226*0.19</f>
        <v>95760</v>
      </c>
      <c r="AT226" s="103">
        <f>+AR226+AS226</f>
        <v>599760</v>
      </c>
      <c r="AU226" s="52" t="s">
        <v>61</v>
      </c>
      <c r="AV226" s="52" t="s">
        <v>42</v>
      </c>
      <c r="AW226" s="30"/>
      <c r="AX226" s="100"/>
      <c r="AY226" s="100"/>
      <c r="AZ226" s="124"/>
      <c r="BA226" s="169"/>
      <c r="BB226" s="116"/>
      <c r="BC226" s="116"/>
      <c r="BD226" s="247"/>
      <c r="BE226" s="124"/>
      <c r="BF226" s="124"/>
      <c r="BG226" s="116"/>
      <c r="BH226" s="116"/>
      <c r="BI226" s="116"/>
      <c r="BJ226" s="124"/>
      <c r="BK226" s="124"/>
      <c r="BL226" s="124"/>
      <c r="BM226" s="116"/>
      <c r="BN226" s="116"/>
      <c r="BO226" s="116"/>
      <c r="BP226" s="124"/>
      <c r="BQ226" s="116"/>
      <c r="BR226" s="116"/>
      <c r="BS226" s="116"/>
      <c r="BT226" s="116"/>
      <c r="BU226" s="116"/>
      <c r="BV226" s="241">
        <v>2458300</v>
      </c>
      <c r="BW226" s="125">
        <f t="shared" si="83"/>
        <v>467077</v>
      </c>
      <c r="BX226" s="97">
        <f t="shared" si="84"/>
        <v>2925377</v>
      </c>
      <c r="BY226" s="237" t="s">
        <v>317</v>
      </c>
      <c r="BZ226" s="237" t="s">
        <v>318</v>
      </c>
      <c r="CA226" s="116"/>
      <c r="CB226" s="247"/>
      <c r="CC226" s="125"/>
      <c r="CD226" s="247"/>
      <c r="CE226" s="116"/>
      <c r="CF226" s="116"/>
      <c r="CG226" s="34"/>
      <c r="CH226" s="241"/>
      <c r="CI226" s="238"/>
      <c r="CJ226" s="236"/>
      <c r="CK226" s="237"/>
      <c r="CL226" s="237"/>
      <c r="CM226" s="116"/>
      <c r="CN226" s="247"/>
      <c r="CO226" s="125"/>
      <c r="CP226" s="247"/>
      <c r="CQ226" s="116"/>
      <c r="CR226" s="116"/>
      <c r="CS226" s="116"/>
      <c r="CT226" s="247"/>
      <c r="CU226" s="125"/>
      <c r="CV226" s="247"/>
      <c r="CW226" s="116"/>
      <c r="CX226" s="116"/>
      <c r="CY226" s="116"/>
      <c r="CZ226" s="102"/>
      <c r="DA226" s="125"/>
      <c r="DB226" s="102"/>
      <c r="DC226" s="31"/>
      <c r="DD226" s="17"/>
      <c r="DE226" s="11"/>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
      <c r="EU226" s="11"/>
      <c r="EV226" s="11"/>
      <c r="EW226" s="11"/>
      <c r="EX226" s="11"/>
      <c r="EY226" s="11"/>
      <c r="EZ226" s="11"/>
      <c r="FA226" s="11"/>
      <c r="FB226" s="11"/>
      <c r="FC226" s="11"/>
      <c r="FD226" s="11"/>
      <c r="FE226" s="11"/>
      <c r="FF226" s="11"/>
      <c r="FG226" s="11"/>
      <c r="FH226" s="17">
        <f t="shared" si="64"/>
        <v>4242171.5</v>
      </c>
      <c r="FI226" s="31">
        <f t="shared" si="65"/>
        <v>3</v>
      </c>
      <c r="FJ226" s="68">
        <f t="shared" si="66"/>
        <v>1414057.1666666667</v>
      </c>
    </row>
    <row r="227" spans="1:166" ht="27" x14ac:dyDescent="0.25">
      <c r="A227" s="248">
        <f>Distribución_Reactivos!A227</f>
        <v>225</v>
      </c>
      <c r="B227" s="248" t="str">
        <f>Distribución_Reactivos!B227</f>
        <v>Fosfato bibásico de sodio anhidro</v>
      </c>
      <c r="C227" s="248" t="str">
        <f>Distribución_Reactivos!C227</f>
        <v>Cualquier marca</v>
      </c>
      <c r="D227" s="248" t="str">
        <f>Distribución_Reactivos!D227</f>
        <v>Frasco x 500 g</v>
      </c>
      <c r="E227" s="29">
        <v>1</v>
      </c>
      <c r="F227" s="212">
        <v>320883.5</v>
      </c>
      <c r="G227" s="214">
        <v>311185</v>
      </c>
      <c r="H227" s="221">
        <v>233010.35714285713</v>
      </c>
      <c r="I227" s="221">
        <v>233002</v>
      </c>
      <c r="J227" s="221">
        <v>211290.49798387097</v>
      </c>
      <c r="K227" s="221">
        <v>0</v>
      </c>
      <c r="L227" s="247">
        <f>AVERAGE(F227,H227,J227)</f>
        <v>255061.45170890936</v>
      </c>
      <c r="M227" s="247">
        <f>AVERAGE(G227,I227)*E1</f>
        <v>280256.30499999999</v>
      </c>
      <c r="N227" s="217"/>
      <c r="O227" s="97"/>
      <c r="P227" s="97"/>
      <c r="Q227" s="115"/>
      <c r="R227" s="115"/>
      <c r="S227" s="53"/>
      <c r="T227" s="97"/>
      <c r="U227" s="97"/>
      <c r="V227" s="97"/>
      <c r="W227" s="115"/>
      <c r="X227" s="115"/>
      <c r="Y227" s="11"/>
      <c r="Z227" s="97"/>
      <c r="AA227" s="97"/>
      <c r="AB227" s="97"/>
      <c r="AC227" s="44"/>
      <c r="AD227" s="44"/>
      <c r="AE227" s="11"/>
      <c r="AF227" s="102">
        <v>220000</v>
      </c>
      <c r="AG227" s="125">
        <f t="shared" ref="AG227:AG233" si="85">AF227*19%</f>
        <v>41800</v>
      </c>
      <c r="AH227" s="97">
        <f t="shared" ref="AH227:AH233" si="86">+AF227+AG227</f>
        <v>261800</v>
      </c>
      <c r="AI227" s="11"/>
      <c r="AJ227" s="11"/>
      <c r="AK227" s="17"/>
      <c r="AL227" s="97">
        <v>175000</v>
      </c>
      <c r="AM227" s="97">
        <f>+AL227*0.19</f>
        <v>33250</v>
      </c>
      <c r="AN227" s="103">
        <f>+AL227+AM227</f>
        <v>208250</v>
      </c>
      <c r="AO227" s="248" t="s">
        <v>77</v>
      </c>
      <c r="AP227" s="17" t="s">
        <v>52</v>
      </c>
      <c r="AQ227" s="17"/>
      <c r="AR227" s="252"/>
      <c r="AS227" s="136"/>
      <c r="AT227" s="137"/>
      <c r="AU227" s="52"/>
      <c r="AV227" s="52"/>
      <c r="AW227" s="30"/>
      <c r="AX227" s="100"/>
      <c r="AY227" s="100"/>
      <c r="AZ227" s="124"/>
      <c r="BA227" s="169"/>
      <c r="BB227" s="116"/>
      <c r="BC227" s="116"/>
      <c r="BD227" s="247"/>
      <c r="BE227" s="124"/>
      <c r="BF227" s="124"/>
      <c r="BG227" s="116"/>
      <c r="BH227" s="116"/>
      <c r="BI227" s="116"/>
      <c r="BJ227" s="124"/>
      <c r="BK227" s="124"/>
      <c r="BL227" s="124"/>
      <c r="BM227" s="116"/>
      <c r="BN227" s="116"/>
      <c r="BO227" s="116"/>
      <c r="BP227" s="124"/>
      <c r="BQ227" s="116"/>
      <c r="BR227" s="116"/>
      <c r="BS227" s="116"/>
      <c r="BT227" s="116"/>
      <c r="BU227" s="116"/>
      <c r="BV227" s="236">
        <v>186500</v>
      </c>
      <c r="BW227" s="125">
        <f t="shared" si="83"/>
        <v>35435</v>
      </c>
      <c r="BX227" s="97">
        <f t="shared" si="84"/>
        <v>221935</v>
      </c>
      <c r="BY227" s="237" t="s">
        <v>319</v>
      </c>
      <c r="BZ227" s="237" t="s">
        <v>83</v>
      </c>
      <c r="CA227" s="116"/>
      <c r="CB227" s="247"/>
      <c r="CC227" s="125"/>
      <c r="CD227" s="247"/>
      <c r="CE227" s="116"/>
      <c r="CF227" s="116"/>
      <c r="CG227" s="34"/>
      <c r="CH227" s="236">
        <v>192095</v>
      </c>
      <c r="CI227" s="238">
        <f>+CH227*0.19</f>
        <v>36498.050000000003</v>
      </c>
      <c r="CJ227" s="236">
        <f>+CH227+CI227</f>
        <v>228593.05</v>
      </c>
      <c r="CK227" s="237" t="s">
        <v>319</v>
      </c>
      <c r="CL227" s="237" t="s">
        <v>83</v>
      </c>
      <c r="CM227" s="116"/>
      <c r="CN227" s="247"/>
      <c r="CO227" s="125"/>
      <c r="CP227" s="247"/>
      <c r="CQ227" s="116"/>
      <c r="CR227" s="116"/>
      <c r="CS227" s="116"/>
      <c r="CT227" s="247"/>
      <c r="CU227" s="125"/>
      <c r="CV227" s="247"/>
      <c r="CW227" s="116"/>
      <c r="CX227" s="116"/>
      <c r="CY227" s="116"/>
      <c r="CZ227" s="102"/>
      <c r="DA227" s="125"/>
      <c r="DB227" s="102"/>
      <c r="DC227" s="31"/>
      <c r="DD227" s="17"/>
      <c r="DE227" s="11"/>
      <c r="DF227" s="116"/>
      <c r="DG227" s="116"/>
      <c r="DH227" s="116"/>
      <c r="DI227" s="116"/>
      <c r="DJ227" s="116"/>
      <c r="DK227" s="116"/>
      <c r="DL227" s="116"/>
      <c r="DM227" s="116"/>
      <c r="DN227" s="116"/>
      <c r="DO227" s="116"/>
      <c r="DP227" s="116"/>
      <c r="DQ227" s="116"/>
      <c r="DR227" s="116"/>
      <c r="DS227" s="116"/>
      <c r="DT227" s="116"/>
      <c r="DU227" s="116"/>
      <c r="DV227" s="116"/>
      <c r="DW227" s="116"/>
      <c r="DX227" s="116"/>
      <c r="DY227" s="116"/>
      <c r="DZ227" s="116"/>
      <c r="EA227" s="116"/>
      <c r="EB227" s="116"/>
      <c r="EC227" s="116"/>
      <c r="ED227" s="116"/>
      <c r="EE227" s="116"/>
      <c r="EF227" s="116"/>
      <c r="EG227" s="116"/>
      <c r="EH227" s="116"/>
      <c r="EI227" s="116"/>
      <c r="EJ227" s="116"/>
      <c r="EK227" s="116"/>
      <c r="EL227" s="116"/>
      <c r="EM227" s="116"/>
      <c r="EN227" s="116"/>
      <c r="EO227" s="116"/>
      <c r="EP227" s="116"/>
      <c r="EQ227" s="116"/>
      <c r="ER227" s="116"/>
      <c r="ES227" s="116"/>
      <c r="ET227" s="11"/>
      <c r="EU227" s="11"/>
      <c r="EV227" s="11"/>
      <c r="EW227" s="11"/>
      <c r="EX227" s="11"/>
      <c r="EY227" s="11"/>
      <c r="EZ227" s="11"/>
      <c r="FA227" s="11"/>
      <c r="FB227" s="11"/>
      <c r="FC227" s="11"/>
      <c r="FD227" s="11"/>
      <c r="FE227" s="11"/>
      <c r="FF227" s="11"/>
      <c r="FG227" s="11"/>
      <c r="FH227" s="17">
        <f t="shared" si="64"/>
        <v>1200834.355</v>
      </c>
      <c r="FI227" s="31">
        <f t="shared" si="65"/>
        <v>5</v>
      </c>
      <c r="FJ227" s="68">
        <f t="shared" si="66"/>
        <v>240166.87099999998</v>
      </c>
    </row>
    <row r="228" spans="1:166" ht="51" x14ac:dyDescent="0.25">
      <c r="A228" s="248">
        <f>Distribución_Reactivos!A228</f>
        <v>226</v>
      </c>
      <c r="B228" s="248" t="str">
        <f>Distribución_Reactivos!B228</f>
        <v>Fosfato de Amonio (NH4H2PO4) o amonio dihidrogeno fosfato</v>
      </c>
      <c r="C228" s="248" t="str">
        <f>Distribución_Reactivos!C228</f>
        <v>Panreac, Sigma-Aldrich, merck(1011260500) o equivalente</v>
      </c>
      <c r="D228" s="248" t="str">
        <f>Distribución_Reactivos!D228</f>
        <v>Frasco x 500 g</v>
      </c>
      <c r="E228" s="29">
        <v>1</v>
      </c>
      <c r="F228" s="212">
        <v>0</v>
      </c>
      <c r="G228" s="214">
        <v>0</v>
      </c>
      <c r="H228" s="221">
        <v>0</v>
      </c>
      <c r="I228" s="221">
        <v>0</v>
      </c>
      <c r="J228" s="221">
        <v>0</v>
      </c>
      <c r="K228" s="221">
        <v>0</v>
      </c>
      <c r="L228" s="247"/>
      <c r="M228" s="247"/>
      <c r="N228" s="217"/>
      <c r="O228" s="97"/>
      <c r="P228" s="97"/>
      <c r="Q228" s="115"/>
      <c r="R228" s="115"/>
      <c r="S228" s="53"/>
      <c r="T228" s="97"/>
      <c r="U228" s="97"/>
      <c r="V228" s="97"/>
      <c r="W228" s="115"/>
      <c r="X228" s="115"/>
      <c r="Y228" s="11"/>
      <c r="Z228" s="97"/>
      <c r="AA228" s="97"/>
      <c r="AB228" s="97"/>
      <c r="AC228" s="44"/>
      <c r="AD228" s="44"/>
      <c r="AE228" s="11"/>
      <c r="AF228" s="102">
        <v>360000</v>
      </c>
      <c r="AG228" s="125">
        <f t="shared" si="85"/>
        <v>68400</v>
      </c>
      <c r="AH228" s="97">
        <f t="shared" si="86"/>
        <v>428400</v>
      </c>
      <c r="AI228" s="11"/>
      <c r="AJ228" s="11"/>
      <c r="AK228" s="17"/>
      <c r="AL228" s="97">
        <v>360000</v>
      </c>
      <c r="AM228" s="97">
        <f>+AL228*0</f>
        <v>0</v>
      </c>
      <c r="AN228" s="103">
        <f>+AL228+AM228</f>
        <v>360000</v>
      </c>
      <c r="AO228" s="248" t="s">
        <v>99</v>
      </c>
      <c r="AP228" s="17" t="s">
        <v>52</v>
      </c>
      <c r="AQ228" s="17"/>
      <c r="AR228" s="252">
        <f>324000*5</f>
        <v>1620000</v>
      </c>
      <c r="AS228" s="97">
        <f t="shared" ref="AS228:AS233" si="87">+AR228*0.19</f>
        <v>307800</v>
      </c>
      <c r="AT228" s="103">
        <f t="shared" ref="AT228:AT233" si="88">+AR228+AS228</f>
        <v>1927800</v>
      </c>
      <c r="AU228" s="52" t="s">
        <v>61</v>
      </c>
      <c r="AV228" s="52" t="s">
        <v>42</v>
      </c>
      <c r="AW228" s="30"/>
      <c r="AX228" s="100">
        <v>123230.31</v>
      </c>
      <c r="AY228" s="100">
        <f>+AX228*0.19</f>
        <v>23413.758900000001</v>
      </c>
      <c r="AZ228" s="124">
        <f>+AX228+AY228</f>
        <v>146644.06890000001</v>
      </c>
      <c r="BA228" s="169" t="s">
        <v>77</v>
      </c>
      <c r="BB228" s="116" t="s">
        <v>72</v>
      </c>
      <c r="BC228" s="116"/>
      <c r="BD228" s="247"/>
      <c r="BE228" s="124"/>
      <c r="BF228" s="124"/>
      <c r="BG228" s="116"/>
      <c r="BH228" s="116"/>
      <c r="BI228" s="116"/>
      <c r="BJ228" s="124"/>
      <c r="BK228" s="124"/>
      <c r="BL228" s="124"/>
      <c r="BM228" s="116"/>
      <c r="BN228" s="116"/>
      <c r="BO228" s="116"/>
      <c r="BP228" s="124"/>
      <c r="BQ228" s="116"/>
      <c r="BR228" s="116"/>
      <c r="BS228" s="116"/>
      <c r="BT228" s="116"/>
      <c r="BU228" s="116"/>
      <c r="BV228" s="236">
        <v>195300</v>
      </c>
      <c r="BW228" s="125">
        <f t="shared" si="83"/>
        <v>37107</v>
      </c>
      <c r="BX228" s="97">
        <f t="shared" si="84"/>
        <v>232407</v>
      </c>
      <c r="BY228" s="237" t="s">
        <v>319</v>
      </c>
      <c r="BZ228" s="237" t="s">
        <v>83</v>
      </c>
      <c r="CA228" s="116"/>
      <c r="CB228" s="247"/>
      <c r="CC228" s="125"/>
      <c r="CD228" s="247"/>
      <c r="CE228" s="116"/>
      <c r="CF228" s="116"/>
      <c r="CG228" s="34"/>
      <c r="CH228" s="236">
        <v>197253</v>
      </c>
      <c r="CI228" s="238">
        <f>+CH228*0.19</f>
        <v>37478.07</v>
      </c>
      <c r="CJ228" s="236">
        <f>+CH228+CI228</f>
        <v>234731.07</v>
      </c>
      <c r="CK228" s="237" t="s">
        <v>319</v>
      </c>
      <c r="CL228" s="237" t="s">
        <v>83</v>
      </c>
      <c r="CM228" s="116"/>
      <c r="CN228" s="247"/>
      <c r="CO228" s="125"/>
      <c r="CP228" s="247"/>
      <c r="CQ228" s="116"/>
      <c r="CR228" s="116"/>
      <c r="CS228" s="116"/>
      <c r="CT228" s="125">
        <v>231000</v>
      </c>
      <c r="CU228" s="125">
        <f>+CT228*0</f>
        <v>0</v>
      </c>
      <c r="CV228" s="125">
        <f>CT228</f>
        <v>231000</v>
      </c>
      <c r="CW228" s="116"/>
      <c r="CX228" s="116"/>
      <c r="CY228" s="116"/>
      <c r="CZ228" s="102">
        <v>127448</v>
      </c>
      <c r="DA228" s="125">
        <f>+CZ228*0.19</f>
        <v>24215.119999999999</v>
      </c>
      <c r="DB228" s="102">
        <f>+CZ228+DA228</f>
        <v>151663.12</v>
      </c>
      <c r="DC228" s="31" t="s">
        <v>133</v>
      </c>
      <c r="DD228" s="17" t="s">
        <v>65</v>
      </c>
      <c r="DE228" s="11">
        <v>1011260500</v>
      </c>
      <c r="DF228" s="116"/>
      <c r="DG228" s="116"/>
      <c r="DH228" s="116"/>
      <c r="DI228" s="116"/>
      <c r="DJ228" s="116"/>
      <c r="DK228" s="116"/>
      <c r="DL228" s="116"/>
      <c r="DM228" s="116"/>
      <c r="DN228" s="116"/>
      <c r="DO228" s="116"/>
      <c r="DP228" s="116"/>
      <c r="DQ228" s="116"/>
      <c r="DR228" s="116"/>
      <c r="DS228" s="116"/>
      <c r="DT228" s="116"/>
      <c r="DU228" s="116"/>
      <c r="DV228" s="116"/>
      <c r="DW228" s="116"/>
      <c r="DX228" s="116"/>
      <c r="DY228" s="116"/>
      <c r="DZ228" s="116"/>
      <c r="EA228" s="116"/>
      <c r="EB228" s="116"/>
      <c r="EC228" s="116"/>
      <c r="ED228" s="116"/>
      <c r="EE228" s="116"/>
      <c r="EF228" s="116"/>
      <c r="EG228" s="116"/>
      <c r="EH228" s="116"/>
      <c r="EI228" s="116"/>
      <c r="EJ228" s="116"/>
      <c r="EK228" s="116"/>
      <c r="EL228" s="116"/>
      <c r="EM228" s="116"/>
      <c r="EN228" s="116"/>
      <c r="EO228" s="116"/>
      <c r="EP228" s="116"/>
      <c r="EQ228" s="116"/>
      <c r="ER228" s="116"/>
      <c r="ES228" s="116"/>
      <c r="ET228" s="11"/>
      <c r="EU228" s="11"/>
      <c r="EV228" s="11"/>
      <c r="EW228" s="11"/>
      <c r="EX228" s="11"/>
      <c r="EY228" s="11"/>
      <c r="EZ228" s="11"/>
      <c r="FA228" s="11"/>
      <c r="FB228" s="11"/>
      <c r="FC228" s="11"/>
      <c r="FD228" s="11"/>
      <c r="FE228" s="11"/>
      <c r="FF228" s="11"/>
      <c r="FG228" s="11"/>
      <c r="FH228" s="17">
        <f t="shared" si="64"/>
        <v>3712645.2588999998</v>
      </c>
      <c r="FI228" s="31">
        <f t="shared" si="65"/>
        <v>8</v>
      </c>
      <c r="FJ228" s="68">
        <f t="shared" si="66"/>
        <v>464080.65736249997</v>
      </c>
    </row>
    <row r="229" spans="1:166" ht="25.5" x14ac:dyDescent="0.25">
      <c r="A229" s="248">
        <f>Distribución_Reactivos!A229</f>
        <v>227</v>
      </c>
      <c r="B229" s="248" t="str">
        <f>Distribución_Reactivos!B229</f>
        <v>Fosfato de di-sodio 2-hidrato (Na2HPO4.2H2O) para análisis</v>
      </c>
      <c r="C229" s="248" t="str">
        <f>Distribución_Reactivos!C229</f>
        <v>Merck, JT. Baker o equivalente</v>
      </c>
      <c r="D229" s="248" t="str">
        <f>Distribución_Reactivos!D229</f>
        <v>Frasco x 500 g</v>
      </c>
      <c r="E229" s="29">
        <v>1</v>
      </c>
      <c r="F229" s="212">
        <v>217752.15</v>
      </c>
      <c r="G229" s="214">
        <v>217651</v>
      </c>
      <c r="H229" s="221">
        <v>211585.38718625001</v>
      </c>
      <c r="I229" s="221">
        <v>0</v>
      </c>
      <c r="J229" s="221">
        <v>301975.88750000001</v>
      </c>
      <c r="K229" s="221">
        <v>297500</v>
      </c>
      <c r="L229" s="247">
        <f>AVERAGE(F229,H229,J229)</f>
        <v>243771.14156208336</v>
      </c>
      <c r="M229" s="247">
        <f>AVERAGE(G229,K229)*E1</f>
        <v>265302.76500000001</v>
      </c>
      <c r="N229" s="217"/>
      <c r="O229" s="97"/>
      <c r="P229" s="97"/>
      <c r="Q229" s="115"/>
      <c r="R229" s="115"/>
      <c r="S229" s="53"/>
      <c r="T229" s="97"/>
      <c r="U229" s="101"/>
      <c r="V229" s="97"/>
      <c r="W229" s="115"/>
      <c r="X229" s="115"/>
      <c r="Y229" s="11"/>
      <c r="Z229" s="97"/>
      <c r="AA229" s="97"/>
      <c r="AB229" s="97"/>
      <c r="AC229" s="44"/>
      <c r="AD229" s="44"/>
      <c r="AE229" s="11"/>
      <c r="AF229" s="102">
        <v>140000</v>
      </c>
      <c r="AG229" s="125">
        <f t="shared" si="85"/>
        <v>26600</v>
      </c>
      <c r="AH229" s="97">
        <f t="shared" si="86"/>
        <v>166600</v>
      </c>
      <c r="AI229" s="11"/>
      <c r="AJ229" s="11"/>
      <c r="AK229" s="17"/>
      <c r="AL229" s="97">
        <v>188000</v>
      </c>
      <c r="AM229" s="97">
        <f>+AL229*0.19</f>
        <v>35720</v>
      </c>
      <c r="AN229" s="103">
        <f>+AL229+AM229</f>
        <v>223720</v>
      </c>
      <c r="AO229" s="248" t="s">
        <v>77</v>
      </c>
      <c r="AP229" s="17" t="s">
        <v>52</v>
      </c>
      <c r="AQ229" s="17"/>
      <c r="AR229" s="252">
        <v>504000</v>
      </c>
      <c r="AS229" s="97">
        <f t="shared" si="87"/>
        <v>95760</v>
      </c>
      <c r="AT229" s="103">
        <f t="shared" si="88"/>
        <v>599760</v>
      </c>
      <c r="AU229" s="52" t="s">
        <v>77</v>
      </c>
      <c r="AV229" s="52" t="s">
        <v>42</v>
      </c>
      <c r="AW229" s="30"/>
      <c r="AX229" s="100"/>
      <c r="AY229" s="100"/>
      <c r="AZ229" s="124"/>
      <c r="BA229" s="169"/>
      <c r="BB229" s="116"/>
      <c r="BC229" s="116"/>
      <c r="BD229" s="247"/>
      <c r="BE229" s="124"/>
      <c r="BF229" s="124"/>
      <c r="BG229" s="116"/>
      <c r="BH229" s="116"/>
      <c r="BI229" s="116"/>
      <c r="BJ229" s="124"/>
      <c r="BK229" s="124"/>
      <c r="BL229" s="124"/>
      <c r="BM229" s="116"/>
      <c r="BN229" s="116"/>
      <c r="BO229" s="116"/>
      <c r="BP229" s="124"/>
      <c r="BQ229" s="116"/>
      <c r="BR229" s="116"/>
      <c r="BS229" s="116"/>
      <c r="BT229" s="116"/>
      <c r="BU229" s="116"/>
      <c r="BV229" s="236">
        <v>453200</v>
      </c>
      <c r="BW229" s="125">
        <f t="shared" si="83"/>
        <v>86108</v>
      </c>
      <c r="BX229" s="97">
        <f t="shared" si="84"/>
        <v>539308</v>
      </c>
      <c r="BY229" s="237" t="s">
        <v>319</v>
      </c>
      <c r="BZ229" s="237" t="s">
        <v>93</v>
      </c>
      <c r="CA229" s="116"/>
      <c r="CB229" s="247"/>
      <c r="CC229" s="125"/>
      <c r="CD229" s="247"/>
      <c r="CE229" s="116"/>
      <c r="CF229" s="116"/>
      <c r="CG229" s="34"/>
      <c r="CH229" s="236">
        <v>475860</v>
      </c>
      <c r="CI229" s="238">
        <f>+CH229*0.19</f>
        <v>90413.4</v>
      </c>
      <c r="CJ229" s="236">
        <f>+CH229+CI229</f>
        <v>566273.4</v>
      </c>
      <c r="CK229" s="237" t="s">
        <v>319</v>
      </c>
      <c r="CL229" s="237" t="s">
        <v>93</v>
      </c>
      <c r="CM229" s="116"/>
      <c r="CN229" s="247"/>
      <c r="CO229" s="125"/>
      <c r="CP229" s="247"/>
      <c r="CQ229" s="116"/>
      <c r="CR229" s="116"/>
      <c r="CS229" s="116"/>
      <c r="CT229" s="247"/>
      <c r="CU229" s="125"/>
      <c r="CV229" s="247"/>
      <c r="CW229" s="116"/>
      <c r="CX229" s="116"/>
      <c r="CY229" s="116"/>
      <c r="CZ229" s="102">
        <v>188138</v>
      </c>
      <c r="DA229" s="125">
        <f>+CZ229*0.19</f>
        <v>35746.22</v>
      </c>
      <c r="DB229" s="102">
        <f>+CZ229+DA229</f>
        <v>223884.22</v>
      </c>
      <c r="DC229" s="31" t="s">
        <v>122</v>
      </c>
      <c r="DD229" s="17" t="s">
        <v>65</v>
      </c>
      <c r="DE229" s="11">
        <v>1065800500</v>
      </c>
      <c r="DF229" s="116"/>
      <c r="DG229" s="116"/>
      <c r="DH229" s="116"/>
      <c r="DI229" s="116"/>
      <c r="DJ229" s="116"/>
      <c r="DK229" s="116"/>
      <c r="DL229" s="116"/>
      <c r="DM229" s="116"/>
      <c r="DN229" s="116"/>
      <c r="DO229" s="116"/>
      <c r="DP229" s="116"/>
      <c r="DQ229" s="116"/>
      <c r="DR229" s="116"/>
      <c r="DS229" s="116"/>
      <c r="DT229" s="116"/>
      <c r="DU229" s="116"/>
      <c r="DV229" s="116"/>
      <c r="DW229" s="116"/>
      <c r="DX229" s="116"/>
      <c r="DY229" s="116"/>
      <c r="DZ229" s="116"/>
      <c r="EA229" s="116"/>
      <c r="EB229" s="116"/>
      <c r="EC229" s="116"/>
      <c r="ED229" s="116"/>
      <c r="EE229" s="116"/>
      <c r="EF229" s="116"/>
      <c r="EG229" s="116"/>
      <c r="EH229" s="116"/>
      <c r="EI229" s="116"/>
      <c r="EJ229" s="116"/>
      <c r="EK229" s="116"/>
      <c r="EL229" s="116"/>
      <c r="EM229" s="116"/>
      <c r="EN229" s="116"/>
      <c r="EO229" s="116"/>
      <c r="EP229" s="116"/>
      <c r="EQ229" s="116"/>
      <c r="ER229" s="116"/>
      <c r="ES229" s="116"/>
      <c r="ET229" s="11"/>
      <c r="EU229" s="11"/>
      <c r="EV229" s="11"/>
      <c r="EW229" s="11"/>
      <c r="EX229" s="11"/>
      <c r="EY229" s="11"/>
      <c r="EZ229" s="11"/>
      <c r="FA229" s="11"/>
      <c r="FB229" s="11"/>
      <c r="FC229" s="11"/>
      <c r="FD229" s="11"/>
      <c r="FE229" s="11"/>
      <c r="FF229" s="11"/>
      <c r="FG229" s="11"/>
      <c r="FH229" s="17">
        <f t="shared" si="64"/>
        <v>2584848.3850000002</v>
      </c>
      <c r="FI229" s="31">
        <f t="shared" si="65"/>
        <v>7</v>
      </c>
      <c r="FJ229" s="68">
        <f t="shared" si="66"/>
        <v>369264.05500000005</v>
      </c>
    </row>
    <row r="230" spans="1:166" ht="25.5" x14ac:dyDescent="0.25">
      <c r="A230" s="248">
        <f>Distribución_Reactivos!A230</f>
        <v>228</v>
      </c>
      <c r="B230" s="248" t="str">
        <f>Distribución_Reactivos!B230</f>
        <v>Fosfato de sodio (Na3PO4)</v>
      </c>
      <c r="C230" s="248" t="str">
        <f>Distribución_Reactivos!C230</f>
        <v>Scharlau</v>
      </c>
      <c r="D230" s="248" t="str">
        <f>Distribución_Reactivos!D230</f>
        <v>Frasco x 250 g</v>
      </c>
      <c r="E230" s="29">
        <v>1</v>
      </c>
      <c r="F230" s="212">
        <v>391351.33333333337</v>
      </c>
      <c r="G230" s="214">
        <v>0</v>
      </c>
      <c r="H230" s="221">
        <v>425403.89468888892</v>
      </c>
      <c r="I230" s="221">
        <v>0</v>
      </c>
      <c r="J230" s="221">
        <v>277270</v>
      </c>
      <c r="K230" s="221">
        <v>0</v>
      </c>
      <c r="L230" s="247">
        <f>AVERAGE(F230,H230,J230)</f>
        <v>364675.07600740745</v>
      </c>
      <c r="M230" s="247"/>
      <c r="N230" s="217"/>
      <c r="O230" s="97"/>
      <c r="P230" s="97"/>
      <c r="Q230" s="115"/>
      <c r="R230" s="115"/>
      <c r="S230" s="53"/>
      <c r="T230" s="97"/>
      <c r="U230" s="101"/>
      <c r="V230" s="97"/>
      <c r="W230" s="115"/>
      <c r="X230" s="115"/>
      <c r="Y230" s="11"/>
      <c r="Z230" s="97"/>
      <c r="AA230" s="97"/>
      <c r="AB230" s="97"/>
      <c r="AC230" s="44"/>
      <c r="AD230" s="44"/>
      <c r="AE230" s="11"/>
      <c r="AF230" s="102">
        <v>250000</v>
      </c>
      <c r="AG230" s="125">
        <f t="shared" si="85"/>
        <v>47500</v>
      </c>
      <c r="AH230" s="97">
        <f t="shared" si="86"/>
        <v>297500</v>
      </c>
      <c r="AI230" s="11"/>
      <c r="AJ230" s="11"/>
      <c r="AK230" s="17"/>
      <c r="AL230" s="97"/>
      <c r="AM230" s="97"/>
      <c r="AN230" s="101"/>
      <c r="AO230" s="248"/>
      <c r="AP230" s="17"/>
      <c r="AQ230" s="17"/>
      <c r="AR230" s="252">
        <f>216000/2</f>
        <v>108000</v>
      </c>
      <c r="AS230" s="97">
        <f t="shared" si="87"/>
        <v>20520</v>
      </c>
      <c r="AT230" s="103">
        <f t="shared" si="88"/>
        <v>128520</v>
      </c>
      <c r="AU230" s="52" t="s">
        <v>77</v>
      </c>
      <c r="AV230" s="52" t="s">
        <v>42</v>
      </c>
      <c r="AW230" s="30"/>
      <c r="AX230" s="100"/>
      <c r="AY230" s="100"/>
      <c r="AZ230" s="124"/>
      <c r="BA230" s="169"/>
      <c r="BB230" s="116"/>
      <c r="BC230" s="116"/>
      <c r="BD230" s="247"/>
      <c r="BE230" s="124"/>
      <c r="BF230" s="124"/>
      <c r="BG230" s="116"/>
      <c r="BH230" s="116"/>
      <c r="BI230" s="116"/>
      <c r="BJ230" s="124"/>
      <c r="BK230" s="124"/>
      <c r="BL230" s="124"/>
      <c r="BM230" s="116"/>
      <c r="BN230" s="116"/>
      <c r="BO230" s="116"/>
      <c r="BP230" s="124"/>
      <c r="BQ230" s="116"/>
      <c r="BR230" s="116"/>
      <c r="BS230" s="116"/>
      <c r="BT230" s="116"/>
      <c r="BU230" s="116"/>
      <c r="BV230" s="187"/>
      <c r="BW230" s="125"/>
      <c r="BX230" s="97"/>
      <c r="BY230" s="246"/>
      <c r="BZ230" s="246"/>
      <c r="CA230" s="116"/>
      <c r="CB230" s="247"/>
      <c r="CC230" s="125"/>
      <c r="CD230" s="247"/>
      <c r="CE230" s="116"/>
      <c r="CF230" s="116"/>
      <c r="CG230" s="34"/>
      <c r="CH230" s="187"/>
      <c r="CI230" s="195"/>
      <c r="CJ230" s="187"/>
      <c r="CK230" s="246"/>
      <c r="CL230" s="246"/>
      <c r="CM230" s="116"/>
      <c r="CN230" s="247"/>
      <c r="CO230" s="125"/>
      <c r="CP230" s="247"/>
      <c r="CQ230" s="116"/>
      <c r="CR230" s="116"/>
      <c r="CS230" s="116"/>
      <c r="CT230" s="247"/>
      <c r="CU230" s="125"/>
      <c r="CV230" s="247"/>
      <c r="CW230" s="116"/>
      <c r="CX230" s="116"/>
      <c r="CY230" s="116"/>
      <c r="CZ230" s="102"/>
      <c r="DA230" s="125"/>
      <c r="DB230" s="102"/>
      <c r="DC230" s="31"/>
      <c r="DD230" s="17"/>
      <c r="DE230" s="11"/>
      <c r="DF230" s="116"/>
      <c r="DG230" s="116"/>
      <c r="DH230" s="116"/>
      <c r="DI230" s="116"/>
      <c r="DJ230" s="116"/>
      <c r="DK230" s="116"/>
      <c r="DL230" s="116"/>
      <c r="DM230" s="116"/>
      <c r="DN230" s="116"/>
      <c r="DO230" s="116"/>
      <c r="DP230" s="116"/>
      <c r="DQ230" s="116"/>
      <c r="DR230" s="116"/>
      <c r="DS230" s="116"/>
      <c r="DT230" s="116"/>
      <c r="DU230" s="116"/>
      <c r="DV230" s="116"/>
      <c r="DW230" s="116"/>
      <c r="DX230" s="116"/>
      <c r="DY230" s="116"/>
      <c r="DZ230" s="116"/>
      <c r="EA230" s="116"/>
      <c r="EB230" s="116"/>
      <c r="EC230" s="116"/>
      <c r="ED230" s="116"/>
      <c r="EE230" s="116"/>
      <c r="EF230" s="116"/>
      <c r="EG230" s="116"/>
      <c r="EH230" s="116"/>
      <c r="EI230" s="116"/>
      <c r="EJ230" s="116"/>
      <c r="EK230" s="116"/>
      <c r="EL230" s="116"/>
      <c r="EM230" s="116"/>
      <c r="EN230" s="116"/>
      <c r="EO230" s="116"/>
      <c r="EP230" s="116"/>
      <c r="EQ230" s="116"/>
      <c r="ER230" s="116"/>
      <c r="ES230" s="116"/>
      <c r="ET230" s="11"/>
      <c r="EU230" s="11"/>
      <c r="EV230" s="11"/>
      <c r="EW230" s="11"/>
      <c r="EX230" s="11"/>
      <c r="EY230" s="11"/>
      <c r="EZ230" s="11"/>
      <c r="FA230" s="11"/>
      <c r="FB230" s="11"/>
      <c r="FC230" s="11"/>
      <c r="FD230" s="11"/>
      <c r="FE230" s="11"/>
      <c r="FF230" s="11"/>
      <c r="FG230" s="11"/>
      <c r="FH230" s="17">
        <f t="shared" si="64"/>
        <v>426020</v>
      </c>
      <c r="FI230" s="31">
        <f t="shared" si="65"/>
        <v>2</v>
      </c>
      <c r="FJ230" s="68">
        <f t="shared" si="66"/>
        <v>213010</v>
      </c>
    </row>
    <row r="231" spans="1:166" ht="27" x14ac:dyDescent="0.25">
      <c r="A231" s="248">
        <f>Distribución_Reactivos!A231</f>
        <v>229</v>
      </c>
      <c r="B231" s="248" t="str">
        <f>Distribución_Reactivos!B231</f>
        <v>Fosfato dibásico de potasio (k2HPO4)</v>
      </c>
      <c r="C231" s="248" t="str">
        <f>Distribución_Reactivos!C231</f>
        <v>Merck, JT. Baker o equivalente</v>
      </c>
      <c r="D231" s="248" t="str">
        <f>Distribución_Reactivos!D231</f>
        <v>Frasco x 500 g</v>
      </c>
      <c r="E231" s="29">
        <v>1</v>
      </c>
      <c r="F231" s="212">
        <v>256326</v>
      </c>
      <c r="G231" s="214">
        <v>245973</v>
      </c>
      <c r="H231" s="221">
        <v>395518.43522500002</v>
      </c>
      <c r="I231" s="221">
        <v>395437</v>
      </c>
      <c r="J231" s="221">
        <v>329887.97225806449</v>
      </c>
      <c r="K231" s="221">
        <v>321657</v>
      </c>
      <c r="L231" s="247">
        <f>AVERAGE(F231,H231,J231)</f>
        <v>327244.13582768821</v>
      </c>
      <c r="M231" s="247">
        <f>AVERAGE(G231,I231,K231)*E1</f>
        <v>330653.0033333333</v>
      </c>
      <c r="N231" s="217"/>
      <c r="O231" s="97"/>
      <c r="P231" s="97"/>
      <c r="Q231" s="115"/>
      <c r="R231" s="115"/>
      <c r="S231" s="53"/>
      <c r="T231" s="97"/>
      <c r="U231" s="101"/>
      <c r="V231" s="97"/>
      <c r="W231" s="115"/>
      <c r="X231" s="115"/>
      <c r="Y231" s="11"/>
      <c r="Z231" s="97"/>
      <c r="AA231" s="97"/>
      <c r="AB231" s="97"/>
      <c r="AC231" s="44"/>
      <c r="AD231" s="44"/>
      <c r="AE231" s="11"/>
      <c r="AF231" s="102">
        <v>250000</v>
      </c>
      <c r="AG231" s="125">
        <f t="shared" si="85"/>
        <v>47500</v>
      </c>
      <c r="AH231" s="97">
        <f t="shared" si="86"/>
        <v>297500</v>
      </c>
      <c r="AI231" s="11"/>
      <c r="AJ231" s="11"/>
      <c r="AK231" s="17"/>
      <c r="AL231" s="97">
        <v>280000</v>
      </c>
      <c r="AM231" s="97">
        <f>+AL231*0.19</f>
        <v>53200</v>
      </c>
      <c r="AN231" s="103">
        <f>+AL231+AM231</f>
        <v>333200</v>
      </c>
      <c r="AO231" s="248" t="s">
        <v>77</v>
      </c>
      <c r="AP231" s="17" t="s">
        <v>52</v>
      </c>
      <c r="AQ231" s="17"/>
      <c r="AR231" s="252">
        <v>892800</v>
      </c>
      <c r="AS231" s="97">
        <f t="shared" si="87"/>
        <v>169632</v>
      </c>
      <c r="AT231" s="103">
        <f t="shared" si="88"/>
        <v>1062432</v>
      </c>
      <c r="AU231" s="52" t="s">
        <v>77</v>
      </c>
      <c r="AV231" s="52" t="s">
        <v>42</v>
      </c>
      <c r="AW231" s="30"/>
      <c r="AX231" s="100"/>
      <c r="AY231" s="100"/>
      <c r="AZ231" s="124"/>
      <c r="BA231" s="169"/>
      <c r="BB231" s="116"/>
      <c r="BC231" s="116"/>
      <c r="BD231" s="247"/>
      <c r="BE231" s="124"/>
      <c r="BF231" s="124"/>
      <c r="BG231" s="116"/>
      <c r="BH231" s="116"/>
      <c r="BI231" s="116"/>
      <c r="BJ231" s="124"/>
      <c r="BK231" s="124"/>
      <c r="BL231" s="124"/>
      <c r="BM231" s="116"/>
      <c r="BN231" s="116"/>
      <c r="BO231" s="116"/>
      <c r="BP231" s="124"/>
      <c r="BQ231" s="116"/>
      <c r="BR231" s="116"/>
      <c r="BS231" s="116"/>
      <c r="BT231" s="116"/>
      <c r="BU231" s="116"/>
      <c r="BV231" s="236">
        <v>254501</v>
      </c>
      <c r="BW231" s="125">
        <f>BV231*19%</f>
        <v>48355.19</v>
      </c>
      <c r="BX231" s="97">
        <f>+BV231+BW231</f>
        <v>302856.19</v>
      </c>
      <c r="BY231" s="237" t="s">
        <v>319</v>
      </c>
      <c r="BZ231" s="237" t="s">
        <v>83</v>
      </c>
      <c r="CA231" s="116"/>
      <c r="CB231" s="247"/>
      <c r="CC231" s="125"/>
      <c r="CD231" s="247"/>
      <c r="CE231" s="116"/>
      <c r="CF231" s="116"/>
      <c r="CG231" s="34"/>
      <c r="CH231" s="236">
        <v>264681.04000000004</v>
      </c>
      <c r="CI231" s="238">
        <f>+CH231*0.19</f>
        <v>50289.397600000011</v>
      </c>
      <c r="CJ231" s="236">
        <f>+CH231+CI231</f>
        <v>314970.43760000006</v>
      </c>
      <c r="CK231" s="237" t="s">
        <v>319</v>
      </c>
      <c r="CL231" s="237" t="s">
        <v>83</v>
      </c>
      <c r="CM231" s="116"/>
      <c r="CN231" s="247"/>
      <c r="CO231" s="125"/>
      <c r="CP231" s="247"/>
      <c r="CQ231" s="116"/>
      <c r="CR231" s="116"/>
      <c r="CS231" s="116"/>
      <c r="CT231" s="247"/>
      <c r="CU231" s="125"/>
      <c r="CV231" s="247"/>
      <c r="CW231" s="116"/>
      <c r="CX231" s="116"/>
      <c r="CY231" s="116"/>
      <c r="CZ231" s="102"/>
      <c r="DA231" s="125"/>
      <c r="DB231" s="102"/>
      <c r="DC231" s="31"/>
      <c r="DD231" s="17"/>
      <c r="DE231" s="11"/>
      <c r="DF231" s="116"/>
      <c r="DG231" s="116"/>
      <c r="DH231" s="116"/>
      <c r="DI231" s="116"/>
      <c r="DJ231" s="116"/>
      <c r="DK231" s="116"/>
      <c r="DL231" s="116"/>
      <c r="DM231" s="116"/>
      <c r="DN231" s="116"/>
      <c r="DO231" s="116"/>
      <c r="DP231" s="116"/>
      <c r="DQ231" s="116"/>
      <c r="DR231" s="116"/>
      <c r="DS231" s="116"/>
      <c r="DT231" s="116"/>
      <c r="DU231" s="116"/>
      <c r="DV231" s="116"/>
      <c r="DW231" s="116"/>
      <c r="DX231" s="116"/>
      <c r="DY231" s="116"/>
      <c r="DZ231" s="116"/>
      <c r="EA231" s="116"/>
      <c r="EB231" s="116"/>
      <c r="EC231" s="116"/>
      <c r="ED231" s="116"/>
      <c r="EE231" s="116"/>
      <c r="EF231" s="116"/>
      <c r="EG231" s="116"/>
      <c r="EH231" s="116"/>
      <c r="EI231" s="116"/>
      <c r="EJ231" s="116"/>
      <c r="EK231" s="116"/>
      <c r="EL231" s="116"/>
      <c r="EM231" s="116"/>
      <c r="EN231" s="116"/>
      <c r="EO231" s="116"/>
      <c r="EP231" s="116"/>
      <c r="EQ231" s="116"/>
      <c r="ER231" s="116"/>
      <c r="ES231" s="116"/>
      <c r="ET231" s="11"/>
      <c r="EU231" s="11"/>
      <c r="EV231" s="11"/>
      <c r="EW231" s="11"/>
      <c r="EX231" s="11"/>
      <c r="EY231" s="11"/>
      <c r="EZ231" s="11"/>
      <c r="FA231" s="11"/>
      <c r="FB231" s="11"/>
      <c r="FC231" s="11"/>
      <c r="FD231" s="11"/>
      <c r="FE231" s="11"/>
      <c r="FF231" s="11"/>
      <c r="FG231" s="11"/>
      <c r="FH231" s="17">
        <f t="shared" si="64"/>
        <v>2641611.6309333332</v>
      </c>
      <c r="FI231" s="31">
        <f t="shared" si="65"/>
        <v>6</v>
      </c>
      <c r="FJ231" s="68">
        <f t="shared" si="66"/>
        <v>440268.60515555553</v>
      </c>
    </row>
    <row r="232" spans="1:166" ht="38.25" x14ac:dyDescent="0.25">
      <c r="A232" s="248">
        <f>Distribución_Reactivos!A232</f>
        <v>230</v>
      </c>
      <c r="B232" s="248" t="str">
        <f>Distribución_Reactivos!B232</f>
        <v>Fosfato monobásico de potasio (kH2PO4)</v>
      </c>
      <c r="C232" s="248" t="str">
        <f>Distribución_Reactivos!C232</f>
        <v>Merck 1048730250 o equivalente</v>
      </c>
      <c r="D232" s="248" t="str">
        <f>Distribución_Reactivos!D232</f>
        <v>Frasco x 250 g</v>
      </c>
      <c r="E232" s="29">
        <v>1</v>
      </c>
      <c r="F232" s="212">
        <v>174007.75</v>
      </c>
      <c r="G232" s="214">
        <v>171360</v>
      </c>
      <c r="H232" s="221">
        <v>360359.69064722222</v>
      </c>
      <c r="I232" s="221">
        <v>0</v>
      </c>
      <c r="J232" s="221">
        <v>234219.51075268816</v>
      </c>
      <c r="K232" s="221">
        <v>104006</v>
      </c>
      <c r="L232" s="247">
        <f>AVERAGE(F232,H232,J232)</f>
        <v>256195.65046663678</v>
      </c>
      <c r="M232" s="247">
        <f>AVERAGE(G232,K232)*E1</f>
        <v>141813.49</v>
      </c>
      <c r="N232" s="217"/>
      <c r="O232" s="97"/>
      <c r="P232" s="97"/>
      <c r="Q232" s="115"/>
      <c r="R232" s="115"/>
      <c r="S232" s="53"/>
      <c r="T232" s="97"/>
      <c r="U232" s="97"/>
      <c r="V232" s="97"/>
      <c r="W232" s="115"/>
      <c r="X232" s="115"/>
      <c r="Y232" s="11"/>
      <c r="Z232" s="97"/>
      <c r="AA232" s="97"/>
      <c r="AB232" s="97"/>
      <c r="AC232" s="44"/>
      <c r="AD232" s="44"/>
      <c r="AE232" s="11"/>
      <c r="AF232" s="102">
        <v>250000</v>
      </c>
      <c r="AG232" s="125">
        <f t="shared" si="85"/>
        <v>47500</v>
      </c>
      <c r="AH232" s="97">
        <f t="shared" si="86"/>
        <v>297500</v>
      </c>
      <c r="AI232" s="11"/>
      <c r="AJ232" s="11"/>
      <c r="AK232" s="17"/>
      <c r="AL232" s="97">
        <f>180000/2</f>
        <v>90000</v>
      </c>
      <c r="AM232" s="97">
        <f>+AL232*0.19</f>
        <v>17100</v>
      </c>
      <c r="AN232" s="103">
        <f>+AL232+AM232</f>
        <v>107100</v>
      </c>
      <c r="AO232" s="248" t="s">
        <v>99</v>
      </c>
      <c r="AP232" s="17" t="s">
        <v>52</v>
      </c>
      <c r="AQ232" s="17"/>
      <c r="AR232" s="252">
        <f>144000/2</f>
        <v>72000</v>
      </c>
      <c r="AS232" s="97">
        <f t="shared" si="87"/>
        <v>13680</v>
      </c>
      <c r="AT232" s="103">
        <f t="shared" si="88"/>
        <v>85680</v>
      </c>
      <c r="AU232" s="52" t="s">
        <v>77</v>
      </c>
      <c r="AV232" s="52" t="s">
        <v>42</v>
      </c>
      <c r="AW232" s="30"/>
      <c r="AX232" s="100"/>
      <c r="AY232" s="174"/>
      <c r="AZ232" s="124"/>
      <c r="BA232" s="169"/>
      <c r="BB232" s="116"/>
      <c r="BC232" s="116"/>
      <c r="BD232" s="247"/>
      <c r="BE232" s="124"/>
      <c r="BF232" s="124"/>
      <c r="BG232" s="116"/>
      <c r="BH232" s="116"/>
      <c r="BI232" s="116"/>
      <c r="BJ232" s="124"/>
      <c r="BK232" s="124"/>
      <c r="BL232" s="124"/>
      <c r="BM232" s="116"/>
      <c r="BN232" s="116"/>
      <c r="BO232" s="116"/>
      <c r="BP232" s="124"/>
      <c r="BQ232" s="116"/>
      <c r="BR232" s="116"/>
      <c r="BS232" s="116"/>
      <c r="BT232" s="116"/>
      <c r="BU232" s="116"/>
      <c r="BV232" s="236">
        <v>122301</v>
      </c>
      <c r="BW232" s="125">
        <f>BV232*19%</f>
        <v>23237.19</v>
      </c>
      <c r="BX232" s="97">
        <f>+BV232+BW232</f>
        <v>145538.19</v>
      </c>
      <c r="BY232" s="237" t="s">
        <v>305</v>
      </c>
      <c r="BZ232" s="237" t="s">
        <v>93</v>
      </c>
      <c r="CA232" s="116"/>
      <c r="CB232" s="247"/>
      <c r="CC232" s="125"/>
      <c r="CD232" s="247"/>
      <c r="CE232" s="116"/>
      <c r="CF232" s="116"/>
      <c r="CG232" s="34"/>
      <c r="CH232" s="236">
        <v>127193.04000000001</v>
      </c>
      <c r="CI232" s="238">
        <f>+CH232*0.19</f>
        <v>24166.677600000003</v>
      </c>
      <c r="CJ232" s="236">
        <f>+CH232+CI232</f>
        <v>151359.7176</v>
      </c>
      <c r="CK232" s="237" t="s">
        <v>305</v>
      </c>
      <c r="CL232" s="237" t="s">
        <v>93</v>
      </c>
      <c r="CM232" s="116"/>
      <c r="CN232" s="247"/>
      <c r="CO232" s="125"/>
      <c r="CP232" s="247"/>
      <c r="CQ232" s="116"/>
      <c r="CR232" s="116"/>
      <c r="CS232" s="116"/>
      <c r="CT232" s="125">
        <v>92000</v>
      </c>
      <c r="CU232" s="125">
        <f>CT232*0.19</f>
        <v>17480</v>
      </c>
      <c r="CV232" s="125">
        <f>CU232+CT232</f>
        <v>109480</v>
      </c>
      <c r="CW232" s="116"/>
      <c r="CX232" s="116"/>
      <c r="CY232" s="116"/>
      <c r="CZ232" s="102"/>
      <c r="DA232" s="125"/>
      <c r="DB232" s="102"/>
      <c r="DC232" s="31"/>
      <c r="DD232" s="17"/>
      <c r="DE232" s="11"/>
      <c r="DF232" s="116"/>
      <c r="DG232" s="116"/>
      <c r="DH232" s="116"/>
      <c r="DI232" s="116"/>
      <c r="DJ232" s="116"/>
      <c r="DK232" s="116"/>
      <c r="DL232" s="116"/>
      <c r="DM232" s="116"/>
      <c r="DN232" s="116"/>
      <c r="DO232" s="116"/>
      <c r="DP232" s="116"/>
      <c r="DQ232" s="116"/>
      <c r="DR232" s="116"/>
      <c r="DS232" s="116"/>
      <c r="DT232" s="116"/>
      <c r="DU232" s="116"/>
      <c r="DV232" s="116"/>
      <c r="DW232" s="116"/>
      <c r="DX232" s="116"/>
      <c r="DY232" s="116"/>
      <c r="DZ232" s="116"/>
      <c r="EA232" s="116"/>
      <c r="EB232" s="116"/>
      <c r="EC232" s="116"/>
      <c r="ED232" s="116"/>
      <c r="EE232" s="116"/>
      <c r="EF232" s="116"/>
      <c r="EG232" s="116"/>
      <c r="EH232" s="116"/>
      <c r="EI232" s="116"/>
      <c r="EJ232" s="116"/>
      <c r="EK232" s="116"/>
      <c r="EL232" s="116"/>
      <c r="EM232" s="116"/>
      <c r="EN232" s="116"/>
      <c r="EO232" s="116"/>
      <c r="EP232" s="116"/>
      <c r="EQ232" s="116"/>
      <c r="ER232" s="116"/>
      <c r="ES232" s="116"/>
      <c r="ET232" s="11"/>
      <c r="EU232" s="11"/>
      <c r="EV232" s="11"/>
      <c r="EW232" s="11"/>
      <c r="EX232" s="11"/>
      <c r="EY232" s="11"/>
      <c r="EZ232" s="11"/>
      <c r="FA232" s="11"/>
      <c r="FB232" s="11"/>
      <c r="FC232" s="11"/>
      <c r="FD232" s="11"/>
      <c r="FE232" s="11"/>
      <c r="FF232" s="11"/>
      <c r="FG232" s="11"/>
      <c r="FH232" s="17">
        <f t="shared" si="64"/>
        <v>1038471.3975999999</v>
      </c>
      <c r="FI232" s="31">
        <f t="shared" si="65"/>
        <v>7</v>
      </c>
      <c r="FJ232" s="68">
        <f t="shared" si="66"/>
        <v>148353.05679999999</v>
      </c>
    </row>
    <row r="233" spans="1:166" ht="25.5" x14ac:dyDescent="0.25">
      <c r="A233" s="248">
        <f>Distribución_Reactivos!A233</f>
        <v>231</v>
      </c>
      <c r="B233" s="248" t="str">
        <f>Distribución_Reactivos!B233</f>
        <v xml:space="preserve">Fosfato monobásico de sodio con certificado de análisis trazable por lote </v>
      </c>
      <c r="C233" s="248" t="str">
        <f>Distribución_Reactivos!C233</f>
        <v>Merck o equivalente</v>
      </c>
      <c r="D233" s="248" t="str">
        <f>Distribución_Reactivos!D233</f>
        <v>Frasco x 500 g</v>
      </c>
      <c r="E233" s="29">
        <v>1</v>
      </c>
      <c r="F233" s="212">
        <v>199166.33333333331</v>
      </c>
      <c r="G233" s="214">
        <v>193137</v>
      </c>
      <c r="H233" s="221">
        <v>202539.74771333332</v>
      </c>
      <c r="I233" s="221">
        <v>202538</v>
      </c>
      <c r="J233" s="221">
        <v>198259.94999999998</v>
      </c>
      <c r="K233" s="221">
        <v>0</v>
      </c>
      <c r="L233" s="247">
        <f>AVERAGE(F233,H233,J233)</f>
        <v>199988.67701555553</v>
      </c>
      <c r="M233" s="247">
        <f>AVERAGE(G233,I233)*E1</f>
        <v>203772.625</v>
      </c>
      <c r="N233" s="217"/>
      <c r="O233" s="97"/>
      <c r="P233" s="97"/>
      <c r="Q233" s="115"/>
      <c r="R233" s="115"/>
      <c r="S233" s="53"/>
      <c r="T233" s="97"/>
      <c r="U233" s="97"/>
      <c r="V233" s="97"/>
      <c r="W233" s="115"/>
      <c r="X233" s="115"/>
      <c r="Y233" s="11"/>
      <c r="Z233" s="97"/>
      <c r="AA233" s="97"/>
      <c r="AB233" s="97"/>
      <c r="AC233" s="44"/>
      <c r="AD233" s="44"/>
      <c r="AE233" s="11"/>
      <c r="AF233" s="102">
        <v>180000</v>
      </c>
      <c r="AG233" s="125">
        <f t="shared" si="85"/>
        <v>34200</v>
      </c>
      <c r="AH233" s="97">
        <f t="shared" si="86"/>
        <v>214200</v>
      </c>
      <c r="AI233" s="11"/>
      <c r="AJ233" s="11"/>
      <c r="AK233" s="17"/>
      <c r="AL233" s="97">
        <v>195000</v>
      </c>
      <c r="AM233" s="97">
        <f>+AL233*0.19</f>
        <v>37050</v>
      </c>
      <c r="AN233" s="103">
        <f>+AL233+AM233</f>
        <v>232050</v>
      </c>
      <c r="AO233" s="248" t="s">
        <v>99</v>
      </c>
      <c r="AP233" s="17" t="s">
        <v>52</v>
      </c>
      <c r="AQ233" s="17"/>
      <c r="AR233" s="252">
        <v>194400</v>
      </c>
      <c r="AS233" s="97">
        <f t="shared" si="87"/>
        <v>36936</v>
      </c>
      <c r="AT233" s="103">
        <f t="shared" si="88"/>
        <v>231336</v>
      </c>
      <c r="AU233" s="52" t="s">
        <v>77</v>
      </c>
      <c r="AV233" s="52" t="s">
        <v>42</v>
      </c>
      <c r="AW233" s="30"/>
      <c r="AX233" s="100"/>
      <c r="AY233" s="100"/>
      <c r="AZ233" s="124"/>
      <c r="BA233" s="169"/>
      <c r="BB233" s="116"/>
      <c r="BC233" s="116"/>
      <c r="BD233" s="247"/>
      <c r="BE233" s="124"/>
      <c r="BF233" s="124"/>
      <c r="BG233" s="116"/>
      <c r="BH233" s="116"/>
      <c r="BI233" s="116"/>
      <c r="BJ233" s="124"/>
      <c r="BK233" s="124"/>
      <c r="BL233" s="124"/>
      <c r="BM233" s="116"/>
      <c r="BN233" s="116"/>
      <c r="BO233" s="116"/>
      <c r="BP233" s="124"/>
      <c r="BQ233" s="116"/>
      <c r="BR233" s="116"/>
      <c r="BS233" s="116"/>
      <c r="BT233" s="116"/>
      <c r="BU233" s="116"/>
      <c r="BV233" s="241">
        <v>500000</v>
      </c>
      <c r="BW233" s="125">
        <f>BV233*19%</f>
        <v>95000</v>
      </c>
      <c r="BX233" s="97">
        <f>+BV233+BW233</f>
        <v>595000</v>
      </c>
      <c r="BY233" s="237" t="s">
        <v>320</v>
      </c>
      <c r="BZ233" s="237" t="s">
        <v>321</v>
      </c>
      <c r="CA233" s="116"/>
      <c r="CB233" s="247"/>
      <c r="CC233" s="125"/>
      <c r="CD233" s="247"/>
      <c r="CE233" s="116"/>
      <c r="CF233" s="116"/>
      <c r="CG233" s="34"/>
      <c r="CH233" s="236"/>
      <c r="CI233" s="238"/>
      <c r="CJ233" s="236"/>
      <c r="CK233" s="237"/>
      <c r="CL233" s="237"/>
      <c r="CM233" s="116"/>
      <c r="CN233" s="247"/>
      <c r="CO233" s="125"/>
      <c r="CP233" s="247"/>
      <c r="CQ233" s="116"/>
      <c r="CR233" s="116"/>
      <c r="CS233" s="116"/>
      <c r="CT233" s="247"/>
      <c r="CU233" s="125"/>
      <c r="CV233" s="247"/>
      <c r="CW233" s="116"/>
      <c r="CX233" s="116"/>
      <c r="CY233" s="116"/>
      <c r="CZ233" s="102"/>
      <c r="DA233" s="125"/>
      <c r="DB233" s="102"/>
      <c r="DC233" s="31"/>
      <c r="DD233" s="17"/>
      <c r="DE233" s="11"/>
      <c r="DF233" s="116"/>
      <c r="DG233" s="116"/>
      <c r="DH233" s="116"/>
      <c r="DI233" s="116"/>
      <c r="DJ233" s="116"/>
      <c r="DK233" s="116"/>
      <c r="DL233" s="116"/>
      <c r="DM233" s="116"/>
      <c r="DN233" s="116"/>
      <c r="DO233" s="116"/>
      <c r="DP233" s="116"/>
      <c r="DQ233" s="116"/>
      <c r="DR233" s="116"/>
      <c r="DS233" s="116"/>
      <c r="DT233" s="116"/>
      <c r="DU233" s="116"/>
      <c r="DV233" s="116"/>
      <c r="DW233" s="116"/>
      <c r="DX233" s="116"/>
      <c r="DY233" s="116"/>
      <c r="DZ233" s="116"/>
      <c r="EA233" s="116"/>
      <c r="EB233" s="116"/>
      <c r="EC233" s="116"/>
      <c r="ED233" s="116"/>
      <c r="EE233" s="116"/>
      <c r="EF233" s="116"/>
      <c r="EG233" s="116"/>
      <c r="EH233" s="116"/>
      <c r="EI233" s="116"/>
      <c r="EJ233" s="116"/>
      <c r="EK233" s="116"/>
      <c r="EL233" s="116"/>
      <c r="EM233" s="116"/>
      <c r="EN233" s="116"/>
      <c r="EO233" s="116"/>
      <c r="EP233" s="116"/>
      <c r="EQ233" s="116"/>
      <c r="ER233" s="116"/>
      <c r="ES233" s="116"/>
      <c r="ET233" s="11"/>
      <c r="EU233" s="11"/>
      <c r="EV233" s="11"/>
      <c r="EW233" s="11"/>
      <c r="EX233" s="11"/>
      <c r="EY233" s="11"/>
      <c r="EZ233" s="11"/>
      <c r="FA233" s="11"/>
      <c r="FB233" s="11"/>
      <c r="FC233" s="11"/>
      <c r="FD233" s="11"/>
      <c r="FE233" s="11"/>
      <c r="FF233" s="11"/>
      <c r="FG233" s="11"/>
      <c r="FH233" s="17">
        <f t="shared" si="64"/>
        <v>1476358.625</v>
      </c>
      <c r="FI233" s="31">
        <f t="shared" si="65"/>
        <v>5</v>
      </c>
      <c r="FJ233" s="68">
        <f t="shared" si="66"/>
        <v>295271.72499999998</v>
      </c>
    </row>
    <row r="234" spans="1:166" ht="40.5" x14ac:dyDescent="0.25">
      <c r="A234" s="248">
        <f>Distribución_Reactivos!A234</f>
        <v>232</v>
      </c>
      <c r="B234" s="248" t="str">
        <f>Distribución_Reactivos!B234</f>
        <v>Fucsina de gram</v>
      </c>
      <c r="C234" s="248" t="str">
        <f>Distribución_Reactivos!C234</f>
        <v>Albor o equivalente</v>
      </c>
      <c r="D234" s="248" t="str">
        <f>Distribución_Reactivos!D234</f>
        <v>Frasco x 1 litro</v>
      </c>
      <c r="E234" s="29">
        <v>1</v>
      </c>
      <c r="F234" s="212">
        <v>50586.833333333336</v>
      </c>
      <c r="G234" s="214">
        <v>48800</v>
      </c>
      <c r="H234" s="221">
        <v>112567.32688856668</v>
      </c>
      <c r="I234" s="221">
        <v>40600</v>
      </c>
      <c r="J234" s="221">
        <v>76181.8</v>
      </c>
      <c r="K234" s="221">
        <v>60800</v>
      </c>
      <c r="L234" s="247">
        <f t="shared" ref="L234:L239" si="89">AVERAGE(F234,H234,J234)</f>
        <v>79778.653407300008</v>
      </c>
      <c r="M234" s="247">
        <f>AVERAGE(G234,I234,K234)*E1</f>
        <v>51568.666666666664</v>
      </c>
      <c r="N234" s="217"/>
      <c r="O234" s="97"/>
      <c r="P234" s="97"/>
      <c r="Q234" s="115"/>
      <c r="R234" s="115"/>
      <c r="S234" s="53"/>
      <c r="T234" s="97"/>
      <c r="U234" s="101"/>
      <c r="V234" s="97"/>
      <c r="W234" s="115"/>
      <c r="X234" s="115"/>
      <c r="Y234" s="11"/>
      <c r="Z234" s="97"/>
      <c r="AA234" s="97"/>
      <c r="AB234" s="97"/>
      <c r="AC234" s="44"/>
      <c r="AD234" s="44"/>
      <c r="AE234" s="11"/>
      <c r="AF234" s="102">
        <v>45000</v>
      </c>
      <c r="AG234" s="125">
        <v>0</v>
      </c>
      <c r="AH234" s="97">
        <f t="shared" ref="AH234:AH239" si="90">+AF234+AG234</f>
        <v>45000</v>
      </c>
      <c r="AI234" s="11"/>
      <c r="AJ234" s="11"/>
      <c r="AK234" s="17"/>
      <c r="AL234" s="97">
        <v>41000</v>
      </c>
      <c r="AM234" s="97">
        <f>+AL234*0</f>
        <v>0</v>
      </c>
      <c r="AN234" s="103">
        <f>+AL234+AM234</f>
        <v>41000</v>
      </c>
      <c r="AO234" s="248" t="s">
        <v>56</v>
      </c>
      <c r="AP234" s="17" t="s">
        <v>153</v>
      </c>
      <c r="AQ234" s="17"/>
      <c r="AR234" s="252">
        <v>27751</v>
      </c>
      <c r="AS234" s="97">
        <f>+AR234*0.19</f>
        <v>5272.6900000000005</v>
      </c>
      <c r="AT234" s="103">
        <f>+AR234+AS234</f>
        <v>33023.69</v>
      </c>
      <c r="AU234" s="52" t="s">
        <v>204</v>
      </c>
      <c r="AV234" s="52" t="s">
        <v>266</v>
      </c>
      <c r="AW234" s="30"/>
      <c r="AX234" s="100"/>
      <c r="AY234" s="100"/>
      <c r="AZ234" s="124"/>
      <c r="BA234" s="169"/>
      <c r="BB234" s="116"/>
      <c r="BC234" s="116"/>
      <c r="BD234" s="247"/>
      <c r="BE234" s="124"/>
      <c r="BF234" s="124"/>
      <c r="BG234" s="116"/>
      <c r="BH234" s="116"/>
      <c r="BI234" s="116"/>
      <c r="BJ234" s="124"/>
      <c r="BK234" s="124"/>
      <c r="BL234" s="124"/>
      <c r="BM234" s="116"/>
      <c r="BN234" s="116"/>
      <c r="BO234" s="116"/>
      <c r="BP234" s="124"/>
      <c r="BQ234" s="116"/>
      <c r="BR234" s="116"/>
      <c r="BS234" s="116"/>
      <c r="BT234" s="116"/>
      <c r="BU234" s="116"/>
      <c r="BV234" s="236">
        <v>68600</v>
      </c>
      <c r="BW234" s="125">
        <f t="shared" ref="BW234:BW240" si="91">BV234*19%</f>
        <v>13034</v>
      </c>
      <c r="BX234" s="97">
        <f t="shared" ref="BX234:BX244" si="92">+BV234+BW234</f>
        <v>81634</v>
      </c>
      <c r="BY234" s="237" t="s">
        <v>308</v>
      </c>
      <c r="BZ234" s="237" t="s">
        <v>55</v>
      </c>
      <c r="CA234" s="116"/>
      <c r="CB234" s="247"/>
      <c r="CC234" s="125"/>
      <c r="CD234" s="247"/>
      <c r="CE234" s="116"/>
      <c r="CF234" s="116"/>
      <c r="CG234" s="34"/>
      <c r="CH234" s="236">
        <v>72030</v>
      </c>
      <c r="CI234" s="238">
        <f>+CH234*0.19</f>
        <v>13685.7</v>
      </c>
      <c r="CJ234" s="236">
        <f>+CH234+CI234</f>
        <v>85715.7</v>
      </c>
      <c r="CK234" s="237" t="s">
        <v>308</v>
      </c>
      <c r="CL234" s="237" t="s">
        <v>55</v>
      </c>
      <c r="CM234" s="116"/>
      <c r="CN234" s="247"/>
      <c r="CO234" s="125"/>
      <c r="CP234" s="247"/>
      <c r="CQ234" s="116"/>
      <c r="CR234" s="116"/>
      <c r="CS234" s="116"/>
      <c r="CT234" s="247"/>
      <c r="CU234" s="125"/>
      <c r="CV234" s="247"/>
      <c r="CW234" s="116"/>
      <c r="CX234" s="116"/>
      <c r="CY234" s="116"/>
      <c r="CZ234" s="102"/>
      <c r="DA234" s="125"/>
      <c r="DB234" s="102"/>
      <c r="DC234" s="31"/>
      <c r="DD234" s="17"/>
      <c r="DE234" s="11"/>
      <c r="DF234" s="116"/>
      <c r="DG234" s="116"/>
      <c r="DH234" s="116"/>
      <c r="DI234" s="116"/>
      <c r="DJ234" s="116"/>
      <c r="DK234" s="116"/>
      <c r="DL234" s="116"/>
      <c r="DM234" s="116"/>
      <c r="DN234" s="116"/>
      <c r="DO234" s="116"/>
      <c r="DP234" s="116"/>
      <c r="DQ234" s="116"/>
      <c r="DR234" s="116"/>
      <c r="DS234" s="116"/>
      <c r="DT234" s="116"/>
      <c r="DU234" s="116"/>
      <c r="DV234" s="116"/>
      <c r="DW234" s="116"/>
      <c r="DX234" s="116"/>
      <c r="DY234" s="116"/>
      <c r="DZ234" s="116"/>
      <c r="EA234" s="116"/>
      <c r="EB234" s="116"/>
      <c r="EC234" s="116"/>
      <c r="ED234" s="116"/>
      <c r="EE234" s="116"/>
      <c r="EF234" s="116"/>
      <c r="EG234" s="116"/>
      <c r="EH234" s="116"/>
      <c r="EI234" s="116"/>
      <c r="EJ234" s="116"/>
      <c r="EK234" s="116"/>
      <c r="EL234" s="116"/>
      <c r="EM234" s="116"/>
      <c r="EN234" s="116"/>
      <c r="EO234" s="116"/>
      <c r="EP234" s="116"/>
      <c r="EQ234" s="116"/>
      <c r="ER234" s="116"/>
      <c r="ES234" s="116"/>
      <c r="ET234" s="11"/>
      <c r="EU234" s="11"/>
      <c r="EV234" s="11"/>
      <c r="EW234" s="11"/>
      <c r="EX234" s="11"/>
      <c r="EY234" s="11"/>
      <c r="EZ234" s="11"/>
      <c r="FA234" s="11"/>
      <c r="FB234" s="11"/>
      <c r="FC234" s="11"/>
      <c r="FD234" s="11"/>
      <c r="FE234" s="11"/>
      <c r="FF234" s="11"/>
      <c r="FG234" s="11"/>
      <c r="FH234" s="17">
        <f t="shared" ref="FH234:FH269" si="93">SUM(M234,P234,V234,AB234,AH234,AN234,AT234,AZ234,BF234,BL234,BR234,BX234,CD234,CJ234,CP234,CV234,DB234,DH234,DN234,DT234,DZ234,EF234,EL234,ER234,EX234,FD234)</f>
        <v>337942.05666666664</v>
      </c>
      <c r="FI234" s="31">
        <f t="shared" ref="FI234:FI269" si="94">COUNTA(M234,N234,T234,Z234,AF234,AL234,AR234,AX234,BD234,BJ234,BP234,BV234,CB234,CH234,CN234,CT234,CZ234,DF234,DL234,DR234,DX234,ED234,EJ234,EP234,EV234,FB234)</f>
        <v>6</v>
      </c>
      <c r="FJ234" s="68">
        <f t="shared" ref="FJ234:FJ269" si="95">IFERROR(FH234/FI234," ")</f>
        <v>56323.676111111105</v>
      </c>
    </row>
    <row r="235" spans="1:166" ht="40.5" x14ac:dyDescent="0.25">
      <c r="A235" s="248">
        <f>Distribución_Reactivos!A235</f>
        <v>233</v>
      </c>
      <c r="B235" s="248" t="str">
        <f>Distribución_Reactivos!B235</f>
        <v>Fucsina de Ziehl Neelsen</v>
      </c>
      <c r="C235" s="248" t="str">
        <f>Distribución_Reactivos!C235</f>
        <v>Albor o equivalente</v>
      </c>
      <c r="D235" s="248" t="str">
        <f>Distribución_Reactivos!D235</f>
        <v>Frasco x 1 litro</v>
      </c>
      <c r="E235" s="29">
        <v>1</v>
      </c>
      <c r="F235" s="212">
        <v>68884.399999999994</v>
      </c>
      <c r="G235" s="214">
        <v>66400</v>
      </c>
      <c r="H235" s="221">
        <v>92979.797638699994</v>
      </c>
      <c r="I235" s="221">
        <v>0</v>
      </c>
      <c r="J235" s="221">
        <v>104452.2</v>
      </c>
      <c r="K235" s="221">
        <v>83400</v>
      </c>
      <c r="L235" s="247">
        <f t="shared" si="89"/>
        <v>88772.132546233319</v>
      </c>
      <c r="M235" s="247">
        <f>AVERAGE(G235,K235)*E1</f>
        <v>77147</v>
      </c>
      <c r="N235" s="217"/>
      <c r="O235" s="97"/>
      <c r="P235" s="97"/>
      <c r="Q235" s="115"/>
      <c r="R235" s="115"/>
      <c r="S235" s="53"/>
      <c r="T235" s="97"/>
      <c r="U235" s="101"/>
      <c r="V235" s="97"/>
      <c r="W235" s="115"/>
      <c r="X235" s="115"/>
      <c r="Y235" s="11"/>
      <c r="Z235" s="97"/>
      <c r="AA235" s="97"/>
      <c r="AB235" s="97"/>
      <c r="AC235" s="44"/>
      <c r="AD235" s="44"/>
      <c r="AE235" s="11"/>
      <c r="AF235" s="102">
        <v>85000</v>
      </c>
      <c r="AG235" s="125">
        <v>0</v>
      </c>
      <c r="AH235" s="97">
        <f t="shared" si="90"/>
        <v>85000</v>
      </c>
      <c r="AI235" s="11"/>
      <c r="AJ235" s="11"/>
      <c r="AK235" s="17"/>
      <c r="AL235" s="97"/>
      <c r="AM235" s="97"/>
      <c r="AN235" s="101"/>
      <c r="AO235" s="248"/>
      <c r="AP235" s="17"/>
      <c r="AQ235" s="17"/>
      <c r="AR235" s="252">
        <v>48435</v>
      </c>
      <c r="AS235" s="97">
        <f>+AR235*0.19</f>
        <v>9202.65</v>
      </c>
      <c r="AT235" s="103">
        <f>+AR235+AS235</f>
        <v>57637.65</v>
      </c>
      <c r="AU235" s="52" t="s">
        <v>204</v>
      </c>
      <c r="AV235" s="52" t="s">
        <v>266</v>
      </c>
      <c r="AW235" s="30"/>
      <c r="AX235" s="100"/>
      <c r="AY235" s="174"/>
      <c r="AZ235" s="124"/>
      <c r="BA235" s="169"/>
      <c r="BB235" s="116"/>
      <c r="BC235" s="116"/>
      <c r="BD235" s="247"/>
      <c r="BE235" s="124"/>
      <c r="BF235" s="124"/>
      <c r="BG235" s="116"/>
      <c r="BH235" s="116"/>
      <c r="BI235" s="116"/>
      <c r="BJ235" s="124"/>
      <c r="BK235" s="124"/>
      <c r="BL235" s="124"/>
      <c r="BM235" s="116"/>
      <c r="BN235" s="116"/>
      <c r="BO235" s="116"/>
      <c r="BP235" s="124"/>
      <c r="BQ235" s="116"/>
      <c r="BR235" s="116"/>
      <c r="BS235" s="116"/>
      <c r="BT235" s="116"/>
      <c r="BU235" s="116"/>
      <c r="BV235" s="236">
        <v>93300</v>
      </c>
      <c r="BW235" s="125">
        <f t="shared" si="91"/>
        <v>17727</v>
      </c>
      <c r="BX235" s="97">
        <f t="shared" si="92"/>
        <v>111027</v>
      </c>
      <c r="BY235" s="237" t="s">
        <v>308</v>
      </c>
      <c r="BZ235" s="237" t="s">
        <v>55</v>
      </c>
      <c r="CA235" s="116"/>
      <c r="CB235" s="247"/>
      <c r="CC235" s="125"/>
      <c r="CD235" s="247"/>
      <c r="CE235" s="116"/>
      <c r="CF235" s="116"/>
      <c r="CG235" s="34"/>
      <c r="CH235" s="236">
        <v>95166</v>
      </c>
      <c r="CI235" s="238">
        <f>+CH235*0.19</f>
        <v>18081.54</v>
      </c>
      <c r="CJ235" s="236">
        <f>+CH235+CI235</f>
        <v>113247.54000000001</v>
      </c>
      <c r="CK235" s="237" t="s">
        <v>308</v>
      </c>
      <c r="CL235" s="237" t="s">
        <v>55</v>
      </c>
      <c r="CM235" s="116"/>
      <c r="CN235" s="247"/>
      <c r="CO235" s="125"/>
      <c r="CP235" s="247"/>
      <c r="CQ235" s="116"/>
      <c r="CR235" s="116"/>
      <c r="CS235" s="116"/>
      <c r="CT235" s="247"/>
      <c r="CU235" s="125"/>
      <c r="CV235" s="247"/>
      <c r="CW235" s="116"/>
      <c r="CX235" s="116"/>
      <c r="CY235" s="116"/>
      <c r="CZ235" s="102"/>
      <c r="DA235" s="125"/>
      <c r="DB235" s="102"/>
      <c r="DC235" s="31"/>
      <c r="DD235" s="17"/>
      <c r="DE235" s="11"/>
      <c r="DF235" s="116"/>
      <c r="DG235" s="116"/>
      <c r="DH235" s="116"/>
      <c r="DI235" s="116"/>
      <c r="DJ235" s="116"/>
      <c r="DK235" s="116"/>
      <c r="DL235" s="116"/>
      <c r="DM235" s="116"/>
      <c r="DN235" s="116"/>
      <c r="DO235" s="116"/>
      <c r="DP235" s="116"/>
      <c r="DQ235" s="116"/>
      <c r="DR235" s="116"/>
      <c r="DS235" s="116"/>
      <c r="DT235" s="116"/>
      <c r="DU235" s="116"/>
      <c r="DV235" s="116"/>
      <c r="DW235" s="116"/>
      <c r="DX235" s="116"/>
      <c r="DY235" s="116"/>
      <c r="DZ235" s="116"/>
      <c r="EA235" s="116"/>
      <c r="EB235" s="116"/>
      <c r="EC235" s="116"/>
      <c r="ED235" s="116"/>
      <c r="EE235" s="116"/>
      <c r="EF235" s="116"/>
      <c r="EG235" s="116"/>
      <c r="EH235" s="116"/>
      <c r="EI235" s="116"/>
      <c r="EJ235" s="116"/>
      <c r="EK235" s="116"/>
      <c r="EL235" s="116"/>
      <c r="EM235" s="116"/>
      <c r="EN235" s="116"/>
      <c r="EO235" s="116"/>
      <c r="EP235" s="116"/>
      <c r="EQ235" s="116"/>
      <c r="ER235" s="116"/>
      <c r="ES235" s="116"/>
      <c r="ET235" s="11"/>
      <c r="EU235" s="11"/>
      <c r="EV235" s="11"/>
      <c r="EW235" s="11"/>
      <c r="EX235" s="11"/>
      <c r="EY235" s="11"/>
      <c r="EZ235" s="11"/>
      <c r="FA235" s="11"/>
      <c r="FB235" s="11"/>
      <c r="FC235" s="11"/>
      <c r="FD235" s="11"/>
      <c r="FE235" s="11"/>
      <c r="FF235" s="11"/>
      <c r="FG235" s="11"/>
      <c r="FH235" s="17">
        <f t="shared" si="93"/>
        <v>444059.19000000006</v>
      </c>
      <c r="FI235" s="31">
        <f t="shared" si="94"/>
        <v>5</v>
      </c>
      <c r="FJ235" s="68">
        <f t="shared" si="95"/>
        <v>88811.838000000018</v>
      </c>
    </row>
    <row r="236" spans="1:166" ht="40.5" x14ac:dyDescent="0.25">
      <c r="A236" s="248">
        <f>Distribución_Reactivos!A236</f>
        <v>234</v>
      </c>
      <c r="B236" s="248" t="str">
        <f>Distribución_Reactivos!B236</f>
        <v>Fuschina ácida en polvo</v>
      </c>
      <c r="C236" s="248" t="str">
        <f>Distribución_Reactivos!C236</f>
        <v>Fisher</v>
      </c>
      <c r="D236" s="248" t="str">
        <f>Distribución_Reactivos!D236</f>
        <v>Frasco x 25 g</v>
      </c>
      <c r="E236" s="29">
        <v>1</v>
      </c>
      <c r="F236" s="212">
        <v>506648.45</v>
      </c>
      <c r="G236" s="214">
        <v>406980</v>
      </c>
      <c r="H236" s="221">
        <v>729649.83061166666</v>
      </c>
      <c r="I236" s="221">
        <v>0</v>
      </c>
      <c r="J236" s="221">
        <v>382793.25</v>
      </c>
      <c r="K236" s="221">
        <v>0</v>
      </c>
      <c r="L236" s="247">
        <f t="shared" si="89"/>
        <v>539697.1768705555</v>
      </c>
      <c r="M236" s="247">
        <f>G236*E1</f>
        <v>419189.4</v>
      </c>
      <c r="N236" s="217"/>
      <c r="O236" s="97"/>
      <c r="P236" s="97"/>
      <c r="Q236" s="115"/>
      <c r="R236" s="115"/>
      <c r="S236" s="53"/>
      <c r="T236" s="97"/>
      <c r="U236" s="97"/>
      <c r="V236" s="97"/>
      <c r="W236" s="115"/>
      <c r="X236" s="115"/>
      <c r="Y236" s="11"/>
      <c r="Z236" s="97"/>
      <c r="AA236" s="97"/>
      <c r="AB236" s="97"/>
      <c r="AC236" s="44"/>
      <c r="AD236" s="44"/>
      <c r="AE236" s="11"/>
      <c r="AF236" s="102">
        <v>300000</v>
      </c>
      <c r="AG236" s="125">
        <f>AF236*19%</f>
        <v>57000</v>
      </c>
      <c r="AH236" s="97">
        <f t="shared" si="90"/>
        <v>357000</v>
      </c>
      <c r="AI236" s="11"/>
      <c r="AJ236" s="11"/>
      <c r="AK236" s="17"/>
      <c r="AL236" s="97">
        <v>210000</v>
      </c>
      <c r="AM236" s="97">
        <f>+AL236*0.19</f>
        <v>39900</v>
      </c>
      <c r="AN236" s="103">
        <f>+AL236+AM236</f>
        <v>249900</v>
      </c>
      <c r="AO236" s="248" t="s">
        <v>299</v>
      </c>
      <c r="AP236" s="17" t="s">
        <v>52</v>
      </c>
      <c r="AQ236" s="17"/>
      <c r="AR236" s="252">
        <v>417600</v>
      </c>
      <c r="AS236" s="97">
        <f>+AR236*0.19</f>
        <v>79344</v>
      </c>
      <c r="AT236" s="103">
        <f>+AR236+AS236</f>
        <v>496944</v>
      </c>
      <c r="AU236" s="52" t="s">
        <v>41</v>
      </c>
      <c r="AV236" s="52" t="s">
        <v>42</v>
      </c>
      <c r="AW236" s="30"/>
      <c r="AX236" s="100"/>
      <c r="AY236" s="174"/>
      <c r="AZ236" s="124"/>
      <c r="BA236" s="169"/>
      <c r="BB236" s="116"/>
      <c r="BC236" s="116"/>
      <c r="BD236" s="247"/>
      <c r="BE236" s="124"/>
      <c r="BF236" s="124"/>
      <c r="BG236" s="116"/>
      <c r="BH236" s="116"/>
      <c r="BI236" s="116"/>
      <c r="BJ236" s="124"/>
      <c r="BK236" s="124"/>
      <c r="BL236" s="124"/>
      <c r="BM236" s="116"/>
      <c r="BN236" s="116"/>
      <c r="BO236" s="116"/>
      <c r="BP236" s="124"/>
      <c r="BQ236" s="116"/>
      <c r="BR236" s="116"/>
      <c r="BS236" s="116"/>
      <c r="BT236" s="116"/>
      <c r="BU236" s="116"/>
      <c r="BV236" s="236">
        <v>588000</v>
      </c>
      <c r="BW236" s="125">
        <f t="shared" si="91"/>
        <v>111720</v>
      </c>
      <c r="BX236" s="97">
        <f t="shared" si="92"/>
        <v>699720</v>
      </c>
      <c r="BY236" s="237" t="s">
        <v>322</v>
      </c>
      <c r="BZ236" s="237" t="s">
        <v>52</v>
      </c>
      <c r="CA236" s="116"/>
      <c r="CB236" s="247"/>
      <c r="CC236" s="125"/>
      <c r="CD236" s="247"/>
      <c r="CE236" s="116"/>
      <c r="CF236" s="116"/>
      <c r="CG236" s="34"/>
      <c r="CH236" s="236">
        <v>623280</v>
      </c>
      <c r="CI236" s="238">
        <f>+CH236*0.19</f>
        <v>118423.2</v>
      </c>
      <c r="CJ236" s="236">
        <f>+CH236+CI236</f>
        <v>741703.2</v>
      </c>
      <c r="CK236" s="237" t="s">
        <v>322</v>
      </c>
      <c r="CL236" s="237" t="s">
        <v>52</v>
      </c>
      <c r="CM236" s="116"/>
      <c r="CN236" s="247"/>
      <c r="CO236" s="125"/>
      <c r="CP236" s="247"/>
      <c r="CQ236" s="116"/>
      <c r="CR236" s="116"/>
      <c r="CS236" s="116"/>
      <c r="CT236" s="247"/>
      <c r="CU236" s="125"/>
      <c r="CV236" s="247"/>
      <c r="CW236" s="116"/>
      <c r="CX236" s="116"/>
      <c r="CY236" s="116"/>
      <c r="CZ236" s="102"/>
      <c r="DA236" s="125"/>
      <c r="DB236" s="102"/>
      <c r="DC236" s="31"/>
      <c r="DD236" s="17"/>
      <c r="DE236" s="11"/>
      <c r="DF236" s="116"/>
      <c r="DG236" s="116"/>
      <c r="DH236" s="116"/>
      <c r="DI236" s="116"/>
      <c r="DJ236" s="116"/>
      <c r="DK236" s="116"/>
      <c r="DL236" s="116"/>
      <c r="DM236" s="116"/>
      <c r="DN236" s="116"/>
      <c r="DO236" s="116"/>
      <c r="DP236" s="116"/>
      <c r="DQ236" s="116"/>
      <c r="DR236" s="116"/>
      <c r="DS236" s="116"/>
      <c r="DT236" s="116"/>
      <c r="DU236" s="116"/>
      <c r="DV236" s="116"/>
      <c r="DW236" s="116"/>
      <c r="DX236" s="116"/>
      <c r="DY236" s="116"/>
      <c r="DZ236" s="116"/>
      <c r="EA236" s="116"/>
      <c r="EB236" s="116"/>
      <c r="EC236" s="116"/>
      <c r="ED236" s="116"/>
      <c r="EE236" s="116"/>
      <c r="EF236" s="116"/>
      <c r="EG236" s="116"/>
      <c r="EH236" s="116"/>
      <c r="EI236" s="116"/>
      <c r="EJ236" s="116"/>
      <c r="EK236" s="116"/>
      <c r="EL236" s="116"/>
      <c r="EM236" s="116"/>
      <c r="EN236" s="116"/>
      <c r="EO236" s="116"/>
      <c r="EP236" s="116"/>
      <c r="EQ236" s="116"/>
      <c r="ER236" s="116"/>
      <c r="ES236" s="116"/>
      <c r="ET236" s="11"/>
      <c r="EU236" s="11"/>
      <c r="EV236" s="11"/>
      <c r="EW236" s="11"/>
      <c r="EX236" s="11"/>
      <c r="EY236" s="11"/>
      <c r="EZ236" s="11"/>
      <c r="FA236" s="11"/>
      <c r="FB236" s="11"/>
      <c r="FC236" s="11"/>
      <c r="FD236" s="11"/>
      <c r="FE236" s="11"/>
      <c r="FF236" s="11"/>
      <c r="FG236" s="11"/>
      <c r="FH236" s="17">
        <f t="shared" si="93"/>
        <v>2964456.5999999996</v>
      </c>
      <c r="FI236" s="31">
        <f t="shared" si="94"/>
        <v>6</v>
      </c>
      <c r="FJ236" s="68">
        <f t="shared" si="95"/>
        <v>494076.09999999992</v>
      </c>
    </row>
    <row r="237" spans="1:166" ht="38.25" x14ac:dyDescent="0.25">
      <c r="A237" s="248">
        <f>Distribución_Reactivos!A237</f>
        <v>235</v>
      </c>
      <c r="B237" s="248" t="str">
        <f>Distribución_Reactivos!B237</f>
        <v>Fuschina Basica</v>
      </c>
      <c r="C237" s="248" t="str">
        <f>Distribución_Reactivos!C237</f>
        <v>Merck, JT. Baker, sigma o equivalente</v>
      </c>
      <c r="D237" s="248" t="str">
        <f>Distribución_Reactivos!D237</f>
        <v>Frasco x 25 g</v>
      </c>
      <c r="E237" s="29">
        <v>1</v>
      </c>
      <c r="F237" s="212">
        <v>296627.33333333331</v>
      </c>
      <c r="G237" s="214">
        <v>135065</v>
      </c>
      <c r="H237" s="221">
        <v>309754.43017333333</v>
      </c>
      <c r="I237" s="221">
        <v>309638</v>
      </c>
      <c r="J237" s="221">
        <v>465559.17800000001</v>
      </c>
      <c r="K237" s="221">
        <v>0</v>
      </c>
      <c r="L237" s="247">
        <f t="shared" si="89"/>
        <v>357313.64716888889</v>
      </c>
      <c r="M237" s="247">
        <f>AVERAGE(G237,I237)*E1</f>
        <v>229022.04500000001</v>
      </c>
      <c r="N237" s="217"/>
      <c r="O237" s="97"/>
      <c r="P237" s="97"/>
      <c r="Q237" s="115"/>
      <c r="R237" s="115"/>
      <c r="S237" s="53"/>
      <c r="T237" s="97"/>
      <c r="U237" s="97"/>
      <c r="V237" s="97"/>
      <c r="W237" s="115"/>
      <c r="X237" s="115"/>
      <c r="Y237" s="11"/>
      <c r="Z237" s="97"/>
      <c r="AA237" s="97"/>
      <c r="AB237" s="97"/>
      <c r="AC237" s="44"/>
      <c r="AD237" s="44"/>
      <c r="AE237" s="11"/>
      <c r="AF237" s="102">
        <v>250000</v>
      </c>
      <c r="AG237" s="125">
        <f>AF237*19%</f>
        <v>47500</v>
      </c>
      <c r="AH237" s="97">
        <f t="shared" si="90"/>
        <v>297500</v>
      </c>
      <c r="AI237" s="11"/>
      <c r="AJ237" s="11"/>
      <c r="AK237" s="17"/>
      <c r="AL237" s="97">
        <v>245000</v>
      </c>
      <c r="AM237" s="97">
        <f>+AL237*0.19</f>
        <v>46550</v>
      </c>
      <c r="AN237" s="103">
        <f>+AL237+AM237</f>
        <v>291550</v>
      </c>
      <c r="AO237" s="248" t="s">
        <v>41</v>
      </c>
      <c r="AP237" s="17" t="s">
        <v>52</v>
      </c>
      <c r="AQ237" s="17"/>
      <c r="AR237" s="252"/>
      <c r="AS237" s="136"/>
      <c r="AT237" s="137"/>
      <c r="AU237" s="52"/>
      <c r="AV237" s="52"/>
      <c r="AW237" s="30"/>
      <c r="AX237" s="100"/>
      <c r="AY237" s="100"/>
      <c r="AZ237" s="124"/>
      <c r="BA237" s="169"/>
      <c r="BB237" s="116"/>
      <c r="BC237" s="116"/>
      <c r="BD237" s="247"/>
      <c r="BE237" s="124"/>
      <c r="BF237" s="124"/>
      <c r="BG237" s="116"/>
      <c r="BH237" s="116"/>
      <c r="BI237" s="116"/>
      <c r="BJ237" s="124"/>
      <c r="BK237" s="124"/>
      <c r="BL237" s="124"/>
      <c r="BM237" s="116"/>
      <c r="BN237" s="116"/>
      <c r="BO237" s="116"/>
      <c r="BP237" s="124"/>
      <c r="BQ237" s="116"/>
      <c r="BR237" s="116"/>
      <c r="BS237" s="116"/>
      <c r="BT237" s="116"/>
      <c r="BU237" s="116"/>
      <c r="BV237" s="241">
        <v>700000</v>
      </c>
      <c r="BW237" s="125">
        <f t="shared" si="91"/>
        <v>133000</v>
      </c>
      <c r="BX237" s="97">
        <f t="shared" si="92"/>
        <v>833000</v>
      </c>
      <c r="BY237" s="237" t="s">
        <v>323</v>
      </c>
      <c r="BZ237" s="237" t="s">
        <v>83</v>
      </c>
      <c r="CA237" s="116"/>
      <c r="CB237" s="247"/>
      <c r="CC237" s="125"/>
      <c r="CD237" s="247"/>
      <c r="CE237" s="116"/>
      <c r="CF237" s="116"/>
      <c r="CG237" s="34"/>
      <c r="CH237" s="236"/>
      <c r="CI237" s="238"/>
      <c r="CJ237" s="236"/>
      <c r="CK237" s="237"/>
      <c r="CL237" s="237"/>
      <c r="CM237" s="116"/>
      <c r="CN237" s="247"/>
      <c r="CO237" s="125"/>
      <c r="CP237" s="247"/>
      <c r="CQ237" s="116"/>
      <c r="CR237" s="116"/>
      <c r="CS237" s="116"/>
      <c r="CT237" s="247"/>
      <c r="CU237" s="125"/>
      <c r="CV237" s="247"/>
      <c r="CW237" s="116"/>
      <c r="CX237" s="116"/>
      <c r="CY237" s="116"/>
      <c r="CZ237" s="102"/>
      <c r="DA237" s="125"/>
      <c r="DB237" s="102"/>
      <c r="DC237" s="31"/>
      <c r="DD237" s="17"/>
      <c r="DE237" s="11"/>
      <c r="DF237" s="116"/>
      <c r="DG237" s="116"/>
      <c r="DH237" s="116"/>
      <c r="DI237" s="116"/>
      <c r="DJ237" s="116"/>
      <c r="DK237" s="116"/>
      <c r="DL237" s="116"/>
      <c r="DM237" s="116"/>
      <c r="DN237" s="116"/>
      <c r="DO237" s="116"/>
      <c r="DP237" s="116"/>
      <c r="DQ237" s="116"/>
      <c r="DR237" s="116"/>
      <c r="DS237" s="116"/>
      <c r="DT237" s="116"/>
      <c r="DU237" s="116"/>
      <c r="DV237" s="116"/>
      <c r="DW237" s="116"/>
      <c r="DX237" s="116"/>
      <c r="DY237" s="116"/>
      <c r="DZ237" s="116"/>
      <c r="EA237" s="116"/>
      <c r="EB237" s="116"/>
      <c r="EC237" s="116"/>
      <c r="ED237" s="116"/>
      <c r="EE237" s="116"/>
      <c r="EF237" s="116"/>
      <c r="EG237" s="116"/>
      <c r="EH237" s="116"/>
      <c r="EI237" s="116"/>
      <c r="EJ237" s="116"/>
      <c r="EK237" s="116"/>
      <c r="EL237" s="116"/>
      <c r="EM237" s="116"/>
      <c r="EN237" s="116"/>
      <c r="EO237" s="116"/>
      <c r="EP237" s="116"/>
      <c r="EQ237" s="116"/>
      <c r="ER237" s="116"/>
      <c r="ES237" s="116"/>
      <c r="ET237" s="11"/>
      <c r="EU237" s="11"/>
      <c r="EV237" s="11"/>
      <c r="EW237" s="11"/>
      <c r="EX237" s="11"/>
      <c r="EY237" s="11"/>
      <c r="EZ237" s="11"/>
      <c r="FA237" s="11"/>
      <c r="FB237" s="11"/>
      <c r="FC237" s="11"/>
      <c r="FD237" s="11"/>
      <c r="FE237" s="11"/>
      <c r="FF237" s="11"/>
      <c r="FG237" s="11"/>
      <c r="FH237" s="17">
        <f t="shared" si="93"/>
        <v>1651072.0449999999</v>
      </c>
      <c r="FI237" s="31">
        <f t="shared" si="94"/>
        <v>4</v>
      </c>
      <c r="FJ237" s="68">
        <f t="shared" si="95"/>
        <v>412768.01124999998</v>
      </c>
    </row>
    <row r="238" spans="1:166" ht="40.5" x14ac:dyDescent="0.25">
      <c r="A238" s="248">
        <f>Distribución_Reactivos!A238</f>
        <v>236</v>
      </c>
      <c r="B238" s="248" t="str">
        <f>Distribución_Reactivos!B238</f>
        <v>Gel antibacterial para manos</v>
      </c>
      <c r="C238" s="248" t="str">
        <f>Distribución_Reactivos!C238</f>
        <v>Cualquier marca</v>
      </c>
      <c r="D238" s="248" t="str">
        <f>Distribución_Reactivos!D238</f>
        <v>Frasco x 500 ml</v>
      </c>
      <c r="E238" s="29">
        <v>1</v>
      </c>
      <c r="F238" s="212">
        <v>17359.72</v>
      </c>
      <c r="G238" s="214">
        <v>16898</v>
      </c>
      <c r="H238" s="221">
        <v>27749.039599</v>
      </c>
      <c r="I238" s="221">
        <v>0</v>
      </c>
      <c r="J238" s="221">
        <v>20884.5</v>
      </c>
      <c r="K238" s="221">
        <v>19873</v>
      </c>
      <c r="L238" s="247">
        <f t="shared" si="89"/>
        <v>21997.753199666666</v>
      </c>
      <c r="M238" s="247">
        <f>AVERAGE(G238,K238)*E1</f>
        <v>18937.064999999999</v>
      </c>
      <c r="N238" s="217"/>
      <c r="O238" s="97"/>
      <c r="P238" s="97"/>
      <c r="Q238" s="115"/>
      <c r="R238" s="115"/>
      <c r="S238" s="53"/>
      <c r="T238" s="97"/>
      <c r="U238" s="97"/>
      <c r="V238" s="97"/>
      <c r="W238" s="115"/>
      <c r="X238" s="115"/>
      <c r="Y238" s="11"/>
      <c r="Z238" s="97"/>
      <c r="AA238" s="97"/>
      <c r="AB238" s="97"/>
      <c r="AC238" s="44"/>
      <c r="AD238" s="44"/>
      <c r="AE238" s="11"/>
      <c r="AF238" s="102">
        <v>12000</v>
      </c>
      <c r="AG238" s="125">
        <f>AF238*19%</f>
        <v>2280</v>
      </c>
      <c r="AH238" s="97">
        <f t="shared" si="90"/>
        <v>14280</v>
      </c>
      <c r="AI238" s="11"/>
      <c r="AJ238" s="11"/>
      <c r="AK238" s="17"/>
      <c r="AL238" s="97"/>
      <c r="AM238" s="97"/>
      <c r="AN238" s="101"/>
      <c r="AO238" s="248"/>
      <c r="AP238" s="17"/>
      <c r="AQ238" s="17"/>
      <c r="AR238" s="252"/>
      <c r="AS238" s="136"/>
      <c r="AT238" s="137"/>
      <c r="AU238" s="52"/>
      <c r="AV238" s="52"/>
      <c r="AW238" s="30"/>
      <c r="AX238" s="100"/>
      <c r="AY238" s="174"/>
      <c r="AZ238" s="124"/>
      <c r="BA238" s="169"/>
      <c r="BB238" s="116"/>
      <c r="BC238" s="116"/>
      <c r="BD238" s="247"/>
      <c r="BE238" s="124"/>
      <c r="BF238" s="124"/>
      <c r="BG238" s="116"/>
      <c r="BH238" s="116"/>
      <c r="BI238" s="116"/>
      <c r="BJ238" s="124"/>
      <c r="BK238" s="124"/>
      <c r="BL238" s="124"/>
      <c r="BM238" s="116"/>
      <c r="BN238" s="116"/>
      <c r="BO238" s="116"/>
      <c r="BP238" s="124"/>
      <c r="BQ238" s="116"/>
      <c r="BR238" s="116"/>
      <c r="BS238" s="116"/>
      <c r="BT238" s="116"/>
      <c r="BU238" s="116"/>
      <c r="BV238" s="236">
        <f>56800/2</f>
        <v>28400</v>
      </c>
      <c r="BW238" s="125">
        <f t="shared" si="91"/>
        <v>5396</v>
      </c>
      <c r="BX238" s="97">
        <f t="shared" si="92"/>
        <v>33796</v>
      </c>
      <c r="BY238" s="237" t="s">
        <v>324</v>
      </c>
      <c r="BZ238" s="237" t="s">
        <v>153</v>
      </c>
      <c r="CA238" s="116"/>
      <c r="CB238" s="247">
        <v>18500</v>
      </c>
      <c r="CC238" s="125">
        <f>+CB238*19%</f>
        <v>3515</v>
      </c>
      <c r="CD238" s="247">
        <f>+CC238+CB238</f>
        <v>22015</v>
      </c>
      <c r="CE238" s="116"/>
      <c r="CF238" s="116"/>
      <c r="CG238" s="34"/>
      <c r="CH238" s="236">
        <f>58504/2</f>
        <v>29252</v>
      </c>
      <c r="CI238" s="238">
        <f>+CH238*0.19</f>
        <v>5557.88</v>
      </c>
      <c r="CJ238" s="236">
        <f>+CH238+CI238</f>
        <v>34809.879999999997</v>
      </c>
      <c r="CK238" s="237" t="s">
        <v>324</v>
      </c>
      <c r="CL238" s="237" t="s">
        <v>153</v>
      </c>
      <c r="CM238" s="116"/>
      <c r="CN238" s="247"/>
      <c r="CO238" s="125"/>
      <c r="CP238" s="247"/>
      <c r="CQ238" s="116"/>
      <c r="CR238" s="116"/>
      <c r="CS238" s="116"/>
      <c r="CT238" s="247"/>
      <c r="CU238" s="125"/>
      <c r="CV238" s="247"/>
      <c r="CW238" s="116"/>
      <c r="CX238" s="116"/>
      <c r="CY238" s="116"/>
      <c r="CZ238" s="102"/>
      <c r="DA238" s="125"/>
      <c r="DB238" s="102"/>
      <c r="DC238" s="31"/>
      <c r="DD238" s="17"/>
      <c r="DE238" s="11"/>
      <c r="DF238" s="116"/>
      <c r="DG238" s="116"/>
      <c r="DH238" s="116"/>
      <c r="DI238" s="116"/>
      <c r="DJ238" s="116"/>
      <c r="DK238" s="116"/>
      <c r="DL238" s="116"/>
      <c r="DM238" s="116"/>
      <c r="DN238" s="116"/>
      <c r="DO238" s="116"/>
      <c r="DP238" s="116"/>
      <c r="DQ238" s="116"/>
      <c r="DR238" s="116"/>
      <c r="DS238" s="116"/>
      <c r="DT238" s="116"/>
      <c r="DU238" s="116"/>
      <c r="DV238" s="116"/>
      <c r="DW238" s="116"/>
      <c r="DX238" s="116"/>
      <c r="DY238" s="116"/>
      <c r="DZ238" s="116"/>
      <c r="EA238" s="116"/>
      <c r="EB238" s="116"/>
      <c r="EC238" s="116"/>
      <c r="ED238" s="116"/>
      <c r="EE238" s="116"/>
      <c r="EF238" s="116"/>
      <c r="EG238" s="116"/>
      <c r="EH238" s="116"/>
      <c r="EI238" s="116"/>
      <c r="EJ238" s="116"/>
      <c r="EK238" s="116"/>
      <c r="EL238" s="116"/>
      <c r="EM238" s="116"/>
      <c r="EN238" s="116"/>
      <c r="EO238" s="116"/>
      <c r="EP238" s="116"/>
      <c r="EQ238" s="116"/>
      <c r="ER238" s="116"/>
      <c r="ES238" s="116"/>
      <c r="ET238" s="11"/>
      <c r="EU238" s="11"/>
      <c r="EV238" s="11"/>
      <c r="EW238" s="11"/>
      <c r="EX238" s="11"/>
      <c r="EY238" s="11"/>
      <c r="EZ238" s="11"/>
      <c r="FA238" s="11"/>
      <c r="FB238" s="11"/>
      <c r="FC238" s="11"/>
      <c r="FD238" s="11"/>
      <c r="FE238" s="11"/>
      <c r="FF238" s="11"/>
      <c r="FG238" s="11"/>
      <c r="FH238" s="17">
        <f t="shared" si="93"/>
        <v>123837.94500000001</v>
      </c>
      <c r="FI238" s="31">
        <f t="shared" si="94"/>
        <v>5</v>
      </c>
      <c r="FJ238" s="68">
        <f t="shared" si="95"/>
        <v>24767.589</v>
      </c>
    </row>
    <row r="239" spans="1:166" ht="38.25" x14ac:dyDescent="0.25">
      <c r="A239" s="248">
        <f>Distribución_Reactivos!A239</f>
        <v>237</v>
      </c>
      <c r="B239" s="248" t="str">
        <f>Distribución_Reactivos!B239</f>
        <v>Gelatin, Powder</v>
      </c>
      <c r="C239" s="248" t="str">
        <f>Distribución_Reactivos!C239</f>
        <v>Merck, JT. Baker, sigma o equivalente</v>
      </c>
      <c r="D239" s="248" t="str">
        <f>Distribución_Reactivos!D239</f>
        <v>Frasco x 500 g</v>
      </c>
      <c r="E239" s="29">
        <v>1</v>
      </c>
      <c r="F239" s="212">
        <v>405671</v>
      </c>
      <c r="G239" s="214">
        <v>393414</v>
      </c>
      <c r="H239" s="221">
        <v>460141.12882500002</v>
      </c>
      <c r="I239" s="221">
        <v>0</v>
      </c>
      <c r="J239" s="221">
        <v>514052.23333333334</v>
      </c>
      <c r="K239" s="221">
        <v>506940</v>
      </c>
      <c r="L239" s="247">
        <f t="shared" si="89"/>
        <v>459954.78738611116</v>
      </c>
      <c r="M239" s="247">
        <f>AVERAGE(G239,K239)*E1</f>
        <v>463682.31</v>
      </c>
      <c r="N239" s="219">
        <v>461500</v>
      </c>
      <c r="O239" s="97">
        <f>+N239*0.19</f>
        <v>87685</v>
      </c>
      <c r="P239" s="97">
        <f>+O239+N239</f>
        <v>549185</v>
      </c>
      <c r="Q239" s="34" t="s">
        <v>118</v>
      </c>
      <c r="R239" s="116" t="s">
        <v>119</v>
      </c>
      <c r="S239" s="53" t="s">
        <v>209</v>
      </c>
      <c r="T239" s="97"/>
      <c r="U239" s="97"/>
      <c r="V239" s="97"/>
      <c r="W239" s="115"/>
      <c r="X239" s="115"/>
      <c r="Y239" s="11"/>
      <c r="Z239" s="97"/>
      <c r="AA239" s="97"/>
      <c r="AB239" s="97"/>
      <c r="AC239" s="44"/>
      <c r="AD239" s="44"/>
      <c r="AE239" s="11"/>
      <c r="AF239" s="102">
        <v>200000</v>
      </c>
      <c r="AG239" s="125">
        <f>AF239*19%</f>
        <v>38000</v>
      </c>
      <c r="AH239" s="97">
        <f t="shared" si="90"/>
        <v>238000</v>
      </c>
      <c r="AI239" s="11"/>
      <c r="AJ239" s="11"/>
      <c r="AK239" s="17"/>
      <c r="AL239" s="97"/>
      <c r="AM239" s="97"/>
      <c r="AN239" s="101"/>
      <c r="AO239" s="248"/>
      <c r="AP239" s="17"/>
      <c r="AQ239" s="17"/>
      <c r="AR239" s="252">
        <v>748800</v>
      </c>
      <c r="AS239" s="97">
        <f>+AR239*0.19</f>
        <v>142272</v>
      </c>
      <c r="AT239" s="103">
        <f>+AR239+AS239</f>
        <v>891072</v>
      </c>
      <c r="AU239" s="52" t="s">
        <v>77</v>
      </c>
      <c r="AV239" s="52" t="s">
        <v>42</v>
      </c>
      <c r="AW239" s="30"/>
      <c r="AX239" s="100"/>
      <c r="AY239" s="100"/>
      <c r="AZ239" s="124"/>
      <c r="BA239" s="169"/>
      <c r="BB239" s="116"/>
      <c r="BC239" s="116"/>
      <c r="BD239" s="247"/>
      <c r="BE239" s="124"/>
      <c r="BF239" s="124"/>
      <c r="BG239" s="116"/>
      <c r="BH239" s="116"/>
      <c r="BI239" s="116"/>
      <c r="BJ239" s="124"/>
      <c r="BK239" s="124"/>
      <c r="BL239" s="124"/>
      <c r="BM239" s="116"/>
      <c r="BN239" s="116"/>
      <c r="BO239" s="116"/>
      <c r="BP239" s="124"/>
      <c r="BQ239" s="116"/>
      <c r="BR239" s="116"/>
      <c r="BS239" s="116"/>
      <c r="BT239" s="116"/>
      <c r="BU239" s="116"/>
      <c r="BV239" s="236">
        <v>1051000</v>
      </c>
      <c r="BW239" s="125">
        <f t="shared" si="91"/>
        <v>199690</v>
      </c>
      <c r="BX239" s="97">
        <f t="shared" si="92"/>
        <v>1250690</v>
      </c>
      <c r="BY239" s="237" t="s">
        <v>319</v>
      </c>
      <c r="BZ239" s="237" t="s">
        <v>93</v>
      </c>
      <c r="CA239" s="116"/>
      <c r="CB239" s="247"/>
      <c r="CC239" s="125"/>
      <c r="CD239" s="247"/>
      <c r="CE239" s="116"/>
      <c r="CF239" s="116"/>
      <c r="CG239" s="34"/>
      <c r="CH239" s="236"/>
      <c r="CI239" s="238"/>
      <c r="CJ239" s="236"/>
      <c r="CK239" s="237"/>
      <c r="CL239" s="237"/>
      <c r="CM239" s="116"/>
      <c r="CN239" s="247"/>
      <c r="CO239" s="125"/>
      <c r="CP239" s="247"/>
      <c r="CQ239" s="116"/>
      <c r="CR239" s="116"/>
      <c r="CS239" s="116"/>
      <c r="CT239" s="247"/>
      <c r="CU239" s="125"/>
      <c r="CV239" s="247"/>
      <c r="CW239" s="116"/>
      <c r="CX239" s="116"/>
      <c r="CY239" s="116"/>
      <c r="CZ239" s="102"/>
      <c r="DA239" s="125"/>
      <c r="DB239" s="102"/>
      <c r="DC239" s="31"/>
      <c r="DD239" s="17"/>
      <c r="DE239" s="11"/>
      <c r="DF239" s="116"/>
      <c r="DG239" s="116"/>
      <c r="DH239" s="116"/>
      <c r="DI239" s="116"/>
      <c r="DJ239" s="116"/>
      <c r="DK239" s="116"/>
      <c r="DL239" s="116"/>
      <c r="DM239" s="116"/>
      <c r="DN239" s="116"/>
      <c r="DO239" s="116"/>
      <c r="DP239" s="116"/>
      <c r="DQ239" s="116"/>
      <c r="DR239" s="116"/>
      <c r="DS239" s="116"/>
      <c r="DT239" s="116"/>
      <c r="DU239" s="116"/>
      <c r="DV239" s="116"/>
      <c r="DW239" s="116"/>
      <c r="DX239" s="116"/>
      <c r="DY239" s="116"/>
      <c r="DZ239" s="116"/>
      <c r="EA239" s="116"/>
      <c r="EB239" s="116"/>
      <c r="EC239" s="116"/>
      <c r="ED239" s="116"/>
      <c r="EE239" s="116"/>
      <c r="EF239" s="116"/>
      <c r="EG239" s="116"/>
      <c r="EH239" s="116"/>
      <c r="EI239" s="116"/>
      <c r="EJ239" s="116"/>
      <c r="EK239" s="116"/>
      <c r="EL239" s="116"/>
      <c r="EM239" s="116"/>
      <c r="EN239" s="116"/>
      <c r="EO239" s="116"/>
      <c r="EP239" s="116"/>
      <c r="EQ239" s="116"/>
      <c r="ER239" s="116"/>
      <c r="ES239" s="116"/>
      <c r="ET239" s="11"/>
      <c r="EU239" s="11"/>
      <c r="EV239" s="11"/>
      <c r="EW239" s="11"/>
      <c r="EX239" s="11"/>
      <c r="EY239" s="11"/>
      <c r="EZ239" s="11"/>
      <c r="FA239" s="11"/>
      <c r="FB239" s="11"/>
      <c r="FC239" s="11"/>
      <c r="FD239" s="11"/>
      <c r="FE239" s="11"/>
      <c r="FF239" s="11"/>
      <c r="FG239" s="11"/>
      <c r="FH239" s="17">
        <f t="shared" si="93"/>
        <v>3392629.31</v>
      </c>
      <c r="FI239" s="31">
        <f t="shared" si="94"/>
        <v>5</v>
      </c>
      <c r="FJ239" s="68">
        <f t="shared" si="95"/>
        <v>678525.86199999996</v>
      </c>
    </row>
    <row r="240" spans="1:166" ht="38.25" x14ac:dyDescent="0.25">
      <c r="A240" s="248">
        <f>Distribución_Reactivos!A240</f>
        <v>238</v>
      </c>
      <c r="B240" s="248" t="str">
        <f>Distribución_Reactivos!B240</f>
        <v>Gelatina</v>
      </c>
      <c r="C240" s="248" t="str">
        <f>Distribución_Reactivos!C240</f>
        <v>Merck, Acumedia, BBL, Sharlau, Sigma</v>
      </c>
      <c r="D240" s="248" t="str">
        <f>Distribución_Reactivos!D240</f>
        <v>Frasco x 100 g</v>
      </c>
      <c r="E240" s="29">
        <v>1</v>
      </c>
      <c r="F240" s="212">
        <v>144466</v>
      </c>
      <c r="G240" s="214">
        <v>0</v>
      </c>
      <c r="H240" s="221">
        <v>550962.86396666663</v>
      </c>
      <c r="I240" s="221">
        <v>550851</v>
      </c>
      <c r="J240" s="221">
        <v>550672.5</v>
      </c>
      <c r="K240" s="221">
        <v>0</v>
      </c>
      <c r="L240" s="247">
        <f>AVERAGE(F240,H240,J240)</f>
        <v>415367.12132222223</v>
      </c>
      <c r="M240" s="247">
        <f>I240*E1</f>
        <v>567376.53</v>
      </c>
      <c r="N240" s="217"/>
      <c r="O240" s="97"/>
      <c r="P240" s="97"/>
      <c r="Q240" s="115"/>
      <c r="R240" s="115"/>
      <c r="S240" s="53"/>
      <c r="T240" s="97"/>
      <c r="U240" s="97"/>
      <c r="V240" s="97"/>
      <c r="W240" s="115"/>
      <c r="X240" s="115"/>
      <c r="Y240" s="11"/>
      <c r="Z240" s="97"/>
      <c r="AA240" s="97"/>
      <c r="AB240" s="97"/>
      <c r="AC240" s="44"/>
      <c r="AD240" s="44"/>
      <c r="AE240" s="11"/>
      <c r="AF240" s="102">
        <v>750000</v>
      </c>
      <c r="AG240" s="125">
        <f>AF240*19%</f>
        <v>142500</v>
      </c>
      <c r="AH240" s="97">
        <f>+AF240+AG240</f>
        <v>892500</v>
      </c>
      <c r="AI240" s="11"/>
      <c r="AJ240" s="11"/>
      <c r="AK240" s="17"/>
      <c r="AL240" s="97"/>
      <c r="AM240" s="97"/>
      <c r="AN240" s="101"/>
      <c r="AO240" s="248"/>
      <c r="AP240" s="17"/>
      <c r="AQ240" s="17"/>
      <c r="AR240" s="252">
        <v>216000</v>
      </c>
      <c r="AS240" s="97">
        <f>+AR240*0.19</f>
        <v>41040</v>
      </c>
      <c r="AT240" s="103">
        <f>+AR240+AS240</f>
        <v>257040</v>
      </c>
      <c r="AU240" s="52" t="s">
        <v>61</v>
      </c>
      <c r="AV240" s="52" t="s">
        <v>42</v>
      </c>
      <c r="AW240" s="30"/>
      <c r="AX240" s="100"/>
      <c r="AY240" s="174"/>
      <c r="AZ240" s="124"/>
      <c r="BA240" s="169"/>
      <c r="BB240" s="116"/>
      <c r="BC240" s="116"/>
      <c r="BD240" s="247"/>
      <c r="BE240" s="180"/>
      <c r="BF240" s="247"/>
      <c r="BG240" s="247"/>
      <c r="BH240" s="247"/>
      <c r="BI240" s="116"/>
      <c r="BJ240" s="124"/>
      <c r="BK240" s="124"/>
      <c r="BL240" s="124"/>
      <c r="BM240" s="116"/>
      <c r="BN240" s="116"/>
      <c r="BO240" s="116"/>
      <c r="BP240" s="124"/>
      <c r="BQ240" s="116"/>
      <c r="BR240" s="116"/>
      <c r="BS240" s="116"/>
      <c r="BT240" s="116"/>
      <c r="BU240" s="116"/>
      <c r="BV240" s="236">
        <v>1051000</v>
      </c>
      <c r="BW240" s="125">
        <f t="shared" si="91"/>
        <v>199690</v>
      </c>
      <c r="BX240" s="97">
        <f t="shared" si="92"/>
        <v>1250690</v>
      </c>
      <c r="BY240" s="237" t="s">
        <v>319</v>
      </c>
      <c r="BZ240" s="237" t="s">
        <v>93</v>
      </c>
      <c r="CA240" s="116"/>
      <c r="CB240" s="247"/>
      <c r="CC240" s="125"/>
      <c r="CD240" s="247"/>
      <c r="CE240" s="116"/>
      <c r="CF240" s="116"/>
      <c r="CG240" s="34"/>
      <c r="CH240" s="236"/>
      <c r="CI240" s="238"/>
      <c r="CJ240" s="236"/>
      <c r="CK240" s="237"/>
      <c r="CL240" s="237"/>
      <c r="CM240" s="116"/>
      <c r="CN240" s="247"/>
      <c r="CO240" s="125"/>
      <c r="CP240" s="247"/>
      <c r="CQ240" s="116"/>
      <c r="CR240" s="116"/>
      <c r="CS240" s="116"/>
      <c r="CT240" s="247"/>
      <c r="CU240" s="125"/>
      <c r="CV240" s="247"/>
      <c r="CW240" s="116"/>
      <c r="CX240" s="116"/>
      <c r="CY240" s="116"/>
      <c r="CZ240" s="102"/>
      <c r="DA240" s="125"/>
      <c r="DB240" s="102"/>
      <c r="DC240" s="31"/>
      <c r="DD240" s="17"/>
      <c r="DE240" s="11"/>
      <c r="DF240" s="116"/>
      <c r="DG240" s="116"/>
      <c r="DH240" s="116"/>
      <c r="DI240" s="116"/>
      <c r="DJ240" s="116"/>
      <c r="DK240" s="116"/>
      <c r="DL240" s="116"/>
      <c r="DM240" s="116"/>
      <c r="DN240" s="116"/>
      <c r="DO240" s="116"/>
      <c r="DP240" s="116"/>
      <c r="DQ240" s="116"/>
      <c r="DR240" s="116"/>
      <c r="DS240" s="116"/>
      <c r="DT240" s="116"/>
      <c r="DU240" s="116"/>
      <c r="DV240" s="116"/>
      <c r="DW240" s="116"/>
      <c r="DX240" s="116"/>
      <c r="DY240" s="116"/>
      <c r="DZ240" s="116"/>
      <c r="EA240" s="116"/>
      <c r="EB240" s="116"/>
      <c r="EC240" s="116"/>
      <c r="ED240" s="116"/>
      <c r="EE240" s="116"/>
      <c r="EF240" s="116"/>
      <c r="EG240" s="116"/>
      <c r="EH240" s="116"/>
      <c r="EI240" s="116"/>
      <c r="EJ240" s="116"/>
      <c r="EK240" s="116"/>
      <c r="EL240" s="116"/>
      <c r="EM240" s="116"/>
      <c r="EN240" s="116"/>
      <c r="EO240" s="116"/>
      <c r="EP240" s="116"/>
      <c r="EQ240" s="116"/>
      <c r="ER240" s="116"/>
      <c r="ES240" s="116"/>
      <c r="ET240" s="11"/>
      <c r="EU240" s="11"/>
      <c r="EV240" s="11"/>
      <c r="EW240" s="11"/>
      <c r="EX240" s="11"/>
      <c r="EY240" s="11"/>
      <c r="EZ240" s="11"/>
      <c r="FA240" s="11"/>
      <c r="FB240" s="11"/>
      <c r="FC240" s="11"/>
      <c r="FD240" s="11"/>
      <c r="FE240" s="11"/>
      <c r="FF240" s="11"/>
      <c r="FG240" s="11"/>
      <c r="FH240" s="17">
        <f t="shared" si="93"/>
        <v>2967606.5300000003</v>
      </c>
      <c r="FI240" s="31">
        <f t="shared" si="94"/>
        <v>4</v>
      </c>
      <c r="FJ240" s="68">
        <f t="shared" si="95"/>
        <v>741901.63250000007</v>
      </c>
    </row>
    <row r="241" spans="1:166" ht="13.5" x14ac:dyDescent="0.25">
      <c r="A241" s="248">
        <f>Distribución_Reactivos!A241</f>
        <v>239</v>
      </c>
      <c r="B241" s="248" t="str">
        <f>Distribución_Reactivos!B241</f>
        <v>Gentamicina en solución 50 mg/ml</v>
      </c>
      <c r="C241" s="248" t="str">
        <f>Distribución_Reactivos!C241</f>
        <v>Sigma</v>
      </c>
      <c r="D241" s="248" t="str">
        <f>Distribución_Reactivos!D241</f>
        <v>Frasco x 10 ml</v>
      </c>
      <c r="E241" s="29">
        <v>1</v>
      </c>
      <c r="F241" s="212">
        <v>577837.22499999998</v>
      </c>
      <c r="G241" s="214">
        <v>554659</v>
      </c>
      <c r="H241" s="221">
        <v>602252.34727250005</v>
      </c>
      <c r="I241" s="221">
        <v>602140</v>
      </c>
      <c r="J241" s="221">
        <v>514195.97500000003</v>
      </c>
      <c r="K241" s="221">
        <v>428000</v>
      </c>
      <c r="L241" s="247">
        <f>AVERAGE(F241,H241,J241)</f>
        <v>564761.84909083333</v>
      </c>
      <c r="M241" s="247">
        <f>AVERAGE(G241,I241,K241)*E1</f>
        <v>544114.32333333336</v>
      </c>
      <c r="N241" s="217"/>
      <c r="O241" s="97"/>
      <c r="P241" s="97"/>
      <c r="Q241" s="115"/>
      <c r="R241" s="115"/>
      <c r="S241" s="53"/>
      <c r="T241" s="97"/>
      <c r="U241" s="101"/>
      <c r="V241" s="97"/>
      <c r="W241" s="115"/>
      <c r="X241" s="115"/>
      <c r="Y241" s="11"/>
      <c r="Z241" s="97"/>
      <c r="AA241" s="97"/>
      <c r="AB241" s="97"/>
      <c r="AC241" s="44"/>
      <c r="AD241" s="44"/>
      <c r="AE241" s="11"/>
      <c r="AF241" s="102"/>
      <c r="AG241" s="125"/>
      <c r="AH241" s="97"/>
      <c r="AI241" s="11"/>
      <c r="AJ241" s="11"/>
      <c r="AK241" s="17"/>
      <c r="AL241" s="97"/>
      <c r="AM241" s="97"/>
      <c r="AN241" s="101"/>
      <c r="AO241" s="248"/>
      <c r="AP241" s="17"/>
      <c r="AQ241" s="17"/>
      <c r="AR241" s="252"/>
      <c r="AS241" s="136"/>
      <c r="AT241" s="137"/>
      <c r="AU241" s="52"/>
      <c r="AV241" s="52"/>
      <c r="AW241" s="30"/>
      <c r="AX241" s="100"/>
      <c r="AY241" s="100"/>
      <c r="AZ241" s="124"/>
      <c r="BA241" s="169"/>
      <c r="BB241" s="116"/>
      <c r="BC241" s="116"/>
      <c r="BD241" s="247"/>
      <c r="BE241" s="124"/>
      <c r="BF241" s="124"/>
      <c r="BG241" s="116"/>
      <c r="BH241" s="116"/>
      <c r="BI241" s="116"/>
      <c r="BJ241" s="124"/>
      <c r="BK241" s="124"/>
      <c r="BL241" s="124"/>
      <c r="BM241" s="116"/>
      <c r="BN241" s="116"/>
      <c r="BO241" s="116"/>
      <c r="BP241" s="124"/>
      <c r="BQ241" s="116"/>
      <c r="BR241" s="116"/>
      <c r="BS241" s="116"/>
      <c r="BT241" s="116"/>
      <c r="BU241" s="116"/>
      <c r="BV241" s="236">
        <v>346500</v>
      </c>
      <c r="BW241" s="125">
        <f>BV241*0</f>
        <v>0</v>
      </c>
      <c r="BX241" s="97">
        <f t="shared" si="92"/>
        <v>346500</v>
      </c>
      <c r="BY241" s="237" t="s">
        <v>325</v>
      </c>
      <c r="BZ241" s="237" t="s">
        <v>44</v>
      </c>
      <c r="CA241" s="116"/>
      <c r="CB241" s="247"/>
      <c r="CC241" s="125"/>
      <c r="CD241" s="247"/>
      <c r="CE241" s="116"/>
      <c r="CF241" s="116"/>
      <c r="CG241" s="34"/>
      <c r="CH241" s="236">
        <v>363825</v>
      </c>
      <c r="CI241" s="238">
        <f>+CH241*0</f>
        <v>0</v>
      </c>
      <c r="CJ241" s="236">
        <f>+CH241+CI241</f>
        <v>363825</v>
      </c>
      <c r="CK241" s="237" t="s">
        <v>325</v>
      </c>
      <c r="CL241" s="237" t="s">
        <v>44</v>
      </c>
      <c r="CM241" s="116"/>
      <c r="CN241" s="247"/>
      <c r="CO241" s="125"/>
      <c r="CP241" s="247"/>
      <c r="CQ241" s="116"/>
      <c r="CR241" s="116"/>
      <c r="CS241" s="116"/>
      <c r="CT241" s="247"/>
      <c r="CU241" s="125"/>
      <c r="CV241" s="247"/>
      <c r="CW241" s="116"/>
      <c r="CX241" s="116"/>
      <c r="CY241" s="116"/>
      <c r="CZ241" s="102"/>
      <c r="DA241" s="125"/>
      <c r="DB241" s="102"/>
      <c r="DC241" s="31"/>
      <c r="DD241" s="17"/>
      <c r="DE241" s="11"/>
      <c r="DF241" s="116"/>
      <c r="DG241" s="116"/>
      <c r="DH241" s="116"/>
      <c r="DI241" s="116"/>
      <c r="DJ241" s="116"/>
      <c r="DK241" s="116"/>
      <c r="DL241" s="116"/>
      <c r="DM241" s="116"/>
      <c r="DN241" s="116"/>
      <c r="DO241" s="116"/>
      <c r="DP241" s="116"/>
      <c r="DQ241" s="116"/>
      <c r="DR241" s="116"/>
      <c r="DS241" s="116"/>
      <c r="DT241" s="116"/>
      <c r="DU241" s="116"/>
      <c r="DV241" s="116"/>
      <c r="DW241" s="116"/>
      <c r="DX241" s="116"/>
      <c r="DY241" s="116"/>
      <c r="DZ241" s="116"/>
      <c r="EA241" s="116"/>
      <c r="EB241" s="116"/>
      <c r="EC241" s="116"/>
      <c r="ED241" s="116"/>
      <c r="EE241" s="116"/>
      <c r="EF241" s="116"/>
      <c r="EG241" s="116"/>
      <c r="EH241" s="116"/>
      <c r="EI241" s="116"/>
      <c r="EJ241" s="116"/>
      <c r="EK241" s="116"/>
      <c r="EL241" s="116"/>
      <c r="EM241" s="116"/>
      <c r="EN241" s="116"/>
      <c r="EO241" s="116"/>
      <c r="EP241" s="116"/>
      <c r="EQ241" s="116"/>
      <c r="ER241" s="116"/>
      <c r="ES241" s="116"/>
      <c r="ET241" s="11"/>
      <c r="EU241" s="11"/>
      <c r="EV241" s="11"/>
      <c r="EW241" s="11"/>
      <c r="EX241" s="11"/>
      <c r="EY241" s="11"/>
      <c r="EZ241" s="11"/>
      <c r="FA241" s="11"/>
      <c r="FB241" s="11"/>
      <c r="FC241" s="11"/>
      <c r="FD241" s="11"/>
      <c r="FE241" s="11"/>
      <c r="FF241" s="11"/>
      <c r="FG241" s="11"/>
      <c r="FH241" s="17">
        <f t="shared" si="93"/>
        <v>1254439.3233333332</v>
      </c>
      <c r="FI241" s="31">
        <f t="shared" si="94"/>
        <v>3</v>
      </c>
      <c r="FJ241" s="68">
        <f t="shared" si="95"/>
        <v>418146.44111111108</v>
      </c>
    </row>
    <row r="242" spans="1:166" ht="40.5" x14ac:dyDescent="0.25">
      <c r="A242" s="248">
        <f>Distribución_Reactivos!A242</f>
        <v>240</v>
      </c>
      <c r="B242" s="248" t="str">
        <f>Distribución_Reactivos!B242</f>
        <v>Germen de trigo</v>
      </c>
      <c r="C242" s="248" t="str">
        <f>Distribución_Reactivos!C242</f>
        <v>Cualquier marca</v>
      </c>
      <c r="D242" s="248" t="str">
        <f>Distribución_Reactivos!D242</f>
        <v>Bolsa x 300 g</v>
      </c>
      <c r="E242" s="29">
        <v>1</v>
      </c>
      <c r="F242" s="212">
        <v>0</v>
      </c>
      <c r="G242" s="214">
        <v>0</v>
      </c>
      <c r="H242" s="221">
        <v>0</v>
      </c>
      <c r="I242" s="221">
        <v>0</v>
      </c>
      <c r="J242" s="221">
        <v>0</v>
      </c>
      <c r="K242" s="221">
        <v>0</v>
      </c>
      <c r="L242" s="247"/>
      <c r="M242" s="247"/>
      <c r="N242" s="217"/>
      <c r="O242" s="97"/>
      <c r="P242" s="97"/>
      <c r="Q242" s="115"/>
      <c r="R242" s="115"/>
      <c r="S242" s="53"/>
      <c r="T242" s="97"/>
      <c r="U242" s="101"/>
      <c r="V242" s="97"/>
      <c r="W242" s="115"/>
      <c r="X242" s="115"/>
      <c r="Y242" s="11"/>
      <c r="Z242" s="101"/>
      <c r="AA242" s="97"/>
      <c r="AB242" s="97"/>
      <c r="AC242" s="115"/>
      <c r="AD242" s="44"/>
      <c r="AE242" s="11"/>
      <c r="AF242" s="97"/>
      <c r="AG242" s="125"/>
      <c r="AH242" s="97"/>
      <c r="AI242" s="11"/>
      <c r="AJ242" s="11"/>
      <c r="AK242" s="17"/>
      <c r="AL242" s="97"/>
      <c r="AM242" s="97"/>
      <c r="AN242" s="101"/>
      <c r="AO242" s="248"/>
      <c r="AP242" s="17"/>
      <c r="AQ242" s="17"/>
      <c r="AR242" s="252"/>
      <c r="AS242" s="136"/>
      <c r="AT242" s="137"/>
      <c r="AU242" s="52"/>
      <c r="AV242" s="52"/>
      <c r="AW242" s="30"/>
      <c r="AX242" s="100"/>
      <c r="AY242" s="100"/>
      <c r="AZ242" s="124"/>
      <c r="BA242" s="169"/>
      <c r="BB242" s="116"/>
      <c r="BC242" s="116"/>
      <c r="BD242" s="252"/>
      <c r="BE242" s="124"/>
      <c r="BF242" s="124"/>
      <c r="BG242" s="116"/>
      <c r="BH242" s="116"/>
      <c r="BI242" s="116"/>
      <c r="BJ242" s="124"/>
      <c r="BK242" s="124"/>
      <c r="BL242" s="124"/>
      <c r="BM242" s="116"/>
      <c r="BN242" s="116"/>
      <c r="BO242" s="116"/>
      <c r="BP242" s="124"/>
      <c r="BQ242" s="116"/>
      <c r="BR242" s="116"/>
      <c r="BS242" s="116"/>
      <c r="BT242" s="116"/>
      <c r="BU242" s="116"/>
      <c r="BV242" s="240">
        <v>76400</v>
      </c>
      <c r="BW242" s="125">
        <f>BV242*19%</f>
        <v>14516</v>
      </c>
      <c r="BX242" s="97">
        <f t="shared" si="92"/>
        <v>90916</v>
      </c>
      <c r="BY242" s="237" t="s">
        <v>326</v>
      </c>
      <c r="BZ242" s="237" t="s">
        <v>153</v>
      </c>
      <c r="CA242" s="116"/>
      <c r="CB242" s="252"/>
      <c r="CC242" s="124"/>
      <c r="CD242" s="252"/>
      <c r="CE242" s="116"/>
      <c r="CF242" s="116"/>
      <c r="CG242" s="34"/>
      <c r="CH242" s="240">
        <v>78692</v>
      </c>
      <c r="CI242" s="238">
        <f>+CH242*0.19</f>
        <v>14951.48</v>
      </c>
      <c r="CJ242" s="236">
        <f>+CH242+CI242</f>
        <v>93643.48</v>
      </c>
      <c r="CK242" s="237" t="s">
        <v>326</v>
      </c>
      <c r="CL242" s="237" t="s">
        <v>153</v>
      </c>
      <c r="CM242" s="116"/>
      <c r="CN242" s="252"/>
      <c r="CO242" s="124"/>
      <c r="CP242" s="252"/>
      <c r="CQ242" s="116"/>
      <c r="CR242" s="116"/>
      <c r="CS242" s="116"/>
      <c r="CT242" s="252"/>
      <c r="CU242" s="124"/>
      <c r="CV242" s="252"/>
      <c r="CW242" s="116"/>
      <c r="CX242" s="116"/>
      <c r="CY242" s="116"/>
      <c r="CZ242" s="97"/>
      <c r="DA242" s="124"/>
      <c r="DB242" s="97"/>
      <c r="DC242" s="31"/>
      <c r="DD242" s="17"/>
      <c r="DE242" s="11"/>
      <c r="DF242" s="116"/>
      <c r="DG242" s="116"/>
      <c r="DH242" s="116"/>
      <c r="DI242" s="116"/>
      <c r="DJ242" s="116"/>
      <c r="DK242" s="116"/>
      <c r="DL242" s="116"/>
      <c r="DM242" s="116"/>
      <c r="DN242" s="116"/>
      <c r="DO242" s="116"/>
      <c r="DP242" s="116"/>
      <c r="DQ242" s="116"/>
      <c r="DR242" s="116"/>
      <c r="DS242" s="116"/>
      <c r="DT242" s="116"/>
      <c r="DU242" s="116"/>
      <c r="DV242" s="116"/>
      <c r="DW242" s="116"/>
      <c r="DX242" s="116"/>
      <c r="DY242" s="116"/>
      <c r="DZ242" s="116"/>
      <c r="EA242" s="116"/>
      <c r="EB242" s="116"/>
      <c r="EC242" s="116"/>
      <c r="ED242" s="116"/>
      <c r="EE242" s="116"/>
      <c r="EF242" s="116"/>
      <c r="EG242" s="116"/>
      <c r="EH242" s="116"/>
      <c r="EI242" s="116"/>
      <c r="EJ242" s="116"/>
      <c r="EK242" s="116"/>
      <c r="EL242" s="116"/>
      <c r="EM242" s="116"/>
      <c r="EN242" s="116"/>
      <c r="EO242" s="116"/>
      <c r="EP242" s="116"/>
      <c r="EQ242" s="116"/>
      <c r="ER242" s="116"/>
      <c r="ES242" s="116"/>
      <c r="ET242" s="11"/>
      <c r="EU242" s="11"/>
      <c r="EV242" s="11"/>
      <c r="EW242" s="11"/>
      <c r="EX242" s="11"/>
      <c r="EY242" s="11"/>
      <c r="EZ242" s="11"/>
      <c r="FA242" s="11"/>
      <c r="FB242" s="11"/>
      <c r="FC242" s="11"/>
      <c r="FD242" s="11"/>
      <c r="FE242" s="11"/>
      <c r="FF242" s="11"/>
      <c r="FG242" s="11"/>
      <c r="FH242" s="17">
        <f t="shared" si="93"/>
        <v>184559.47999999998</v>
      </c>
      <c r="FI242" s="31">
        <f t="shared" si="94"/>
        <v>2</v>
      </c>
      <c r="FJ242" s="68">
        <f t="shared" si="95"/>
        <v>92279.739999999991</v>
      </c>
    </row>
    <row r="243" spans="1:166" ht="40.5" x14ac:dyDescent="0.25">
      <c r="A243" s="248">
        <f>Distribución_Reactivos!A243</f>
        <v>241</v>
      </c>
      <c r="B243" s="248" t="str">
        <f>Distribución_Reactivos!B243</f>
        <v>Glicerina al 87 a 99%  o superior</v>
      </c>
      <c r="C243" s="248" t="str">
        <f>Distribución_Reactivos!C243</f>
        <v xml:space="preserve">Merck </v>
      </c>
      <c r="D243" s="248" t="str">
        <f>Distribución_Reactivos!D243</f>
        <v>Frasco x 1 litro</v>
      </c>
      <c r="E243" s="29">
        <v>1</v>
      </c>
      <c r="F243" s="212">
        <v>0</v>
      </c>
      <c r="G243" s="214">
        <v>0</v>
      </c>
      <c r="H243" s="221">
        <v>0</v>
      </c>
      <c r="I243" s="221">
        <v>0</v>
      </c>
      <c r="J243" s="221">
        <v>390923.71387096774</v>
      </c>
      <c r="K243" s="221">
        <v>0</v>
      </c>
      <c r="L243" s="247">
        <f>J243</f>
        <v>390923.71387096774</v>
      </c>
      <c r="M243" s="247"/>
      <c r="N243" s="217"/>
      <c r="O243" s="97"/>
      <c r="P243" s="97"/>
      <c r="Q243" s="115"/>
      <c r="R243" s="115"/>
      <c r="S243" s="53"/>
      <c r="T243" s="97"/>
      <c r="U243" s="105"/>
      <c r="V243" s="97"/>
      <c r="W243" s="115"/>
      <c r="X243" s="115"/>
      <c r="Y243" s="11"/>
      <c r="Z243" s="97"/>
      <c r="AA243" s="97"/>
      <c r="AB243" s="97"/>
      <c r="AC243" s="44"/>
      <c r="AD243" s="44"/>
      <c r="AE243" s="11"/>
      <c r="AF243" s="102">
        <v>750000</v>
      </c>
      <c r="AG243" s="125">
        <f>AF243*19%</f>
        <v>142500</v>
      </c>
      <c r="AH243" s="97">
        <f>+AF243+AG243</f>
        <v>892500</v>
      </c>
      <c r="AI243" s="11"/>
      <c r="AJ243" s="11"/>
      <c r="AK243" s="17"/>
      <c r="AL243" s="97">
        <v>210000</v>
      </c>
      <c r="AM243" s="97">
        <f>+AL243*0.19</f>
        <v>39900</v>
      </c>
      <c r="AN243" s="103">
        <f>+AL243+AM243</f>
        <v>249900</v>
      </c>
      <c r="AO243" s="248" t="s">
        <v>56</v>
      </c>
      <c r="AP243" s="17" t="s">
        <v>52</v>
      </c>
      <c r="AQ243" s="17"/>
      <c r="AR243" s="252">
        <v>199085</v>
      </c>
      <c r="AS243" s="97">
        <f>+AR243*0.19</f>
        <v>37826.15</v>
      </c>
      <c r="AT243" s="103">
        <f>+AR243+AS243</f>
        <v>236911.15</v>
      </c>
      <c r="AU243" s="52" t="s">
        <v>56</v>
      </c>
      <c r="AV243" s="52" t="s">
        <v>52</v>
      </c>
      <c r="AW243" s="30"/>
      <c r="AX243" s="100">
        <v>571179.46189799998</v>
      </c>
      <c r="AY243" s="100">
        <f>+AX243*0.19</f>
        <v>108524.09776062</v>
      </c>
      <c r="AZ243" s="124">
        <f>+AX243+AY243</f>
        <v>679703.55965862004</v>
      </c>
      <c r="BA243" s="169" t="s">
        <v>56</v>
      </c>
      <c r="BB243" s="116" t="s">
        <v>203</v>
      </c>
      <c r="BC243" s="116"/>
      <c r="BD243" s="247"/>
      <c r="BE243" s="124"/>
      <c r="BF243" s="124"/>
      <c r="BG243" s="116"/>
      <c r="BH243" s="116"/>
      <c r="BI243" s="116"/>
      <c r="BJ243" s="124"/>
      <c r="BK243" s="124"/>
      <c r="BL243" s="124"/>
      <c r="BM243" s="116"/>
      <c r="BN243" s="116"/>
      <c r="BO243" s="116"/>
      <c r="BP243" s="124"/>
      <c r="BQ243" s="116"/>
      <c r="BR243" s="116"/>
      <c r="BS243" s="116"/>
      <c r="BT243" s="116"/>
      <c r="BU243" s="116"/>
      <c r="BV243" s="236">
        <v>784000</v>
      </c>
      <c r="BW243" s="125">
        <f>BV243*19%</f>
        <v>148960</v>
      </c>
      <c r="BX243" s="97">
        <f t="shared" si="92"/>
        <v>932960</v>
      </c>
      <c r="BY243" s="237" t="s">
        <v>308</v>
      </c>
      <c r="BZ243" s="237" t="s">
        <v>327</v>
      </c>
      <c r="CA243" s="116"/>
      <c r="CB243" s="247"/>
      <c r="CC243" s="125"/>
      <c r="CD243" s="247"/>
      <c r="CE243" s="116"/>
      <c r="CF243" s="116"/>
      <c r="CG243" s="34"/>
      <c r="CH243" s="236"/>
      <c r="CI243" s="238"/>
      <c r="CJ243" s="236"/>
      <c r="CK243" s="237"/>
      <c r="CL243" s="237"/>
      <c r="CM243" s="116"/>
      <c r="CN243" s="247"/>
      <c r="CO243" s="125"/>
      <c r="CP243" s="247"/>
      <c r="CQ243" s="116"/>
      <c r="CR243" s="116"/>
      <c r="CS243" s="116"/>
      <c r="CT243" s="247"/>
      <c r="CU243" s="125"/>
      <c r="CV243" s="247"/>
      <c r="CW243" s="116"/>
      <c r="CX243" s="116"/>
      <c r="CY243" s="116"/>
      <c r="CZ243" s="102"/>
      <c r="DA243" s="125"/>
      <c r="DB243" s="102"/>
      <c r="DC243" s="31"/>
      <c r="DD243" s="17"/>
      <c r="DE243" s="11"/>
      <c r="DF243" s="116"/>
      <c r="DG243" s="116"/>
      <c r="DH243" s="116"/>
      <c r="DI243" s="116"/>
      <c r="DJ243" s="116"/>
      <c r="DK243" s="116"/>
      <c r="DL243" s="116"/>
      <c r="DM243" s="116"/>
      <c r="DN243" s="116"/>
      <c r="DO243" s="116"/>
      <c r="DP243" s="116"/>
      <c r="DQ243" s="116"/>
      <c r="DR243" s="116"/>
      <c r="DS243" s="116"/>
      <c r="DT243" s="116"/>
      <c r="DU243" s="116"/>
      <c r="DV243" s="116"/>
      <c r="DW243" s="116"/>
      <c r="DX243" s="116"/>
      <c r="DY243" s="116"/>
      <c r="DZ243" s="116"/>
      <c r="EA243" s="116"/>
      <c r="EB243" s="116"/>
      <c r="EC243" s="116"/>
      <c r="ED243" s="116"/>
      <c r="EE243" s="116"/>
      <c r="EF243" s="116"/>
      <c r="EG243" s="116"/>
      <c r="EH243" s="116"/>
      <c r="EI243" s="116"/>
      <c r="EJ243" s="116"/>
      <c r="EK243" s="116"/>
      <c r="EL243" s="116"/>
      <c r="EM243" s="116"/>
      <c r="EN243" s="116"/>
      <c r="EO243" s="116"/>
      <c r="EP243" s="116"/>
      <c r="EQ243" s="116"/>
      <c r="ER243" s="116"/>
      <c r="ES243" s="116"/>
      <c r="ET243" s="11"/>
      <c r="EU243" s="11"/>
      <c r="EV243" s="11"/>
      <c r="EW243" s="11"/>
      <c r="EX243" s="11"/>
      <c r="EY243" s="11"/>
      <c r="EZ243" s="11"/>
      <c r="FA243" s="11"/>
      <c r="FB243" s="11"/>
      <c r="FC243" s="11"/>
      <c r="FD243" s="11"/>
      <c r="FE243" s="11"/>
      <c r="FF243" s="11"/>
      <c r="FG243" s="11"/>
      <c r="FH243" s="17">
        <f t="shared" si="93"/>
        <v>2991974.7096586199</v>
      </c>
      <c r="FI243" s="31">
        <f t="shared" si="94"/>
        <v>5</v>
      </c>
      <c r="FJ243" s="68">
        <f t="shared" si="95"/>
        <v>598394.94193172397</v>
      </c>
    </row>
    <row r="244" spans="1:166" ht="27" x14ac:dyDescent="0.25">
      <c r="A244" s="248">
        <f>Distribución_Reactivos!A244</f>
        <v>242</v>
      </c>
      <c r="B244" s="248" t="str">
        <f>Distribución_Reactivos!B244</f>
        <v>Glicerol al 99% puro</v>
      </c>
      <c r="C244" s="248" t="str">
        <f>Distribución_Reactivos!C244</f>
        <v xml:space="preserve">Fisher, JT Baker, Scharlau  </v>
      </c>
      <c r="D244" s="248" t="str">
        <f>Distribución_Reactivos!D244</f>
        <v>Frasco x 1 litro</v>
      </c>
      <c r="E244" s="29">
        <v>1</v>
      </c>
      <c r="F244" s="212">
        <v>363402.2</v>
      </c>
      <c r="G244" s="214">
        <v>357833</v>
      </c>
      <c r="H244" s="221">
        <v>394025.22386500001</v>
      </c>
      <c r="I244" s="221">
        <v>394009</v>
      </c>
      <c r="J244" s="221">
        <v>318125.12387096777</v>
      </c>
      <c r="K244" s="221">
        <v>310114</v>
      </c>
      <c r="L244" s="247">
        <f>AVERAGE(F244,H244,J244)</f>
        <v>358517.51591198921</v>
      </c>
      <c r="M244" s="247">
        <f>AVERAGE(G244,I244,K244)*E1</f>
        <v>364604.89333333331</v>
      </c>
      <c r="N244" s="217"/>
      <c r="O244" s="97"/>
      <c r="P244" s="97"/>
      <c r="Q244" s="115"/>
      <c r="R244" s="115"/>
      <c r="S244" s="53"/>
      <c r="T244" s="97">
        <v>380000</v>
      </c>
      <c r="U244" s="97">
        <f>+T244*0.19</f>
        <v>72200</v>
      </c>
      <c r="V244" s="97">
        <f>+T244+U244</f>
        <v>452200</v>
      </c>
      <c r="W244" s="115" t="s">
        <v>236</v>
      </c>
      <c r="X244" s="115" t="s">
        <v>129</v>
      </c>
      <c r="Y244" s="11"/>
      <c r="Z244" s="97"/>
      <c r="AA244" s="97"/>
      <c r="AB244" s="97"/>
      <c r="AC244" s="44"/>
      <c r="AD244" s="44"/>
      <c r="AE244" s="11"/>
      <c r="AF244" s="102">
        <v>150000</v>
      </c>
      <c r="AG244" s="125">
        <f>AF244*19%</f>
        <v>28500</v>
      </c>
      <c r="AH244" s="97">
        <f>+AF244+AG244</f>
        <v>178500</v>
      </c>
      <c r="AI244" s="11"/>
      <c r="AJ244" s="11"/>
      <c r="AK244" s="17"/>
      <c r="AL244" s="97">
        <v>169000</v>
      </c>
      <c r="AM244" s="97">
        <f>+AL244*0.19</f>
        <v>32110</v>
      </c>
      <c r="AN244" s="103">
        <f>+AL244+AM244</f>
        <v>201110</v>
      </c>
      <c r="AO244" s="248" t="s">
        <v>56</v>
      </c>
      <c r="AP244" s="17" t="s">
        <v>57</v>
      </c>
      <c r="AQ244" s="17"/>
      <c r="AR244" s="252">
        <v>468000</v>
      </c>
      <c r="AS244" s="97">
        <f>+AR244*0.19</f>
        <v>88920</v>
      </c>
      <c r="AT244" s="103">
        <f>+AR244+AS244</f>
        <v>556920</v>
      </c>
      <c r="AU244" s="52" t="s">
        <v>56</v>
      </c>
      <c r="AV244" s="52" t="s">
        <v>42</v>
      </c>
      <c r="AW244" s="30"/>
      <c r="AX244" s="100"/>
      <c r="AY244" s="174"/>
      <c r="AZ244" s="124"/>
      <c r="BA244" s="169"/>
      <c r="BB244" s="116"/>
      <c r="BC244" s="116"/>
      <c r="BD244" s="247"/>
      <c r="BE244" s="247"/>
      <c r="BF244" s="247"/>
      <c r="BG244" s="247"/>
      <c r="BH244" s="247"/>
      <c r="BI244" s="116"/>
      <c r="BJ244" s="124"/>
      <c r="BK244" s="124"/>
      <c r="BL244" s="124"/>
      <c r="BM244" s="116"/>
      <c r="BN244" s="116"/>
      <c r="BO244" s="116"/>
      <c r="BP244" s="124"/>
      <c r="BQ244" s="116"/>
      <c r="BR244" s="116"/>
      <c r="BS244" s="116"/>
      <c r="BT244" s="116"/>
      <c r="BU244" s="116"/>
      <c r="BV244" s="236">
        <v>148700</v>
      </c>
      <c r="BW244" s="125">
        <f>BV244*19%</f>
        <v>28253</v>
      </c>
      <c r="BX244" s="97">
        <f t="shared" si="92"/>
        <v>176953</v>
      </c>
      <c r="BY244" s="237" t="s">
        <v>308</v>
      </c>
      <c r="BZ244" s="237" t="s">
        <v>83</v>
      </c>
      <c r="CA244" s="116"/>
      <c r="CB244" s="247"/>
      <c r="CC244" s="125"/>
      <c r="CD244" s="247"/>
      <c r="CE244" s="116"/>
      <c r="CF244" s="116"/>
      <c r="CG244" s="34"/>
      <c r="CH244" s="236">
        <v>159109</v>
      </c>
      <c r="CI244" s="238">
        <f>+CH244*0.19</f>
        <v>30230.71</v>
      </c>
      <c r="CJ244" s="236">
        <f>+CH244+CI244</f>
        <v>189339.71</v>
      </c>
      <c r="CK244" s="237" t="s">
        <v>308</v>
      </c>
      <c r="CL244" s="237" t="s">
        <v>83</v>
      </c>
      <c r="CM244" s="116"/>
      <c r="CN244" s="247"/>
      <c r="CO244" s="125"/>
      <c r="CP244" s="247"/>
      <c r="CQ244" s="116"/>
      <c r="CR244" s="116"/>
      <c r="CS244" s="116"/>
      <c r="CT244" s="247"/>
      <c r="CU244" s="125"/>
      <c r="CV244" s="247"/>
      <c r="CW244" s="116"/>
      <c r="CX244" s="116"/>
      <c r="CY244" s="116"/>
      <c r="CZ244" s="102"/>
      <c r="DA244" s="125"/>
      <c r="DB244" s="102"/>
      <c r="DC244" s="31"/>
      <c r="DD244" s="17"/>
      <c r="DE244" s="11"/>
      <c r="DF244" s="116"/>
      <c r="DG244" s="116"/>
      <c r="DH244" s="116"/>
      <c r="DI244" s="116"/>
      <c r="DJ244" s="116"/>
      <c r="DK244" s="116"/>
      <c r="DL244" s="116"/>
      <c r="DM244" s="116"/>
      <c r="DN244" s="116"/>
      <c r="DO244" s="116"/>
      <c r="DP244" s="116"/>
      <c r="DQ244" s="116"/>
      <c r="DR244" s="116"/>
      <c r="DS244" s="116"/>
      <c r="DT244" s="116"/>
      <c r="DU244" s="116"/>
      <c r="DV244" s="116"/>
      <c r="DW244" s="116"/>
      <c r="DX244" s="116"/>
      <c r="DY244" s="116"/>
      <c r="DZ244" s="116"/>
      <c r="EA244" s="116"/>
      <c r="EB244" s="116"/>
      <c r="EC244" s="116"/>
      <c r="ED244" s="116"/>
      <c r="EE244" s="116"/>
      <c r="EF244" s="116"/>
      <c r="EG244" s="116"/>
      <c r="EH244" s="116"/>
      <c r="EI244" s="116"/>
      <c r="EJ244" s="116"/>
      <c r="EK244" s="116"/>
      <c r="EL244" s="116"/>
      <c r="EM244" s="116"/>
      <c r="EN244" s="116"/>
      <c r="EO244" s="116"/>
      <c r="EP244" s="116"/>
      <c r="EQ244" s="116"/>
      <c r="ER244" s="116"/>
      <c r="ES244" s="116"/>
      <c r="ET244" s="11"/>
      <c r="EU244" s="11"/>
      <c r="EV244" s="11"/>
      <c r="EW244" s="11"/>
      <c r="EX244" s="11"/>
      <c r="EY244" s="11"/>
      <c r="EZ244" s="11"/>
      <c r="FA244" s="11"/>
      <c r="FB244" s="11"/>
      <c r="FC244" s="11"/>
      <c r="FD244" s="11"/>
      <c r="FE244" s="11"/>
      <c r="FF244" s="11"/>
      <c r="FG244" s="11"/>
      <c r="FH244" s="17">
        <f t="shared" si="93"/>
        <v>2119627.6033333335</v>
      </c>
      <c r="FI244" s="31">
        <f t="shared" si="94"/>
        <v>7</v>
      </c>
      <c r="FJ244" s="68">
        <f t="shared" si="95"/>
        <v>302803.94333333336</v>
      </c>
    </row>
    <row r="245" spans="1:166" ht="38.25" x14ac:dyDescent="0.25">
      <c r="A245" s="248">
        <f>Distribución_Reactivos!A245</f>
        <v>243</v>
      </c>
      <c r="B245" s="248" t="str">
        <f>Distribución_Reactivos!B245</f>
        <v xml:space="preserve">Graphitized Carbon Black (GCB) </v>
      </c>
      <c r="C245" s="248" t="str">
        <f>Distribución_Reactivos!C245</f>
        <v>Shalau, Agilent, Waters o equivalentes</v>
      </c>
      <c r="D245" s="248" t="str">
        <f>Distribución_Reactivos!D245</f>
        <v>Frasco x 25 g</v>
      </c>
      <c r="E245" s="29">
        <v>1</v>
      </c>
      <c r="F245" s="212">
        <v>0</v>
      </c>
      <c r="G245" s="214">
        <v>0</v>
      </c>
      <c r="H245" s="221">
        <v>0</v>
      </c>
      <c r="I245" s="221">
        <v>0</v>
      </c>
      <c r="J245" s="221">
        <v>0</v>
      </c>
      <c r="K245" s="221">
        <v>0</v>
      </c>
      <c r="L245" s="247"/>
      <c r="M245" s="247"/>
      <c r="N245" s="217"/>
      <c r="O245" s="97"/>
      <c r="P245" s="97"/>
      <c r="Q245" s="115"/>
      <c r="R245" s="115"/>
      <c r="S245" s="53"/>
      <c r="T245" s="97"/>
      <c r="U245" s="101"/>
      <c r="V245" s="97"/>
      <c r="W245" s="115"/>
      <c r="X245" s="115"/>
      <c r="Y245" s="11"/>
      <c r="Z245" s="97"/>
      <c r="AA245" s="97"/>
      <c r="AB245" s="97"/>
      <c r="AC245" s="44"/>
      <c r="AD245" s="44"/>
      <c r="AE245" s="11"/>
      <c r="AF245" s="97"/>
      <c r="AG245" s="125"/>
      <c r="AH245" s="97"/>
      <c r="AI245" s="11"/>
      <c r="AJ245" s="11"/>
      <c r="AK245" s="17"/>
      <c r="AL245" s="97"/>
      <c r="AM245" s="97"/>
      <c r="AN245" s="101"/>
      <c r="AO245" s="248"/>
      <c r="AP245" s="17"/>
      <c r="AQ245" s="17"/>
      <c r="AR245" s="252"/>
      <c r="AS245" s="136"/>
      <c r="AT245" s="137"/>
      <c r="AU245" s="52"/>
      <c r="AV245" s="52"/>
      <c r="AW245" s="30"/>
      <c r="AX245" s="100"/>
      <c r="AY245" s="174"/>
      <c r="AZ245" s="124"/>
      <c r="BA245" s="169"/>
      <c r="BB245" s="116"/>
      <c r="BC245" s="116"/>
      <c r="BD245" s="252"/>
      <c r="BE245" s="124"/>
      <c r="BF245" s="124"/>
      <c r="BG245" s="116"/>
      <c r="BH245" s="116"/>
      <c r="BI245" s="116"/>
      <c r="BJ245" s="124"/>
      <c r="BK245" s="124"/>
      <c r="BL245" s="124"/>
      <c r="BM245" s="116"/>
      <c r="BN245" s="116"/>
      <c r="BO245" s="116"/>
      <c r="BP245" s="124"/>
      <c r="BQ245" s="116"/>
      <c r="BR245" s="116"/>
      <c r="BS245" s="116"/>
      <c r="BT245" s="116"/>
      <c r="BU245" s="116"/>
      <c r="BV245" s="187"/>
      <c r="BW245" s="125"/>
      <c r="BX245" s="97"/>
      <c r="BY245" s="246"/>
      <c r="BZ245" s="246"/>
      <c r="CA245" s="116"/>
      <c r="CB245" s="252"/>
      <c r="CC245" s="124"/>
      <c r="CD245" s="252"/>
      <c r="CE245" s="116"/>
      <c r="CF245" s="116"/>
      <c r="CG245" s="34"/>
      <c r="CH245" s="187"/>
      <c r="CI245" s="195"/>
      <c r="CJ245" s="187"/>
      <c r="CK245" s="246"/>
      <c r="CL245" s="246"/>
      <c r="CM245" s="116"/>
      <c r="CN245" s="252">
        <v>1750567</v>
      </c>
      <c r="CO245" s="124">
        <f>+CN245*0.19</f>
        <v>332607.73</v>
      </c>
      <c r="CP245" s="252">
        <f>+CO245+CN245</f>
        <v>2083174.73</v>
      </c>
      <c r="CQ245" s="116"/>
      <c r="CR245" s="116"/>
      <c r="CS245" s="116"/>
      <c r="CT245" s="252"/>
      <c r="CU245" s="124"/>
      <c r="CV245" s="252"/>
      <c r="CW245" s="116"/>
      <c r="CX245" s="116"/>
      <c r="CY245" s="116"/>
      <c r="CZ245" s="97"/>
      <c r="DA245" s="124"/>
      <c r="DB245" s="97"/>
      <c r="DC245" s="31"/>
      <c r="DD245" s="17"/>
      <c r="DE245" s="11"/>
      <c r="DF245" s="116"/>
      <c r="DG245" s="116"/>
      <c r="DH245" s="116"/>
      <c r="DI245" s="116"/>
      <c r="DJ245" s="116"/>
      <c r="DK245" s="116"/>
      <c r="DL245" s="116"/>
      <c r="DM245" s="116"/>
      <c r="DN245" s="116"/>
      <c r="DO245" s="116"/>
      <c r="DP245" s="116"/>
      <c r="DQ245" s="116"/>
      <c r="DR245" s="116"/>
      <c r="DS245" s="116"/>
      <c r="DT245" s="116"/>
      <c r="DU245" s="116"/>
      <c r="DV245" s="116"/>
      <c r="DW245" s="116"/>
      <c r="DX245" s="116"/>
      <c r="DY245" s="116"/>
      <c r="DZ245" s="116"/>
      <c r="EA245" s="116"/>
      <c r="EB245" s="116"/>
      <c r="EC245" s="116"/>
      <c r="ED245" s="116"/>
      <c r="EE245" s="116"/>
      <c r="EF245" s="116"/>
      <c r="EG245" s="116"/>
      <c r="EH245" s="116"/>
      <c r="EI245" s="116"/>
      <c r="EJ245" s="116"/>
      <c r="EK245" s="116"/>
      <c r="EL245" s="116"/>
      <c r="EM245" s="116"/>
      <c r="EN245" s="116"/>
      <c r="EO245" s="116"/>
      <c r="EP245" s="116"/>
      <c r="EQ245" s="116"/>
      <c r="ER245" s="116"/>
      <c r="ES245" s="116"/>
      <c r="ET245" s="11"/>
      <c r="EU245" s="11"/>
      <c r="EV245" s="11"/>
      <c r="EW245" s="11"/>
      <c r="EX245" s="11"/>
      <c r="EY245" s="11"/>
      <c r="EZ245" s="11"/>
      <c r="FA245" s="11"/>
      <c r="FB245" s="11"/>
      <c r="FC245" s="11"/>
      <c r="FD245" s="11"/>
      <c r="FE245" s="11"/>
      <c r="FF245" s="11"/>
      <c r="FG245" s="11"/>
      <c r="FH245" s="17">
        <f t="shared" si="93"/>
        <v>2083174.73</v>
      </c>
      <c r="FI245" s="31">
        <f t="shared" si="94"/>
        <v>1</v>
      </c>
      <c r="FJ245" s="68">
        <f t="shared" si="95"/>
        <v>2083174.73</v>
      </c>
    </row>
    <row r="246" spans="1:166" ht="25.5" x14ac:dyDescent="0.25">
      <c r="A246" s="248">
        <f>Distribución_Reactivos!A246</f>
        <v>244</v>
      </c>
      <c r="B246" s="248" t="str">
        <f>Distribución_Reactivos!B246</f>
        <v>Hematoxilina</v>
      </c>
      <c r="C246" s="248" t="str">
        <f>Distribución_Reactivos!C246</f>
        <v>Sigma o equivalente</v>
      </c>
      <c r="D246" s="248" t="str">
        <f>Distribución_Reactivos!D246</f>
        <v>Frasco x 25 g</v>
      </c>
      <c r="E246" s="29">
        <v>1</v>
      </c>
      <c r="F246" s="212">
        <v>858823</v>
      </c>
      <c r="G246" s="214">
        <v>828716</v>
      </c>
      <c r="H246" s="221">
        <v>884643.85481666669</v>
      </c>
      <c r="I246" s="221">
        <v>884527</v>
      </c>
      <c r="J246" s="221">
        <v>915460.59575268812</v>
      </c>
      <c r="K246" s="221">
        <v>892500</v>
      </c>
      <c r="L246" s="247">
        <f>AVERAGE(F246,H246,J246)</f>
        <v>886309.15018978494</v>
      </c>
      <c r="M246" s="247">
        <f>AVERAGE(G246,I246,K246)*E1</f>
        <v>894638.43</v>
      </c>
      <c r="N246" s="217"/>
      <c r="O246" s="97"/>
      <c r="P246" s="97"/>
      <c r="Q246" s="115"/>
      <c r="R246" s="115"/>
      <c r="S246" s="53"/>
      <c r="T246" s="97"/>
      <c r="U246" s="97"/>
      <c r="V246" s="97"/>
      <c r="W246" s="115"/>
      <c r="X246" s="115"/>
      <c r="Y246" s="11"/>
      <c r="Z246" s="97"/>
      <c r="AA246" s="97"/>
      <c r="AB246" s="97"/>
      <c r="AC246" s="44"/>
      <c r="AD246" s="44"/>
      <c r="AE246" s="11"/>
      <c r="AF246" s="102">
        <v>600000</v>
      </c>
      <c r="AG246" s="125">
        <f>AF246*19%</f>
        <v>114000</v>
      </c>
      <c r="AH246" s="97">
        <f>+AF246+AG246</f>
        <v>714000</v>
      </c>
      <c r="AI246" s="11"/>
      <c r="AJ246" s="11"/>
      <c r="AK246" s="17"/>
      <c r="AL246" s="97"/>
      <c r="AM246" s="97"/>
      <c r="AN246" s="101"/>
      <c r="AO246" s="248"/>
      <c r="AP246" s="17"/>
      <c r="AQ246" s="17"/>
      <c r="AR246" s="252"/>
      <c r="AS246" s="136"/>
      <c r="AT246" s="137"/>
      <c r="AU246" s="52"/>
      <c r="AV246" s="52"/>
      <c r="AW246" s="30"/>
      <c r="AX246" s="100"/>
      <c r="AY246" s="174"/>
      <c r="AZ246" s="124"/>
      <c r="BA246" s="169"/>
      <c r="BB246" s="116"/>
      <c r="BC246" s="116"/>
      <c r="BD246" s="247"/>
      <c r="BE246" s="124"/>
      <c r="BF246" s="124"/>
      <c r="BG246" s="116"/>
      <c r="BH246" s="116"/>
      <c r="BI246" s="116"/>
      <c r="BJ246" s="124"/>
      <c r="BK246" s="124"/>
      <c r="BL246" s="124"/>
      <c r="BM246" s="116"/>
      <c r="BN246" s="116"/>
      <c r="BO246" s="116"/>
      <c r="BP246" s="124"/>
      <c r="BQ246" s="116"/>
      <c r="BR246" s="116"/>
      <c r="BS246" s="116"/>
      <c r="BT246" s="116"/>
      <c r="BU246" s="116"/>
      <c r="BV246" s="236">
        <v>1310500</v>
      </c>
      <c r="BW246" s="125">
        <f>BV246*19%</f>
        <v>248995</v>
      </c>
      <c r="BX246" s="97">
        <f>+BV246+BW246</f>
        <v>1559495</v>
      </c>
      <c r="BY246" s="237" t="s">
        <v>323</v>
      </c>
      <c r="BZ246" s="237" t="s">
        <v>93</v>
      </c>
      <c r="CA246" s="116"/>
      <c r="CB246" s="247"/>
      <c r="CC246" s="125"/>
      <c r="CD246" s="247"/>
      <c r="CE246" s="116"/>
      <c r="CF246" s="116"/>
      <c r="CG246" s="34"/>
      <c r="CH246" s="236"/>
      <c r="CI246" s="238"/>
      <c r="CJ246" s="236"/>
      <c r="CK246" s="237"/>
      <c r="CL246" s="237"/>
      <c r="CM246" s="116"/>
      <c r="CN246" s="247"/>
      <c r="CO246" s="125"/>
      <c r="CP246" s="247"/>
      <c r="CQ246" s="116"/>
      <c r="CR246" s="116"/>
      <c r="CS246" s="116"/>
      <c r="CT246" s="247"/>
      <c r="CU246" s="125"/>
      <c r="CV246" s="247"/>
      <c r="CW246" s="116"/>
      <c r="CX246" s="116"/>
      <c r="CY246" s="116"/>
      <c r="CZ246" s="102"/>
      <c r="DA246" s="125"/>
      <c r="DB246" s="102"/>
      <c r="DC246" s="31"/>
      <c r="DD246" s="17"/>
      <c r="DE246" s="11"/>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
      <c r="EU246" s="11"/>
      <c r="EV246" s="11"/>
      <c r="EW246" s="11"/>
      <c r="EX246" s="11"/>
      <c r="EY246" s="11"/>
      <c r="EZ246" s="11"/>
      <c r="FA246" s="11"/>
      <c r="FB246" s="11"/>
      <c r="FC246" s="11"/>
      <c r="FD246" s="11"/>
      <c r="FE246" s="11"/>
      <c r="FF246" s="11"/>
      <c r="FG246" s="11"/>
      <c r="FH246" s="17">
        <f t="shared" si="93"/>
        <v>3168133.43</v>
      </c>
      <c r="FI246" s="31">
        <f t="shared" si="94"/>
        <v>3</v>
      </c>
      <c r="FJ246" s="68">
        <f t="shared" si="95"/>
        <v>1056044.4766666668</v>
      </c>
    </row>
    <row r="247" spans="1:166" ht="40.5" x14ac:dyDescent="0.25">
      <c r="A247" s="248">
        <f>Distribución_Reactivos!A247</f>
        <v>245</v>
      </c>
      <c r="B247" s="248" t="str">
        <f>Distribución_Reactivos!B247</f>
        <v>Hexano para análisis de residuos</v>
      </c>
      <c r="C247" s="248" t="str">
        <f>Distribución_Reactivos!C247</f>
        <v>Merck, Supelco, PanReac o similares</v>
      </c>
      <c r="D247" s="248" t="str">
        <f>Distribución_Reactivos!D247</f>
        <v>Frasco x 4 litros</v>
      </c>
      <c r="E247" s="29">
        <v>1</v>
      </c>
      <c r="F247" s="212">
        <v>523600</v>
      </c>
      <c r="G247" s="214">
        <v>505274</v>
      </c>
      <c r="H247" s="221">
        <v>575012.89599999995</v>
      </c>
      <c r="I247" s="221">
        <v>575008</v>
      </c>
      <c r="J247" s="221">
        <v>786456.86395161296</v>
      </c>
      <c r="K247" s="221">
        <v>766836</v>
      </c>
      <c r="L247" s="247">
        <f>AVERAGE(F247,H247,J247)</f>
        <v>628356.58665053768</v>
      </c>
      <c r="M247" s="247">
        <f>AVERAGE(G247,I247,K247)*E1</f>
        <v>634177.18000000005</v>
      </c>
      <c r="N247" s="217"/>
      <c r="O247" s="97"/>
      <c r="P247" s="97"/>
      <c r="Q247" s="115"/>
      <c r="R247" s="115"/>
      <c r="S247" s="53"/>
      <c r="T247" s="97"/>
      <c r="U247" s="106"/>
      <c r="V247" s="97"/>
      <c r="W247" s="115"/>
      <c r="X247" s="115"/>
      <c r="Y247" s="11"/>
      <c r="Z247" s="97"/>
      <c r="AA247" s="97"/>
      <c r="AB247" s="97"/>
      <c r="AC247" s="44"/>
      <c r="AD247" s="44"/>
      <c r="AE247" s="11"/>
      <c r="AF247" s="102"/>
      <c r="AG247" s="125"/>
      <c r="AH247" s="97"/>
      <c r="AI247" s="11"/>
      <c r="AJ247" s="11"/>
      <c r="AK247" s="17"/>
      <c r="AL247" s="97">
        <v>350000</v>
      </c>
      <c r="AM247" s="97">
        <f>+AL247*0.19</f>
        <v>66500</v>
      </c>
      <c r="AN247" s="103">
        <f>+AL247+AM247</f>
        <v>416500</v>
      </c>
      <c r="AO247" s="248" t="s">
        <v>312</v>
      </c>
      <c r="AP247" s="17" t="s">
        <v>52</v>
      </c>
      <c r="AQ247" s="17"/>
      <c r="AR247" s="252"/>
      <c r="AS247" s="138"/>
      <c r="AT247" s="139"/>
      <c r="AU247" s="52"/>
      <c r="AV247" s="52"/>
      <c r="AW247" s="30"/>
      <c r="AX247" s="100"/>
      <c r="AY247" s="172"/>
      <c r="AZ247" s="124"/>
      <c r="BA247" s="169"/>
      <c r="BB247" s="116"/>
      <c r="BC247" s="116"/>
      <c r="BD247" s="247"/>
      <c r="BE247" s="124"/>
      <c r="BF247" s="124"/>
      <c r="BG247" s="116"/>
      <c r="BH247" s="116"/>
      <c r="BI247" s="116"/>
      <c r="BJ247" s="124"/>
      <c r="BK247" s="124"/>
      <c r="BL247" s="124"/>
      <c r="BM247" s="116"/>
      <c r="BN247" s="116"/>
      <c r="BO247" s="116"/>
      <c r="BP247" s="124"/>
      <c r="BQ247" s="116"/>
      <c r="BR247" s="116"/>
      <c r="BS247" s="116"/>
      <c r="BT247" s="116"/>
      <c r="BU247" s="116"/>
      <c r="BV247" s="236">
        <v>980000</v>
      </c>
      <c r="BW247" s="125">
        <f>BV247*19%</f>
        <v>186200</v>
      </c>
      <c r="BX247" s="97">
        <f>+BV247+BW247</f>
        <v>1166200</v>
      </c>
      <c r="BY247" s="237" t="s">
        <v>313</v>
      </c>
      <c r="BZ247" s="237" t="s">
        <v>52</v>
      </c>
      <c r="CA247" s="116"/>
      <c r="CB247" s="247"/>
      <c r="CC247" s="125"/>
      <c r="CD247" s="247"/>
      <c r="CE247" s="116"/>
      <c r="CF247" s="116"/>
      <c r="CG247" s="34"/>
      <c r="CH247" s="236"/>
      <c r="CI247" s="238"/>
      <c r="CJ247" s="236"/>
      <c r="CK247" s="237"/>
      <c r="CL247" s="237"/>
      <c r="CM247" s="116"/>
      <c r="CN247" s="247"/>
      <c r="CO247" s="125"/>
      <c r="CP247" s="247"/>
      <c r="CQ247" s="116"/>
      <c r="CR247" s="116"/>
      <c r="CS247" s="116"/>
      <c r="CT247" s="247"/>
      <c r="CU247" s="125"/>
      <c r="CV247" s="247"/>
      <c r="CW247" s="116"/>
      <c r="CX247" s="116"/>
      <c r="CY247" s="116"/>
      <c r="CZ247" s="102">
        <v>243862</v>
      </c>
      <c r="DA247" s="125">
        <f>+CZ247*0.19</f>
        <v>46333.78</v>
      </c>
      <c r="DB247" s="102">
        <f>+CZ247+DA247</f>
        <v>290195.78000000003</v>
      </c>
      <c r="DC247" s="31" t="s">
        <v>87</v>
      </c>
      <c r="DD247" s="17" t="s">
        <v>65</v>
      </c>
      <c r="DE247" s="11" t="s">
        <v>328</v>
      </c>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
      <c r="EU247" s="11"/>
      <c r="EV247" s="11"/>
      <c r="EW247" s="11"/>
      <c r="EX247" s="11"/>
      <c r="EY247" s="11"/>
      <c r="EZ247" s="11"/>
      <c r="FA247" s="11"/>
      <c r="FB247" s="11"/>
      <c r="FC247" s="11"/>
      <c r="FD247" s="11"/>
      <c r="FE247" s="11"/>
      <c r="FF247" s="11"/>
      <c r="FG247" s="11"/>
      <c r="FH247" s="17">
        <f t="shared" si="93"/>
        <v>2507072.96</v>
      </c>
      <c r="FI247" s="31">
        <f t="shared" si="94"/>
        <v>4</v>
      </c>
      <c r="FJ247" s="68">
        <f t="shared" si="95"/>
        <v>626768.24</v>
      </c>
    </row>
    <row r="248" spans="1:166" ht="25.5" x14ac:dyDescent="0.25">
      <c r="A248" s="248">
        <f>Distribución_Reactivos!A248</f>
        <v>246</v>
      </c>
      <c r="B248" s="248" t="str">
        <f>Distribución_Reactivos!B248</f>
        <v>Hidroquinona (pyrocatechol)</v>
      </c>
      <c r="C248" s="248" t="str">
        <f>Distribución_Reactivos!C248</f>
        <v>Sigma Aldrich / Merck / JT Baker</v>
      </c>
      <c r="D248" s="248" t="str">
        <f>Distribución_Reactivos!D248</f>
        <v>Frasco x 25 g</v>
      </c>
      <c r="E248" s="29">
        <v>1</v>
      </c>
      <c r="F248" s="212">
        <v>0</v>
      </c>
      <c r="G248" s="214">
        <v>0</v>
      </c>
      <c r="H248" s="221">
        <v>0</v>
      </c>
      <c r="I248" s="221">
        <v>0</v>
      </c>
      <c r="J248" s="221">
        <v>444239.29666666669</v>
      </c>
      <c r="K248" s="221">
        <v>0</v>
      </c>
      <c r="L248" s="247">
        <f>J248</f>
        <v>444239.29666666669</v>
      </c>
      <c r="M248" s="247"/>
      <c r="N248" s="217"/>
      <c r="O248" s="97"/>
      <c r="P248" s="97"/>
      <c r="Q248" s="115"/>
      <c r="R248" s="115"/>
      <c r="S248" s="53"/>
      <c r="T248" s="97"/>
      <c r="U248" s="101"/>
      <c r="V248" s="97"/>
      <c r="W248" s="115"/>
      <c r="X248" s="115"/>
      <c r="Y248" s="11"/>
      <c r="Z248" s="97"/>
      <c r="AA248" s="97"/>
      <c r="AB248" s="97"/>
      <c r="AC248" s="44"/>
      <c r="AD248" s="44"/>
      <c r="AE248" s="11"/>
      <c r="AF248" s="102"/>
      <c r="AG248" s="125"/>
      <c r="AH248" s="97"/>
      <c r="AI248" s="11"/>
      <c r="AJ248" s="11"/>
      <c r="AK248" s="17"/>
      <c r="AL248" s="97"/>
      <c r="AM248" s="97"/>
      <c r="AN248" s="101"/>
      <c r="AO248" s="248"/>
      <c r="AP248" s="17"/>
      <c r="AQ248" s="17"/>
      <c r="AR248" s="252">
        <f>537931/5</f>
        <v>107586.2</v>
      </c>
      <c r="AS248" s="97">
        <f>+AR248*0.19</f>
        <v>20441.378000000001</v>
      </c>
      <c r="AT248" s="103">
        <f>+AR248+AS248</f>
        <v>128027.57799999999</v>
      </c>
      <c r="AU248" s="52" t="s">
        <v>99</v>
      </c>
      <c r="AV248" s="52" t="s">
        <v>52</v>
      </c>
      <c r="AW248" s="30"/>
      <c r="AX248" s="100"/>
      <c r="AY248" s="174"/>
      <c r="AZ248" s="124"/>
      <c r="BA248" s="169"/>
      <c r="BB248" s="116"/>
      <c r="BC248" s="116"/>
      <c r="BD248" s="247"/>
      <c r="BE248" s="124"/>
      <c r="BF248" s="124"/>
      <c r="BG248" s="116"/>
      <c r="BH248" s="116"/>
      <c r="BI248" s="116"/>
      <c r="BJ248" s="124"/>
      <c r="BK248" s="124"/>
      <c r="BL248" s="124"/>
      <c r="BM248" s="116"/>
      <c r="BN248" s="116"/>
      <c r="BO248" s="116"/>
      <c r="BP248" s="124"/>
      <c r="BQ248" s="116"/>
      <c r="BR248" s="116"/>
      <c r="BS248" s="116"/>
      <c r="BT248" s="116"/>
      <c r="BU248" s="116"/>
      <c r="BV248" s="236">
        <v>184500</v>
      </c>
      <c r="BW248" s="125">
        <f t="shared" ref="BW248:BW255" si="96">BV248*19%</f>
        <v>35055</v>
      </c>
      <c r="BX248" s="97">
        <f t="shared" ref="BX248:BX258" si="97">+BV248+BW248</f>
        <v>219555</v>
      </c>
      <c r="BY248" s="237" t="s">
        <v>317</v>
      </c>
      <c r="BZ248" s="237" t="s">
        <v>44</v>
      </c>
      <c r="CA248" s="116"/>
      <c r="CB248" s="247"/>
      <c r="CC248" s="125"/>
      <c r="CD248" s="247"/>
      <c r="CE248" s="116"/>
      <c r="CF248" s="116"/>
      <c r="CG248" s="34"/>
      <c r="CH248" s="236">
        <v>186345</v>
      </c>
      <c r="CI248" s="238">
        <f t="shared" ref="CI248:CI253" si="98">+CH248*0.19</f>
        <v>35405.550000000003</v>
      </c>
      <c r="CJ248" s="236">
        <f t="shared" ref="CJ248:CJ253" si="99">+CH248+CI248</f>
        <v>221750.55</v>
      </c>
      <c r="CK248" s="237" t="s">
        <v>317</v>
      </c>
      <c r="CL248" s="237" t="s">
        <v>44</v>
      </c>
      <c r="CM248" s="116"/>
      <c r="CN248" s="247"/>
      <c r="CO248" s="125"/>
      <c r="CP248" s="247"/>
      <c r="CQ248" s="116"/>
      <c r="CR248" s="116"/>
      <c r="CS248" s="116"/>
      <c r="CT248" s="247"/>
      <c r="CU248" s="125"/>
      <c r="CV248" s="247"/>
      <c r="CW248" s="116"/>
      <c r="CX248" s="116"/>
      <c r="CY248" s="116"/>
      <c r="CZ248" s="102"/>
      <c r="DA248" s="125"/>
      <c r="DB248" s="102"/>
      <c r="DC248" s="31"/>
      <c r="DD248" s="17"/>
      <c r="DE248" s="11"/>
      <c r="DF248" s="116"/>
      <c r="DG248" s="116"/>
      <c r="DH248" s="116"/>
      <c r="DI248" s="116"/>
      <c r="DJ248" s="116"/>
      <c r="DK248" s="116"/>
      <c r="DL248" s="116"/>
      <c r="DM248" s="116"/>
      <c r="DN248" s="116"/>
      <c r="DO248" s="116"/>
      <c r="DP248" s="116"/>
      <c r="DQ248" s="116"/>
      <c r="DR248" s="116"/>
      <c r="DS248" s="116"/>
      <c r="DT248" s="116"/>
      <c r="DU248" s="116"/>
      <c r="DV248" s="116"/>
      <c r="DW248" s="116"/>
      <c r="DX248" s="116"/>
      <c r="DY248" s="116"/>
      <c r="DZ248" s="116"/>
      <c r="EA248" s="116"/>
      <c r="EB248" s="116"/>
      <c r="EC248" s="116"/>
      <c r="ED248" s="116"/>
      <c r="EE248" s="116"/>
      <c r="EF248" s="116"/>
      <c r="EG248" s="116"/>
      <c r="EH248" s="116"/>
      <c r="EI248" s="116"/>
      <c r="EJ248" s="116"/>
      <c r="EK248" s="116"/>
      <c r="EL248" s="116"/>
      <c r="EM248" s="116"/>
      <c r="EN248" s="116"/>
      <c r="EO248" s="116"/>
      <c r="EP248" s="116"/>
      <c r="EQ248" s="116"/>
      <c r="ER248" s="116"/>
      <c r="ES248" s="116"/>
      <c r="ET248" s="11"/>
      <c r="EU248" s="11"/>
      <c r="EV248" s="11"/>
      <c r="EW248" s="11"/>
      <c r="EX248" s="11"/>
      <c r="EY248" s="11"/>
      <c r="EZ248" s="11"/>
      <c r="FA248" s="11"/>
      <c r="FB248" s="11"/>
      <c r="FC248" s="11"/>
      <c r="FD248" s="11"/>
      <c r="FE248" s="11"/>
      <c r="FF248" s="11"/>
      <c r="FG248" s="11"/>
      <c r="FH248" s="17">
        <f t="shared" si="93"/>
        <v>569333.12800000003</v>
      </c>
      <c r="FI248" s="31">
        <f t="shared" si="94"/>
        <v>3</v>
      </c>
      <c r="FJ248" s="68">
        <f t="shared" si="95"/>
        <v>189777.70933333333</v>
      </c>
    </row>
    <row r="249" spans="1:166" ht="51" x14ac:dyDescent="0.25">
      <c r="A249" s="248">
        <f>Distribución_Reactivos!A249</f>
        <v>247</v>
      </c>
      <c r="B249" s="248" t="str">
        <f>Distribución_Reactivos!B249</f>
        <v>Hidróxido de amonio del 25% con certificado de análisis trazable por lote y descargable mediante el website del fabricante</v>
      </c>
      <c r="C249" s="248" t="str">
        <f>Distribución_Reactivos!C249</f>
        <v>Cualquier marca</v>
      </c>
      <c r="D249" s="248" t="str">
        <f>Distribución_Reactivos!D249</f>
        <v>Frasco x 1 litro</v>
      </c>
      <c r="E249" s="29">
        <v>1</v>
      </c>
      <c r="F249" s="212">
        <v>380970.56666666665</v>
      </c>
      <c r="G249" s="214">
        <v>60928</v>
      </c>
      <c r="H249" s="221">
        <v>395563.07272533333</v>
      </c>
      <c r="I249" s="221">
        <v>395080</v>
      </c>
      <c r="J249" s="221">
        <v>197731.84335483873</v>
      </c>
      <c r="K249" s="221">
        <v>192780</v>
      </c>
      <c r="L249" s="247">
        <f>AVERAGE(F249,H249,J249)</f>
        <v>324755.16091561288</v>
      </c>
      <c r="M249" s="247">
        <f>AVERAGE(G249,I249,K249)*E1</f>
        <v>222750.54666666666</v>
      </c>
      <c r="N249" s="217"/>
      <c r="O249" s="97"/>
      <c r="P249" s="97"/>
      <c r="Q249" s="115"/>
      <c r="R249" s="115"/>
      <c r="S249" s="53"/>
      <c r="T249" s="97"/>
      <c r="U249" s="101"/>
      <c r="V249" s="97"/>
      <c r="W249" s="115"/>
      <c r="X249" s="115"/>
      <c r="Y249" s="11"/>
      <c r="Z249" s="97"/>
      <c r="AA249" s="97"/>
      <c r="AB249" s="97"/>
      <c r="AC249" s="44"/>
      <c r="AD249" s="44"/>
      <c r="AE249" s="11"/>
      <c r="AF249" s="102">
        <v>110000</v>
      </c>
      <c r="AG249" s="125">
        <f>AF249*19%</f>
        <v>20900</v>
      </c>
      <c r="AH249" s="97">
        <f>+AF249+AG249</f>
        <v>130900</v>
      </c>
      <c r="AI249" s="11"/>
      <c r="AJ249" s="11"/>
      <c r="AK249" s="17"/>
      <c r="AL249" s="97">
        <v>109000</v>
      </c>
      <c r="AM249" s="97">
        <f>+AL249*0.19</f>
        <v>20710</v>
      </c>
      <c r="AN249" s="103">
        <f>+AL249+AM249</f>
        <v>129710</v>
      </c>
      <c r="AO249" s="248" t="s">
        <v>56</v>
      </c>
      <c r="AP249" s="17" t="s">
        <v>52</v>
      </c>
      <c r="AQ249" s="17"/>
      <c r="AR249" s="252"/>
      <c r="AS249" s="136"/>
      <c r="AT249" s="137"/>
      <c r="AU249" s="52"/>
      <c r="AV249" s="52"/>
      <c r="AW249" s="30"/>
      <c r="AX249" s="100"/>
      <c r="AY249" s="174"/>
      <c r="AZ249" s="124"/>
      <c r="BA249" s="169"/>
      <c r="BB249" s="116"/>
      <c r="BC249" s="116"/>
      <c r="BD249" s="247"/>
      <c r="BE249" s="124"/>
      <c r="BF249" s="124"/>
      <c r="BG249" s="116"/>
      <c r="BH249" s="116"/>
      <c r="BI249" s="116"/>
      <c r="BJ249" s="124"/>
      <c r="BK249" s="124"/>
      <c r="BL249" s="124"/>
      <c r="BM249" s="116"/>
      <c r="BN249" s="116"/>
      <c r="BO249" s="116"/>
      <c r="BP249" s="124"/>
      <c r="BQ249" s="116"/>
      <c r="BR249" s="116"/>
      <c r="BS249" s="116"/>
      <c r="BT249" s="116"/>
      <c r="BU249" s="116"/>
      <c r="BV249" s="236">
        <v>174000</v>
      </c>
      <c r="BW249" s="125">
        <f t="shared" si="96"/>
        <v>33060</v>
      </c>
      <c r="BX249" s="97">
        <f t="shared" si="97"/>
        <v>207060</v>
      </c>
      <c r="BY249" s="237" t="s">
        <v>308</v>
      </c>
      <c r="BZ249" s="237" t="s">
        <v>111</v>
      </c>
      <c r="CA249" s="116"/>
      <c r="CB249" s="247"/>
      <c r="CC249" s="125"/>
      <c r="CD249" s="247"/>
      <c r="CE249" s="116"/>
      <c r="CF249" s="116"/>
      <c r="CG249" s="34"/>
      <c r="CH249" s="236">
        <v>175740</v>
      </c>
      <c r="CI249" s="238">
        <f t="shared" si="98"/>
        <v>33390.6</v>
      </c>
      <c r="CJ249" s="236">
        <f t="shared" si="99"/>
        <v>209130.6</v>
      </c>
      <c r="CK249" s="237" t="s">
        <v>308</v>
      </c>
      <c r="CL249" s="237" t="s">
        <v>111</v>
      </c>
      <c r="CM249" s="116"/>
      <c r="CN249" s="247"/>
      <c r="CO249" s="125"/>
      <c r="CP249" s="247"/>
      <c r="CQ249" s="116"/>
      <c r="CR249" s="116"/>
      <c r="CS249" s="116"/>
      <c r="CT249" s="247"/>
      <c r="CU249" s="125"/>
      <c r="CV249" s="247"/>
      <c r="CW249" s="116"/>
      <c r="CX249" s="116"/>
      <c r="CY249" s="116"/>
      <c r="CZ249" s="102"/>
      <c r="DA249" s="125"/>
      <c r="DB249" s="102"/>
      <c r="DC249" s="31"/>
      <c r="DD249" s="17"/>
      <c r="DE249" s="11"/>
      <c r="DF249" s="116"/>
      <c r="DG249" s="116"/>
      <c r="DH249" s="116"/>
      <c r="DI249" s="116"/>
      <c r="DJ249" s="116"/>
      <c r="DK249" s="116"/>
      <c r="DL249" s="116"/>
      <c r="DM249" s="116"/>
      <c r="DN249" s="116"/>
      <c r="DO249" s="116"/>
      <c r="DP249" s="116"/>
      <c r="DQ249" s="116"/>
      <c r="DR249" s="116"/>
      <c r="DS249" s="116"/>
      <c r="DT249" s="116"/>
      <c r="DU249" s="116"/>
      <c r="DV249" s="116"/>
      <c r="DW249" s="116"/>
      <c r="DX249" s="116"/>
      <c r="DY249" s="116"/>
      <c r="DZ249" s="116"/>
      <c r="EA249" s="116"/>
      <c r="EB249" s="116"/>
      <c r="EC249" s="116"/>
      <c r="ED249" s="116"/>
      <c r="EE249" s="116"/>
      <c r="EF249" s="116"/>
      <c r="EG249" s="116"/>
      <c r="EH249" s="116"/>
      <c r="EI249" s="116"/>
      <c r="EJ249" s="116"/>
      <c r="EK249" s="116"/>
      <c r="EL249" s="116"/>
      <c r="EM249" s="116"/>
      <c r="EN249" s="116"/>
      <c r="EO249" s="116"/>
      <c r="EP249" s="116"/>
      <c r="EQ249" s="116"/>
      <c r="ER249" s="116"/>
      <c r="ES249" s="116"/>
      <c r="ET249" s="11"/>
      <c r="EU249" s="11"/>
      <c r="EV249" s="11"/>
      <c r="EW249" s="11"/>
      <c r="EX249" s="11"/>
      <c r="EY249" s="11"/>
      <c r="EZ249" s="11"/>
      <c r="FA249" s="11"/>
      <c r="FB249" s="11"/>
      <c r="FC249" s="11"/>
      <c r="FD249" s="11"/>
      <c r="FE249" s="11"/>
      <c r="FF249" s="11"/>
      <c r="FG249" s="11"/>
      <c r="FH249" s="17">
        <f t="shared" si="93"/>
        <v>899551.14666666661</v>
      </c>
      <c r="FI249" s="31">
        <f t="shared" si="94"/>
        <v>5</v>
      </c>
      <c r="FJ249" s="68">
        <f t="shared" si="95"/>
        <v>179910.22933333332</v>
      </c>
    </row>
    <row r="250" spans="1:166" ht="27" x14ac:dyDescent="0.25">
      <c r="A250" s="248">
        <f>Distribución_Reactivos!A250</f>
        <v>248</v>
      </c>
      <c r="B250" s="248" t="str">
        <f>Distribución_Reactivos!B250</f>
        <v>Hidróxido de potasio 85- 99%</v>
      </c>
      <c r="C250" s="248" t="str">
        <f>Distribución_Reactivos!C250</f>
        <v>Cualquier marca</v>
      </c>
      <c r="D250" s="248" t="str">
        <f>Distribución_Reactivos!D250</f>
        <v>Frasco x 1 kg</v>
      </c>
      <c r="E250" s="29">
        <v>1</v>
      </c>
      <c r="F250" s="212">
        <v>0</v>
      </c>
      <c r="G250" s="214">
        <v>0</v>
      </c>
      <c r="H250" s="221">
        <v>0</v>
      </c>
      <c r="I250" s="221">
        <v>0</v>
      </c>
      <c r="J250" s="221">
        <v>207763.29</v>
      </c>
      <c r="K250" s="221">
        <v>202538</v>
      </c>
      <c r="L250" s="247">
        <f>J250</f>
        <v>207763.29</v>
      </c>
      <c r="M250" s="247">
        <f>K250*E1</f>
        <v>208614.14</v>
      </c>
      <c r="N250" s="217"/>
      <c r="O250" s="97"/>
      <c r="P250" s="97"/>
      <c r="Q250" s="115"/>
      <c r="R250" s="115"/>
      <c r="S250" s="53"/>
      <c r="T250" s="97"/>
      <c r="U250" s="101"/>
      <c r="V250" s="97"/>
      <c r="W250" s="115"/>
      <c r="X250" s="115"/>
      <c r="Y250" s="11"/>
      <c r="Z250" s="97"/>
      <c r="AA250" s="97"/>
      <c r="AB250" s="97"/>
      <c r="AC250" s="44"/>
      <c r="AD250" s="44"/>
      <c r="AE250" s="11"/>
      <c r="AF250" s="102">
        <v>140000</v>
      </c>
      <c r="AG250" s="125">
        <f>AF250*19%</f>
        <v>26600</v>
      </c>
      <c r="AH250" s="97">
        <f>+AF250+AG250</f>
        <v>166600</v>
      </c>
      <c r="AI250" s="11"/>
      <c r="AJ250" s="11"/>
      <c r="AK250" s="17"/>
      <c r="AL250" s="97">
        <v>145000</v>
      </c>
      <c r="AM250" s="97">
        <f>+AL250*0.19</f>
        <v>27550</v>
      </c>
      <c r="AN250" s="103">
        <f>+AL250+AM250</f>
        <v>172550</v>
      </c>
      <c r="AO250" s="248" t="s">
        <v>56</v>
      </c>
      <c r="AP250" s="17" t="s">
        <v>52</v>
      </c>
      <c r="AQ250" s="17"/>
      <c r="AR250" s="252"/>
      <c r="AS250" s="136"/>
      <c r="AT250" s="137"/>
      <c r="AU250" s="52"/>
      <c r="AV250" s="52"/>
      <c r="AW250" s="30"/>
      <c r="AX250" s="100"/>
      <c r="AY250" s="174"/>
      <c r="AZ250" s="124"/>
      <c r="BA250" s="169"/>
      <c r="BB250" s="116"/>
      <c r="BC250" s="116"/>
      <c r="BD250" s="247"/>
      <c r="BE250" s="124"/>
      <c r="BF250" s="124"/>
      <c r="BG250" s="116"/>
      <c r="BH250" s="116"/>
      <c r="BI250" s="116"/>
      <c r="BJ250" s="124"/>
      <c r="BK250" s="124"/>
      <c r="BL250" s="124"/>
      <c r="BM250" s="116"/>
      <c r="BN250" s="116"/>
      <c r="BO250" s="116"/>
      <c r="BP250" s="124"/>
      <c r="BQ250" s="116"/>
      <c r="BR250" s="116"/>
      <c r="BS250" s="116"/>
      <c r="BT250" s="116"/>
      <c r="BU250" s="116"/>
      <c r="BV250" s="236">
        <v>299300</v>
      </c>
      <c r="BW250" s="125">
        <f t="shared" si="96"/>
        <v>56867</v>
      </c>
      <c r="BX250" s="97">
        <f t="shared" si="97"/>
        <v>356167</v>
      </c>
      <c r="BY250" s="237" t="s">
        <v>329</v>
      </c>
      <c r="BZ250" s="237" t="s">
        <v>111</v>
      </c>
      <c r="CA250" s="116"/>
      <c r="CB250" s="247"/>
      <c r="CC250" s="125"/>
      <c r="CD250" s="247"/>
      <c r="CE250" s="116"/>
      <c r="CF250" s="116"/>
      <c r="CG250" s="34"/>
      <c r="CH250" s="236">
        <v>311272</v>
      </c>
      <c r="CI250" s="238">
        <f t="shared" si="98"/>
        <v>59141.68</v>
      </c>
      <c r="CJ250" s="236">
        <f t="shared" si="99"/>
        <v>370413.68</v>
      </c>
      <c r="CK250" s="237" t="s">
        <v>329</v>
      </c>
      <c r="CL250" s="237" t="s">
        <v>111</v>
      </c>
      <c r="CM250" s="116"/>
      <c r="CN250" s="247"/>
      <c r="CO250" s="125"/>
      <c r="CP250" s="247"/>
      <c r="CQ250" s="116"/>
      <c r="CR250" s="116"/>
      <c r="CS250" s="116"/>
      <c r="CT250" s="247"/>
      <c r="CU250" s="125"/>
      <c r="CV250" s="247"/>
      <c r="CW250" s="116"/>
      <c r="CX250" s="116"/>
      <c r="CY250" s="116"/>
      <c r="CZ250" s="102"/>
      <c r="DA250" s="125"/>
      <c r="DB250" s="102"/>
      <c r="DC250" s="31"/>
      <c r="DD250" s="17"/>
      <c r="DE250" s="11"/>
      <c r="DF250" s="116"/>
      <c r="DG250" s="116"/>
      <c r="DH250" s="116"/>
      <c r="DI250" s="116"/>
      <c r="DJ250" s="116"/>
      <c r="DK250" s="116"/>
      <c r="DL250" s="116"/>
      <c r="DM250" s="116"/>
      <c r="DN250" s="116"/>
      <c r="DO250" s="116"/>
      <c r="DP250" s="116"/>
      <c r="DQ250" s="116"/>
      <c r="DR250" s="116"/>
      <c r="DS250" s="116"/>
      <c r="DT250" s="116"/>
      <c r="DU250" s="116"/>
      <c r="DV250" s="116"/>
      <c r="DW250" s="116"/>
      <c r="DX250" s="116"/>
      <c r="DY250" s="116"/>
      <c r="DZ250" s="116"/>
      <c r="EA250" s="116"/>
      <c r="EB250" s="116"/>
      <c r="EC250" s="116"/>
      <c r="ED250" s="116"/>
      <c r="EE250" s="116"/>
      <c r="EF250" s="116"/>
      <c r="EG250" s="116"/>
      <c r="EH250" s="116"/>
      <c r="EI250" s="116"/>
      <c r="EJ250" s="116"/>
      <c r="EK250" s="116"/>
      <c r="EL250" s="116"/>
      <c r="EM250" s="116"/>
      <c r="EN250" s="116"/>
      <c r="EO250" s="116"/>
      <c r="EP250" s="116"/>
      <c r="EQ250" s="116"/>
      <c r="ER250" s="116"/>
      <c r="ES250" s="116"/>
      <c r="ET250" s="11"/>
      <c r="EU250" s="11"/>
      <c r="EV250" s="11"/>
      <c r="EW250" s="11"/>
      <c r="EX250" s="11"/>
      <c r="EY250" s="11"/>
      <c r="EZ250" s="11"/>
      <c r="FA250" s="11"/>
      <c r="FB250" s="11"/>
      <c r="FC250" s="11"/>
      <c r="FD250" s="11"/>
      <c r="FE250" s="11"/>
      <c r="FF250" s="11"/>
      <c r="FG250" s="11"/>
      <c r="FH250" s="17">
        <f t="shared" si="93"/>
        <v>1274344.82</v>
      </c>
      <c r="FI250" s="31">
        <f t="shared" si="94"/>
        <v>5</v>
      </c>
      <c r="FJ250" s="68">
        <f t="shared" si="95"/>
        <v>254868.96400000001</v>
      </c>
    </row>
    <row r="251" spans="1:166" ht="13.5" x14ac:dyDescent="0.25">
      <c r="A251" s="248">
        <f>Distribución_Reactivos!A251</f>
        <v>249</v>
      </c>
      <c r="B251" s="248" t="str">
        <f>Distribución_Reactivos!B251</f>
        <v>Hidróxido de Sodio 0,1 mol</v>
      </c>
      <c r="C251" s="248" t="str">
        <f>Distribución_Reactivos!C251</f>
        <v>Merck</v>
      </c>
      <c r="D251" s="248" t="str">
        <f>Distribución_Reactivos!D251</f>
        <v>Frasco x 1 L</v>
      </c>
      <c r="E251" s="29">
        <v>1</v>
      </c>
      <c r="F251" s="212">
        <v>76913.666666666672</v>
      </c>
      <c r="G251" s="214">
        <v>73780</v>
      </c>
      <c r="H251" s="221">
        <v>96153.134238888902</v>
      </c>
      <c r="I251" s="221">
        <v>96152</v>
      </c>
      <c r="J251" s="221">
        <v>85719.666666666672</v>
      </c>
      <c r="K251" s="221">
        <v>0</v>
      </c>
      <c r="L251" s="247">
        <f>AVERAGE(F251,H251,J251)</f>
        <v>86262.155857407415</v>
      </c>
      <c r="M251" s="247">
        <f>AVERAGE(G251,I251)*E1</f>
        <v>87514.98</v>
      </c>
      <c r="N251" s="217"/>
      <c r="O251" s="97"/>
      <c r="P251" s="97"/>
      <c r="Q251" s="115"/>
      <c r="R251" s="115"/>
      <c r="S251" s="53"/>
      <c r="T251" s="97"/>
      <c r="U251" s="97"/>
      <c r="V251" s="97"/>
      <c r="W251" s="115"/>
      <c r="X251" s="115"/>
      <c r="Y251" s="11"/>
      <c r="Z251" s="97"/>
      <c r="AA251" s="97"/>
      <c r="AB251" s="97"/>
      <c r="AC251" s="44"/>
      <c r="AD251" s="44"/>
      <c r="AE251" s="11"/>
      <c r="AF251" s="102"/>
      <c r="AG251" s="125"/>
      <c r="AH251" s="97"/>
      <c r="AI251" s="11"/>
      <c r="AJ251" s="11"/>
      <c r="AK251" s="17"/>
      <c r="AL251" s="97">
        <v>85000</v>
      </c>
      <c r="AM251" s="97">
        <f>+AL251*0.19</f>
        <v>16150</v>
      </c>
      <c r="AN251" s="103">
        <f>+AL251+AM251</f>
        <v>101150</v>
      </c>
      <c r="AO251" s="248" t="s">
        <v>56</v>
      </c>
      <c r="AP251" s="17" t="s">
        <v>52</v>
      </c>
      <c r="AQ251" s="17"/>
      <c r="AR251" s="252"/>
      <c r="AS251" s="136"/>
      <c r="AT251" s="137"/>
      <c r="AU251" s="52"/>
      <c r="AV251" s="52"/>
      <c r="AW251" s="30"/>
      <c r="AX251" s="100"/>
      <c r="AY251" s="100"/>
      <c r="AZ251" s="124"/>
      <c r="BA251" s="169"/>
      <c r="BB251" s="116"/>
      <c r="BC251" s="116"/>
      <c r="BD251" s="247"/>
      <c r="BE251" s="124"/>
      <c r="BF251" s="124"/>
      <c r="BG251" s="116"/>
      <c r="BH251" s="116"/>
      <c r="BI251" s="116"/>
      <c r="BJ251" s="124"/>
      <c r="BK251" s="124"/>
      <c r="BL251" s="124"/>
      <c r="BM251" s="116"/>
      <c r="BN251" s="116"/>
      <c r="BO251" s="116"/>
      <c r="BP251" s="124"/>
      <c r="BQ251" s="116"/>
      <c r="BR251" s="116"/>
      <c r="BS251" s="116"/>
      <c r="BT251" s="116"/>
      <c r="BU251" s="116"/>
      <c r="BV251" s="236">
        <v>100400</v>
      </c>
      <c r="BW251" s="125">
        <f t="shared" si="96"/>
        <v>19076</v>
      </c>
      <c r="BX251" s="97">
        <f t="shared" si="97"/>
        <v>119476</v>
      </c>
      <c r="BY251" s="237" t="s">
        <v>308</v>
      </c>
      <c r="BZ251" s="237" t="s">
        <v>93</v>
      </c>
      <c r="CA251" s="116"/>
      <c r="CB251" s="247"/>
      <c r="CC251" s="125"/>
      <c r="CD251" s="247"/>
      <c r="CE251" s="116"/>
      <c r="CF251" s="116"/>
      <c r="CG251" s="34"/>
      <c r="CH251" s="236">
        <v>107428</v>
      </c>
      <c r="CI251" s="238">
        <f t="shared" si="98"/>
        <v>20411.32</v>
      </c>
      <c r="CJ251" s="236">
        <f t="shared" si="99"/>
        <v>127839.32</v>
      </c>
      <c r="CK251" s="237" t="s">
        <v>308</v>
      </c>
      <c r="CL251" s="237" t="s">
        <v>93</v>
      </c>
      <c r="CM251" s="116"/>
      <c r="CN251" s="247"/>
      <c r="CO251" s="125"/>
      <c r="CP251" s="247"/>
      <c r="CQ251" s="116"/>
      <c r="CR251" s="116"/>
      <c r="CS251" s="116"/>
      <c r="CT251" s="247"/>
      <c r="CU251" s="125"/>
      <c r="CV251" s="247"/>
      <c r="CW251" s="116"/>
      <c r="CX251" s="116"/>
      <c r="CY251" s="116"/>
      <c r="CZ251" s="102">
        <v>60690</v>
      </c>
      <c r="DA251" s="125">
        <f>+CZ251*0.19</f>
        <v>11531.1</v>
      </c>
      <c r="DB251" s="102">
        <f>+CZ251+DA251</f>
        <v>72221.100000000006</v>
      </c>
      <c r="DC251" s="31" t="s">
        <v>238</v>
      </c>
      <c r="DD251" s="17" t="s">
        <v>65</v>
      </c>
      <c r="DE251" s="11" t="s">
        <v>330</v>
      </c>
      <c r="DF251" s="116"/>
      <c r="DG251" s="116"/>
      <c r="DH251" s="116"/>
      <c r="DI251" s="116"/>
      <c r="DJ251" s="116"/>
      <c r="DK251" s="116"/>
      <c r="DL251" s="116"/>
      <c r="DM251" s="116"/>
      <c r="DN251" s="116"/>
      <c r="DO251" s="116"/>
      <c r="DP251" s="116"/>
      <c r="DQ251" s="116"/>
      <c r="DR251" s="116"/>
      <c r="DS251" s="116"/>
      <c r="DT251" s="116"/>
      <c r="DU251" s="116"/>
      <c r="DV251" s="116"/>
      <c r="DW251" s="116"/>
      <c r="DX251" s="116"/>
      <c r="DY251" s="116"/>
      <c r="DZ251" s="116"/>
      <c r="EA251" s="116"/>
      <c r="EB251" s="116"/>
      <c r="EC251" s="116"/>
      <c r="ED251" s="116"/>
      <c r="EE251" s="116"/>
      <c r="EF251" s="116"/>
      <c r="EG251" s="116"/>
      <c r="EH251" s="116"/>
      <c r="EI251" s="116"/>
      <c r="EJ251" s="116"/>
      <c r="EK251" s="116"/>
      <c r="EL251" s="116"/>
      <c r="EM251" s="116"/>
      <c r="EN251" s="116"/>
      <c r="EO251" s="116"/>
      <c r="EP251" s="116"/>
      <c r="EQ251" s="116"/>
      <c r="ER251" s="116"/>
      <c r="ES251" s="116"/>
      <c r="ET251" s="11"/>
      <c r="EU251" s="11"/>
      <c r="EV251" s="11"/>
      <c r="EW251" s="11"/>
      <c r="EX251" s="11"/>
      <c r="EY251" s="11"/>
      <c r="EZ251" s="11"/>
      <c r="FA251" s="11"/>
      <c r="FB251" s="11"/>
      <c r="FC251" s="11"/>
      <c r="FD251" s="11"/>
      <c r="FE251" s="11"/>
      <c r="FF251" s="11"/>
      <c r="FG251" s="11"/>
      <c r="FH251" s="17">
        <f t="shared" si="93"/>
        <v>508201.4</v>
      </c>
      <c r="FI251" s="31">
        <f t="shared" si="94"/>
        <v>5</v>
      </c>
      <c r="FJ251" s="68">
        <f t="shared" si="95"/>
        <v>101640.28</v>
      </c>
    </row>
    <row r="252" spans="1:166" ht="38.25" x14ac:dyDescent="0.25">
      <c r="A252" s="248">
        <f>Distribución_Reactivos!A252</f>
        <v>250</v>
      </c>
      <c r="B252" s="248" t="str">
        <f>Distribución_Reactivos!B252</f>
        <v>Hidróxido de sodio anhidro 99% en lentejas</v>
      </c>
      <c r="C252" s="248" t="str">
        <f>Distribución_Reactivos!C252</f>
        <v>Merck, JT Baker, Sigma o equivalente</v>
      </c>
      <c r="D252" s="248" t="str">
        <f>Distribución_Reactivos!D252</f>
        <v>Frasco x 1 k</v>
      </c>
      <c r="E252" s="29">
        <v>1</v>
      </c>
      <c r="F252" s="212">
        <v>122429.58</v>
      </c>
      <c r="G252" s="214">
        <v>120547</v>
      </c>
      <c r="H252" s="221">
        <v>0</v>
      </c>
      <c r="I252" s="221">
        <v>0</v>
      </c>
      <c r="J252" s="221">
        <v>133767.30499999999</v>
      </c>
      <c r="K252" s="221">
        <v>0</v>
      </c>
      <c r="L252" s="247">
        <f>AVERAGE(F252,J252)</f>
        <v>128098.4425</v>
      </c>
      <c r="M252" s="247">
        <f>G252*E1</f>
        <v>124163.41</v>
      </c>
      <c r="N252" s="217"/>
      <c r="O252" s="97"/>
      <c r="P252" s="97"/>
      <c r="Q252" s="115"/>
      <c r="R252" s="115"/>
      <c r="S252" s="53"/>
      <c r="T252" s="97"/>
      <c r="U252" s="97"/>
      <c r="V252" s="97"/>
      <c r="W252" s="115"/>
      <c r="X252" s="115"/>
      <c r="Y252" s="11"/>
      <c r="Z252" s="97"/>
      <c r="AA252" s="97"/>
      <c r="AB252" s="97"/>
      <c r="AC252" s="44"/>
      <c r="AD252" s="44"/>
      <c r="AE252" s="11"/>
      <c r="AF252" s="102"/>
      <c r="AG252" s="125"/>
      <c r="AH252" s="97"/>
      <c r="AI252" s="11"/>
      <c r="AJ252" s="11"/>
      <c r="AK252" s="17"/>
      <c r="AL252" s="97">
        <v>96000</v>
      </c>
      <c r="AM252" s="97">
        <f>+AL252*0.19</f>
        <v>18240</v>
      </c>
      <c r="AN252" s="103">
        <f>+AL252+AM252</f>
        <v>114240</v>
      </c>
      <c r="AO252" s="248" t="s">
        <v>56</v>
      </c>
      <c r="AP252" s="17" t="s">
        <v>52</v>
      </c>
      <c r="AQ252" s="17"/>
      <c r="AR252" s="252"/>
      <c r="AS252" s="136"/>
      <c r="AT252" s="137"/>
      <c r="AU252" s="52"/>
      <c r="AV252" s="52"/>
      <c r="AW252" s="30"/>
      <c r="AX252" s="100"/>
      <c r="AY252" s="172"/>
      <c r="AZ252" s="124"/>
      <c r="BA252" s="169"/>
      <c r="BB252" s="116"/>
      <c r="BC252" s="116"/>
      <c r="BD252" s="247"/>
      <c r="BE252" s="124"/>
      <c r="BF252" s="124"/>
      <c r="BG252" s="116"/>
      <c r="BH252" s="116"/>
      <c r="BI252" s="116"/>
      <c r="BJ252" s="124"/>
      <c r="BK252" s="124"/>
      <c r="BL252" s="124"/>
      <c r="BM252" s="116"/>
      <c r="BN252" s="116"/>
      <c r="BO252" s="116"/>
      <c r="BP252" s="124"/>
      <c r="BQ252" s="116"/>
      <c r="BR252" s="116"/>
      <c r="BS252" s="116"/>
      <c r="BT252" s="116"/>
      <c r="BU252" s="116"/>
      <c r="BV252" s="236">
        <v>241900</v>
      </c>
      <c r="BW252" s="125">
        <f t="shared" si="96"/>
        <v>45961</v>
      </c>
      <c r="BX252" s="97">
        <f t="shared" si="97"/>
        <v>287861</v>
      </c>
      <c r="BY252" s="237" t="s">
        <v>329</v>
      </c>
      <c r="BZ252" s="237" t="s">
        <v>93</v>
      </c>
      <c r="CA252" s="116"/>
      <c r="CB252" s="247"/>
      <c r="CC252" s="125"/>
      <c r="CD252" s="247"/>
      <c r="CE252" s="116"/>
      <c r="CF252" s="116"/>
      <c r="CG252" s="34"/>
      <c r="CH252" s="236">
        <v>249157</v>
      </c>
      <c r="CI252" s="238">
        <f t="shared" si="98"/>
        <v>47339.83</v>
      </c>
      <c r="CJ252" s="236">
        <f t="shared" si="99"/>
        <v>296496.83</v>
      </c>
      <c r="CK252" s="237" t="s">
        <v>329</v>
      </c>
      <c r="CL252" s="237" t="s">
        <v>93</v>
      </c>
      <c r="CM252" s="116"/>
      <c r="CN252" s="247"/>
      <c r="CO252" s="125"/>
      <c r="CP252" s="247"/>
      <c r="CQ252" s="116"/>
      <c r="CR252" s="116"/>
      <c r="CS252" s="116"/>
      <c r="CT252" s="247"/>
      <c r="CU252" s="125"/>
      <c r="CV252" s="247"/>
      <c r="CW252" s="116"/>
      <c r="CX252" s="116"/>
      <c r="CY252" s="116"/>
      <c r="CZ252" s="102">
        <v>52966</v>
      </c>
      <c r="DA252" s="125">
        <f>+CZ252*0.19</f>
        <v>10063.540000000001</v>
      </c>
      <c r="DB252" s="102">
        <f>+CZ252+DA252</f>
        <v>63029.54</v>
      </c>
      <c r="DC252" s="31" t="s">
        <v>331</v>
      </c>
      <c r="DD252" s="17" t="s">
        <v>65</v>
      </c>
      <c r="DE252" s="11" t="s">
        <v>332</v>
      </c>
      <c r="DF252" s="116"/>
      <c r="DG252" s="116"/>
      <c r="DH252" s="116"/>
      <c r="DI252" s="116"/>
      <c r="DJ252" s="116"/>
      <c r="DK252" s="116"/>
      <c r="DL252" s="116"/>
      <c r="DM252" s="116"/>
      <c r="DN252" s="116"/>
      <c r="DO252" s="116"/>
      <c r="DP252" s="116"/>
      <c r="DQ252" s="116"/>
      <c r="DR252" s="116"/>
      <c r="DS252" s="116"/>
      <c r="DT252" s="116"/>
      <c r="DU252" s="116"/>
      <c r="DV252" s="116"/>
      <c r="DW252" s="116"/>
      <c r="DX252" s="116"/>
      <c r="DY252" s="116"/>
      <c r="DZ252" s="116"/>
      <c r="EA252" s="116"/>
      <c r="EB252" s="116"/>
      <c r="EC252" s="116"/>
      <c r="ED252" s="116"/>
      <c r="EE252" s="116"/>
      <c r="EF252" s="116"/>
      <c r="EG252" s="116"/>
      <c r="EH252" s="116"/>
      <c r="EI252" s="116"/>
      <c r="EJ252" s="116"/>
      <c r="EK252" s="116"/>
      <c r="EL252" s="116"/>
      <c r="EM252" s="116"/>
      <c r="EN252" s="116"/>
      <c r="EO252" s="116"/>
      <c r="EP252" s="116"/>
      <c r="EQ252" s="116"/>
      <c r="ER252" s="116"/>
      <c r="ES252" s="116"/>
      <c r="ET252" s="11"/>
      <c r="EU252" s="11"/>
      <c r="EV252" s="11"/>
      <c r="EW252" s="11"/>
      <c r="EX252" s="11"/>
      <c r="EY252" s="11"/>
      <c r="EZ252" s="11"/>
      <c r="FA252" s="11"/>
      <c r="FB252" s="11"/>
      <c r="FC252" s="11"/>
      <c r="FD252" s="11"/>
      <c r="FE252" s="11"/>
      <c r="FF252" s="11"/>
      <c r="FG252" s="11"/>
      <c r="FH252" s="17">
        <f t="shared" si="93"/>
        <v>885790.78</v>
      </c>
      <c r="FI252" s="31">
        <f t="shared" si="94"/>
        <v>5</v>
      </c>
      <c r="FJ252" s="68">
        <f t="shared" si="95"/>
        <v>177158.15600000002</v>
      </c>
    </row>
    <row r="253" spans="1:166" ht="40.5" x14ac:dyDescent="0.25">
      <c r="A253" s="248">
        <f>Distribución_Reactivos!A253</f>
        <v>251</v>
      </c>
      <c r="B253" s="248" t="str">
        <f>Distribución_Reactivos!B253</f>
        <v>Hipoclorito de sodio al 5.25%, con certificado de análisis y ficha de seguridad</v>
      </c>
      <c r="C253" s="248" t="str">
        <f>Distribución_Reactivos!C253</f>
        <v>cualquier marca</v>
      </c>
      <c r="D253" s="248" t="str">
        <f>Distribución_Reactivos!D253</f>
        <v>Frasco x 5 L</v>
      </c>
      <c r="E253" s="29">
        <v>1</v>
      </c>
      <c r="F253" s="212">
        <v>0</v>
      </c>
      <c r="G253" s="214">
        <v>0</v>
      </c>
      <c r="H253" s="221">
        <v>0</v>
      </c>
      <c r="I253" s="221">
        <v>0</v>
      </c>
      <c r="J253" s="221">
        <v>0</v>
      </c>
      <c r="K253" s="221">
        <v>0</v>
      </c>
      <c r="L253" s="247"/>
      <c r="M253" s="247"/>
      <c r="N253" s="217"/>
      <c r="O253" s="97"/>
      <c r="P253" s="97"/>
      <c r="Q253" s="115"/>
      <c r="R253" s="115"/>
      <c r="S253" s="53"/>
      <c r="T253" s="97"/>
      <c r="U253" s="97"/>
      <c r="V253" s="97"/>
      <c r="W253" s="115"/>
      <c r="X253" s="115"/>
      <c r="Y253" s="11"/>
      <c r="Z253" s="97"/>
      <c r="AA253" s="97"/>
      <c r="AB253" s="97"/>
      <c r="AC253" s="44"/>
      <c r="AD253" s="44"/>
      <c r="AE253" s="11"/>
      <c r="AF253" s="102">
        <v>22000</v>
      </c>
      <c r="AG253" s="125">
        <f>AF253*19%</f>
        <v>4180</v>
      </c>
      <c r="AH253" s="97">
        <f>+AF253+AG253</f>
        <v>26180</v>
      </c>
      <c r="AI253" s="11"/>
      <c r="AJ253" s="11"/>
      <c r="AK253" s="17"/>
      <c r="AL253" s="97"/>
      <c r="AM253" s="97"/>
      <c r="AN253" s="101"/>
      <c r="AO253" s="248"/>
      <c r="AP253" s="17"/>
      <c r="AQ253" s="17"/>
      <c r="AR253" s="252">
        <v>18098</v>
      </c>
      <c r="AS253" s="97">
        <f>+AR253*0.19</f>
        <v>3438.62</v>
      </c>
      <c r="AT253" s="103">
        <f>+AR253+AS253</f>
        <v>21536.62</v>
      </c>
      <c r="AU253" s="52" t="s">
        <v>333</v>
      </c>
      <c r="AV253" s="52" t="s">
        <v>266</v>
      </c>
      <c r="AW253" s="30"/>
      <c r="AX253" s="100"/>
      <c r="AY253" s="174"/>
      <c r="AZ253" s="124"/>
      <c r="BA253" s="169"/>
      <c r="BB253" s="116"/>
      <c r="BC253" s="116"/>
      <c r="BD253" s="247"/>
      <c r="BE253" s="124"/>
      <c r="BF253" s="124"/>
      <c r="BG253" s="116"/>
      <c r="BH253" s="116"/>
      <c r="BI253" s="116"/>
      <c r="BJ253" s="124"/>
      <c r="BK253" s="124"/>
      <c r="BL253" s="124"/>
      <c r="BM253" s="116"/>
      <c r="BN253" s="116"/>
      <c r="BO253" s="116"/>
      <c r="BP253" s="124"/>
      <c r="BQ253" s="116"/>
      <c r="BR253" s="116"/>
      <c r="BS253" s="116"/>
      <c r="BT253" s="17"/>
      <c r="BU253" s="17"/>
      <c r="BV253" s="236">
        <v>85700</v>
      </c>
      <c r="BW253" s="125">
        <f t="shared" si="96"/>
        <v>16283</v>
      </c>
      <c r="BX253" s="97">
        <f t="shared" si="97"/>
        <v>101983</v>
      </c>
      <c r="BY253" s="237" t="s">
        <v>313</v>
      </c>
      <c r="BZ253" s="237" t="s">
        <v>55</v>
      </c>
      <c r="CA253" s="116"/>
      <c r="CB253" s="247">
        <v>32500</v>
      </c>
      <c r="CC253" s="125">
        <f>+CB253*19%</f>
        <v>6175</v>
      </c>
      <c r="CD253" s="247">
        <f>+CC253+CB253</f>
        <v>38675</v>
      </c>
      <c r="CE253" s="116"/>
      <c r="CF253" s="116"/>
      <c r="CG253" s="34"/>
      <c r="CH253" s="236">
        <v>88271</v>
      </c>
      <c r="CI253" s="238">
        <f t="shared" si="98"/>
        <v>16771.490000000002</v>
      </c>
      <c r="CJ253" s="236">
        <f t="shared" si="99"/>
        <v>105042.49</v>
      </c>
      <c r="CK253" s="237" t="s">
        <v>313</v>
      </c>
      <c r="CL253" s="237" t="s">
        <v>55</v>
      </c>
      <c r="CM253" s="116"/>
      <c r="CN253" s="247"/>
      <c r="CO253" s="125"/>
      <c r="CP253" s="247"/>
      <c r="CQ253" s="116"/>
      <c r="CR253" s="116"/>
      <c r="CS253" s="116"/>
      <c r="CT253" s="247"/>
      <c r="CU253" s="125"/>
      <c r="CV253" s="247"/>
      <c r="CW253" s="116"/>
      <c r="CX253" s="116"/>
      <c r="CY253" s="116"/>
      <c r="CZ253" s="102"/>
      <c r="DA253" s="125"/>
      <c r="DB253" s="102"/>
      <c r="DC253" s="31"/>
      <c r="DD253" s="17"/>
      <c r="DE253" s="11"/>
      <c r="DF253" s="116"/>
      <c r="DG253" s="116"/>
      <c r="DH253" s="116"/>
      <c r="DI253" s="116"/>
      <c r="DJ253" s="116"/>
      <c r="DK253" s="116"/>
      <c r="DL253" s="116"/>
      <c r="DM253" s="116"/>
      <c r="DN253" s="116"/>
      <c r="DO253" s="116"/>
      <c r="DP253" s="116"/>
      <c r="DQ253" s="116"/>
      <c r="DR253" s="116"/>
      <c r="DS253" s="116"/>
      <c r="DT253" s="116"/>
      <c r="DU253" s="116"/>
      <c r="DV253" s="116"/>
      <c r="DW253" s="116"/>
      <c r="DX253" s="116"/>
      <c r="DY253" s="116"/>
      <c r="DZ253" s="116"/>
      <c r="EA253" s="116"/>
      <c r="EB253" s="116"/>
      <c r="EC253" s="116"/>
      <c r="ED253" s="116"/>
      <c r="EE253" s="116"/>
      <c r="EF253" s="116"/>
      <c r="EG253" s="116"/>
      <c r="EH253" s="116"/>
      <c r="EI253" s="116"/>
      <c r="EJ253" s="116"/>
      <c r="EK253" s="116"/>
      <c r="EL253" s="116"/>
      <c r="EM253" s="116"/>
      <c r="EN253" s="116"/>
      <c r="EO253" s="116"/>
      <c r="EP253" s="116"/>
      <c r="EQ253" s="116"/>
      <c r="ER253" s="116"/>
      <c r="ES253" s="116"/>
      <c r="ET253" s="11"/>
      <c r="EU253" s="11"/>
      <c r="EV253" s="11"/>
      <c r="EW253" s="11"/>
      <c r="EX253" s="11"/>
      <c r="EY253" s="11"/>
      <c r="EZ253" s="11"/>
      <c r="FA253" s="11"/>
      <c r="FB253" s="11"/>
      <c r="FC253" s="11"/>
      <c r="FD253" s="11"/>
      <c r="FE253" s="11"/>
      <c r="FF253" s="11"/>
      <c r="FG253" s="11"/>
      <c r="FH253" s="17">
        <f t="shared" si="93"/>
        <v>293417.11</v>
      </c>
      <c r="FI253" s="31">
        <f t="shared" si="94"/>
        <v>5</v>
      </c>
      <c r="FJ253" s="68">
        <f t="shared" si="95"/>
        <v>58683.421999999999</v>
      </c>
    </row>
    <row r="254" spans="1:166" ht="25.5" x14ac:dyDescent="0.25">
      <c r="A254" s="248">
        <f>Distribución_Reactivos!A254</f>
        <v>252</v>
      </c>
      <c r="B254" s="248" t="str">
        <f>Distribución_Reactivos!B254</f>
        <v>ID Gene™ Brucella spp triplex</v>
      </c>
      <c r="C254" s="248" t="str">
        <f>Distribución_Reactivos!C254</f>
        <v>ID VET. IDBRU-100</v>
      </c>
      <c r="D254" s="248" t="str">
        <f>Distribución_Reactivos!D254</f>
        <v>Kit x 100</v>
      </c>
      <c r="E254" s="29">
        <v>1</v>
      </c>
      <c r="F254" s="212">
        <v>0</v>
      </c>
      <c r="G254" s="214">
        <v>0</v>
      </c>
      <c r="H254" s="221">
        <v>0</v>
      </c>
      <c r="I254" s="221">
        <v>0</v>
      </c>
      <c r="J254" s="221">
        <v>5409000</v>
      </c>
      <c r="K254" s="221">
        <v>0</v>
      </c>
      <c r="L254" s="247">
        <f>J254</f>
        <v>5409000</v>
      </c>
      <c r="M254" s="247"/>
      <c r="N254" s="217"/>
      <c r="O254" s="97"/>
      <c r="P254" s="97"/>
      <c r="Q254" s="115"/>
      <c r="R254" s="115"/>
      <c r="S254" s="53"/>
      <c r="T254" s="97"/>
      <c r="U254" s="97"/>
      <c r="V254" s="97"/>
      <c r="W254" s="115"/>
      <c r="X254" s="115"/>
      <c r="Y254" s="11"/>
      <c r="Z254" s="97">
        <v>12963000</v>
      </c>
      <c r="AA254" s="97">
        <v>0</v>
      </c>
      <c r="AB254" s="97">
        <f>+Z254+AA254</f>
        <v>12963000</v>
      </c>
      <c r="AC254" s="44" t="s">
        <v>334</v>
      </c>
      <c r="AD254" s="44" t="s">
        <v>191</v>
      </c>
      <c r="AE254" s="11"/>
      <c r="AF254" s="102"/>
      <c r="AG254" s="125"/>
      <c r="AH254" s="97"/>
      <c r="AI254" s="11"/>
      <c r="AJ254" s="11"/>
      <c r="AK254" s="17"/>
      <c r="AL254" s="97"/>
      <c r="AM254" s="97"/>
      <c r="AN254" s="101"/>
      <c r="AO254" s="248"/>
      <c r="AP254" s="17"/>
      <c r="AQ254" s="17"/>
      <c r="AR254" s="252"/>
      <c r="AS254" s="136"/>
      <c r="AT254" s="137"/>
      <c r="AU254" s="52"/>
      <c r="AV254" s="52"/>
      <c r="AW254" s="30"/>
      <c r="AX254" s="100"/>
      <c r="AY254" s="174"/>
      <c r="AZ254" s="124"/>
      <c r="BA254" s="169"/>
      <c r="BB254" s="116"/>
      <c r="BC254" s="116"/>
      <c r="BD254" s="247"/>
      <c r="BE254" s="124"/>
      <c r="BF254" s="124"/>
      <c r="BG254" s="116"/>
      <c r="BH254" s="116"/>
      <c r="BI254" s="116"/>
      <c r="BJ254" s="124"/>
      <c r="BK254" s="124"/>
      <c r="BL254" s="124"/>
      <c r="BM254" s="116"/>
      <c r="BN254" s="116"/>
      <c r="BO254" s="116"/>
      <c r="BP254" s="124"/>
      <c r="BQ254" s="116"/>
      <c r="BR254" s="116"/>
      <c r="BS254" s="116"/>
      <c r="BT254" s="17"/>
      <c r="BU254" s="17"/>
      <c r="BV254" s="241">
        <v>16000000</v>
      </c>
      <c r="BW254" s="125">
        <f t="shared" si="96"/>
        <v>3040000</v>
      </c>
      <c r="BX254" s="97">
        <f t="shared" si="97"/>
        <v>19040000</v>
      </c>
      <c r="BY254" s="237" t="s">
        <v>335</v>
      </c>
      <c r="BZ254" s="237" t="s">
        <v>336</v>
      </c>
      <c r="CA254" s="116"/>
      <c r="CB254" s="247"/>
      <c r="CC254" s="125"/>
      <c r="CD254" s="247"/>
      <c r="CE254" s="116"/>
      <c r="CF254" s="116"/>
      <c r="CG254" s="34"/>
      <c r="CH254" s="241"/>
      <c r="CI254" s="238"/>
      <c r="CJ254" s="236"/>
      <c r="CK254" s="237"/>
      <c r="CL254" s="237"/>
      <c r="CM254" s="116"/>
      <c r="CN254" s="247"/>
      <c r="CO254" s="125"/>
      <c r="CP254" s="247"/>
      <c r="CQ254" s="116"/>
      <c r="CR254" s="116"/>
      <c r="CS254" s="116"/>
      <c r="CT254" s="247"/>
      <c r="CU254" s="125"/>
      <c r="CV254" s="247"/>
      <c r="CW254" s="116"/>
      <c r="CX254" s="116"/>
      <c r="CY254" s="116"/>
      <c r="CZ254" s="102"/>
      <c r="DA254" s="125"/>
      <c r="DB254" s="102"/>
      <c r="DC254" s="31"/>
      <c r="DD254" s="17"/>
      <c r="DE254" s="11"/>
      <c r="DF254" s="116"/>
      <c r="DG254" s="116"/>
      <c r="DH254" s="116"/>
      <c r="DI254" s="116"/>
      <c r="DJ254" s="116"/>
      <c r="DK254" s="116"/>
      <c r="DL254" s="116"/>
      <c r="DM254" s="116"/>
      <c r="DN254" s="116"/>
      <c r="DO254" s="116"/>
      <c r="DP254" s="116"/>
      <c r="DQ254" s="116"/>
      <c r="DR254" s="116"/>
      <c r="DS254" s="116"/>
      <c r="DT254" s="116"/>
      <c r="DU254" s="116"/>
      <c r="DV254" s="116"/>
      <c r="DW254" s="116"/>
      <c r="DX254" s="116"/>
      <c r="DY254" s="116"/>
      <c r="DZ254" s="116"/>
      <c r="EA254" s="116"/>
      <c r="EB254" s="116"/>
      <c r="EC254" s="116"/>
      <c r="ED254" s="116"/>
      <c r="EE254" s="116"/>
      <c r="EF254" s="116"/>
      <c r="EG254" s="116"/>
      <c r="EH254" s="116"/>
      <c r="EI254" s="116"/>
      <c r="EJ254" s="116"/>
      <c r="EK254" s="116"/>
      <c r="EL254" s="116"/>
      <c r="EM254" s="116"/>
      <c r="EN254" s="116"/>
      <c r="EO254" s="116"/>
      <c r="EP254" s="116"/>
      <c r="EQ254" s="116"/>
      <c r="ER254" s="116"/>
      <c r="ES254" s="116"/>
      <c r="ET254" s="11"/>
      <c r="EU254" s="11"/>
      <c r="EV254" s="11"/>
      <c r="EW254" s="11"/>
      <c r="EX254" s="11"/>
      <c r="EY254" s="11"/>
      <c r="EZ254" s="11"/>
      <c r="FA254" s="11"/>
      <c r="FB254" s="11"/>
      <c r="FC254" s="11"/>
      <c r="FD254" s="11"/>
      <c r="FE254" s="11"/>
      <c r="FF254" s="11"/>
      <c r="FG254" s="11"/>
      <c r="FH254" s="17">
        <f t="shared" si="93"/>
        <v>32003000</v>
      </c>
      <c r="FI254" s="31">
        <f t="shared" si="94"/>
        <v>2</v>
      </c>
      <c r="FJ254" s="68">
        <f t="shared" si="95"/>
        <v>16001500</v>
      </c>
    </row>
    <row r="255" spans="1:166" ht="25.5" x14ac:dyDescent="0.25">
      <c r="A255" s="248">
        <f>Distribución_Reactivos!A255</f>
        <v>253</v>
      </c>
      <c r="B255" s="248" t="str">
        <f>Distribución_Reactivos!B255</f>
        <v>ID Gene™ Mycobacterium tuberculosis complex Duplex</v>
      </c>
      <c r="C255" s="248" t="str">
        <f>Distribución_Reactivos!C255</f>
        <v>ID VET. IDTUB-100</v>
      </c>
      <c r="D255" s="248" t="str">
        <f>Distribución_Reactivos!D255</f>
        <v>Kit x 100</v>
      </c>
      <c r="E255" s="29">
        <v>1</v>
      </c>
      <c r="F255" s="212">
        <v>0</v>
      </c>
      <c r="G255" s="214">
        <v>0</v>
      </c>
      <c r="H255" s="221">
        <v>0</v>
      </c>
      <c r="I255" s="221">
        <v>0</v>
      </c>
      <c r="J255" s="221">
        <v>4327000</v>
      </c>
      <c r="K255" s="221">
        <v>0</v>
      </c>
      <c r="L255" s="247">
        <f>J255</f>
        <v>4327000</v>
      </c>
      <c r="M255" s="247"/>
      <c r="N255" s="217"/>
      <c r="O255" s="97"/>
      <c r="P255" s="97"/>
      <c r="Q255" s="115"/>
      <c r="R255" s="115"/>
      <c r="S255" s="53"/>
      <c r="T255" s="97"/>
      <c r="U255" s="97"/>
      <c r="V255" s="97"/>
      <c r="W255" s="115"/>
      <c r="X255" s="115"/>
      <c r="Y255" s="11"/>
      <c r="Z255" s="97">
        <v>12163000</v>
      </c>
      <c r="AA255" s="97">
        <v>0</v>
      </c>
      <c r="AB255" s="97">
        <f>+Z255+AA255</f>
        <v>12163000</v>
      </c>
      <c r="AC255" s="44" t="s">
        <v>334</v>
      </c>
      <c r="AD255" s="44" t="s">
        <v>191</v>
      </c>
      <c r="AE255" s="11"/>
      <c r="AF255" s="102"/>
      <c r="AG255" s="125"/>
      <c r="AH255" s="97"/>
      <c r="AI255" s="11"/>
      <c r="AJ255" s="11"/>
      <c r="AK255" s="17"/>
      <c r="AL255" s="97"/>
      <c r="AM255" s="97"/>
      <c r="AN255" s="101"/>
      <c r="AO255" s="248"/>
      <c r="AP255" s="17"/>
      <c r="AQ255" s="17"/>
      <c r="AR255" s="252"/>
      <c r="AS255" s="136"/>
      <c r="AT255" s="137"/>
      <c r="AU255" s="52"/>
      <c r="AV255" s="52"/>
      <c r="AW255" s="30"/>
      <c r="AX255" s="100"/>
      <c r="AY255" s="174"/>
      <c r="AZ255" s="124"/>
      <c r="BA255" s="169"/>
      <c r="BB255" s="116"/>
      <c r="BC255" s="116"/>
      <c r="BD255" s="247"/>
      <c r="BE255" s="124"/>
      <c r="BF255" s="124"/>
      <c r="BG255" s="116"/>
      <c r="BH255" s="116"/>
      <c r="BI255" s="116"/>
      <c r="BJ255" s="124"/>
      <c r="BK255" s="124"/>
      <c r="BL255" s="124"/>
      <c r="BM255" s="116"/>
      <c r="BN255" s="116"/>
      <c r="BO255" s="116"/>
      <c r="BP255" s="124"/>
      <c r="BQ255" s="116"/>
      <c r="BR255" s="116"/>
      <c r="BS255" s="116"/>
      <c r="BT255" s="116"/>
      <c r="BU255" s="116"/>
      <c r="BV255" s="241">
        <v>15000000</v>
      </c>
      <c r="BW255" s="125">
        <f t="shared" si="96"/>
        <v>2850000</v>
      </c>
      <c r="BX255" s="97">
        <f t="shared" si="97"/>
        <v>17850000</v>
      </c>
      <c r="BY255" s="237" t="s">
        <v>335</v>
      </c>
      <c r="BZ255" s="237" t="s">
        <v>336</v>
      </c>
      <c r="CA255" s="116"/>
      <c r="CB255" s="247"/>
      <c r="CC255" s="125"/>
      <c r="CD255" s="247"/>
      <c r="CE255" s="116"/>
      <c r="CF255" s="116"/>
      <c r="CG255" s="34"/>
      <c r="CH255" s="241"/>
      <c r="CI255" s="238"/>
      <c r="CJ255" s="236"/>
      <c r="CK255" s="237"/>
      <c r="CL255" s="237"/>
      <c r="CM255" s="116"/>
      <c r="CN255" s="247"/>
      <c r="CO255" s="125"/>
      <c r="CP255" s="247"/>
      <c r="CQ255" s="116"/>
      <c r="CR255" s="116"/>
      <c r="CS255" s="116"/>
      <c r="CT255" s="247"/>
      <c r="CU255" s="125"/>
      <c r="CV255" s="247"/>
      <c r="CW255" s="116"/>
      <c r="CX255" s="116"/>
      <c r="CY255" s="116"/>
      <c r="CZ255" s="102"/>
      <c r="DA255" s="125"/>
      <c r="DB255" s="102"/>
      <c r="DC255" s="31"/>
      <c r="DD255" s="17"/>
      <c r="DE255" s="11"/>
      <c r="DF255" s="116"/>
      <c r="DG255" s="116"/>
      <c r="DH255" s="116"/>
      <c r="DI255" s="116"/>
      <c r="DJ255" s="116"/>
      <c r="DK255" s="116"/>
      <c r="DL255" s="116"/>
      <c r="DM255" s="116"/>
      <c r="DN255" s="116"/>
      <c r="DO255" s="116"/>
      <c r="DP255" s="116"/>
      <c r="DQ255" s="116"/>
      <c r="DR255" s="116"/>
      <c r="DS255" s="116"/>
      <c r="DT255" s="116"/>
      <c r="DU255" s="116"/>
      <c r="DV255" s="116"/>
      <c r="DW255" s="116"/>
      <c r="DX255" s="116"/>
      <c r="DY255" s="116"/>
      <c r="DZ255" s="116"/>
      <c r="EA255" s="116"/>
      <c r="EB255" s="116"/>
      <c r="EC255" s="116"/>
      <c r="ED255" s="116"/>
      <c r="EE255" s="116"/>
      <c r="EF255" s="116"/>
      <c r="EG255" s="116"/>
      <c r="EH255" s="116"/>
      <c r="EI255" s="116"/>
      <c r="EJ255" s="116"/>
      <c r="EK255" s="116"/>
      <c r="EL255" s="116"/>
      <c r="EM255" s="116"/>
      <c r="EN255" s="116"/>
      <c r="EO255" s="116"/>
      <c r="EP255" s="116"/>
      <c r="EQ255" s="116"/>
      <c r="ER255" s="116"/>
      <c r="ES255" s="116"/>
      <c r="ET255" s="11"/>
      <c r="EU255" s="11"/>
      <c r="EV255" s="11"/>
      <c r="EW255" s="11"/>
      <c r="EX255" s="11"/>
      <c r="EY255" s="11"/>
      <c r="EZ255" s="11"/>
      <c r="FA255" s="11"/>
      <c r="FB255" s="11"/>
      <c r="FC255" s="11"/>
      <c r="FD255" s="11"/>
      <c r="FE255" s="11"/>
      <c r="FF255" s="11"/>
      <c r="FG255" s="11"/>
      <c r="FH255" s="17">
        <f t="shared" si="93"/>
        <v>30013000</v>
      </c>
      <c r="FI255" s="31">
        <f t="shared" si="94"/>
        <v>2</v>
      </c>
      <c r="FJ255" s="68">
        <f t="shared" si="95"/>
        <v>15006500</v>
      </c>
    </row>
    <row r="256" spans="1:166" ht="25.5" x14ac:dyDescent="0.25">
      <c r="A256" s="248">
        <f>Distribución_Reactivos!A256</f>
        <v>254</v>
      </c>
      <c r="B256" s="248" t="str">
        <f>Distribución_Reactivos!B256</f>
        <v>Indicador biológico para esterilización a vapor</v>
      </c>
      <c r="C256" s="248" t="str">
        <f>Distribución_Reactivos!C256</f>
        <v>3M</v>
      </c>
      <c r="D256" s="248" t="str">
        <f>Distribución_Reactivos!D256</f>
        <v>Caja x 100 viales</v>
      </c>
      <c r="E256" s="29">
        <v>1</v>
      </c>
      <c r="F256" s="212">
        <v>1249875</v>
      </c>
      <c r="G256" s="214">
        <v>1249000</v>
      </c>
      <c r="H256" s="221">
        <v>1450864.4889374999</v>
      </c>
      <c r="I256" s="221">
        <v>0</v>
      </c>
      <c r="J256" s="221">
        <v>966225</v>
      </c>
      <c r="K256" s="221">
        <v>0</v>
      </c>
      <c r="L256" s="247">
        <f>AVERAGE(F256,H256,J256)</f>
        <v>1222321.4963125</v>
      </c>
      <c r="M256" s="247">
        <f>G256*E1</f>
        <v>1286470</v>
      </c>
      <c r="N256" s="217"/>
      <c r="O256" s="97"/>
      <c r="P256" s="97"/>
      <c r="Q256" s="115"/>
      <c r="R256" s="115"/>
      <c r="S256" s="53"/>
      <c r="T256" s="97"/>
      <c r="U256" s="97"/>
      <c r="V256" s="97"/>
      <c r="W256" s="115"/>
      <c r="X256" s="115"/>
      <c r="Y256" s="11"/>
      <c r="Z256" s="97"/>
      <c r="AA256" s="97"/>
      <c r="AB256" s="97"/>
      <c r="AC256" s="44"/>
      <c r="AD256" s="44"/>
      <c r="AE256" s="11"/>
      <c r="AF256" s="102">
        <v>1800000</v>
      </c>
      <c r="AG256" s="125">
        <v>0</v>
      </c>
      <c r="AH256" s="97">
        <f>+AF256+AG256</f>
        <v>1800000</v>
      </c>
      <c r="AI256" s="11"/>
      <c r="AJ256" s="11"/>
      <c r="AK256" s="17"/>
      <c r="AL256" s="97"/>
      <c r="AM256" s="97"/>
      <c r="AN256" s="101"/>
      <c r="AO256" s="248"/>
      <c r="AP256" s="17"/>
      <c r="AQ256" s="17"/>
      <c r="AR256" s="252"/>
      <c r="AS256" s="136"/>
      <c r="AT256" s="137"/>
      <c r="AU256" s="52"/>
      <c r="AV256" s="52"/>
      <c r="AW256" s="30"/>
      <c r="AX256" s="100"/>
      <c r="AY256" s="174"/>
      <c r="AZ256" s="124"/>
      <c r="BA256" s="169"/>
      <c r="BB256" s="116"/>
      <c r="BC256" s="116"/>
      <c r="BD256" s="247"/>
      <c r="BE256" s="124"/>
      <c r="BF256" s="124"/>
      <c r="BG256" s="116"/>
      <c r="BH256" s="116"/>
      <c r="BI256" s="116"/>
      <c r="BJ256" s="124"/>
      <c r="BK256" s="124"/>
      <c r="BL256" s="124"/>
      <c r="BM256" s="116"/>
      <c r="BN256" s="116"/>
      <c r="BO256" s="116"/>
      <c r="BP256" s="124"/>
      <c r="BQ256" s="116"/>
      <c r="BR256" s="116"/>
      <c r="BS256" s="116"/>
      <c r="BT256" s="116"/>
      <c r="BU256" s="116"/>
      <c r="BV256" s="241">
        <v>3182800</v>
      </c>
      <c r="BW256" s="125">
        <f>BV256*0</f>
        <v>0</v>
      </c>
      <c r="BX256" s="97">
        <f t="shared" si="97"/>
        <v>3182800</v>
      </c>
      <c r="BY256" s="237" t="s">
        <v>337</v>
      </c>
      <c r="BZ256" s="237" t="s">
        <v>338</v>
      </c>
      <c r="CA256" s="116"/>
      <c r="CB256" s="247"/>
      <c r="CC256" s="125"/>
      <c r="CD256" s="247"/>
      <c r="CE256" s="116"/>
      <c r="CF256" s="116"/>
      <c r="CG256" s="34"/>
      <c r="CH256" s="241"/>
      <c r="CI256" s="238"/>
      <c r="CJ256" s="236"/>
      <c r="CK256" s="237"/>
      <c r="CL256" s="237"/>
      <c r="CM256" s="116"/>
      <c r="CN256" s="247"/>
      <c r="CO256" s="125"/>
      <c r="CP256" s="247"/>
      <c r="CQ256" s="116"/>
      <c r="CR256" s="116"/>
      <c r="CS256" s="116"/>
      <c r="CT256" s="247"/>
      <c r="CU256" s="125"/>
      <c r="CV256" s="247"/>
      <c r="CW256" s="116"/>
      <c r="CX256" s="116"/>
      <c r="CY256" s="116"/>
      <c r="CZ256" s="102"/>
      <c r="DA256" s="125"/>
      <c r="DB256" s="102"/>
      <c r="DC256" s="31"/>
      <c r="DD256" s="17"/>
      <c r="DE256" s="11"/>
      <c r="DF256" s="116"/>
      <c r="DG256" s="116"/>
      <c r="DH256" s="116"/>
      <c r="DI256" s="116"/>
      <c r="DJ256" s="116"/>
      <c r="DK256" s="116"/>
      <c r="DL256" s="116"/>
      <c r="DM256" s="116"/>
      <c r="DN256" s="116"/>
      <c r="DO256" s="116"/>
      <c r="DP256" s="116"/>
      <c r="DQ256" s="116"/>
      <c r="DR256" s="116"/>
      <c r="DS256" s="116"/>
      <c r="DT256" s="116"/>
      <c r="DU256" s="116"/>
      <c r="DV256" s="116"/>
      <c r="DW256" s="116"/>
      <c r="DX256" s="116"/>
      <c r="DY256" s="116"/>
      <c r="DZ256" s="116"/>
      <c r="EA256" s="116"/>
      <c r="EB256" s="116"/>
      <c r="EC256" s="116"/>
      <c r="ED256" s="116"/>
      <c r="EE256" s="116"/>
      <c r="EF256" s="116"/>
      <c r="EG256" s="116"/>
      <c r="EH256" s="116"/>
      <c r="EI256" s="116"/>
      <c r="EJ256" s="116"/>
      <c r="EK256" s="116"/>
      <c r="EL256" s="116"/>
      <c r="EM256" s="116"/>
      <c r="EN256" s="116"/>
      <c r="EO256" s="116"/>
      <c r="EP256" s="116"/>
      <c r="EQ256" s="116"/>
      <c r="ER256" s="116"/>
      <c r="ES256" s="116"/>
      <c r="ET256" s="11"/>
      <c r="EU256" s="11"/>
      <c r="EV256" s="11"/>
      <c r="EW256" s="11"/>
      <c r="EX256" s="11"/>
      <c r="EY256" s="11"/>
      <c r="EZ256" s="11"/>
      <c r="FA256" s="11"/>
      <c r="FB256" s="11"/>
      <c r="FC256" s="11"/>
      <c r="FD256" s="11"/>
      <c r="FE256" s="11"/>
      <c r="FF256" s="11"/>
      <c r="FG256" s="11"/>
      <c r="FH256" s="17">
        <f t="shared" si="93"/>
        <v>6269270</v>
      </c>
      <c r="FI256" s="31">
        <f t="shared" si="94"/>
        <v>3</v>
      </c>
      <c r="FJ256" s="68">
        <f t="shared" si="95"/>
        <v>2089756.6666666667</v>
      </c>
    </row>
    <row r="257" spans="1:166" ht="51" x14ac:dyDescent="0.25">
      <c r="A257" s="248">
        <f>Distribución_Reactivos!A257</f>
        <v>255</v>
      </c>
      <c r="B257" s="248" t="str">
        <f>Distribución_Reactivos!B257</f>
        <v>Ipronidazole‐hydroxy. Trazable, con certificado con método de análisis e incertidumbre, vigencia no menor a Diciembre de 2021</v>
      </c>
      <c r="C257" s="248" t="str">
        <f>Distribución_Reactivos!C257</f>
        <v>Dr Ehrenstorfer DRE‐C14370720</v>
      </c>
      <c r="D257" s="248" t="str">
        <f>Distribución_Reactivos!D257</f>
        <v xml:space="preserve"> Frasco x10 mg</v>
      </c>
      <c r="E257" s="29">
        <v>1</v>
      </c>
      <c r="F257" s="212">
        <v>0</v>
      </c>
      <c r="G257" s="214">
        <v>0</v>
      </c>
      <c r="H257" s="221">
        <v>2234082.2000000002</v>
      </c>
      <c r="I257" s="221">
        <v>2233987</v>
      </c>
      <c r="J257" s="221">
        <v>2833967.7450000001</v>
      </c>
      <c r="K257" s="221">
        <v>2734620</v>
      </c>
      <c r="L257" s="247">
        <f>AVERAGE(H257,J257)</f>
        <v>2534024.9725000001</v>
      </c>
      <c r="M257" s="247">
        <f>AVERAGE(I257,K257)*E1</f>
        <v>2558832.605</v>
      </c>
      <c r="N257" s="217"/>
      <c r="O257" s="97"/>
      <c r="P257" s="97"/>
      <c r="Q257" s="115"/>
      <c r="R257" s="115"/>
      <c r="S257" s="53"/>
      <c r="T257" s="97"/>
      <c r="U257" s="101"/>
      <c r="V257" s="97"/>
      <c r="W257" s="115"/>
      <c r="X257" s="115"/>
      <c r="Y257" s="11"/>
      <c r="Z257" s="97"/>
      <c r="AA257" s="97"/>
      <c r="AB257" s="97"/>
      <c r="AC257" s="44"/>
      <c r="AD257" s="44"/>
      <c r="AE257" s="11"/>
      <c r="AF257" s="102"/>
      <c r="AG257" s="125"/>
      <c r="AH257" s="97"/>
      <c r="AI257" s="11"/>
      <c r="AJ257" s="11"/>
      <c r="AK257" s="17"/>
      <c r="AL257" s="97"/>
      <c r="AM257" s="97"/>
      <c r="AN257" s="101"/>
      <c r="AO257" s="248"/>
      <c r="AP257" s="17"/>
      <c r="AQ257" s="17"/>
      <c r="AR257" s="252">
        <v>756000</v>
      </c>
      <c r="AS257" s="97">
        <f>+AR257*0.19</f>
        <v>143640</v>
      </c>
      <c r="AT257" s="103">
        <f>+AR257+AS257</f>
        <v>899640</v>
      </c>
      <c r="AU257" s="52" t="s">
        <v>287</v>
      </c>
      <c r="AV257" s="52" t="s">
        <v>42</v>
      </c>
      <c r="AW257" s="30"/>
      <c r="AX257" s="174"/>
      <c r="AY257" s="174"/>
      <c r="AZ257" s="124"/>
      <c r="BA257" s="169"/>
      <c r="BB257" s="116"/>
      <c r="BC257" s="116"/>
      <c r="BD257" s="247"/>
      <c r="BE257" s="124"/>
      <c r="BF257" s="124"/>
      <c r="BG257" s="116"/>
      <c r="BH257" s="116"/>
      <c r="BI257" s="116"/>
      <c r="BJ257" s="124"/>
      <c r="BK257" s="124"/>
      <c r="BL257" s="124"/>
      <c r="BM257" s="116"/>
      <c r="BN257" s="116"/>
      <c r="BO257" s="116"/>
      <c r="BP257" s="124"/>
      <c r="BQ257" s="116"/>
      <c r="BR257" s="116"/>
      <c r="BS257" s="116"/>
      <c r="BT257" s="116"/>
      <c r="BU257" s="116"/>
      <c r="BV257" s="241">
        <v>3394800</v>
      </c>
      <c r="BW257" s="125">
        <f>BV257*19%</f>
        <v>645012</v>
      </c>
      <c r="BX257" s="97">
        <f t="shared" si="97"/>
        <v>4039812</v>
      </c>
      <c r="BY257" s="237" t="s">
        <v>298</v>
      </c>
      <c r="BZ257" s="237" t="s">
        <v>289</v>
      </c>
      <c r="CA257" s="116"/>
      <c r="CB257" s="247"/>
      <c r="CC257" s="125"/>
      <c r="CD257" s="247"/>
      <c r="CE257" s="116"/>
      <c r="CF257" s="116"/>
      <c r="CG257" s="34"/>
      <c r="CH257" s="241"/>
      <c r="CI257" s="238"/>
      <c r="CJ257" s="236"/>
      <c r="CK257" s="237"/>
      <c r="CL257" s="237"/>
      <c r="CM257" s="116"/>
      <c r="CN257" s="247"/>
      <c r="CO257" s="125"/>
      <c r="CP257" s="247"/>
      <c r="CQ257" s="116"/>
      <c r="CR257" s="116"/>
      <c r="CS257" s="116"/>
      <c r="CT257" s="125">
        <v>1338240</v>
      </c>
      <c r="CU257" s="125">
        <f>CT257*0.19</f>
        <v>254265.60000000001</v>
      </c>
      <c r="CV257" s="125">
        <f>CU257+CT257</f>
        <v>1592505.6</v>
      </c>
      <c r="CW257" s="116"/>
      <c r="CX257" s="116"/>
      <c r="CY257" s="116"/>
      <c r="CZ257" s="102"/>
      <c r="DA257" s="125"/>
      <c r="DB257" s="102"/>
      <c r="DC257" s="31"/>
      <c r="DD257" s="17"/>
      <c r="DE257" s="11"/>
      <c r="DF257" s="116"/>
      <c r="DG257" s="116"/>
      <c r="DH257" s="116"/>
      <c r="DI257" s="116"/>
      <c r="DJ257" s="116"/>
      <c r="DK257" s="116"/>
      <c r="DL257" s="116"/>
      <c r="DM257" s="116"/>
      <c r="DN257" s="116"/>
      <c r="DO257" s="116"/>
      <c r="DP257" s="116"/>
      <c r="DQ257" s="116"/>
      <c r="DR257" s="116"/>
      <c r="DS257" s="116"/>
      <c r="DT257" s="116"/>
      <c r="DU257" s="116"/>
      <c r="DV257" s="116"/>
      <c r="DW257" s="116"/>
      <c r="DX257" s="116"/>
      <c r="DY257" s="116"/>
      <c r="DZ257" s="116"/>
      <c r="EA257" s="116"/>
      <c r="EB257" s="116"/>
      <c r="EC257" s="116"/>
      <c r="ED257" s="116"/>
      <c r="EE257" s="116"/>
      <c r="EF257" s="116"/>
      <c r="EG257" s="116"/>
      <c r="EH257" s="116"/>
      <c r="EI257" s="116"/>
      <c r="EJ257" s="116"/>
      <c r="EK257" s="116"/>
      <c r="EL257" s="116"/>
      <c r="EM257" s="116"/>
      <c r="EN257" s="116"/>
      <c r="EO257" s="116"/>
      <c r="EP257" s="116"/>
      <c r="EQ257" s="116"/>
      <c r="ER257" s="116"/>
      <c r="ES257" s="116"/>
      <c r="ET257" s="11"/>
      <c r="EU257" s="11"/>
      <c r="EV257" s="11"/>
      <c r="EW257" s="11"/>
      <c r="EX257" s="11"/>
      <c r="EY257" s="11"/>
      <c r="EZ257" s="11"/>
      <c r="FA257" s="11"/>
      <c r="FB257" s="11"/>
      <c r="FC257" s="11"/>
      <c r="FD257" s="11"/>
      <c r="FE257" s="11"/>
      <c r="FF257" s="11"/>
      <c r="FG257" s="11"/>
      <c r="FH257" s="17">
        <f t="shared" si="93"/>
        <v>9090790.2050000001</v>
      </c>
      <c r="FI257" s="31">
        <f t="shared" si="94"/>
        <v>4</v>
      </c>
      <c r="FJ257" s="68">
        <f t="shared" si="95"/>
        <v>2272697.55125</v>
      </c>
    </row>
    <row r="258" spans="1:166" ht="38.25" x14ac:dyDescent="0.25">
      <c r="A258" s="248">
        <f>Distribución_Reactivos!A258</f>
        <v>256</v>
      </c>
      <c r="B258" s="248" t="str">
        <f>Distribución_Reactivos!B258</f>
        <v xml:space="preserve">Isooctano PA de residuos (vencimiento mayor 14 meses) con certificado de análisis y ficha de seguridad </v>
      </c>
      <c r="C258" s="248" t="str">
        <f>Distribución_Reactivos!C258</f>
        <v>Merck, Supelco, J.T. Baker o equivalente</v>
      </c>
      <c r="D258" s="248" t="str">
        <f>Distribución_Reactivos!D258</f>
        <v>Frasco x 2,5 L</v>
      </c>
      <c r="E258" s="29">
        <v>1</v>
      </c>
      <c r="F258" s="212">
        <v>1489523</v>
      </c>
      <c r="G258" s="214">
        <v>714000</v>
      </c>
      <c r="H258" s="221">
        <v>1334699.0347249999</v>
      </c>
      <c r="I258" s="221">
        <v>0</v>
      </c>
      <c r="J258" s="221">
        <v>800275</v>
      </c>
      <c r="K258" s="221">
        <v>780283</v>
      </c>
      <c r="L258" s="247">
        <f>AVERAGE(F258,H258,J258)</f>
        <v>1208165.6782416666</v>
      </c>
      <c r="M258" s="247">
        <f>AVERAGE(G258,K258)*E1</f>
        <v>769555.745</v>
      </c>
      <c r="N258" s="217"/>
      <c r="O258" s="97"/>
      <c r="P258" s="97"/>
      <c r="Q258" s="115"/>
      <c r="R258" s="115"/>
      <c r="S258" s="53"/>
      <c r="T258" s="97"/>
      <c r="U258" s="106"/>
      <c r="V258" s="97"/>
      <c r="W258" s="115"/>
      <c r="X258" s="115"/>
      <c r="Y258" s="11"/>
      <c r="Z258" s="97"/>
      <c r="AA258" s="97"/>
      <c r="AB258" s="97"/>
      <c r="AC258" s="44"/>
      <c r="AD258" s="44"/>
      <c r="AE258" s="11"/>
      <c r="AF258" s="102"/>
      <c r="AG258" s="125"/>
      <c r="AH258" s="97"/>
      <c r="AI258" s="11"/>
      <c r="AJ258" s="11"/>
      <c r="AK258" s="17"/>
      <c r="AL258" s="97">
        <v>440000</v>
      </c>
      <c r="AM258" s="97">
        <f>+AL258*0.19</f>
        <v>83600</v>
      </c>
      <c r="AN258" s="103">
        <f>+AL258+AM258</f>
        <v>523600</v>
      </c>
      <c r="AO258" s="248" t="s">
        <v>96</v>
      </c>
      <c r="AP258" s="17" t="s">
        <v>52</v>
      </c>
      <c r="AQ258" s="17"/>
      <c r="AR258" s="252"/>
      <c r="AS258" s="138"/>
      <c r="AT258" s="139"/>
      <c r="AU258" s="52"/>
      <c r="AV258" s="52"/>
      <c r="AW258" s="30"/>
      <c r="AX258" s="100"/>
      <c r="AY258" s="174"/>
      <c r="AZ258" s="124"/>
      <c r="BA258" s="169"/>
      <c r="BB258" s="116"/>
      <c r="BC258" s="116"/>
      <c r="BD258" s="247"/>
      <c r="BE258" s="124"/>
      <c r="BF258" s="124"/>
      <c r="BG258" s="116"/>
      <c r="BH258" s="116"/>
      <c r="BI258" s="116"/>
      <c r="BJ258" s="124"/>
      <c r="BK258" s="124"/>
      <c r="BL258" s="124"/>
      <c r="BM258" s="116"/>
      <c r="BN258" s="116"/>
      <c r="BO258" s="116"/>
      <c r="BP258" s="124"/>
      <c r="BQ258" s="116"/>
      <c r="BR258" s="116"/>
      <c r="BS258" s="116"/>
      <c r="BT258" s="116"/>
      <c r="BU258" s="116"/>
      <c r="BV258" s="236">
        <v>687200</v>
      </c>
      <c r="BW258" s="125">
        <f>BV258*19%</f>
        <v>130568</v>
      </c>
      <c r="BX258" s="97">
        <f t="shared" si="97"/>
        <v>817768</v>
      </c>
      <c r="BY258" s="237" t="s">
        <v>311</v>
      </c>
      <c r="BZ258" s="237" t="s">
        <v>93</v>
      </c>
      <c r="CA258" s="116"/>
      <c r="CB258" s="247"/>
      <c r="CC258" s="125"/>
      <c r="CD258" s="247"/>
      <c r="CE258" s="116"/>
      <c r="CF258" s="116"/>
      <c r="CG258" s="34"/>
      <c r="CH258" s="236">
        <v>721560</v>
      </c>
      <c r="CI258" s="238">
        <f>+CH258*0.19</f>
        <v>137096.4</v>
      </c>
      <c r="CJ258" s="236">
        <f>+CH258+CI258</f>
        <v>858656.4</v>
      </c>
      <c r="CK258" s="237" t="s">
        <v>311</v>
      </c>
      <c r="CL258" s="237" t="s">
        <v>93</v>
      </c>
      <c r="CM258" s="116"/>
      <c r="CN258" s="247"/>
      <c r="CO258" s="125"/>
      <c r="CP258" s="247"/>
      <c r="CQ258" s="116"/>
      <c r="CR258" s="116"/>
      <c r="CS258" s="116"/>
      <c r="CT258" s="247"/>
      <c r="CU258" s="125"/>
      <c r="CV258" s="247"/>
      <c r="CW258" s="116"/>
      <c r="CX258" s="116"/>
      <c r="CY258" s="116"/>
      <c r="CZ258" s="102"/>
      <c r="DA258" s="125"/>
      <c r="DB258" s="102"/>
      <c r="DC258" s="31"/>
      <c r="DD258" s="17"/>
      <c r="DE258" s="11"/>
      <c r="DF258" s="116"/>
      <c r="DG258" s="116"/>
      <c r="DH258" s="116"/>
      <c r="DI258" s="116"/>
      <c r="DJ258" s="116"/>
      <c r="DK258" s="116"/>
      <c r="DL258" s="116"/>
      <c r="DM258" s="116"/>
      <c r="DN258" s="116"/>
      <c r="DO258" s="116"/>
      <c r="DP258" s="116"/>
      <c r="DQ258" s="116"/>
      <c r="DR258" s="116"/>
      <c r="DS258" s="116"/>
      <c r="DT258" s="116"/>
      <c r="DU258" s="116"/>
      <c r="DV258" s="116"/>
      <c r="DW258" s="116"/>
      <c r="DX258" s="116"/>
      <c r="DY258" s="116"/>
      <c r="DZ258" s="116"/>
      <c r="EA258" s="116"/>
      <c r="EB258" s="116"/>
      <c r="EC258" s="116"/>
      <c r="ED258" s="116"/>
      <c r="EE258" s="116"/>
      <c r="EF258" s="116"/>
      <c r="EG258" s="116"/>
      <c r="EH258" s="116"/>
      <c r="EI258" s="116"/>
      <c r="EJ258" s="116"/>
      <c r="EK258" s="116"/>
      <c r="EL258" s="116"/>
      <c r="EM258" s="116"/>
      <c r="EN258" s="116"/>
      <c r="EO258" s="116"/>
      <c r="EP258" s="116"/>
      <c r="EQ258" s="116"/>
      <c r="ER258" s="116"/>
      <c r="ES258" s="116"/>
      <c r="ET258" s="11"/>
      <c r="EU258" s="11"/>
      <c r="EV258" s="11"/>
      <c r="EW258" s="11"/>
      <c r="EX258" s="11"/>
      <c r="EY258" s="11"/>
      <c r="EZ258" s="11"/>
      <c r="FA258" s="11"/>
      <c r="FB258" s="11"/>
      <c r="FC258" s="11"/>
      <c r="FD258" s="11"/>
      <c r="FE258" s="11"/>
      <c r="FF258" s="11"/>
      <c r="FG258" s="11"/>
      <c r="FH258" s="17">
        <f t="shared" si="93"/>
        <v>2969580.145</v>
      </c>
      <c r="FI258" s="31">
        <f t="shared" si="94"/>
        <v>4</v>
      </c>
      <c r="FJ258" s="68">
        <f t="shared" si="95"/>
        <v>742395.03625</v>
      </c>
    </row>
    <row r="259" spans="1:166" ht="38.25" x14ac:dyDescent="0.25">
      <c r="A259" s="248">
        <f>Distribución_Reactivos!A259</f>
        <v>257</v>
      </c>
      <c r="B259" s="248" t="str">
        <f>Distribución_Reactivos!B259</f>
        <v xml:space="preserve">Isopropanol grado espectrometria de masas con certificado de análisis y ficha de seguridad </v>
      </c>
      <c r="C259" s="248" t="str">
        <f>Distribución_Reactivos!C259</f>
        <v>Merck, Supelco, J.T. Baker o equivalente</v>
      </c>
      <c r="D259" s="248" t="str">
        <f>Distribución_Reactivos!D259</f>
        <v>Frasco x 4 L</v>
      </c>
      <c r="E259" s="29">
        <v>1</v>
      </c>
      <c r="F259" s="212">
        <v>0</v>
      </c>
      <c r="G259" s="214">
        <v>0</v>
      </c>
      <c r="H259" s="221">
        <v>0</v>
      </c>
      <c r="I259" s="221">
        <v>0</v>
      </c>
      <c r="J259" s="221">
        <v>0</v>
      </c>
      <c r="K259" s="221">
        <v>0</v>
      </c>
      <c r="L259" s="247"/>
      <c r="M259" s="247"/>
      <c r="N259" s="217"/>
      <c r="O259" s="97"/>
      <c r="P259" s="97"/>
      <c r="Q259" s="115"/>
      <c r="R259" s="115"/>
      <c r="S259" s="53"/>
      <c r="T259" s="97"/>
      <c r="U259" s="97"/>
      <c r="V259" s="97"/>
      <c r="W259" s="115"/>
      <c r="X259" s="115"/>
      <c r="Y259" s="11"/>
      <c r="Z259" s="97"/>
      <c r="AA259" s="97"/>
      <c r="AB259" s="97"/>
      <c r="AC259" s="44"/>
      <c r="AD259" s="44"/>
      <c r="AE259" s="11"/>
      <c r="AF259" s="102"/>
      <c r="AG259" s="125"/>
      <c r="AH259" s="97"/>
      <c r="AI259" s="11"/>
      <c r="AJ259" s="11"/>
      <c r="AK259" s="17"/>
      <c r="AL259" s="97"/>
      <c r="AM259" s="97"/>
      <c r="AN259" s="101"/>
      <c r="AO259" s="248"/>
      <c r="AP259" s="17"/>
      <c r="AQ259" s="17"/>
      <c r="AR259" s="252"/>
      <c r="AS259" s="136"/>
      <c r="AT259" s="137"/>
      <c r="AU259" s="52"/>
      <c r="AV259" s="52"/>
      <c r="AW259" s="30"/>
      <c r="AX259" s="100"/>
      <c r="AY259" s="174"/>
      <c r="AZ259" s="124"/>
      <c r="BA259" s="169"/>
      <c r="BB259" s="116"/>
      <c r="BC259" s="116"/>
      <c r="BD259" s="247"/>
      <c r="BE259" s="124"/>
      <c r="BF259" s="124"/>
      <c r="BG259" s="116"/>
      <c r="BH259" s="116"/>
      <c r="BI259" s="116"/>
      <c r="BJ259" s="124"/>
      <c r="BK259" s="124"/>
      <c r="BL259" s="124"/>
      <c r="BM259" s="116"/>
      <c r="BN259" s="116"/>
      <c r="BO259" s="116"/>
      <c r="BP259" s="124"/>
      <c r="BQ259" s="116"/>
      <c r="BR259" s="116"/>
      <c r="BS259" s="116"/>
      <c r="BT259" s="116"/>
      <c r="BU259" s="116"/>
      <c r="BV259" s="187"/>
      <c r="BW259" s="125"/>
      <c r="BX259" s="97"/>
      <c r="BY259" s="246"/>
      <c r="BZ259" s="246"/>
      <c r="CA259" s="116"/>
      <c r="CB259" s="247"/>
      <c r="CC259" s="125"/>
      <c r="CD259" s="247"/>
      <c r="CE259" s="116"/>
      <c r="CF259" s="116"/>
      <c r="CG259" s="34"/>
      <c r="CH259" s="187"/>
      <c r="CI259" s="195"/>
      <c r="CJ259" s="187"/>
      <c r="CK259" s="246"/>
      <c r="CL259" s="246"/>
      <c r="CM259" s="116"/>
      <c r="CN259" s="247"/>
      <c r="CO259" s="125"/>
      <c r="CP259" s="247"/>
      <c r="CQ259" s="116"/>
      <c r="CR259" s="116"/>
      <c r="CS259" s="116"/>
      <c r="CT259" s="247"/>
      <c r="CU259" s="125"/>
      <c r="CV259" s="247"/>
      <c r="CW259" s="116"/>
      <c r="CX259" s="116"/>
      <c r="CY259" s="116"/>
      <c r="CZ259" s="102">
        <v>285241</v>
      </c>
      <c r="DA259" s="125">
        <f>+CZ259*0.19</f>
        <v>54195.79</v>
      </c>
      <c r="DB259" s="102">
        <f>+CZ259+DA259</f>
        <v>339436.79</v>
      </c>
      <c r="DC259" s="31" t="s">
        <v>94</v>
      </c>
      <c r="DD259" s="17" t="s">
        <v>65</v>
      </c>
      <c r="DE259" s="11">
        <v>1047272500</v>
      </c>
      <c r="DF259" s="116"/>
      <c r="DG259" s="116"/>
      <c r="DH259" s="116"/>
      <c r="DI259" s="116"/>
      <c r="DJ259" s="116"/>
      <c r="DK259" s="116"/>
      <c r="DL259" s="116"/>
      <c r="DM259" s="116"/>
      <c r="DN259" s="116"/>
      <c r="DO259" s="116"/>
      <c r="DP259" s="116"/>
      <c r="DQ259" s="116"/>
      <c r="DR259" s="116"/>
      <c r="DS259" s="116"/>
      <c r="DT259" s="116"/>
      <c r="DU259" s="116"/>
      <c r="DV259" s="116"/>
      <c r="DW259" s="116"/>
      <c r="DX259" s="116"/>
      <c r="DY259" s="116"/>
      <c r="DZ259" s="116"/>
      <c r="EA259" s="116"/>
      <c r="EB259" s="116"/>
      <c r="EC259" s="116"/>
      <c r="ED259" s="116"/>
      <c r="EE259" s="116"/>
      <c r="EF259" s="116"/>
      <c r="EG259" s="116"/>
      <c r="EH259" s="116"/>
      <c r="EI259" s="116"/>
      <c r="EJ259" s="116"/>
      <c r="EK259" s="116"/>
      <c r="EL259" s="116"/>
      <c r="EM259" s="116"/>
      <c r="EN259" s="116"/>
      <c r="EO259" s="116"/>
      <c r="EP259" s="116"/>
      <c r="EQ259" s="116"/>
      <c r="ER259" s="116"/>
      <c r="ES259" s="116"/>
      <c r="ET259" s="11"/>
      <c r="EU259" s="11"/>
      <c r="EV259" s="11"/>
      <c r="EW259" s="11"/>
      <c r="EX259" s="11"/>
      <c r="EY259" s="11"/>
      <c r="EZ259" s="11"/>
      <c r="FA259" s="11"/>
      <c r="FB259" s="11"/>
      <c r="FC259" s="11"/>
      <c r="FD259" s="11"/>
      <c r="FE259" s="11"/>
      <c r="FF259" s="11"/>
      <c r="FG259" s="11"/>
      <c r="FH259" s="17">
        <f t="shared" si="93"/>
        <v>339436.79</v>
      </c>
      <c r="FI259" s="31">
        <f t="shared" si="94"/>
        <v>1</v>
      </c>
      <c r="FJ259" s="68">
        <f t="shared" si="95"/>
        <v>339436.79</v>
      </c>
    </row>
    <row r="260" spans="1:166" ht="40.5" x14ac:dyDescent="0.25">
      <c r="A260" s="248">
        <f>Distribución_Reactivos!A260</f>
        <v>258</v>
      </c>
      <c r="B260" s="248" t="str">
        <f>Distribución_Reactivos!B260</f>
        <v>Isopropanol Grado biología molecular</v>
      </c>
      <c r="C260" s="248" t="str">
        <f>Distribución_Reactivos!C260</f>
        <v>Cualquier marca</v>
      </c>
      <c r="D260" s="248" t="str">
        <f>Distribución_Reactivos!D260</f>
        <v>Frasco x 1 Litro</v>
      </c>
      <c r="E260" s="29">
        <v>1</v>
      </c>
      <c r="F260" s="212">
        <v>0</v>
      </c>
      <c r="G260" s="214">
        <v>0</v>
      </c>
      <c r="H260" s="221">
        <v>1565630.6666666667</v>
      </c>
      <c r="I260" s="221">
        <v>153510</v>
      </c>
      <c r="J260" s="221">
        <v>698207.51</v>
      </c>
      <c r="K260" s="221">
        <v>0</v>
      </c>
      <c r="L260" s="247">
        <f>AVERAGE(H260,J260)</f>
        <v>1131919.0883333334</v>
      </c>
      <c r="M260" s="247">
        <f>I260*E1</f>
        <v>158115.30000000002</v>
      </c>
      <c r="N260" s="217"/>
      <c r="O260" s="97"/>
      <c r="P260" s="97"/>
      <c r="Q260" s="115"/>
      <c r="R260" s="115"/>
      <c r="S260" s="53"/>
      <c r="T260" s="97"/>
      <c r="U260" s="97"/>
      <c r="V260" s="97"/>
      <c r="W260" s="115"/>
      <c r="X260" s="115"/>
      <c r="Y260" s="11"/>
      <c r="Z260" s="97"/>
      <c r="AA260" s="97"/>
      <c r="AB260" s="97"/>
      <c r="AC260" s="44"/>
      <c r="AD260" s="44"/>
      <c r="AE260" s="11"/>
      <c r="AF260" s="102">
        <v>250000</v>
      </c>
      <c r="AG260" s="125">
        <f>AF260*19%</f>
        <v>47500</v>
      </c>
      <c r="AH260" s="97">
        <f>+AF260+AG260</f>
        <v>297500</v>
      </c>
      <c r="AI260" s="11"/>
      <c r="AJ260" s="11"/>
      <c r="AK260" s="17"/>
      <c r="AL260" s="97">
        <v>290000</v>
      </c>
      <c r="AM260" s="97">
        <f>+AL260*0.19</f>
        <v>55100</v>
      </c>
      <c r="AN260" s="103">
        <f>+AL260+AM260</f>
        <v>345100</v>
      </c>
      <c r="AO260" s="248" t="s">
        <v>56</v>
      </c>
      <c r="AP260" s="17" t="s">
        <v>52</v>
      </c>
      <c r="AQ260" s="17"/>
      <c r="AR260" s="252"/>
      <c r="AS260" s="136"/>
      <c r="AT260" s="137"/>
      <c r="AU260" s="52"/>
      <c r="AV260" s="52"/>
      <c r="AW260" s="30"/>
      <c r="AX260" s="100"/>
      <c r="AY260" s="174"/>
      <c r="AZ260" s="124"/>
      <c r="BA260" s="169"/>
      <c r="BB260" s="116"/>
      <c r="BC260" s="116"/>
      <c r="BD260" s="247"/>
      <c r="BE260" s="124"/>
      <c r="BF260" s="124"/>
      <c r="BG260" s="116"/>
      <c r="BH260" s="116"/>
      <c r="BI260" s="116"/>
      <c r="BJ260" s="124"/>
      <c r="BK260" s="124"/>
      <c r="BL260" s="124"/>
      <c r="BM260" s="116"/>
      <c r="BN260" s="116"/>
      <c r="BO260" s="116"/>
      <c r="BP260" s="124"/>
      <c r="BQ260" s="116"/>
      <c r="BR260" s="116"/>
      <c r="BS260" s="116"/>
      <c r="BT260" s="116"/>
      <c r="BU260" s="116"/>
      <c r="BV260" s="236">
        <v>476000</v>
      </c>
      <c r="BW260" s="125">
        <f>BV260*19%</f>
        <v>90440</v>
      </c>
      <c r="BX260" s="97">
        <f>+BV260+BW260</f>
        <v>566440</v>
      </c>
      <c r="BY260" s="237" t="s">
        <v>339</v>
      </c>
      <c r="BZ260" s="237" t="s">
        <v>52</v>
      </c>
      <c r="CA260" s="116"/>
      <c r="CB260" s="247"/>
      <c r="CC260" s="125"/>
      <c r="CD260" s="247"/>
      <c r="CE260" s="116"/>
      <c r="CF260" s="116"/>
      <c r="CG260" s="34"/>
      <c r="CH260" s="236">
        <v>480760</v>
      </c>
      <c r="CI260" s="238">
        <f>+CH260*0.19</f>
        <v>91344.4</v>
      </c>
      <c r="CJ260" s="236">
        <f>+CH260+CI260</f>
        <v>572104.4</v>
      </c>
      <c r="CK260" s="237" t="s">
        <v>339</v>
      </c>
      <c r="CL260" s="237" t="s">
        <v>52</v>
      </c>
      <c r="CM260" s="116"/>
      <c r="CN260" s="247"/>
      <c r="CO260" s="125"/>
      <c r="CP260" s="247"/>
      <c r="CQ260" s="116"/>
      <c r="CR260" s="116"/>
      <c r="CS260" s="116"/>
      <c r="CT260" s="247"/>
      <c r="CU260" s="125"/>
      <c r="CV260" s="247"/>
      <c r="CW260" s="116"/>
      <c r="CX260" s="116"/>
      <c r="CY260" s="116"/>
      <c r="CZ260" s="102"/>
      <c r="DA260" s="125"/>
      <c r="DB260" s="102"/>
      <c r="DC260" s="31"/>
      <c r="DD260" s="17"/>
      <c r="DE260" s="11"/>
      <c r="DF260" s="116"/>
      <c r="DG260" s="116"/>
      <c r="DH260" s="116"/>
      <c r="DI260" s="116"/>
      <c r="DJ260" s="116"/>
      <c r="DK260" s="116"/>
      <c r="DL260" s="116"/>
      <c r="DM260" s="116"/>
      <c r="DN260" s="116"/>
      <c r="DO260" s="116"/>
      <c r="DP260" s="116"/>
      <c r="DQ260" s="116"/>
      <c r="DR260" s="116"/>
      <c r="DS260" s="116"/>
      <c r="DT260" s="116"/>
      <c r="DU260" s="116"/>
      <c r="DV260" s="116"/>
      <c r="DW260" s="116"/>
      <c r="DX260" s="116"/>
      <c r="DY260" s="116"/>
      <c r="DZ260" s="116"/>
      <c r="EA260" s="116"/>
      <c r="EB260" s="116"/>
      <c r="EC260" s="116"/>
      <c r="ED260" s="116"/>
      <c r="EE260" s="116"/>
      <c r="EF260" s="116"/>
      <c r="EG260" s="116"/>
      <c r="EH260" s="116"/>
      <c r="EI260" s="116"/>
      <c r="EJ260" s="116"/>
      <c r="EK260" s="116"/>
      <c r="EL260" s="116"/>
      <c r="EM260" s="116"/>
      <c r="EN260" s="116"/>
      <c r="EO260" s="116"/>
      <c r="EP260" s="116"/>
      <c r="EQ260" s="116"/>
      <c r="ER260" s="116"/>
      <c r="ES260" s="116"/>
      <c r="ET260" s="11"/>
      <c r="EU260" s="11"/>
      <c r="EV260" s="11"/>
      <c r="EW260" s="11"/>
      <c r="EX260" s="11"/>
      <c r="EY260" s="11"/>
      <c r="EZ260" s="11"/>
      <c r="FA260" s="11"/>
      <c r="FB260" s="11"/>
      <c r="FC260" s="11"/>
      <c r="FD260" s="11"/>
      <c r="FE260" s="11"/>
      <c r="FF260" s="11"/>
      <c r="FG260" s="11"/>
      <c r="FH260" s="17">
        <f t="shared" si="93"/>
        <v>1939259.7000000002</v>
      </c>
      <c r="FI260" s="31">
        <f t="shared" si="94"/>
        <v>5</v>
      </c>
      <c r="FJ260" s="68">
        <f t="shared" si="95"/>
        <v>387851.94000000006</v>
      </c>
    </row>
    <row r="261" spans="1:166" ht="38.25" x14ac:dyDescent="0.25">
      <c r="A261" s="248">
        <f>Distribución_Reactivos!A261</f>
        <v>259</v>
      </c>
      <c r="B261" s="248" t="str">
        <f>Distribución_Reactivos!B261</f>
        <v xml:space="preserve">Isopropanol grado HPLC </v>
      </c>
      <c r="C261" s="248" t="str">
        <f>Distribución_Reactivos!C261</f>
        <v>Merck, Supelco, J.T. Baker o equivalente</v>
      </c>
      <c r="D261" s="248" t="str">
        <f>Distribución_Reactivos!D261</f>
        <v>Frasco x 4 L</v>
      </c>
      <c r="E261" s="29">
        <v>1</v>
      </c>
      <c r="F261" s="212">
        <v>0</v>
      </c>
      <c r="G261" s="214">
        <v>0</v>
      </c>
      <c r="H261" s="221">
        <v>0</v>
      </c>
      <c r="I261" s="221">
        <v>0</v>
      </c>
      <c r="J261" s="221">
        <v>0</v>
      </c>
      <c r="K261" s="221">
        <v>0</v>
      </c>
      <c r="L261" s="247"/>
      <c r="M261" s="247"/>
      <c r="N261" s="217"/>
      <c r="O261" s="97"/>
      <c r="P261" s="97"/>
      <c r="Q261" s="115"/>
      <c r="R261" s="115"/>
      <c r="S261" s="53"/>
      <c r="T261" s="97"/>
      <c r="U261" s="97"/>
      <c r="V261" s="97"/>
      <c r="W261" s="115"/>
      <c r="X261" s="115"/>
      <c r="Y261" s="11"/>
      <c r="Z261" s="97"/>
      <c r="AA261" s="97"/>
      <c r="AB261" s="97"/>
      <c r="AC261" s="44"/>
      <c r="AD261" s="44"/>
      <c r="AE261" s="11"/>
      <c r="AF261" s="102">
        <v>450000</v>
      </c>
      <c r="AG261" s="125">
        <f>AF261*19%</f>
        <v>85500</v>
      </c>
      <c r="AH261" s="97">
        <f>+AF261+AG261</f>
        <v>535500</v>
      </c>
      <c r="AI261" s="11"/>
      <c r="AJ261" s="11"/>
      <c r="AK261" s="17"/>
      <c r="AL261" s="97">
        <v>451000</v>
      </c>
      <c r="AM261" s="97">
        <f>+AL261*0.19</f>
        <v>85690</v>
      </c>
      <c r="AN261" s="103">
        <f>+AL261+AM261</f>
        <v>536690</v>
      </c>
      <c r="AO261" s="248" t="s">
        <v>71</v>
      </c>
      <c r="AP261" s="17" t="s">
        <v>52</v>
      </c>
      <c r="AQ261" s="17"/>
      <c r="AR261" s="252"/>
      <c r="AS261" s="136"/>
      <c r="AT261" s="137"/>
      <c r="AU261" s="52"/>
      <c r="AV261" s="52"/>
      <c r="AW261" s="30"/>
      <c r="AX261" s="100"/>
      <c r="AY261" s="174"/>
      <c r="AZ261" s="124"/>
      <c r="BA261" s="169"/>
      <c r="BB261" s="116"/>
      <c r="BC261" s="116"/>
      <c r="BD261" s="247"/>
      <c r="BE261" s="124"/>
      <c r="BF261" s="124"/>
      <c r="BG261" s="116"/>
      <c r="BH261" s="116"/>
      <c r="BI261" s="116"/>
      <c r="BJ261" s="124"/>
      <c r="BK261" s="124"/>
      <c r="BL261" s="124"/>
      <c r="BM261" s="116"/>
      <c r="BN261" s="116"/>
      <c r="BO261" s="116"/>
      <c r="BP261" s="124"/>
      <c r="BQ261" s="116"/>
      <c r="BR261" s="116"/>
      <c r="BS261" s="116"/>
      <c r="BT261" s="116"/>
      <c r="BU261" s="116"/>
      <c r="BV261" s="241"/>
      <c r="BW261" s="125"/>
      <c r="BX261" s="97"/>
      <c r="BY261" s="237"/>
      <c r="BZ261" s="237"/>
      <c r="CA261" s="116"/>
      <c r="CB261" s="247"/>
      <c r="CC261" s="125"/>
      <c r="CD261" s="247"/>
      <c r="CE261" s="116"/>
      <c r="CF261" s="116"/>
      <c r="CG261" s="34"/>
      <c r="CH261" s="236"/>
      <c r="CI261" s="238"/>
      <c r="CJ261" s="236"/>
      <c r="CK261" s="237"/>
      <c r="CL261" s="237"/>
      <c r="CM261" s="116"/>
      <c r="CN261" s="247"/>
      <c r="CO261" s="125"/>
      <c r="CP261" s="247"/>
      <c r="CQ261" s="116"/>
      <c r="CR261" s="116"/>
      <c r="CS261" s="116"/>
      <c r="CT261" s="247"/>
      <c r="CU261" s="125"/>
      <c r="CV261" s="247"/>
      <c r="CW261" s="116"/>
      <c r="CX261" s="116"/>
      <c r="CY261" s="116"/>
      <c r="CZ261" s="102"/>
      <c r="DA261" s="125"/>
      <c r="DB261" s="102"/>
      <c r="DC261" s="31"/>
      <c r="DD261" s="17"/>
      <c r="DE261" s="11"/>
      <c r="DF261" s="116"/>
      <c r="DG261" s="116"/>
      <c r="DH261" s="116"/>
      <c r="DI261" s="116"/>
      <c r="DJ261" s="116"/>
      <c r="DK261" s="116"/>
      <c r="DL261" s="116"/>
      <c r="DM261" s="116"/>
      <c r="DN261" s="116"/>
      <c r="DO261" s="116"/>
      <c r="DP261" s="116"/>
      <c r="DQ261" s="116"/>
      <c r="DR261" s="116"/>
      <c r="DS261" s="116"/>
      <c r="DT261" s="116"/>
      <c r="DU261" s="116"/>
      <c r="DV261" s="116"/>
      <c r="DW261" s="116"/>
      <c r="DX261" s="116"/>
      <c r="DY261" s="116"/>
      <c r="DZ261" s="116"/>
      <c r="EA261" s="116"/>
      <c r="EB261" s="116"/>
      <c r="EC261" s="116"/>
      <c r="ED261" s="116"/>
      <c r="EE261" s="116"/>
      <c r="EF261" s="116"/>
      <c r="EG261" s="116"/>
      <c r="EH261" s="116"/>
      <c r="EI261" s="116"/>
      <c r="EJ261" s="116"/>
      <c r="EK261" s="116"/>
      <c r="EL261" s="116"/>
      <c r="EM261" s="116"/>
      <c r="EN261" s="116"/>
      <c r="EO261" s="116"/>
      <c r="EP261" s="116"/>
      <c r="EQ261" s="116"/>
      <c r="ER261" s="116"/>
      <c r="ES261" s="116"/>
      <c r="ET261" s="11"/>
      <c r="EU261" s="11"/>
      <c r="EV261" s="11"/>
      <c r="EW261" s="11"/>
      <c r="EX261" s="11"/>
      <c r="EY261" s="11"/>
      <c r="EZ261" s="11"/>
      <c r="FA261" s="11"/>
      <c r="FB261" s="11"/>
      <c r="FC261" s="11"/>
      <c r="FD261" s="11"/>
      <c r="FE261" s="11"/>
      <c r="FF261" s="11"/>
      <c r="FG261" s="11"/>
      <c r="FH261" s="17">
        <f t="shared" si="93"/>
        <v>1072190</v>
      </c>
      <c r="FI261" s="31">
        <f t="shared" si="94"/>
        <v>2</v>
      </c>
      <c r="FJ261" s="68">
        <f t="shared" si="95"/>
        <v>536095</v>
      </c>
    </row>
    <row r="262" spans="1:166" ht="40.5" x14ac:dyDescent="0.25">
      <c r="A262" s="248">
        <f>Distribución_Reactivos!A262</f>
        <v>260</v>
      </c>
      <c r="B262" s="248" t="str">
        <f>Distribución_Reactivos!B262</f>
        <v>Jabón líquido bactericida, viricida y fungicida</v>
      </c>
      <c r="C262" s="248" t="str">
        <f>Distribución_Reactivos!C262</f>
        <v>Cualquier marca</v>
      </c>
      <c r="D262" s="248" t="str">
        <f>Distribución_Reactivos!D262</f>
        <v>Frasco x 3.78 L</v>
      </c>
      <c r="E262" s="29">
        <v>1</v>
      </c>
      <c r="F262" s="212">
        <v>46826.5</v>
      </c>
      <c r="G262" s="214">
        <v>46767</v>
      </c>
      <c r="H262" s="221">
        <v>66810.882983333329</v>
      </c>
      <c r="I262" s="221">
        <v>0</v>
      </c>
      <c r="J262" s="221">
        <v>90082.206666666665</v>
      </c>
      <c r="K262" s="221">
        <v>85561</v>
      </c>
      <c r="L262" s="247">
        <f>AVERAGE(F262,H262,J262)</f>
        <v>67906.529883333322</v>
      </c>
      <c r="M262" s="247">
        <f>AVERAGE(G262,K262)*E1</f>
        <v>68148.92</v>
      </c>
      <c r="N262" s="217"/>
      <c r="O262" s="97"/>
      <c r="P262" s="97"/>
      <c r="Q262" s="115"/>
      <c r="R262" s="115"/>
      <c r="S262" s="53"/>
      <c r="T262" s="97"/>
      <c r="U262" s="97"/>
      <c r="V262" s="97"/>
      <c r="W262" s="115"/>
      <c r="X262" s="115"/>
      <c r="Y262" s="11"/>
      <c r="Z262" s="97"/>
      <c r="AA262" s="97"/>
      <c r="AB262" s="97"/>
      <c r="AC262" s="44"/>
      <c r="AD262" s="44"/>
      <c r="AE262" s="11"/>
      <c r="AF262" s="102">
        <v>85000</v>
      </c>
      <c r="AG262" s="125">
        <f>AF262*19%</f>
        <v>16150</v>
      </c>
      <c r="AH262" s="97">
        <f>+AF262+AG262</f>
        <v>101150</v>
      </c>
      <c r="AI262" s="11"/>
      <c r="AJ262" s="11"/>
      <c r="AK262" s="17"/>
      <c r="AL262" s="97"/>
      <c r="AM262" s="97"/>
      <c r="AN262" s="101"/>
      <c r="AO262" s="248"/>
      <c r="AP262" s="17"/>
      <c r="AQ262" s="17"/>
      <c r="AR262" s="252"/>
      <c r="AS262" s="136"/>
      <c r="AT262" s="137"/>
      <c r="AU262" s="52"/>
      <c r="AV262" s="52"/>
      <c r="AW262" s="30"/>
      <c r="AX262" s="100"/>
      <c r="AY262" s="174"/>
      <c r="AZ262" s="124"/>
      <c r="BA262" s="169"/>
      <c r="BB262" s="116"/>
      <c r="BC262" s="116"/>
      <c r="BD262" s="247"/>
      <c r="BE262" s="124"/>
      <c r="BF262" s="124"/>
      <c r="BG262" s="116"/>
      <c r="BH262" s="116"/>
      <c r="BI262" s="116"/>
      <c r="BJ262" s="124"/>
      <c r="BK262" s="124"/>
      <c r="BL262" s="124"/>
      <c r="BM262" s="116"/>
      <c r="BN262" s="116"/>
      <c r="BO262" s="116"/>
      <c r="BP262" s="124"/>
      <c r="BQ262" s="116"/>
      <c r="BR262" s="116"/>
      <c r="BS262" s="116"/>
      <c r="BT262" s="116"/>
      <c r="BU262" s="116"/>
      <c r="BV262" s="236">
        <v>86400</v>
      </c>
      <c r="BW262" s="125">
        <f>BV262*19%</f>
        <v>16416</v>
      </c>
      <c r="BX262" s="97">
        <f>+BV262+BW262</f>
        <v>102816</v>
      </c>
      <c r="BY262" s="237" t="s">
        <v>340</v>
      </c>
      <c r="BZ262" s="237" t="s">
        <v>55</v>
      </c>
      <c r="CA262" s="116"/>
      <c r="CB262" s="193"/>
      <c r="CC262" s="232"/>
      <c r="CD262" s="193"/>
      <c r="CE262" s="116"/>
      <c r="CF262" s="116"/>
      <c r="CG262" s="34"/>
      <c r="CH262" s="236">
        <v>88992</v>
      </c>
      <c r="CI262" s="238">
        <f>+CH262*0.19</f>
        <v>16908.48</v>
      </c>
      <c r="CJ262" s="236">
        <f>+CH262+CI262</f>
        <v>105900.48</v>
      </c>
      <c r="CK262" s="237" t="s">
        <v>340</v>
      </c>
      <c r="CL262" s="237" t="s">
        <v>55</v>
      </c>
      <c r="CM262" s="116"/>
      <c r="CN262" s="247"/>
      <c r="CO262" s="125"/>
      <c r="CP262" s="247"/>
      <c r="CQ262" s="116"/>
      <c r="CR262" s="116"/>
      <c r="CS262" s="116"/>
      <c r="CT262" s="247"/>
      <c r="CU262" s="125"/>
      <c r="CV262" s="247"/>
      <c r="CW262" s="116"/>
      <c r="CX262" s="116"/>
      <c r="CY262" s="116"/>
      <c r="CZ262" s="102"/>
      <c r="DA262" s="125"/>
      <c r="DB262" s="102"/>
      <c r="DC262" s="31"/>
      <c r="DD262" s="17"/>
      <c r="DE262" s="11"/>
      <c r="DF262" s="116"/>
      <c r="DG262" s="116"/>
      <c r="DH262" s="116"/>
      <c r="DI262" s="116"/>
      <c r="DJ262" s="116"/>
      <c r="DK262" s="116"/>
      <c r="DL262" s="116"/>
      <c r="DM262" s="116"/>
      <c r="DN262" s="116"/>
      <c r="DO262" s="116"/>
      <c r="DP262" s="116"/>
      <c r="DQ262" s="116"/>
      <c r="DR262" s="116"/>
      <c r="DS262" s="116"/>
      <c r="DT262" s="116"/>
      <c r="DU262" s="116"/>
      <c r="DV262" s="116"/>
      <c r="DW262" s="116"/>
      <c r="DX262" s="116"/>
      <c r="DY262" s="116"/>
      <c r="DZ262" s="116"/>
      <c r="EA262" s="116"/>
      <c r="EB262" s="116"/>
      <c r="EC262" s="116"/>
      <c r="ED262" s="116"/>
      <c r="EE262" s="116"/>
      <c r="EF262" s="116"/>
      <c r="EG262" s="116"/>
      <c r="EH262" s="116"/>
      <c r="EI262" s="116"/>
      <c r="EJ262" s="116"/>
      <c r="EK262" s="116"/>
      <c r="EL262" s="116"/>
      <c r="EM262" s="116"/>
      <c r="EN262" s="116"/>
      <c r="EO262" s="116"/>
      <c r="EP262" s="116"/>
      <c r="EQ262" s="116"/>
      <c r="ER262" s="116"/>
      <c r="ES262" s="116"/>
      <c r="ET262" s="11"/>
      <c r="EU262" s="11"/>
      <c r="EV262" s="11"/>
      <c r="EW262" s="11"/>
      <c r="EX262" s="11"/>
      <c r="EY262" s="11"/>
      <c r="EZ262" s="11"/>
      <c r="FA262" s="11"/>
      <c r="FB262" s="11"/>
      <c r="FC262" s="11"/>
      <c r="FD262" s="11"/>
      <c r="FE262" s="11"/>
      <c r="FF262" s="11"/>
      <c r="FG262" s="11"/>
      <c r="FH262" s="17">
        <f t="shared" si="93"/>
        <v>378015.39999999997</v>
      </c>
      <c r="FI262" s="31">
        <f t="shared" si="94"/>
        <v>4</v>
      </c>
      <c r="FJ262" s="68">
        <f t="shared" si="95"/>
        <v>94503.849999999991</v>
      </c>
    </row>
    <row r="263" spans="1:166" ht="40.5" x14ac:dyDescent="0.25">
      <c r="A263" s="248">
        <f>Distribución_Reactivos!A263</f>
        <v>261</v>
      </c>
      <c r="B263" s="248" t="str">
        <f>Distribución_Reactivos!B263</f>
        <v>Jabón líquido para manos</v>
      </c>
      <c r="C263" s="248" t="str">
        <f>Distribución_Reactivos!C263</f>
        <v>Cualquier marca</v>
      </c>
      <c r="D263" s="248" t="str">
        <f>Distribución_Reactivos!D263</f>
        <v>Galón</v>
      </c>
      <c r="E263" s="29">
        <v>1</v>
      </c>
      <c r="F263" s="212">
        <v>59587.26666666667</v>
      </c>
      <c r="G263" s="214">
        <v>58667</v>
      </c>
      <c r="H263" s="221">
        <v>56120.621982666664</v>
      </c>
      <c r="I263" s="221">
        <v>55930</v>
      </c>
      <c r="J263" s="221">
        <v>80363.873333333337</v>
      </c>
      <c r="K263" s="221">
        <v>76398</v>
      </c>
      <c r="L263" s="247">
        <f>AVERAGE(F263,H263,J263)</f>
        <v>65357.253994222228</v>
      </c>
      <c r="M263" s="247">
        <f>AVERAGE(G263,I263,K263)*E1</f>
        <v>65574.95</v>
      </c>
      <c r="N263" s="217"/>
      <c r="O263" s="97"/>
      <c r="P263" s="97"/>
      <c r="Q263" s="115"/>
      <c r="R263" s="115"/>
      <c r="S263" s="53"/>
      <c r="T263" s="97"/>
      <c r="U263" s="97"/>
      <c r="V263" s="97"/>
      <c r="W263" s="115"/>
      <c r="X263" s="115"/>
      <c r="Y263" s="11"/>
      <c r="Z263" s="97"/>
      <c r="AA263" s="97"/>
      <c r="AB263" s="97"/>
      <c r="AC263" s="44"/>
      <c r="AD263" s="44"/>
      <c r="AE263" s="11"/>
      <c r="AF263" s="102">
        <v>50000</v>
      </c>
      <c r="AG263" s="125">
        <f>AF263*19%</f>
        <v>9500</v>
      </c>
      <c r="AH263" s="97">
        <f>+AF263+AG263</f>
        <v>59500</v>
      </c>
      <c r="AI263" s="11"/>
      <c r="AJ263" s="11"/>
      <c r="AK263" s="17"/>
      <c r="AL263" s="97">
        <v>76000</v>
      </c>
      <c r="AM263" s="97">
        <f>+AL263*0.19</f>
        <v>14440</v>
      </c>
      <c r="AN263" s="103">
        <f>+AL263+AM263</f>
        <v>90440</v>
      </c>
      <c r="AO263" s="248" t="s">
        <v>312</v>
      </c>
      <c r="AP263" s="17" t="s">
        <v>57</v>
      </c>
      <c r="AQ263" s="17"/>
      <c r="AR263" s="252"/>
      <c r="AS263" s="136"/>
      <c r="AT263" s="137"/>
      <c r="AU263" s="52"/>
      <c r="AV263" s="52"/>
      <c r="AW263" s="30"/>
      <c r="AX263" s="100"/>
      <c r="AY263" s="174"/>
      <c r="AZ263" s="124"/>
      <c r="BA263" s="169"/>
      <c r="BB263" s="116"/>
      <c r="BC263" s="116"/>
      <c r="BD263" s="247"/>
      <c r="BE263" s="247"/>
      <c r="BF263" s="247"/>
      <c r="BG263" s="247"/>
      <c r="BH263" s="116"/>
      <c r="BI263" s="116"/>
      <c r="BJ263" s="124"/>
      <c r="BK263" s="124"/>
      <c r="BL263" s="124"/>
      <c r="BM263" s="116"/>
      <c r="BN263" s="116"/>
      <c r="BO263" s="116"/>
      <c r="BP263" s="124"/>
      <c r="BQ263" s="116"/>
      <c r="BR263" s="116"/>
      <c r="BS263" s="116"/>
      <c r="BT263" s="116"/>
      <c r="BU263" s="116"/>
      <c r="BV263" s="236">
        <v>171400</v>
      </c>
      <c r="BW263" s="125">
        <f>BV263*19%</f>
        <v>32566</v>
      </c>
      <c r="BX263" s="97">
        <f>+BV263+BW263</f>
        <v>203966</v>
      </c>
      <c r="BY263" s="237" t="s">
        <v>313</v>
      </c>
      <c r="BZ263" s="237" t="s">
        <v>55</v>
      </c>
      <c r="CA263" s="116"/>
      <c r="CB263" s="247">
        <v>28600</v>
      </c>
      <c r="CC263" s="125">
        <f>+CB263*19%</f>
        <v>5434</v>
      </c>
      <c r="CD263" s="247">
        <f>+CC263+CB263</f>
        <v>34034</v>
      </c>
      <c r="CE263" s="116"/>
      <c r="CF263" s="116"/>
      <c r="CG263" s="34"/>
      <c r="CH263" s="236"/>
      <c r="CI263" s="238"/>
      <c r="CJ263" s="236"/>
      <c r="CK263" s="237"/>
      <c r="CL263" s="237"/>
      <c r="CM263" s="116"/>
      <c r="CN263" s="247"/>
      <c r="CO263" s="125"/>
      <c r="CP263" s="247"/>
      <c r="CQ263" s="116"/>
      <c r="CR263" s="116"/>
      <c r="CS263" s="116"/>
      <c r="CT263" s="247"/>
      <c r="CU263" s="125"/>
      <c r="CV263" s="247"/>
      <c r="CW263" s="116"/>
      <c r="CX263" s="116"/>
      <c r="CY263" s="116"/>
      <c r="CZ263" s="102"/>
      <c r="DA263" s="125"/>
      <c r="DB263" s="102"/>
      <c r="DC263" s="31"/>
      <c r="DD263" s="17"/>
      <c r="DE263" s="11"/>
      <c r="DF263" s="116"/>
      <c r="DG263" s="116"/>
      <c r="DH263" s="116"/>
      <c r="DI263" s="116"/>
      <c r="DJ263" s="116"/>
      <c r="DK263" s="116"/>
      <c r="DL263" s="116"/>
      <c r="DM263" s="116"/>
      <c r="DN263" s="116"/>
      <c r="DO263" s="116"/>
      <c r="DP263" s="116"/>
      <c r="DQ263" s="116"/>
      <c r="DR263" s="116"/>
      <c r="DS263" s="116"/>
      <c r="DT263" s="116"/>
      <c r="DU263" s="116"/>
      <c r="DV263" s="116"/>
      <c r="DW263" s="116"/>
      <c r="DX263" s="116"/>
      <c r="DY263" s="116"/>
      <c r="DZ263" s="116"/>
      <c r="EA263" s="116"/>
      <c r="EB263" s="116"/>
      <c r="EC263" s="116"/>
      <c r="ED263" s="116"/>
      <c r="EE263" s="116"/>
      <c r="EF263" s="116"/>
      <c r="EG263" s="116"/>
      <c r="EH263" s="116"/>
      <c r="EI263" s="116"/>
      <c r="EJ263" s="116"/>
      <c r="EK263" s="116"/>
      <c r="EL263" s="116"/>
      <c r="EM263" s="116"/>
      <c r="EN263" s="116"/>
      <c r="EO263" s="116"/>
      <c r="EP263" s="116"/>
      <c r="EQ263" s="116"/>
      <c r="ER263" s="116"/>
      <c r="ES263" s="116"/>
      <c r="ET263" s="11"/>
      <c r="EU263" s="11"/>
      <c r="EV263" s="11"/>
      <c r="EW263" s="11"/>
      <c r="EX263" s="11"/>
      <c r="EY263" s="11"/>
      <c r="EZ263" s="11"/>
      <c r="FA263" s="11"/>
      <c r="FB263" s="11"/>
      <c r="FC263" s="11"/>
      <c r="FD263" s="11"/>
      <c r="FE263" s="11"/>
      <c r="FF263" s="11"/>
      <c r="FG263" s="11"/>
      <c r="FH263" s="17">
        <f t="shared" si="93"/>
        <v>453514.95</v>
      </c>
      <c r="FI263" s="31">
        <f t="shared" si="94"/>
        <v>5</v>
      </c>
      <c r="FJ263" s="68">
        <f t="shared" si="95"/>
        <v>90702.99</v>
      </c>
    </row>
    <row r="264" spans="1:166" ht="25.5" x14ac:dyDescent="0.25">
      <c r="A264" s="248">
        <f>Distribución_Reactivos!A264</f>
        <v>262</v>
      </c>
      <c r="B264" s="248" t="str">
        <f>Distribución_Reactivos!B264</f>
        <v>kanamicina</v>
      </c>
      <c r="C264" s="248" t="str">
        <f>Distribución_Reactivos!C264</f>
        <v>Thermo Fisher</v>
      </c>
      <c r="D264" s="248" t="str">
        <f>Distribución_Reactivos!D264</f>
        <v>Frasco x 5 g</v>
      </c>
      <c r="E264" s="29">
        <v>1</v>
      </c>
      <c r="F264" s="212">
        <v>562870</v>
      </c>
      <c r="G264" s="214">
        <v>548709</v>
      </c>
      <c r="H264" s="221">
        <v>477588.2205</v>
      </c>
      <c r="I264" s="221">
        <v>0</v>
      </c>
      <c r="J264" s="221">
        <v>0</v>
      </c>
      <c r="K264" s="221">
        <v>0</v>
      </c>
      <c r="L264" s="247">
        <f>AVERAGE(F264,H264)</f>
        <v>520229.11025000003</v>
      </c>
      <c r="M264" s="247">
        <f>G264*E1</f>
        <v>565170.27</v>
      </c>
      <c r="N264" s="217"/>
      <c r="O264" s="97"/>
      <c r="P264" s="97"/>
      <c r="Q264" s="115"/>
      <c r="R264" s="115"/>
      <c r="S264" s="53"/>
      <c r="T264" s="97">
        <v>423000</v>
      </c>
      <c r="U264" s="97">
        <f>+T264*0</f>
        <v>0</v>
      </c>
      <c r="V264" s="97">
        <f>+T264+U264</f>
        <v>423000</v>
      </c>
      <c r="W264" s="115" t="s">
        <v>157</v>
      </c>
      <c r="X264" s="115" t="s">
        <v>155</v>
      </c>
      <c r="Y264" s="11"/>
      <c r="Z264" s="97"/>
      <c r="AA264" s="97"/>
      <c r="AB264" s="97"/>
      <c r="AC264" s="44"/>
      <c r="AD264" s="44"/>
      <c r="AE264" s="11"/>
      <c r="AF264" s="102"/>
      <c r="AG264" s="125"/>
      <c r="AH264" s="97"/>
      <c r="AI264" s="11"/>
      <c r="AJ264" s="11"/>
      <c r="AK264" s="17"/>
      <c r="AL264" s="97"/>
      <c r="AM264" s="97"/>
      <c r="AN264" s="101"/>
      <c r="AO264" s="248"/>
      <c r="AP264" s="17"/>
      <c r="AQ264" s="17"/>
      <c r="AR264" s="252">
        <v>568800</v>
      </c>
      <c r="AS264" s="97">
        <f>+AR264*0.19</f>
        <v>108072</v>
      </c>
      <c r="AT264" s="103">
        <f>+AR264+AS264</f>
        <v>676872</v>
      </c>
      <c r="AU264" s="52" t="s">
        <v>157</v>
      </c>
      <c r="AV264" s="52" t="s">
        <v>42</v>
      </c>
      <c r="AW264" s="30"/>
      <c r="AX264" s="100"/>
      <c r="AY264" s="100"/>
      <c r="AZ264" s="124"/>
      <c r="BA264" s="169"/>
      <c r="BB264" s="116"/>
      <c r="BC264" s="116"/>
      <c r="BD264" s="247"/>
      <c r="BE264" s="124"/>
      <c r="BF264" s="124"/>
      <c r="BG264" s="116"/>
      <c r="BH264" s="116"/>
      <c r="BI264" s="116"/>
      <c r="BJ264" s="124"/>
      <c r="BK264" s="124"/>
      <c r="BL264" s="124"/>
      <c r="BM264" s="116"/>
      <c r="BN264" s="116"/>
      <c r="BO264" s="116"/>
      <c r="BP264" s="124"/>
      <c r="BQ264" s="116"/>
      <c r="BR264" s="116"/>
      <c r="BS264" s="116"/>
      <c r="BT264" s="116"/>
      <c r="BU264" s="116"/>
      <c r="BV264" s="187"/>
      <c r="BW264" s="125"/>
      <c r="BX264" s="97"/>
      <c r="BY264" s="246"/>
      <c r="BZ264" s="246"/>
      <c r="CA264" s="116"/>
      <c r="CB264" s="247"/>
      <c r="CC264" s="125"/>
      <c r="CD264" s="247"/>
      <c r="CE264" s="116"/>
      <c r="CF264" s="116"/>
      <c r="CG264" s="34"/>
      <c r="CH264" s="187"/>
      <c r="CI264" s="195"/>
      <c r="CJ264" s="187"/>
      <c r="CK264" s="246"/>
      <c r="CL264" s="246"/>
      <c r="CM264" s="116"/>
      <c r="CN264" s="247"/>
      <c r="CO264" s="125"/>
      <c r="CP264" s="247"/>
      <c r="CQ264" s="116"/>
      <c r="CR264" s="116"/>
      <c r="CS264" s="116"/>
      <c r="CT264" s="247"/>
      <c r="CU264" s="125"/>
      <c r="CV264" s="247"/>
      <c r="CW264" s="116"/>
      <c r="CX264" s="116"/>
      <c r="CY264" s="116"/>
      <c r="CZ264" s="102"/>
      <c r="DA264" s="125"/>
      <c r="DB264" s="102"/>
      <c r="DC264" s="31"/>
      <c r="DD264" s="17"/>
      <c r="DE264" s="11"/>
      <c r="DF264" s="116"/>
      <c r="DG264" s="116"/>
      <c r="DH264" s="116"/>
      <c r="DI264" s="116"/>
      <c r="DJ264" s="116"/>
      <c r="DK264" s="116"/>
      <c r="DL264" s="116"/>
      <c r="DM264" s="116"/>
      <c r="DN264" s="116"/>
      <c r="DO264" s="116"/>
      <c r="DP264" s="116"/>
      <c r="DQ264" s="116"/>
      <c r="DR264" s="116"/>
      <c r="DS264" s="116"/>
      <c r="DT264" s="116"/>
      <c r="DU264" s="116"/>
      <c r="DV264" s="116"/>
      <c r="DW264" s="116"/>
      <c r="DX264" s="116"/>
      <c r="DY264" s="116"/>
      <c r="DZ264" s="116"/>
      <c r="EA264" s="116"/>
      <c r="EB264" s="116"/>
      <c r="EC264" s="116"/>
      <c r="ED264" s="116"/>
      <c r="EE264" s="116"/>
      <c r="EF264" s="116"/>
      <c r="EG264" s="116"/>
      <c r="EH264" s="116"/>
      <c r="EI264" s="116"/>
      <c r="EJ264" s="116"/>
      <c r="EK264" s="116"/>
      <c r="EL264" s="116"/>
      <c r="EM264" s="116"/>
      <c r="EN264" s="116"/>
      <c r="EO264" s="116"/>
      <c r="EP264" s="116"/>
      <c r="EQ264" s="116"/>
      <c r="ER264" s="116"/>
      <c r="ES264" s="116"/>
      <c r="ET264" s="11"/>
      <c r="EU264" s="11"/>
      <c r="EV264" s="11"/>
      <c r="EW264" s="11"/>
      <c r="EX264" s="11"/>
      <c r="EY264" s="11"/>
      <c r="EZ264" s="11"/>
      <c r="FA264" s="11"/>
      <c r="FB264" s="11"/>
      <c r="FC264" s="11"/>
      <c r="FD264" s="11"/>
      <c r="FE264" s="11"/>
      <c r="FF264" s="11"/>
      <c r="FG264" s="11"/>
      <c r="FH264" s="17">
        <f t="shared" si="93"/>
        <v>1665042.27</v>
      </c>
      <c r="FI264" s="31">
        <f t="shared" si="94"/>
        <v>3</v>
      </c>
      <c r="FJ264" s="68">
        <f t="shared" si="95"/>
        <v>555014.09</v>
      </c>
    </row>
    <row r="265" spans="1:166" ht="13.5" x14ac:dyDescent="0.25">
      <c r="A265" s="248">
        <f>Distribución_Reactivos!A265</f>
        <v>263</v>
      </c>
      <c r="B265" s="248" t="str">
        <f>Distribución_Reactivos!B265</f>
        <v xml:space="preserve">Kit Bactec MGIT 960 suplemento  </v>
      </c>
      <c r="C265" s="248" t="str">
        <f>Distribución_Reactivos!C265</f>
        <v>BD</v>
      </c>
      <c r="D265" s="248" t="str">
        <f>Distribución_Reactivos!D265</f>
        <v>Caja x 100</v>
      </c>
      <c r="E265" s="29">
        <v>1</v>
      </c>
      <c r="F265" s="212">
        <v>1365525</v>
      </c>
      <c r="G265" s="214">
        <v>1344938</v>
      </c>
      <c r="H265" s="221">
        <v>1789081.2537500001</v>
      </c>
      <c r="I265" s="221">
        <v>1785000</v>
      </c>
      <c r="J265" s="221">
        <v>1301092.4500000002</v>
      </c>
      <c r="K265" s="221">
        <v>0</v>
      </c>
      <c r="L265" s="247">
        <f>AVERAGE(F265,H265,J265)</f>
        <v>1485232.9012500001</v>
      </c>
      <c r="M265" s="247">
        <f>AVERAGE(G265,I265)*E1</f>
        <v>1611918.07</v>
      </c>
      <c r="N265" s="217"/>
      <c r="O265" s="97"/>
      <c r="P265" s="97"/>
      <c r="Q265" s="115"/>
      <c r="R265" s="115"/>
      <c r="S265" s="53"/>
      <c r="T265" s="97"/>
      <c r="U265" s="101"/>
      <c r="V265" s="97"/>
      <c r="W265" s="115"/>
      <c r="X265" s="115"/>
      <c r="Y265" s="11"/>
      <c r="Z265" s="97"/>
      <c r="AA265" s="97"/>
      <c r="AB265" s="97"/>
      <c r="AC265" s="44"/>
      <c r="AD265" s="44"/>
      <c r="AE265" s="11"/>
      <c r="AF265" s="102"/>
      <c r="AG265" s="125"/>
      <c r="AH265" s="97"/>
      <c r="AI265" s="11"/>
      <c r="AJ265" s="11"/>
      <c r="AK265" s="17"/>
      <c r="AL265" s="97"/>
      <c r="AM265" s="97"/>
      <c r="AN265" s="101"/>
      <c r="AO265" s="248"/>
      <c r="AP265" s="17"/>
      <c r="AQ265" s="17"/>
      <c r="AR265" s="252"/>
      <c r="AS265" s="136"/>
      <c r="AT265" s="137"/>
      <c r="AU265" s="52"/>
      <c r="AV265" s="52"/>
      <c r="AW265" s="30"/>
      <c r="AX265" s="100"/>
      <c r="AY265" s="100"/>
      <c r="AZ265" s="124"/>
      <c r="BA265" s="116"/>
      <c r="BB265" s="116"/>
      <c r="BC265" s="116"/>
      <c r="BD265" s="247"/>
      <c r="BE265" s="124"/>
      <c r="BF265" s="124"/>
      <c r="BG265" s="116"/>
      <c r="BH265" s="116"/>
      <c r="BI265" s="116"/>
      <c r="BJ265" s="124"/>
      <c r="BK265" s="124"/>
      <c r="BL265" s="124"/>
      <c r="BM265" s="116"/>
      <c r="BN265" s="116"/>
      <c r="BO265" s="116"/>
      <c r="BP265" s="124"/>
      <c r="BQ265" s="116"/>
      <c r="BR265" s="116"/>
      <c r="BS265" s="116"/>
      <c r="BT265" s="116"/>
      <c r="BU265" s="116"/>
      <c r="BV265" s="241">
        <v>3000000</v>
      </c>
      <c r="BW265" s="125">
        <f>BV265*19%</f>
        <v>570000</v>
      </c>
      <c r="BX265" s="97">
        <f>+BV265+BW265</f>
        <v>3570000</v>
      </c>
      <c r="BY265" s="237" t="s">
        <v>337</v>
      </c>
      <c r="BZ265" s="237" t="s">
        <v>27</v>
      </c>
      <c r="CA265" s="116"/>
      <c r="CB265" s="247"/>
      <c r="CC265" s="125"/>
      <c r="CD265" s="247"/>
      <c r="CE265" s="116"/>
      <c r="CF265" s="116"/>
      <c r="CG265" s="34"/>
      <c r="CH265" s="241"/>
      <c r="CI265" s="238"/>
      <c r="CJ265" s="236"/>
      <c r="CK265" s="237"/>
      <c r="CL265" s="237"/>
      <c r="CM265" s="116"/>
      <c r="CN265" s="247"/>
      <c r="CO265" s="125"/>
      <c r="CP265" s="247"/>
      <c r="CQ265" s="116"/>
      <c r="CR265" s="116"/>
      <c r="CS265" s="116"/>
      <c r="CT265" s="247"/>
      <c r="CU265" s="125"/>
      <c r="CV265" s="247"/>
      <c r="CW265" s="116"/>
      <c r="CX265" s="116"/>
      <c r="CY265" s="116"/>
      <c r="CZ265" s="102"/>
      <c r="DA265" s="125"/>
      <c r="DB265" s="102"/>
      <c r="DC265" s="31"/>
      <c r="DD265" s="17"/>
      <c r="DE265" s="11"/>
      <c r="DF265" s="116"/>
      <c r="DG265" s="116"/>
      <c r="DH265" s="116"/>
      <c r="DI265" s="116"/>
      <c r="DJ265" s="116"/>
      <c r="DK265" s="116"/>
      <c r="DL265" s="116"/>
      <c r="DM265" s="116"/>
      <c r="DN265" s="116"/>
      <c r="DO265" s="116"/>
      <c r="DP265" s="116"/>
      <c r="DQ265" s="116"/>
      <c r="DR265" s="116"/>
      <c r="DS265" s="116"/>
      <c r="DT265" s="116"/>
      <c r="DU265" s="116"/>
      <c r="DV265" s="116"/>
      <c r="DW265" s="116"/>
      <c r="DX265" s="116"/>
      <c r="DY265" s="116"/>
      <c r="DZ265" s="116"/>
      <c r="EA265" s="116"/>
      <c r="EB265" s="116"/>
      <c r="EC265" s="116"/>
      <c r="ED265" s="116"/>
      <c r="EE265" s="116"/>
      <c r="EF265" s="116"/>
      <c r="EG265" s="116"/>
      <c r="EH265" s="116"/>
      <c r="EI265" s="116"/>
      <c r="EJ265" s="116"/>
      <c r="EK265" s="116"/>
      <c r="EL265" s="116"/>
      <c r="EM265" s="116"/>
      <c r="EN265" s="116"/>
      <c r="EO265" s="116"/>
      <c r="EP265" s="116"/>
      <c r="EQ265" s="116"/>
      <c r="ER265" s="116"/>
      <c r="ES265" s="116"/>
      <c r="ET265" s="11"/>
      <c r="EU265" s="11"/>
      <c r="EV265" s="11"/>
      <c r="EW265" s="11"/>
      <c r="EX265" s="11"/>
      <c r="EY265" s="11"/>
      <c r="EZ265" s="11"/>
      <c r="FA265" s="11"/>
      <c r="FB265" s="11"/>
      <c r="FC265" s="11"/>
      <c r="FD265" s="11"/>
      <c r="FE265" s="11"/>
      <c r="FF265" s="11"/>
      <c r="FG265" s="11"/>
      <c r="FH265" s="17">
        <f t="shared" si="93"/>
        <v>5181918.07</v>
      </c>
      <c r="FI265" s="31">
        <f t="shared" si="94"/>
        <v>2</v>
      </c>
      <c r="FJ265" s="68">
        <f t="shared" si="95"/>
        <v>2590959.0350000001</v>
      </c>
    </row>
    <row r="266" spans="1:166" ht="38.25" x14ac:dyDescent="0.25">
      <c r="A266" s="248">
        <f>Distribución_Reactivos!A266</f>
        <v>264</v>
      </c>
      <c r="B266" s="248" t="str">
        <f>Distribución_Reactivos!B266</f>
        <v>Kit coloración de Gram (fuscina de gram, cristal violeta, lugol de gram y alcohol acetona de gram)</v>
      </c>
      <c r="C266" s="248" t="str">
        <f>Distribución_Reactivos!C266</f>
        <v>BBL, Fisher o equivalente</v>
      </c>
      <c r="D266" s="248" t="str">
        <f>Distribución_Reactivos!D266</f>
        <v>Kit</v>
      </c>
      <c r="E266" s="29">
        <v>1</v>
      </c>
      <c r="F266" s="212">
        <v>914247.25</v>
      </c>
      <c r="G266" s="214">
        <v>900473</v>
      </c>
      <c r="H266" s="221">
        <v>945605.93067499995</v>
      </c>
      <c r="I266" s="221">
        <v>0</v>
      </c>
      <c r="J266" s="221">
        <v>472748.32500000001</v>
      </c>
      <c r="K266" s="221">
        <v>0</v>
      </c>
      <c r="L266" s="247">
        <f>AVERAGE(F266,H266,J266)</f>
        <v>777533.83522500005</v>
      </c>
      <c r="M266" s="247">
        <f>G266*E1</f>
        <v>927487.19000000006</v>
      </c>
      <c r="N266" s="217"/>
      <c r="O266" s="97"/>
      <c r="P266" s="97"/>
      <c r="Q266" s="115"/>
      <c r="R266" s="115"/>
      <c r="S266" s="53"/>
      <c r="T266" s="97"/>
      <c r="U266" s="97"/>
      <c r="V266" s="97"/>
      <c r="W266" s="115"/>
      <c r="X266" s="115"/>
      <c r="Y266" s="44"/>
      <c r="Z266" s="97"/>
      <c r="AA266" s="97"/>
      <c r="AB266" s="97"/>
      <c r="AC266" s="115"/>
      <c r="AD266" s="44"/>
      <c r="AE266" s="11"/>
      <c r="AF266" s="102"/>
      <c r="AG266" s="125"/>
      <c r="AH266" s="97"/>
      <c r="AI266" s="11"/>
      <c r="AJ266" s="11"/>
      <c r="AK266" s="17"/>
      <c r="AL266" s="97"/>
      <c r="AM266" s="97"/>
      <c r="AN266" s="101"/>
      <c r="AO266" s="248"/>
      <c r="AP266" s="17"/>
      <c r="AQ266" s="17"/>
      <c r="AR266" s="252">
        <v>42227</v>
      </c>
      <c r="AS266" s="97">
        <f>+AR266*0.19</f>
        <v>8023.13</v>
      </c>
      <c r="AT266" s="103">
        <f>+AR266+AS266</f>
        <v>50250.13</v>
      </c>
      <c r="AU266" s="52" t="s">
        <v>341</v>
      </c>
      <c r="AV266" s="52" t="s">
        <v>205</v>
      </c>
      <c r="AW266" s="30" t="s">
        <v>342</v>
      </c>
      <c r="AX266" s="100"/>
      <c r="AY266" s="174"/>
      <c r="AZ266" s="124"/>
      <c r="BA266" s="169"/>
      <c r="BB266" s="116"/>
      <c r="BC266" s="116"/>
      <c r="BD266" s="247"/>
      <c r="BE266" s="124"/>
      <c r="BF266" s="124"/>
      <c r="BG266" s="116"/>
      <c r="BH266" s="116"/>
      <c r="BI266" s="116"/>
      <c r="BJ266" s="124"/>
      <c r="BK266" s="124"/>
      <c r="BL266" s="124"/>
      <c r="BM266" s="116"/>
      <c r="BN266" s="116"/>
      <c r="BO266" s="116"/>
      <c r="BP266" s="124"/>
      <c r="BQ266" s="116"/>
      <c r="BR266" s="116"/>
      <c r="BS266" s="116"/>
      <c r="BT266" s="116"/>
      <c r="BU266" s="116"/>
      <c r="BV266" s="236">
        <v>957096</v>
      </c>
      <c r="BW266" s="125">
        <f>BV266*19%</f>
        <v>181848.24</v>
      </c>
      <c r="BX266" s="97">
        <f>+BV266+BW266</f>
        <v>1138944.24</v>
      </c>
      <c r="BY266" s="237" t="s">
        <v>343</v>
      </c>
      <c r="BZ266" s="237" t="s">
        <v>27</v>
      </c>
      <c r="CA266" s="116"/>
      <c r="CB266" s="247"/>
      <c r="CC266" s="125"/>
      <c r="CD266" s="247"/>
      <c r="CE266" s="116"/>
      <c r="CF266" s="116"/>
      <c r="CG266" s="34"/>
      <c r="CH266" s="236"/>
      <c r="CI266" s="238"/>
      <c r="CJ266" s="236"/>
      <c r="CK266" s="237"/>
      <c r="CL266" s="237"/>
      <c r="CM266" s="116"/>
      <c r="CN266" s="247"/>
      <c r="CO266" s="125"/>
      <c r="CP266" s="247"/>
      <c r="CQ266" s="116"/>
      <c r="CR266" s="116"/>
      <c r="CS266" s="116"/>
      <c r="CT266" s="247"/>
      <c r="CU266" s="125"/>
      <c r="CV266" s="247"/>
      <c r="CW266" s="116"/>
      <c r="CX266" s="116"/>
      <c r="CY266" s="116"/>
      <c r="CZ266" s="102"/>
      <c r="DA266" s="125"/>
      <c r="DB266" s="102"/>
      <c r="DC266" s="31"/>
      <c r="DD266" s="17"/>
      <c r="DE266" s="11"/>
      <c r="DF266" s="116"/>
      <c r="DG266" s="116"/>
      <c r="DH266" s="116"/>
      <c r="DI266" s="116"/>
      <c r="DJ266" s="116"/>
      <c r="DK266" s="116"/>
      <c r="DL266" s="116"/>
      <c r="DM266" s="116"/>
      <c r="DN266" s="116"/>
      <c r="DO266" s="116"/>
      <c r="DP266" s="116"/>
      <c r="DQ266" s="116"/>
      <c r="DR266" s="116"/>
      <c r="DS266" s="116"/>
      <c r="DT266" s="116"/>
      <c r="DU266" s="116"/>
      <c r="DV266" s="116"/>
      <c r="DW266" s="116"/>
      <c r="DX266" s="116"/>
      <c r="DY266" s="116"/>
      <c r="DZ266" s="116"/>
      <c r="EA266" s="116"/>
      <c r="EB266" s="116"/>
      <c r="EC266" s="116"/>
      <c r="ED266" s="116"/>
      <c r="EE266" s="116"/>
      <c r="EF266" s="116"/>
      <c r="EG266" s="116"/>
      <c r="EH266" s="116"/>
      <c r="EI266" s="116"/>
      <c r="EJ266" s="116"/>
      <c r="EK266" s="116"/>
      <c r="EL266" s="116"/>
      <c r="EM266" s="116"/>
      <c r="EN266" s="116"/>
      <c r="EO266" s="116"/>
      <c r="EP266" s="116"/>
      <c r="EQ266" s="116"/>
      <c r="ER266" s="116"/>
      <c r="ES266" s="116"/>
      <c r="ET266" s="11"/>
      <c r="EU266" s="11"/>
      <c r="EV266" s="11"/>
      <c r="EW266" s="11"/>
      <c r="EX266" s="11"/>
      <c r="EY266" s="11"/>
      <c r="EZ266" s="11"/>
      <c r="FA266" s="11"/>
      <c r="FB266" s="11"/>
      <c r="FC266" s="11"/>
      <c r="FD266" s="11"/>
      <c r="FE266" s="11"/>
      <c r="FF266" s="11"/>
      <c r="FG266" s="11"/>
      <c r="FH266" s="17">
        <f t="shared" si="93"/>
        <v>2116681.56</v>
      </c>
      <c r="FI266" s="31">
        <f t="shared" si="94"/>
        <v>3</v>
      </c>
      <c r="FJ266" s="68">
        <f t="shared" si="95"/>
        <v>705560.52</v>
      </c>
    </row>
    <row r="267" spans="1:166" ht="69.75" customHeight="1" x14ac:dyDescent="0.25">
      <c r="A267" s="248">
        <f>Distribución_Reactivos!A267</f>
        <v>265</v>
      </c>
      <c r="B267" s="248" t="str">
        <f>Distribución_Reactivos!B267</f>
        <v>Kit compuesto por: BU030001 Buffer solución PH 4,00 / BU030002 Buffer solución PH 7,00 / BU030003 Buffer solución PH10,00 / IS030908 Potasio cloruro 3,0 Molar, con certificado</v>
      </c>
      <c r="C267" s="248" t="str">
        <f>Distribución_Reactivos!C267</f>
        <v>Cualquier marca</v>
      </c>
      <c r="D267" s="248" t="str">
        <f>Distribución_Reactivos!D267</f>
        <v>Kit x 4 botellas x 100 ml</v>
      </c>
      <c r="E267" s="29">
        <v>1</v>
      </c>
      <c r="F267" s="212">
        <v>133880.95000000001</v>
      </c>
      <c r="G267" s="214">
        <v>29750</v>
      </c>
      <c r="H267" s="221">
        <v>127516.60191666667</v>
      </c>
      <c r="I267" s="221">
        <v>65000</v>
      </c>
      <c r="J267" s="221">
        <v>136601.88500000001</v>
      </c>
      <c r="K267" s="221">
        <v>129829</v>
      </c>
      <c r="L267" s="247">
        <f>AVERAGE(F267,H267,J267)</f>
        <v>132666.47897222222</v>
      </c>
      <c r="M267" s="247">
        <f>AVERAGE(G267,I267,K267)*E1</f>
        <v>77105.45666666668</v>
      </c>
      <c r="N267" s="218"/>
      <c r="O267" s="102"/>
      <c r="P267" s="102"/>
      <c r="Q267" s="44"/>
      <c r="R267" s="44"/>
      <c r="S267" s="5"/>
      <c r="T267" s="102"/>
      <c r="U267" s="102"/>
      <c r="V267" s="102"/>
      <c r="W267" s="11"/>
      <c r="X267" s="11"/>
      <c r="Y267" s="11"/>
      <c r="Z267" s="102"/>
      <c r="AA267" s="102"/>
      <c r="AB267" s="102"/>
      <c r="AC267" s="44"/>
      <c r="AD267" s="44"/>
      <c r="AE267" s="11"/>
      <c r="AF267" s="102"/>
      <c r="AG267" s="125"/>
      <c r="AH267" s="102"/>
      <c r="AI267" s="11"/>
      <c r="AJ267" s="11"/>
      <c r="AK267" s="11"/>
      <c r="AL267" s="102"/>
      <c r="AM267" s="102"/>
      <c r="AN267" s="102"/>
      <c r="AO267" s="248"/>
      <c r="AP267" s="11"/>
      <c r="AQ267" s="11"/>
      <c r="AR267" s="247"/>
      <c r="AS267" s="247"/>
      <c r="AT267" s="247"/>
      <c r="AU267" s="52"/>
      <c r="AV267" s="42"/>
      <c r="AW267" s="11"/>
      <c r="AX267" s="247"/>
      <c r="AY267" s="247"/>
      <c r="AZ267" s="247"/>
      <c r="BA267" s="11"/>
      <c r="BB267" s="11"/>
      <c r="BC267" s="11"/>
      <c r="BD267" s="247"/>
      <c r="BE267" s="247"/>
      <c r="BF267" s="247"/>
      <c r="BG267" s="11"/>
      <c r="BH267" s="11"/>
      <c r="BI267" s="11"/>
      <c r="BJ267" s="247"/>
      <c r="BK267" s="247"/>
      <c r="BL267" s="247"/>
      <c r="BM267" s="11"/>
      <c r="BN267" s="11"/>
      <c r="BO267" s="11"/>
      <c r="BP267" s="247"/>
      <c r="BQ267" s="11"/>
      <c r="BR267" s="11"/>
      <c r="BS267" s="11"/>
      <c r="BT267" s="11"/>
      <c r="BU267" s="11"/>
      <c r="BV267" s="236">
        <v>253800</v>
      </c>
      <c r="BW267" s="125">
        <f>BV267*19%</f>
        <v>48222</v>
      </c>
      <c r="BX267" s="97">
        <f>+BV267+BW267</f>
        <v>302022</v>
      </c>
      <c r="BY267" s="237" t="s">
        <v>339</v>
      </c>
      <c r="BZ267" s="237" t="s">
        <v>55</v>
      </c>
      <c r="CA267" s="11"/>
      <c r="CB267" s="247"/>
      <c r="CC267" s="125"/>
      <c r="CD267" s="247"/>
      <c r="CE267" s="11"/>
      <c r="CF267" s="11"/>
      <c r="CG267" s="11"/>
      <c r="CH267" s="236">
        <v>256338</v>
      </c>
      <c r="CI267" s="238">
        <f>+CH267*0.19</f>
        <v>48704.22</v>
      </c>
      <c r="CJ267" s="236">
        <f>+CH267+CI267</f>
        <v>305042.21999999997</v>
      </c>
      <c r="CK267" s="237" t="s">
        <v>339</v>
      </c>
      <c r="CL267" s="237" t="s">
        <v>55</v>
      </c>
      <c r="CM267" s="11"/>
      <c r="CN267" s="247"/>
      <c r="CO267" s="125"/>
      <c r="CP267" s="247"/>
      <c r="CQ267" s="11"/>
      <c r="CR267" s="11"/>
      <c r="CS267" s="11"/>
      <c r="CT267" s="247"/>
      <c r="CU267" s="125"/>
      <c r="CV267" s="247"/>
      <c r="CW267" s="11"/>
      <c r="CX267" s="11"/>
      <c r="CY267" s="11"/>
      <c r="CZ267" s="102"/>
      <c r="DA267" s="125"/>
      <c r="DB267" s="102"/>
      <c r="DC267" s="31"/>
      <c r="DD267" s="17"/>
      <c r="DE267" s="11"/>
      <c r="DF267" s="11"/>
      <c r="DG267" s="11"/>
      <c r="DH267" s="11"/>
      <c r="DI267" s="11"/>
      <c r="DJ267" s="11"/>
      <c r="DK267" s="11"/>
      <c r="DL267" s="11"/>
      <c r="DM267" s="11"/>
      <c r="DN267" s="11"/>
      <c r="DO267" s="11"/>
      <c r="DP267" s="11"/>
      <c r="DQ267" s="11"/>
      <c r="DR267" s="11"/>
      <c r="DS267" s="11"/>
      <c r="DT267" s="11"/>
      <c r="DU267" s="11"/>
      <c r="DV267" s="11"/>
      <c r="DW267" s="11"/>
      <c r="DX267" s="11"/>
      <c r="DY267" s="11"/>
      <c r="DZ267" s="11"/>
      <c r="EA267" s="11"/>
      <c r="EB267" s="11"/>
      <c r="EC267" s="11"/>
      <c r="ED267" s="11"/>
      <c r="EE267" s="11"/>
      <c r="EF267" s="11"/>
      <c r="EG267" s="11"/>
      <c r="EH267" s="11"/>
      <c r="EI267" s="11"/>
      <c r="EJ267" s="116"/>
      <c r="EK267" s="116"/>
      <c r="EL267" s="116"/>
      <c r="EM267" s="116"/>
      <c r="EN267" s="116"/>
      <c r="EO267" s="11"/>
      <c r="EP267" s="11"/>
      <c r="EQ267" s="11"/>
      <c r="ER267" s="11"/>
      <c r="ES267" s="11"/>
      <c r="ET267" s="11"/>
      <c r="EU267" s="11"/>
      <c r="EV267" s="11"/>
      <c r="EW267" s="11"/>
      <c r="EX267" s="11"/>
      <c r="EY267" s="11"/>
      <c r="EZ267" s="11"/>
      <c r="FA267" s="11"/>
      <c r="FB267" s="11"/>
      <c r="FC267" s="11"/>
      <c r="FD267" s="11"/>
      <c r="FE267" s="11"/>
      <c r="FF267" s="11"/>
      <c r="FG267" s="11"/>
      <c r="FH267" s="17">
        <f t="shared" si="93"/>
        <v>684169.67666666664</v>
      </c>
      <c r="FI267" s="31">
        <f t="shared" si="94"/>
        <v>3</v>
      </c>
      <c r="FJ267" s="68">
        <f t="shared" si="95"/>
        <v>228056.55888888889</v>
      </c>
    </row>
    <row r="268" spans="1:166" ht="32.25" customHeight="1" x14ac:dyDescent="0.25">
      <c r="A268" s="248">
        <f>Distribución_Reactivos!A268</f>
        <v>266</v>
      </c>
      <c r="B268" s="248" t="str">
        <f>Distribución_Reactivos!B268</f>
        <v>MagMAX-96 AI/ND Viral RNA Isolation Kit, 4x96; (384 rxn);Ref AM1835</v>
      </c>
      <c r="C268" s="248" t="str">
        <f>Distribución_Reactivos!C268</f>
        <v>Applied Biosystem. Ref AM1835</v>
      </c>
      <c r="D268" s="248" t="str">
        <f>Distribución_Reactivos!D268</f>
        <v>Kit 4 x 96</v>
      </c>
      <c r="E268" s="29">
        <v>1</v>
      </c>
      <c r="F268" s="212">
        <v>5890500</v>
      </c>
      <c r="G268" s="214">
        <v>0</v>
      </c>
      <c r="H268" s="221">
        <v>0</v>
      </c>
      <c r="I268" s="221">
        <v>0</v>
      </c>
      <c r="J268" s="221">
        <v>0</v>
      </c>
      <c r="K268" s="221">
        <v>0</v>
      </c>
      <c r="L268" s="247">
        <f>F268</f>
        <v>5890500</v>
      </c>
      <c r="M268" s="247"/>
      <c r="N268" s="217"/>
      <c r="O268" s="97"/>
      <c r="P268" s="97"/>
      <c r="Q268" s="115"/>
      <c r="R268" s="115"/>
      <c r="S268" s="53"/>
      <c r="T268" s="97"/>
      <c r="U268" s="97"/>
      <c r="V268" s="97"/>
      <c r="W268" s="115"/>
      <c r="X268" s="115"/>
      <c r="Y268" s="11"/>
      <c r="Z268" s="97"/>
      <c r="AA268" s="97"/>
      <c r="AB268" s="97"/>
      <c r="AC268" s="44"/>
      <c r="AD268" s="44"/>
      <c r="AE268" s="11"/>
      <c r="AF268" s="102"/>
      <c r="AG268" s="125"/>
      <c r="AH268" s="97"/>
      <c r="AI268" s="11"/>
      <c r="AJ268" s="11"/>
      <c r="AK268" s="17"/>
      <c r="AL268" s="97"/>
      <c r="AM268" s="97"/>
      <c r="AN268" s="127"/>
      <c r="AO268" s="248"/>
      <c r="AP268" s="17"/>
      <c r="AQ268" s="17"/>
      <c r="AR268" s="252"/>
      <c r="AS268" s="138"/>
      <c r="AT268" s="139"/>
      <c r="AU268" s="52"/>
      <c r="AV268" s="52"/>
      <c r="AW268" s="30"/>
      <c r="AX268" s="100"/>
      <c r="AY268" s="174"/>
      <c r="AZ268" s="124"/>
      <c r="BA268" s="169"/>
      <c r="BB268" s="116"/>
      <c r="BC268" s="116"/>
      <c r="BD268" s="247"/>
      <c r="BE268" s="247"/>
      <c r="BF268" s="247"/>
      <c r="BG268" s="247"/>
      <c r="BH268" s="116"/>
      <c r="BI268" s="116"/>
      <c r="BJ268" s="124"/>
      <c r="BK268" s="124"/>
      <c r="BL268" s="124"/>
      <c r="BM268" s="116"/>
      <c r="BN268" s="116"/>
      <c r="BO268" s="116"/>
      <c r="BP268" s="124">
        <f>1481140*4</f>
        <v>5924560</v>
      </c>
      <c r="BQ268" s="125">
        <f>BP268*19%</f>
        <v>1125666.3999999999</v>
      </c>
      <c r="BR268" s="97">
        <f>+BP268+BQ268</f>
        <v>7050226.4000000004</v>
      </c>
      <c r="BS268" s="31" t="s">
        <v>344</v>
      </c>
      <c r="BT268" s="182" t="s">
        <v>345</v>
      </c>
      <c r="BU268" s="5" t="s">
        <v>346</v>
      </c>
      <c r="BV268" s="236"/>
      <c r="BW268" s="125"/>
      <c r="BX268" s="97"/>
      <c r="BY268" s="246"/>
      <c r="BZ268" s="246"/>
      <c r="CA268" s="116"/>
      <c r="CB268" s="247"/>
      <c r="CC268" s="125"/>
      <c r="CD268" s="247"/>
      <c r="CE268" s="116"/>
      <c r="CF268" s="116"/>
      <c r="CG268" s="34"/>
      <c r="CH268" s="187"/>
      <c r="CI268" s="195"/>
      <c r="CJ268" s="187"/>
      <c r="CK268" s="246"/>
      <c r="CL268" s="246"/>
      <c r="CM268" s="116"/>
      <c r="CN268" s="247"/>
      <c r="CO268" s="125"/>
      <c r="CP268" s="247"/>
      <c r="CQ268" s="116"/>
      <c r="CR268" s="116"/>
      <c r="CS268" s="116"/>
      <c r="CT268" s="247"/>
      <c r="CU268" s="125"/>
      <c r="CV268" s="247"/>
      <c r="CW268" s="116"/>
      <c r="CX268" s="116"/>
      <c r="CY268" s="116"/>
      <c r="CZ268" s="102"/>
      <c r="DA268" s="125"/>
      <c r="DB268" s="102"/>
      <c r="DC268" s="31"/>
      <c r="DD268" s="17"/>
      <c r="DE268" s="11"/>
      <c r="DF268" s="116">
        <v>8482500</v>
      </c>
      <c r="DG268" s="116">
        <f>+DF268*0</f>
        <v>0</v>
      </c>
      <c r="DH268" s="116">
        <f>+DF268+DG268</f>
        <v>8482500</v>
      </c>
      <c r="DI268" s="116" t="s">
        <v>347</v>
      </c>
      <c r="DJ268" s="116" t="s">
        <v>348</v>
      </c>
      <c r="DK268" s="116"/>
      <c r="DL268" s="97">
        <v>7726000</v>
      </c>
      <c r="DM268" s="97">
        <f>+DL268*0.19</f>
        <v>1467940</v>
      </c>
      <c r="DN268" s="97">
        <f>+DL268+DM268</f>
        <v>9193940</v>
      </c>
      <c r="DO268" s="115" t="s">
        <v>140</v>
      </c>
      <c r="DP268" s="116"/>
      <c r="DQ268" s="116"/>
      <c r="DR268" s="102">
        <v>7012200</v>
      </c>
      <c r="DS268" s="125">
        <f>+DR268*0</f>
        <v>0</v>
      </c>
      <c r="DT268" s="97">
        <f>+DR268+DS268</f>
        <v>7012200</v>
      </c>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
      <c r="EU268" s="11"/>
      <c r="EV268" s="11"/>
      <c r="EW268" s="11"/>
      <c r="EX268" s="11"/>
      <c r="EY268" s="11"/>
      <c r="EZ268" s="11"/>
      <c r="FA268" s="11"/>
      <c r="FB268" s="11"/>
      <c r="FC268" s="11"/>
      <c r="FD268" s="11"/>
      <c r="FE268" s="11"/>
      <c r="FF268" s="11"/>
      <c r="FG268" s="11"/>
      <c r="FH268" s="17">
        <f t="shared" si="93"/>
        <v>31738866.399999999</v>
      </c>
      <c r="FI268" s="31">
        <f t="shared" si="94"/>
        <v>4</v>
      </c>
      <c r="FJ268" s="68">
        <f t="shared" si="95"/>
        <v>7934716.5999999996</v>
      </c>
    </row>
    <row r="269" spans="1:166" ht="83.25" customHeight="1" x14ac:dyDescent="0.25">
      <c r="A269" s="248">
        <f>Distribución_Reactivos!A269</f>
        <v>267</v>
      </c>
      <c r="B269" s="248" t="str">
        <f>Distribución_Reactivos!B269</f>
        <v>Kit para detección de antigenos de la rabia en cultivo y en tejidos cerebrales y submaxilares de animales infectados. Cantidad 5ml, marca Millipore.                    Catálogo: 5100.                                   Laboratorio: LNDV</v>
      </c>
      <c r="C269" s="248" t="str">
        <f>Distribución_Reactivos!C269</f>
        <v xml:space="preserve">Millipore Catálogo: 5100.    </v>
      </c>
      <c r="D269" s="248" t="str">
        <f>Distribución_Reactivos!D269</f>
        <v>Kit</v>
      </c>
      <c r="E269" s="29">
        <v>1</v>
      </c>
      <c r="F269" s="212">
        <v>0</v>
      </c>
      <c r="G269" s="214">
        <v>0</v>
      </c>
      <c r="H269" s="221">
        <v>0</v>
      </c>
      <c r="I269" s="221">
        <v>0</v>
      </c>
      <c r="J269" s="221">
        <v>3042043.2348605003</v>
      </c>
      <c r="K269" s="221">
        <v>0</v>
      </c>
      <c r="L269" s="247">
        <f>J269</f>
        <v>3042043.2348605003</v>
      </c>
      <c r="M269" s="247"/>
      <c r="N269" s="217"/>
      <c r="O269" s="97"/>
      <c r="P269" s="97"/>
      <c r="Q269" s="115"/>
      <c r="R269" s="115"/>
      <c r="S269" s="53"/>
      <c r="T269" s="101"/>
      <c r="U269" s="101"/>
      <c r="V269" s="97"/>
      <c r="W269" s="12"/>
      <c r="X269" s="12"/>
      <c r="Y269" s="11"/>
      <c r="Z269" s="97"/>
      <c r="AA269" s="97"/>
      <c r="AB269" s="97"/>
      <c r="AC269" s="44"/>
      <c r="AD269" s="44"/>
      <c r="AE269" s="11"/>
      <c r="AF269" s="102"/>
      <c r="AG269" s="125"/>
      <c r="AH269" s="97"/>
      <c r="AI269" s="11"/>
      <c r="AJ269" s="11"/>
      <c r="AK269" s="11"/>
      <c r="AL269" s="97"/>
      <c r="AM269" s="97"/>
      <c r="AN269" s="97"/>
      <c r="AO269" s="248"/>
      <c r="AP269" s="11"/>
      <c r="AQ269" s="11"/>
      <c r="AR269" s="252"/>
      <c r="AS269" s="252"/>
      <c r="AT269" s="252"/>
      <c r="AU269" s="42"/>
      <c r="AV269" s="42"/>
      <c r="AW269" s="11"/>
      <c r="AX269" s="252"/>
      <c r="AY269" s="252"/>
      <c r="AZ269" s="252"/>
      <c r="BA269" s="11"/>
      <c r="BB269" s="11"/>
      <c r="BC269" s="11"/>
      <c r="BD269" s="247"/>
      <c r="BE269" s="124"/>
      <c r="BF269" s="124"/>
      <c r="BG269" s="116"/>
      <c r="BH269" s="11"/>
      <c r="BI269" s="116"/>
      <c r="BJ269" s="124"/>
      <c r="BK269" s="124"/>
      <c r="BL269" s="124"/>
      <c r="BM269" s="116"/>
      <c r="BN269" s="116"/>
      <c r="BO269" s="116"/>
      <c r="BP269" s="124"/>
      <c r="BQ269" s="116"/>
      <c r="BR269" s="116"/>
      <c r="BS269" s="116"/>
      <c r="BT269" s="116"/>
      <c r="BU269" s="116"/>
      <c r="BV269" s="187"/>
      <c r="BW269" s="125"/>
      <c r="BX269" s="97"/>
      <c r="BY269" s="246"/>
      <c r="BZ269" s="246"/>
      <c r="CA269" s="116"/>
      <c r="CB269" s="247"/>
      <c r="CC269" s="125"/>
      <c r="CD269" s="247"/>
      <c r="CE269" s="116"/>
      <c r="CF269" s="116"/>
      <c r="CG269" s="34"/>
      <c r="CH269" s="187"/>
      <c r="CI269" s="195"/>
      <c r="CJ269" s="187"/>
      <c r="CK269" s="246"/>
      <c r="CL269" s="246"/>
      <c r="CM269" s="116"/>
      <c r="CN269" s="247"/>
      <c r="CO269" s="125"/>
      <c r="CP269" s="247"/>
      <c r="CQ269" s="116"/>
      <c r="CR269" s="116"/>
      <c r="CS269" s="116"/>
      <c r="CT269" s="247"/>
      <c r="CU269" s="125"/>
      <c r="CV269" s="247"/>
      <c r="CW269" s="116"/>
      <c r="CX269" s="116"/>
      <c r="CY269" s="116"/>
      <c r="CZ269" s="102">
        <v>3560830</v>
      </c>
      <c r="DA269" s="125">
        <v>0</v>
      </c>
      <c r="DB269" s="102">
        <v>3560830</v>
      </c>
      <c r="DC269" s="31" t="s">
        <v>349</v>
      </c>
      <c r="DD269" s="17" t="s">
        <v>65</v>
      </c>
      <c r="DE269" s="11">
        <v>5100</v>
      </c>
      <c r="DF269" s="116"/>
      <c r="DG269" s="116"/>
      <c r="DH269" s="116"/>
      <c r="DI269" s="116"/>
      <c r="DJ269" s="116"/>
      <c r="DK269" s="116"/>
      <c r="DL269" s="116"/>
      <c r="DM269" s="116"/>
      <c r="DN269" s="116"/>
      <c r="DO269" s="116"/>
      <c r="DP269" s="116"/>
      <c r="DQ269" s="116"/>
      <c r="DR269" s="116"/>
      <c r="DS269" s="116"/>
      <c r="DT269" s="116"/>
      <c r="DU269" s="116"/>
      <c r="DV269" s="116"/>
      <c r="DW269" s="116"/>
      <c r="DX269" s="116"/>
      <c r="DY269" s="116"/>
      <c r="DZ269" s="116"/>
      <c r="EA269" s="116"/>
      <c r="EB269" s="116"/>
      <c r="EC269" s="116"/>
      <c r="ED269" s="116"/>
      <c r="EE269" s="116"/>
      <c r="EF269" s="116"/>
      <c r="EG269" s="116"/>
      <c r="EH269" s="116"/>
      <c r="EI269" s="116"/>
      <c r="EJ269" s="116"/>
      <c r="EK269" s="116"/>
      <c r="EL269" s="116"/>
      <c r="EM269" s="116"/>
      <c r="EN269" s="116"/>
      <c r="EO269" s="116"/>
      <c r="EP269" s="116"/>
      <c r="EQ269" s="116"/>
      <c r="ER269" s="116"/>
      <c r="ES269" s="116"/>
      <c r="ET269" s="11"/>
      <c r="EU269" s="11"/>
      <c r="EV269" s="11"/>
      <c r="EW269" s="11"/>
      <c r="EX269" s="11"/>
      <c r="EY269" s="11"/>
      <c r="EZ269" s="11"/>
      <c r="FA269" s="11"/>
      <c r="FB269" s="11"/>
      <c r="FC269" s="11"/>
      <c r="FD269" s="11"/>
      <c r="FE269" s="11"/>
      <c r="FF269" s="11"/>
      <c r="FG269" s="11"/>
      <c r="FH269" s="17">
        <f t="shared" si="93"/>
        <v>3560830</v>
      </c>
      <c r="FI269" s="31">
        <f t="shared" si="94"/>
        <v>1</v>
      </c>
      <c r="FJ269" s="68">
        <f t="shared" si="95"/>
        <v>3560830</v>
      </c>
    </row>
    <row r="270" spans="1:166" ht="25.5" x14ac:dyDescent="0.25">
      <c r="A270" s="248">
        <f>Distribución_Reactivos!A270</f>
        <v>268</v>
      </c>
      <c r="B270" s="248" t="str">
        <f>Distribución_Reactivos!B270</f>
        <v>Lactofenol según Amann</v>
      </c>
      <c r="C270" s="248" t="str">
        <f>Distribución_Reactivos!C270</f>
        <v>Quimer Diagnóstica</v>
      </c>
      <c r="D270" s="248" t="str">
        <f>Distribución_Reactivos!D270</f>
        <v>Frasco X 1 L</v>
      </c>
      <c r="E270" s="29">
        <v>1</v>
      </c>
      <c r="F270" s="212">
        <v>190400</v>
      </c>
      <c r="G270" s="214">
        <v>0</v>
      </c>
      <c r="H270" s="221">
        <v>129785.36</v>
      </c>
      <c r="I270" s="221">
        <v>0</v>
      </c>
      <c r="J270" s="221">
        <v>35484.61</v>
      </c>
      <c r="K270" s="221">
        <v>0</v>
      </c>
      <c r="L270" s="247">
        <f>AVERAGE(F270,H270,J270)</f>
        <v>118556.65666666666</v>
      </c>
      <c r="M270" s="247"/>
      <c r="N270" s="217"/>
      <c r="O270" s="97"/>
      <c r="P270" s="97"/>
      <c r="Q270" s="115"/>
      <c r="R270" s="115"/>
      <c r="S270" s="53"/>
      <c r="T270" s="97"/>
      <c r="U270" s="101"/>
      <c r="V270" s="97"/>
      <c r="W270" s="115"/>
      <c r="X270" s="115"/>
      <c r="Y270" s="11"/>
      <c r="Z270" s="97"/>
      <c r="AA270" s="97"/>
      <c r="AB270" s="97"/>
      <c r="AC270" s="44"/>
      <c r="AD270" s="44"/>
      <c r="AE270" s="11"/>
      <c r="AF270" s="102"/>
      <c r="AG270" s="125"/>
      <c r="AH270" s="97"/>
      <c r="AI270" s="11"/>
      <c r="AJ270" s="11"/>
      <c r="AK270" s="17"/>
      <c r="AL270" s="97"/>
      <c r="AM270" s="97"/>
      <c r="AN270" s="101"/>
      <c r="AO270" s="248"/>
      <c r="AP270" s="17"/>
      <c r="AQ270" s="17"/>
      <c r="AR270" s="252">
        <f>29819*10</f>
        <v>298190</v>
      </c>
      <c r="AS270" s="97">
        <f>+AR270*0.19</f>
        <v>56656.1</v>
      </c>
      <c r="AT270" s="103">
        <f>+AR270+AS270</f>
        <v>354846.1</v>
      </c>
      <c r="AU270" s="52" t="s">
        <v>51</v>
      </c>
      <c r="AV270" s="52" t="s">
        <v>205</v>
      </c>
      <c r="AW270" s="30"/>
      <c r="AX270" s="100"/>
      <c r="AY270" s="100"/>
      <c r="AZ270" s="124"/>
      <c r="BA270" s="169"/>
      <c r="BB270" s="116"/>
      <c r="BC270" s="116"/>
      <c r="BD270" s="247"/>
      <c r="BE270" s="124"/>
      <c r="BF270" s="124"/>
      <c r="BG270" s="116"/>
      <c r="BH270" s="116"/>
      <c r="BI270" s="116"/>
      <c r="BJ270" s="124"/>
      <c r="BK270" s="124"/>
      <c r="BL270" s="124"/>
      <c r="BM270" s="116"/>
      <c r="BN270" s="116"/>
      <c r="BO270" s="116"/>
      <c r="BP270" s="124"/>
      <c r="BQ270" s="116"/>
      <c r="BR270" s="116"/>
      <c r="BS270" s="116"/>
      <c r="BT270" s="116"/>
      <c r="BU270" s="116"/>
      <c r="BV270" s="187"/>
      <c r="BW270" s="125"/>
      <c r="BX270" s="97"/>
      <c r="BY270" s="246"/>
      <c r="BZ270" s="246"/>
      <c r="CA270" s="116"/>
      <c r="CB270" s="247"/>
      <c r="CC270" s="125"/>
      <c r="CD270" s="247"/>
      <c r="CE270" s="116"/>
      <c r="CF270" s="116"/>
      <c r="CG270" s="34"/>
      <c r="CH270" s="187"/>
      <c r="CI270" s="195"/>
      <c r="CJ270" s="187"/>
      <c r="CK270" s="246"/>
      <c r="CL270" s="246"/>
      <c r="CM270" s="116"/>
      <c r="CN270" s="247"/>
      <c r="CO270" s="125"/>
      <c r="CP270" s="247"/>
      <c r="CQ270" s="116"/>
      <c r="CR270" s="116"/>
      <c r="CS270" s="116"/>
      <c r="CT270" s="247"/>
      <c r="CU270" s="125"/>
      <c r="CV270" s="247"/>
      <c r="CW270" s="116"/>
      <c r="CX270" s="116"/>
      <c r="CY270" s="116"/>
      <c r="CZ270" s="102"/>
      <c r="DA270" s="125"/>
      <c r="DB270" s="102"/>
      <c r="DC270" s="31"/>
      <c r="DD270" s="17"/>
      <c r="DE270" s="11"/>
      <c r="DF270" s="116"/>
      <c r="DG270" s="116"/>
      <c r="DH270" s="116"/>
      <c r="DI270" s="116"/>
      <c r="DJ270" s="116"/>
      <c r="DK270" s="116"/>
      <c r="DL270" s="116"/>
      <c r="DM270" s="116"/>
      <c r="DN270" s="116"/>
      <c r="DO270" s="116"/>
      <c r="DP270" s="116"/>
      <c r="DQ270" s="116"/>
      <c r="DR270" s="116"/>
      <c r="DS270" s="116"/>
      <c r="DT270" s="116"/>
      <c r="DU270" s="116"/>
      <c r="DV270" s="116"/>
      <c r="DW270" s="116"/>
      <c r="DX270" s="116"/>
      <c r="DY270" s="116"/>
      <c r="DZ270" s="116"/>
      <c r="EA270" s="116"/>
      <c r="EB270" s="116"/>
      <c r="EC270" s="116"/>
      <c r="ED270" s="116"/>
      <c r="EE270" s="116"/>
      <c r="EF270" s="116"/>
      <c r="EG270" s="116"/>
      <c r="EH270" s="116"/>
      <c r="EI270" s="116"/>
      <c r="EJ270" s="116"/>
      <c r="EK270" s="116"/>
      <c r="EL270" s="116"/>
      <c r="EM270" s="116"/>
      <c r="EN270" s="116"/>
      <c r="EO270" s="116"/>
      <c r="EP270" s="116"/>
      <c r="EQ270" s="116"/>
      <c r="ER270" s="116"/>
      <c r="ES270" s="116"/>
      <c r="ET270" s="11"/>
      <c r="EU270" s="11"/>
      <c r="EV270" s="11"/>
      <c r="EW270" s="11"/>
      <c r="EX270" s="11"/>
      <c r="EY270" s="11"/>
      <c r="EZ270" s="11"/>
      <c r="FA270" s="11"/>
      <c r="FB270" s="11"/>
      <c r="FC270" s="11"/>
      <c r="FD270" s="11"/>
      <c r="FE270" s="11"/>
      <c r="FF270" s="11"/>
      <c r="FG270" s="11"/>
      <c r="FH270" s="17">
        <f t="shared" ref="FH270:FH297" si="100">SUM(M270,P270,V270,AB270,AH270,AN270,AT270,AZ270,BF270,BL270,BR270,BX270,CD270,CJ270,CP270,CV270,DB270,DH270,DN270,DT270,DZ270,EF270,EL270,ER270,EX270,FD270)</f>
        <v>354846.1</v>
      </c>
      <c r="FI270" s="31">
        <f t="shared" ref="FI270:FI297" si="101">COUNTA(M270,N270,T270,Z270,AF270,AL270,AR270,AX270,BD270,BJ270,BP270,BV270,CB270,CH270,CN270,CT270,CZ270,DF270,DL270,DR270,DX270,ED270,EJ270,EP270,EV270,FB270)</f>
        <v>1</v>
      </c>
      <c r="FJ270" s="68">
        <f t="shared" ref="FJ270:FJ297" si="102">IFERROR(FH270/FI270," ")</f>
        <v>354846.1</v>
      </c>
    </row>
    <row r="271" spans="1:166" ht="25.5" x14ac:dyDescent="0.25">
      <c r="A271" s="248">
        <f>Distribución_Reactivos!A271</f>
        <v>269</v>
      </c>
      <c r="B271" s="248" t="str">
        <f>Distribución_Reactivos!B271</f>
        <v>Lactosa</v>
      </c>
      <c r="C271" s="248" t="str">
        <f>Distribución_Reactivos!C271</f>
        <v>Sigma 17814</v>
      </c>
      <c r="D271" s="248" t="str">
        <f>Distribución_Reactivos!D271</f>
        <v>Frasco x 1 k</v>
      </c>
      <c r="E271" s="29">
        <v>1</v>
      </c>
      <c r="F271" s="212">
        <v>535220.35</v>
      </c>
      <c r="G271" s="214">
        <v>0</v>
      </c>
      <c r="H271" s="221">
        <v>621155.55133416667</v>
      </c>
      <c r="I271" s="221">
        <v>0</v>
      </c>
      <c r="J271" s="221">
        <v>0</v>
      </c>
      <c r="K271" s="221">
        <v>0</v>
      </c>
      <c r="L271" s="247">
        <f>AVERAGE(F271,H271)</f>
        <v>578187.95066708326</v>
      </c>
      <c r="M271" s="247"/>
      <c r="N271" s="217"/>
      <c r="O271" s="97"/>
      <c r="P271" s="97"/>
      <c r="Q271" s="115"/>
      <c r="R271" s="115"/>
      <c r="S271" s="53"/>
      <c r="T271" s="97"/>
      <c r="U271" s="97"/>
      <c r="V271" s="97"/>
      <c r="W271" s="115"/>
      <c r="X271" s="115"/>
      <c r="Y271" s="11"/>
      <c r="Z271" s="97"/>
      <c r="AA271" s="97"/>
      <c r="AB271" s="97"/>
      <c r="AC271" s="44"/>
      <c r="AD271" s="44"/>
      <c r="AE271" s="11"/>
      <c r="AF271" s="102"/>
      <c r="AG271" s="125"/>
      <c r="AH271" s="97"/>
      <c r="AI271" s="11"/>
      <c r="AJ271" s="11"/>
      <c r="AK271" s="17"/>
      <c r="AL271" s="97">
        <v>162000</v>
      </c>
      <c r="AM271" s="97">
        <f>+AL271*0.19</f>
        <v>30780</v>
      </c>
      <c r="AN271" s="103">
        <f>+AL271+AM271</f>
        <v>192780</v>
      </c>
      <c r="AO271" s="248" t="s">
        <v>77</v>
      </c>
      <c r="AP271" s="17" t="s">
        <v>52</v>
      </c>
      <c r="AQ271" s="17"/>
      <c r="AR271" s="252">
        <v>1080000</v>
      </c>
      <c r="AS271" s="97">
        <f>+AR271*0.19</f>
        <v>205200</v>
      </c>
      <c r="AT271" s="103">
        <f>+AR271+AS271</f>
        <v>1285200</v>
      </c>
      <c r="AU271" s="52" t="s">
        <v>99</v>
      </c>
      <c r="AV271" s="52" t="s">
        <v>42</v>
      </c>
      <c r="AW271" s="30"/>
      <c r="AX271" s="100">
        <v>485613.60000000003</v>
      </c>
      <c r="AY271" s="100">
        <f>+AX271*0.19</f>
        <v>92266.584000000003</v>
      </c>
      <c r="AZ271" s="124">
        <f>+AX271+AY271</f>
        <v>577880.18400000001</v>
      </c>
      <c r="BA271" s="169" t="s">
        <v>77</v>
      </c>
      <c r="BB271" s="116" t="s">
        <v>72</v>
      </c>
      <c r="BC271" s="116"/>
      <c r="BD271" s="247"/>
      <c r="BE271" s="124"/>
      <c r="BF271" s="124"/>
      <c r="BG271" s="116"/>
      <c r="BH271" s="116"/>
      <c r="BI271" s="116"/>
      <c r="BJ271" s="124"/>
      <c r="BK271" s="124"/>
      <c r="BL271" s="124"/>
      <c r="BM271" s="116"/>
      <c r="BN271" s="116"/>
      <c r="BO271" s="116"/>
      <c r="BP271" s="124"/>
      <c r="BQ271" s="116"/>
      <c r="BR271" s="116"/>
      <c r="BS271" s="116"/>
      <c r="BT271" s="116"/>
      <c r="BU271" s="116"/>
      <c r="BV271" s="187"/>
      <c r="BW271" s="125"/>
      <c r="BX271" s="97"/>
      <c r="BY271" s="246"/>
      <c r="BZ271" s="246"/>
      <c r="CA271" s="116"/>
      <c r="CB271" s="247"/>
      <c r="CC271" s="125"/>
      <c r="CD271" s="247"/>
      <c r="CE271" s="116"/>
      <c r="CF271" s="116"/>
      <c r="CG271" s="34"/>
      <c r="CH271" s="187"/>
      <c r="CI271" s="195"/>
      <c r="CJ271" s="187"/>
      <c r="CK271" s="246"/>
      <c r="CL271" s="246"/>
      <c r="CM271" s="116"/>
      <c r="CN271" s="247"/>
      <c r="CO271" s="125"/>
      <c r="CP271" s="247"/>
      <c r="CQ271" s="116"/>
      <c r="CR271" s="116"/>
      <c r="CS271" s="116"/>
      <c r="CT271" s="125">
        <v>693750</v>
      </c>
      <c r="CU271" s="125">
        <f>CT271*0.19</f>
        <v>131812.5</v>
      </c>
      <c r="CV271" s="125">
        <f>CU271+CT271</f>
        <v>825562.5</v>
      </c>
      <c r="CW271" s="116"/>
      <c r="CX271" s="116"/>
      <c r="CY271" s="116"/>
      <c r="CZ271" s="102"/>
      <c r="DA271" s="125"/>
      <c r="DB271" s="102"/>
      <c r="DC271" s="31"/>
      <c r="DD271" s="17"/>
      <c r="DE271" s="11"/>
      <c r="DF271" s="116"/>
      <c r="DG271" s="116"/>
      <c r="DH271" s="116"/>
      <c r="DI271" s="116"/>
      <c r="DJ271" s="116"/>
      <c r="DK271" s="116"/>
      <c r="DL271" s="116"/>
      <c r="DM271" s="116"/>
      <c r="DN271" s="116"/>
      <c r="DO271" s="116"/>
      <c r="DP271" s="116"/>
      <c r="DQ271" s="116"/>
      <c r="DR271" s="116"/>
      <c r="DS271" s="116"/>
      <c r="DT271" s="116"/>
      <c r="DU271" s="116"/>
      <c r="DV271" s="116"/>
      <c r="DW271" s="116"/>
      <c r="DX271" s="116"/>
      <c r="DY271" s="116"/>
      <c r="DZ271" s="116"/>
      <c r="EA271" s="116"/>
      <c r="EB271" s="116"/>
      <c r="EC271" s="116"/>
      <c r="ED271" s="116"/>
      <c r="EE271" s="116"/>
      <c r="EF271" s="116"/>
      <c r="EG271" s="116"/>
      <c r="EH271" s="116"/>
      <c r="EI271" s="116"/>
      <c r="EJ271" s="116"/>
      <c r="EK271" s="116"/>
      <c r="EL271" s="116"/>
      <c r="EM271" s="116"/>
      <c r="EN271" s="116"/>
      <c r="EO271" s="116"/>
      <c r="EP271" s="116"/>
      <c r="EQ271" s="116"/>
      <c r="ER271" s="116"/>
      <c r="ES271" s="116"/>
      <c r="ET271" s="11"/>
      <c r="EU271" s="11"/>
      <c r="EV271" s="11"/>
      <c r="EW271" s="11"/>
      <c r="EX271" s="11"/>
      <c r="EY271" s="11"/>
      <c r="EZ271" s="11"/>
      <c r="FA271" s="11"/>
      <c r="FB271" s="11"/>
      <c r="FC271" s="11"/>
      <c r="FD271" s="11"/>
      <c r="FE271" s="11"/>
      <c r="FF271" s="11"/>
      <c r="FG271" s="11"/>
      <c r="FH271" s="17">
        <f t="shared" si="100"/>
        <v>2881422.6839999999</v>
      </c>
      <c r="FI271" s="31">
        <f t="shared" si="101"/>
        <v>4</v>
      </c>
      <c r="FJ271" s="68">
        <f t="shared" si="102"/>
        <v>720355.67099999997</v>
      </c>
    </row>
    <row r="272" spans="1:166" ht="25.5" x14ac:dyDescent="0.25">
      <c r="A272" s="248">
        <f>Distribución_Reactivos!A272</f>
        <v>270</v>
      </c>
      <c r="B272" s="248" t="str">
        <f>Distribución_Reactivos!B272</f>
        <v>L-Arabinosa</v>
      </c>
      <c r="C272" s="248" t="str">
        <f>Distribución_Reactivos!C272</f>
        <v>Merck</v>
      </c>
      <c r="D272" s="248" t="str">
        <f>Distribución_Reactivos!D272</f>
        <v>Frasco x 100 g</v>
      </c>
      <c r="E272" s="29">
        <v>1</v>
      </c>
      <c r="F272" s="212">
        <v>1604120</v>
      </c>
      <c r="G272" s="214">
        <v>1564017</v>
      </c>
      <c r="H272" s="221">
        <v>1107779.7322857142</v>
      </c>
      <c r="I272" s="221">
        <v>1107771</v>
      </c>
      <c r="J272" s="221">
        <v>1234034.4624999999</v>
      </c>
      <c r="K272" s="221">
        <v>0</v>
      </c>
      <c r="L272" s="247">
        <f>AVERAGE(F272,H272,J272)</f>
        <v>1315311.3982619047</v>
      </c>
      <c r="M272" s="247">
        <f>AVERAGE(G272,I272)*E1</f>
        <v>1375970.82</v>
      </c>
      <c r="N272" s="217"/>
      <c r="O272" s="97"/>
      <c r="P272" s="97"/>
      <c r="Q272" s="115"/>
      <c r="R272" s="115"/>
      <c r="S272" s="53"/>
      <c r="T272" s="97"/>
      <c r="U272" s="101"/>
      <c r="V272" s="97"/>
      <c r="W272" s="115"/>
      <c r="X272" s="115"/>
      <c r="Y272" s="11"/>
      <c r="Z272" s="97"/>
      <c r="AA272" s="97"/>
      <c r="AB272" s="97"/>
      <c r="AC272" s="44"/>
      <c r="AD272" s="44"/>
      <c r="AE272" s="11"/>
      <c r="AF272" s="102">
        <v>1350000</v>
      </c>
      <c r="AG272" s="125">
        <f>AF272*19%</f>
        <v>256500</v>
      </c>
      <c r="AH272" s="97">
        <f>+AF272+AG272</f>
        <v>1606500</v>
      </c>
      <c r="AI272" s="11"/>
      <c r="AJ272" s="11"/>
      <c r="AK272" s="17"/>
      <c r="AL272" s="97">
        <f>580000*4</f>
        <v>2320000</v>
      </c>
      <c r="AM272" s="97">
        <f>+AL272*0.19</f>
        <v>440800</v>
      </c>
      <c r="AN272" s="103">
        <f>+AL272+AM272</f>
        <v>2760800</v>
      </c>
      <c r="AO272" s="248" t="s">
        <v>41</v>
      </c>
      <c r="AP272" s="17" t="s">
        <v>350</v>
      </c>
      <c r="AQ272" s="17"/>
      <c r="AR272" s="252">
        <v>1080000</v>
      </c>
      <c r="AS272" s="97">
        <f>+AR272*0.19</f>
        <v>205200</v>
      </c>
      <c r="AT272" s="103">
        <f>+AR272+AS272</f>
        <v>1285200</v>
      </c>
      <c r="AU272" s="52" t="s">
        <v>61</v>
      </c>
      <c r="AV272" s="52" t="s">
        <v>42</v>
      </c>
      <c r="AW272" s="30"/>
      <c r="AX272" s="100"/>
      <c r="AY272" s="100"/>
      <c r="AZ272" s="124"/>
      <c r="BA272" s="169"/>
      <c r="BB272" s="116"/>
      <c r="BC272" s="116"/>
      <c r="BD272" s="247"/>
      <c r="BE272" s="124"/>
      <c r="BF272" s="124"/>
      <c r="BG272" s="116"/>
      <c r="BH272" s="116"/>
      <c r="BI272" s="116"/>
      <c r="BJ272" s="124"/>
      <c r="BK272" s="124"/>
      <c r="BL272" s="124"/>
      <c r="BM272" s="116"/>
      <c r="BN272" s="116"/>
      <c r="BO272" s="116"/>
      <c r="BP272" s="124"/>
      <c r="BQ272" s="116"/>
      <c r="BR272" s="116"/>
      <c r="BS272" s="116"/>
      <c r="BT272" s="116"/>
      <c r="BU272" s="116"/>
      <c r="BV272" s="240">
        <v>1863500</v>
      </c>
      <c r="BW272" s="125">
        <f t="shared" ref="BW272:BW278" si="103">BV272*19%</f>
        <v>354065</v>
      </c>
      <c r="BX272" s="97">
        <f t="shared" ref="BX272:BX278" si="104">+BV272+BW272</f>
        <v>2217565</v>
      </c>
      <c r="BY272" s="237" t="s">
        <v>317</v>
      </c>
      <c r="BZ272" s="237" t="s">
        <v>93</v>
      </c>
      <c r="CA272" s="116"/>
      <c r="CB272" s="247"/>
      <c r="CC272" s="125"/>
      <c r="CD272" s="247"/>
      <c r="CE272" s="116"/>
      <c r="CF272" s="116"/>
      <c r="CG272" s="34"/>
      <c r="CH272" s="241"/>
      <c r="CI272" s="238"/>
      <c r="CJ272" s="236"/>
      <c r="CK272" s="237"/>
      <c r="CL272" s="237"/>
      <c r="CM272" s="116"/>
      <c r="CN272" s="247"/>
      <c r="CO272" s="125"/>
      <c r="CP272" s="247"/>
      <c r="CQ272" s="116"/>
      <c r="CR272" s="116"/>
      <c r="CS272" s="116"/>
      <c r="CT272" s="247"/>
      <c r="CU272" s="125"/>
      <c r="CV272" s="247"/>
      <c r="CW272" s="116"/>
      <c r="CX272" s="116"/>
      <c r="CY272" s="116"/>
      <c r="CZ272" s="102"/>
      <c r="DA272" s="125"/>
      <c r="DB272" s="102"/>
      <c r="DC272" s="31"/>
      <c r="DD272" s="17"/>
      <c r="DE272" s="11"/>
      <c r="DF272" s="116"/>
      <c r="DG272" s="116"/>
      <c r="DH272" s="116"/>
      <c r="DI272" s="116"/>
      <c r="DJ272" s="116"/>
      <c r="DK272" s="116"/>
      <c r="DL272" s="116"/>
      <c r="DM272" s="116"/>
      <c r="DN272" s="116"/>
      <c r="DO272" s="116"/>
      <c r="DP272" s="116"/>
      <c r="DQ272" s="116"/>
      <c r="DR272" s="116"/>
      <c r="DS272" s="116"/>
      <c r="DT272" s="116"/>
      <c r="DU272" s="116"/>
      <c r="DV272" s="116"/>
      <c r="DW272" s="116"/>
      <c r="DX272" s="116"/>
      <c r="DY272" s="116"/>
      <c r="DZ272" s="116"/>
      <c r="EA272" s="116"/>
      <c r="EB272" s="116"/>
      <c r="EC272" s="116"/>
      <c r="ED272" s="116"/>
      <c r="EE272" s="116"/>
      <c r="EF272" s="116"/>
      <c r="EG272" s="116"/>
      <c r="EH272" s="116"/>
      <c r="EI272" s="116"/>
      <c r="EJ272" s="116"/>
      <c r="EK272" s="116"/>
      <c r="EL272" s="116"/>
      <c r="EM272" s="116"/>
      <c r="EN272" s="116"/>
      <c r="EO272" s="116"/>
      <c r="EP272" s="116"/>
      <c r="EQ272" s="116"/>
      <c r="ER272" s="116"/>
      <c r="ES272" s="116"/>
      <c r="ET272" s="11"/>
      <c r="EU272" s="11"/>
      <c r="EV272" s="11"/>
      <c r="EW272" s="11"/>
      <c r="EX272" s="11"/>
      <c r="EY272" s="11"/>
      <c r="EZ272" s="11"/>
      <c r="FA272" s="11"/>
      <c r="FB272" s="11"/>
      <c r="FC272" s="11"/>
      <c r="FD272" s="11"/>
      <c r="FE272" s="11"/>
      <c r="FF272" s="11"/>
      <c r="FG272" s="11"/>
      <c r="FH272" s="17">
        <f t="shared" si="100"/>
        <v>9246035.8200000003</v>
      </c>
      <c r="FI272" s="31">
        <f t="shared" si="101"/>
        <v>5</v>
      </c>
      <c r="FJ272" s="68">
        <f t="shared" si="102"/>
        <v>1849207.1640000001</v>
      </c>
    </row>
    <row r="273" spans="1:166" ht="25.5" x14ac:dyDescent="0.25">
      <c r="A273" s="248">
        <f>Distribución_Reactivos!A273</f>
        <v>271</v>
      </c>
      <c r="B273" s="248" t="str">
        <f>Distribución_Reactivos!B273</f>
        <v>L-Arginina</v>
      </c>
      <c r="C273" s="248" t="str">
        <f>Distribución_Reactivos!C273</f>
        <v>Merck</v>
      </c>
      <c r="D273" s="248" t="str">
        <f>Distribución_Reactivos!D273</f>
        <v>Frasco x 100 g</v>
      </c>
      <c r="E273" s="29">
        <v>1</v>
      </c>
      <c r="F273" s="212">
        <v>301121.56666666665</v>
      </c>
      <c r="G273" s="214">
        <v>192780</v>
      </c>
      <c r="H273" s="221">
        <v>261732.63996190479</v>
      </c>
      <c r="I273" s="221">
        <v>89250</v>
      </c>
      <c r="J273" s="221">
        <v>375722.66666666669</v>
      </c>
      <c r="K273" s="221">
        <v>0</v>
      </c>
      <c r="L273" s="247">
        <f>AVERAGE(F273,H273,J273)</f>
        <v>312858.95776507939</v>
      </c>
      <c r="M273" s="247">
        <f>AVERAGE(G273,I273)*E1</f>
        <v>145245.45000000001</v>
      </c>
      <c r="N273" s="217"/>
      <c r="O273" s="97"/>
      <c r="P273" s="97"/>
      <c r="Q273" s="115"/>
      <c r="R273" s="115"/>
      <c r="S273" s="53"/>
      <c r="T273" s="97"/>
      <c r="U273" s="101"/>
      <c r="V273" s="97"/>
      <c r="W273" s="115"/>
      <c r="X273" s="115"/>
      <c r="Y273" s="11"/>
      <c r="Z273" s="97"/>
      <c r="AA273" s="97"/>
      <c r="AB273" s="97"/>
      <c r="AC273" s="44"/>
      <c r="AD273" s="44"/>
      <c r="AE273" s="11"/>
      <c r="AF273" s="102">
        <v>410000</v>
      </c>
      <c r="AG273" s="125">
        <f>AF273*19%</f>
        <v>77900</v>
      </c>
      <c r="AH273" s="97">
        <f>+AF273+AG273</f>
        <v>487900</v>
      </c>
      <c r="AI273" s="11"/>
      <c r="AJ273" s="11"/>
      <c r="AK273" s="17"/>
      <c r="AL273" s="97">
        <v>136000</v>
      </c>
      <c r="AM273" s="97">
        <f>+AL273*0.19</f>
        <v>25840</v>
      </c>
      <c r="AN273" s="103">
        <f>+AL273+AM273</f>
        <v>161840</v>
      </c>
      <c r="AO273" s="248" t="s">
        <v>61</v>
      </c>
      <c r="AP273" s="17" t="s">
        <v>52</v>
      </c>
      <c r="AQ273" s="17"/>
      <c r="AR273" s="252">
        <v>331200</v>
      </c>
      <c r="AS273" s="97">
        <f>+AR273*0.19</f>
        <v>62928</v>
      </c>
      <c r="AT273" s="103">
        <f>+AR273+AS273</f>
        <v>394128</v>
      </c>
      <c r="AU273" s="52" t="s">
        <v>61</v>
      </c>
      <c r="AV273" s="52" t="s">
        <v>42</v>
      </c>
      <c r="AW273" s="30"/>
      <c r="AX273" s="100"/>
      <c r="AY273" s="100"/>
      <c r="AZ273" s="124"/>
      <c r="BA273" s="169"/>
      <c r="BB273" s="116"/>
      <c r="BC273" s="116"/>
      <c r="BD273" s="247"/>
      <c r="BE273" s="124"/>
      <c r="BF273" s="124"/>
      <c r="BG273" s="116"/>
      <c r="BH273" s="116"/>
      <c r="BI273" s="116"/>
      <c r="BJ273" s="124"/>
      <c r="BK273" s="124"/>
      <c r="BL273" s="124"/>
      <c r="BM273" s="116"/>
      <c r="BN273" s="116"/>
      <c r="BO273" s="116"/>
      <c r="BP273" s="124"/>
      <c r="BQ273" s="116"/>
      <c r="BR273" s="116"/>
      <c r="BS273" s="116"/>
      <c r="BT273" s="116"/>
      <c r="BU273" s="116"/>
      <c r="BV273" s="236">
        <v>435000</v>
      </c>
      <c r="BW273" s="125">
        <f t="shared" si="103"/>
        <v>82650</v>
      </c>
      <c r="BX273" s="97">
        <f t="shared" si="104"/>
        <v>517650</v>
      </c>
      <c r="BY273" s="237" t="s">
        <v>317</v>
      </c>
      <c r="BZ273" s="237" t="s">
        <v>93</v>
      </c>
      <c r="CA273" s="116"/>
      <c r="CB273" s="247"/>
      <c r="CC273" s="125"/>
      <c r="CD273" s="247"/>
      <c r="CE273" s="116"/>
      <c r="CF273" s="116"/>
      <c r="CG273" s="34"/>
      <c r="CH273" s="236">
        <v>443700</v>
      </c>
      <c r="CI273" s="238">
        <f t="shared" ref="CI273:CI278" si="105">+CH273*0.19</f>
        <v>84303</v>
      </c>
      <c r="CJ273" s="236">
        <f t="shared" ref="CJ273:CJ278" si="106">+CH273+CI273</f>
        <v>528003</v>
      </c>
      <c r="CK273" s="237" t="s">
        <v>317</v>
      </c>
      <c r="CL273" s="237" t="s">
        <v>93</v>
      </c>
      <c r="CM273" s="116"/>
      <c r="CN273" s="247"/>
      <c r="CO273" s="125"/>
      <c r="CP273" s="247"/>
      <c r="CQ273" s="116"/>
      <c r="CR273" s="116"/>
      <c r="CS273" s="116"/>
      <c r="CT273" s="247"/>
      <c r="CU273" s="125"/>
      <c r="CV273" s="247"/>
      <c r="CW273" s="116"/>
      <c r="CX273" s="116"/>
      <c r="CY273" s="116"/>
      <c r="CZ273" s="102"/>
      <c r="DA273" s="125"/>
      <c r="DB273" s="102"/>
      <c r="DC273" s="31"/>
      <c r="DD273" s="17"/>
      <c r="DE273" s="11"/>
      <c r="DF273" s="116"/>
      <c r="DG273" s="116"/>
      <c r="DH273" s="116"/>
      <c r="DI273" s="116"/>
      <c r="DJ273" s="116"/>
      <c r="DK273" s="116"/>
      <c r="DL273" s="116"/>
      <c r="DM273" s="116"/>
      <c r="DN273" s="116"/>
      <c r="DO273" s="116"/>
      <c r="DP273" s="116"/>
      <c r="DQ273" s="116"/>
      <c r="DR273" s="116"/>
      <c r="DS273" s="116"/>
      <c r="DT273" s="116"/>
      <c r="DU273" s="116"/>
      <c r="DV273" s="116"/>
      <c r="DW273" s="116"/>
      <c r="DX273" s="116"/>
      <c r="DY273" s="116"/>
      <c r="DZ273" s="116"/>
      <c r="EA273" s="116"/>
      <c r="EB273" s="116"/>
      <c r="EC273" s="116"/>
      <c r="ED273" s="116"/>
      <c r="EE273" s="116"/>
      <c r="EF273" s="116"/>
      <c r="EG273" s="116"/>
      <c r="EH273" s="116"/>
      <c r="EI273" s="116"/>
      <c r="EJ273" s="116"/>
      <c r="EK273" s="116"/>
      <c r="EL273" s="116"/>
      <c r="EM273" s="116"/>
      <c r="EN273" s="116"/>
      <c r="EO273" s="116"/>
      <c r="EP273" s="116"/>
      <c r="EQ273" s="116"/>
      <c r="ER273" s="116"/>
      <c r="ES273" s="116"/>
      <c r="ET273" s="11"/>
      <c r="EU273" s="11"/>
      <c r="EV273" s="11"/>
      <c r="EW273" s="11"/>
      <c r="EX273" s="11"/>
      <c r="EY273" s="11"/>
      <c r="EZ273" s="11"/>
      <c r="FA273" s="11"/>
      <c r="FB273" s="11"/>
      <c r="FC273" s="11"/>
      <c r="FD273" s="11"/>
      <c r="FE273" s="11"/>
      <c r="FF273" s="11"/>
      <c r="FG273" s="11"/>
      <c r="FH273" s="17">
        <f t="shared" si="100"/>
        <v>2234766.4500000002</v>
      </c>
      <c r="FI273" s="31">
        <f t="shared" si="101"/>
        <v>6</v>
      </c>
      <c r="FJ273" s="68">
        <f t="shared" si="102"/>
        <v>372461.07500000001</v>
      </c>
    </row>
    <row r="274" spans="1:166" ht="25.5" x14ac:dyDescent="0.25">
      <c r="A274" s="248">
        <f>Distribución_Reactivos!A274</f>
        <v>272</v>
      </c>
      <c r="B274" s="248" t="str">
        <f>Distribución_Reactivos!B274</f>
        <v xml:space="preserve">L-Asparagina monohidratada </v>
      </c>
      <c r="C274" s="248" t="str">
        <f>Distribución_Reactivos!C274</f>
        <v>Merck o equivalentes</v>
      </c>
      <c r="D274" s="248" t="str">
        <f>Distribución_Reactivos!D274</f>
        <v>Frasco x 100 g</v>
      </c>
      <c r="E274" s="29">
        <v>1</v>
      </c>
      <c r="F274" s="212">
        <v>354620</v>
      </c>
      <c r="G274" s="214">
        <v>273700</v>
      </c>
      <c r="H274" s="221">
        <v>281405.25</v>
      </c>
      <c r="I274" s="221">
        <v>0</v>
      </c>
      <c r="J274" s="221">
        <v>0</v>
      </c>
      <c r="K274" s="221">
        <v>0</v>
      </c>
      <c r="L274" s="247">
        <f>AVERAGE(F274,H274)</f>
        <v>318012.625</v>
      </c>
      <c r="M274" s="247">
        <f>G274*E1</f>
        <v>281911</v>
      </c>
      <c r="N274" s="217"/>
      <c r="O274" s="97"/>
      <c r="P274" s="97"/>
      <c r="Q274" s="115"/>
      <c r="R274" s="115"/>
      <c r="S274" s="53"/>
      <c r="T274" s="97"/>
      <c r="U274" s="97"/>
      <c r="V274" s="97"/>
      <c r="W274" s="115"/>
      <c r="X274" s="115"/>
      <c r="Y274" s="11"/>
      <c r="Z274" s="97"/>
      <c r="AA274" s="97"/>
      <c r="AB274" s="97"/>
      <c r="AC274" s="44"/>
      <c r="AD274" s="44"/>
      <c r="AE274" s="11"/>
      <c r="AF274" s="102">
        <v>820000</v>
      </c>
      <c r="AG274" s="125">
        <f>AF274*19%</f>
        <v>155800</v>
      </c>
      <c r="AH274" s="97">
        <f>+AF274+AG274</f>
        <v>975800</v>
      </c>
      <c r="AI274" s="11"/>
      <c r="AJ274" s="11"/>
      <c r="AK274" s="17"/>
      <c r="AL274" s="97">
        <v>235000</v>
      </c>
      <c r="AM274" s="97">
        <f>+AL274*0.19</f>
        <v>44650</v>
      </c>
      <c r="AN274" s="103">
        <f>+AL274+AM274</f>
        <v>279650</v>
      </c>
      <c r="AO274" s="248" t="s">
        <v>61</v>
      </c>
      <c r="AP274" s="17" t="s">
        <v>52</v>
      </c>
      <c r="AQ274" s="17"/>
      <c r="AR274" s="252">
        <v>228243</v>
      </c>
      <c r="AS274" s="97">
        <f>+AR274*0.19</f>
        <v>43366.17</v>
      </c>
      <c r="AT274" s="103">
        <f>+AR274+AS274</f>
        <v>271609.17</v>
      </c>
      <c r="AU274" s="52" t="s">
        <v>61</v>
      </c>
      <c r="AV274" s="52" t="s">
        <v>42</v>
      </c>
      <c r="AW274" s="30"/>
      <c r="AX274" s="100"/>
      <c r="AY274" s="174"/>
      <c r="AZ274" s="124"/>
      <c r="BA274" s="169"/>
      <c r="BB274" s="116"/>
      <c r="BC274" s="116"/>
      <c r="BD274" s="247"/>
      <c r="BE274" s="124"/>
      <c r="BF274" s="124"/>
      <c r="BG274" s="116"/>
      <c r="BH274" s="116"/>
      <c r="BI274" s="116"/>
      <c r="BJ274" s="124"/>
      <c r="BK274" s="124"/>
      <c r="BL274" s="124"/>
      <c r="BM274" s="116"/>
      <c r="BN274" s="116"/>
      <c r="BO274" s="116"/>
      <c r="BP274" s="124"/>
      <c r="BQ274" s="116"/>
      <c r="BR274" s="116"/>
      <c r="BS274" s="116"/>
      <c r="BT274" s="116"/>
      <c r="BU274" s="116"/>
      <c r="BV274" s="236">
        <v>610200</v>
      </c>
      <c r="BW274" s="125">
        <f t="shared" si="103"/>
        <v>115938</v>
      </c>
      <c r="BX274" s="97">
        <f t="shared" si="104"/>
        <v>726138</v>
      </c>
      <c r="BY274" s="237" t="s">
        <v>317</v>
      </c>
      <c r="BZ274" s="237" t="s">
        <v>93</v>
      </c>
      <c r="CA274" s="116"/>
      <c r="CB274" s="247"/>
      <c r="CC274" s="125"/>
      <c r="CD274" s="247"/>
      <c r="CE274" s="116"/>
      <c r="CF274" s="116"/>
      <c r="CG274" s="34"/>
      <c r="CH274" s="236">
        <v>652914</v>
      </c>
      <c r="CI274" s="238">
        <f t="shared" si="105"/>
        <v>124053.66</v>
      </c>
      <c r="CJ274" s="236">
        <f t="shared" si="106"/>
        <v>776967.66</v>
      </c>
      <c r="CK274" s="237" t="s">
        <v>317</v>
      </c>
      <c r="CL274" s="237" t="s">
        <v>93</v>
      </c>
      <c r="CM274" s="116"/>
      <c r="CN274" s="247"/>
      <c r="CO274" s="125"/>
      <c r="CP274" s="247"/>
      <c r="CQ274" s="116"/>
      <c r="CR274" s="116"/>
      <c r="CS274" s="116"/>
      <c r="CT274" s="247"/>
      <c r="CU274" s="125"/>
      <c r="CV274" s="247"/>
      <c r="CW274" s="116"/>
      <c r="CX274" s="116"/>
      <c r="CY274" s="116"/>
      <c r="CZ274" s="102"/>
      <c r="DA274" s="125"/>
      <c r="DB274" s="102"/>
      <c r="DC274" s="31"/>
      <c r="DD274" s="17"/>
      <c r="DE274" s="11"/>
      <c r="DF274" s="116"/>
      <c r="DG274" s="116"/>
      <c r="DH274" s="116"/>
      <c r="DI274" s="116"/>
      <c r="DJ274" s="116"/>
      <c r="DK274" s="116"/>
      <c r="DL274" s="116"/>
      <c r="DM274" s="116"/>
      <c r="DN274" s="116"/>
      <c r="DO274" s="116"/>
      <c r="DP274" s="116"/>
      <c r="DQ274" s="116"/>
      <c r="DR274" s="116"/>
      <c r="DS274" s="116"/>
      <c r="DT274" s="116"/>
      <c r="DU274" s="116"/>
      <c r="DV274" s="116"/>
      <c r="DW274" s="116"/>
      <c r="DX274" s="116"/>
      <c r="DY274" s="116"/>
      <c r="DZ274" s="116"/>
      <c r="EA274" s="116"/>
      <c r="EB274" s="116"/>
      <c r="EC274" s="116"/>
      <c r="ED274" s="116"/>
      <c r="EE274" s="116"/>
      <c r="EF274" s="116"/>
      <c r="EG274" s="116"/>
      <c r="EH274" s="116"/>
      <c r="EI274" s="116"/>
      <c r="EJ274" s="116"/>
      <c r="EK274" s="116"/>
      <c r="EL274" s="116"/>
      <c r="EM274" s="116"/>
      <c r="EN274" s="116"/>
      <c r="EO274" s="116"/>
      <c r="EP274" s="116"/>
      <c r="EQ274" s="116"/>
      <c r="ER274" s="116"/>
      <c r="ES274" s="116"/>
      <c r="ET274" s="11"/>
      <c r="EU274" s="11"/>
      <c r="EV274" s="11"/>
      <c r="EW274" s="11"/>
      <c r="EX274" s="11"/>
      <c r="EY274" s="11"/>
      <c r="EZ274" s="11"/>
      <c r="FA274" s="11"/>
      <c r="FB274" s="11"/>
      <c r="FC274" s="11"/>
      <c r="FD274" s="11"/>
      <c r="FE274" s="11"/>
      <c r="FF274" s="11"/>
      <c r="FG274" s="11"/>
      <c r="FH274" s="17">
        <f t="shared" si="100"/>
        <v>3312075.83</v>
      </c>
      <c r="FI274" s="31">
        <f t="shared" si="101"/>
        <v>6</v>
      </c>
      <c r="FJ274" s="68">
        <f t="shared" si="102"/>
        <v>552012.63833333331</v>
      </c>
    </row>
    <row r="275" spans="1:166" ht="27" x14ac:dyDescent="0.25">
      <c r="A275" s="248">
        <f>Distribución_Reactivos!A275</f>
        <v>273</v>
      </c>
      <c r="B275" s="248" t="str">
        <f>Distribución_Reactivos!B275</f>
        <v>L-hidrocloruro cisteinaC1276-10G</v>
      </c>
      <c r="C275" s="248" t="str">
        <f>Distribución_Reactivos!C275</f>
        <v>SIGMA ALDRICH</v>
      </c>
      <c r="D275" s="248" t="str">
        <f>Distribución_Reactivos!D275</f>
        <v>Frasco x 10 g</v>
      </c>
      <c r="E275" s="29">
        <v>1</v>
      </c>
      <c r="F275" s="212">
        <v>0</v>
      </c>
      <c r="G275" s="214">
        <v>0</v>
      </c>
      <c r="H275" s="221">
        <v>0</v>
      </c>
      <c r="I275" s="221">
        <v>0</v>
      </c>
      <c r="J275" s="221">
        <v>619990</v>
      </c>
      <c r="K275" s="221">
        <v>0</v>
      </c>
      <c r="L275" s="247">
        <f>J275</f>
        <v>619990</v>
      </c>
      <c r="M275" s="247"/>
      <c r="N275" s="217"/>
      <c r="O275" s="97"/>
      <c r="P275" s="97"/>
      <c r="Q275" s="115"/>
      <c r="R275" s="115"/>
      <c r="S275" s="53"/>
      <c r="T275" s="97"/>
      <c r="U275" s="97"/>
      <c r="V275" s="97"/>
      <c r="W275" s="115"/>
      <c r="X275" s="115"/>
      <c r="Y275" s="11"/>
      <c r="Z275" s="97"/>
      <c r="AA275" s="97"/>
      <c r="AB275" s="97"/>
      <c r="AC275" s="44"/>
      <c r="AD275" s="44"/>
      <c r="AE275" s="11"/>
      <c r="AF275" s="102">
        <v>695000</v>
      </c>
      <c r="AG275" s="125">
        <f>AF275*19%</f>
        <v>132050</v>
      </c>
      <c r="AH275" s="97">
        <f>+AF275+AG275</f>
        <v>827050</v>
      </c>
      <c r="AI275" s="11"/>
      <c r="AJ275" s="11"/>
      <c r="AK275" s="17"/>
      <c r="AL275" s="97"/>
      <c r="AM275" s="97"/>
      <c r="AN275" s="127"/>
      <c r="AO275" s="248"/>
      <c r="AP275" s="17"/>
      <c r="AQ275" s="17"/>
      <c r="AR275" s="252"/>
      <c r="AS275" s="138"/>
      <c r="AT275" s="139"/>
      <c r="AU275" s="52"/>
      <c r="AV275" s="52"/>
      <c r="AW275" s="30"/>
      <c r="AX275" s="100"/>
      <c r="AY275" s="100"/>
      <c r="AZ275" s="124"/>
      <c r="BA275" s="169"/>
      <c r="BB275" s="116"/>
      <c r="BC275" s="116"/>
      <c r="BD275" s="247"/>
      <c r="BE275" s="124"/>
      <c r="BF275" s="124"/>
      <c r="BG275" s="116"/>
      <c r="BH275" s="116"/>
      <c r="BI275" s="116"/>
      <c r="BJ275" s="124"/>
      <c r="BK275" s="124"/>
      <c r="BL275" s="124"/>
      <c r="BM275" s="116"/>
      <c r="BN275" s="116"/>
      <c r="BO275" s="116"/>
      <c r="BP275" s="124"/>
      <c r="BQ275" s="116"/>
      <c r="BR275" s="116"/>
      <c r="BS275" s="116"/>
      <c r="BT275" s="116"/>
      <c r="BU275" s="116"/>
      <c r="BV275" s="236">
        <v>483000</v>
      </c>
      <c r="BW275" s="125">
        <f t="shared" si="103"/>
        <v>91770</v>
      </c>
      <c r="BX275" s="97">
        <f t="shared" si="104"/>
        <v>574770</v>
      </c>
      <c r="BY275" s="237" t="s">
        <v>322</v>
      </c>
      <c r="BZ275" s="237" t="s">
        <v>228</v>
      </c>
      <c r="CA275" s="116"/>
      <c r="CB275" s="247"/>
      <c r="CC275" s="125"/>
      <c r="CD275" s="247"/>
      <c r="CE275" s="116"/>
      <c r="CF275" s="116"/>
      <c r="CG275" s="34"/>
      <c r="CH275" s="236">
        <v>507150</v>
      </c>
      <c r="CI275" s="238">
        <f t="shared" si="105"/>
        <v>96358.5</v>
      </c>
      <c r="CJ275" s="236">
        <f t="shared" si="106"/>
        <v>603508.5</v>
      </c>
      <c r="CK275" s="237" t="s">
        <v>322</v>
      </c>
      <c r="CL275" s="237" t="s">
        <v>228</v>
      </c>
      <c r="CM275" s="116"/>
      <c r="CN275" s="247"/>
      <c r="CO275" s="125"/>
      <c r="CP275" s="247"/>
      <c r="CQ275" s="116"/>
      <c r="CR275" s="116"/>
      <c r="CS275" s="116"/>
      <c r="CT275" s="247"/>
      <c r="CU275" s="125"/>
      <c r="CV275" s="247"/>
      <c r="CW275" s="116"/>
      <c r="CX275" s="116"/>
      <c r="CY275" s="116"/>
      <c r="CZ275" s="102"/>
      <c r="DA275" s="125"/>
      <c r="DB275" s="102"/>
      <c r="DC275" s="31"/>
      <c r="DD275" s="17"/>
      <c r="DE275" s="11"/>
      <c r="DF275" s="116"/>
      <c r="DG275" s="116"/>
      <c r="DH275" s="116"/>
      <c r="DI275" s="116"/>
      <c r="DJ275" s="116"/>
      <c r="DK275" s="116"/>
      <c r="DL275" s="116"/>
      <c r="DM275" s="116"/>
      <c r="DN275" s="116"/>
      <c r="DO275" s="116"/>
      <c r="DP275" s="116"/>
      <c r="DQ275" s="116"/>
      <c r="DR275" s="116"/>
      <c r="DS275" s="116"/>
      <c r="DT275" s="116"/>
      <c r="DU275" s="116"/>
      <c r="DV275" s="116"/>
      <c r="DW275" s="116"/>
      <c r="DX275" s="116"/>
      <c r="DY275" s="116"/>
      <c r="DZ275" s="116"/>
      <c r="EA275" s="116"/>
      <c r="EB275" s="116"/>
      <c r="EC275" s="116"/>
      <c r="ED275" s="116"/>
      <c r="EE275" s="116"/>
      <c r="EF275" s="116"/>
      <c r="EG275" s="116"/>
      <c r="EH275" s="116"/>
      <c r="EI275" s="116"/>
      <c r="EJ275" s="116"/>
      <c r="EK275" s="116"/>
      <c r="EL275" s="116"/>
      <c r="EM275" s="116"/>
      <c r="EN275" s="116"/>
      <c r="EO275" s="116"/>
      <c r="EP275" s="116"/>
      <c r="EQ275" s="116"/>
      <c r="ER275" s="116"/>
      <c r="ES275" s="116"/>
      <c r="ET275" s="11"/>
      <c r="EU275" s="11"/>
      <c r="EV275" s="11"/>
      <c r="EW275" s="11"/>
      <c r="EX275" s="11"/>
      <c r="EY275" s="11"/>
      <c r="EZ275" s="11"/>
      <c r="FA275" s="11"/>
      <c r="FB275" s="11"/>
      <c r="FC275" s="11"/>
      <c r="FD275" s="11"/>
      <c r="FE275" s="11"/>
      <c r="FF275" s="11"/>
      <c r="FG275" s="11"/>
      <c r="FH275" s="17">
        <f t="shared" si="100"/>
        <v>2005328.5</v>
      </c>
      <c r="FI275" s="31">
        <f t="shared" si="101"/>
        <v>3</v>
      </c>
      <c r="FJ275" s="68">
        <f t="shared" si="102"/>
        <v>668442.83333333337</v>
      </c>
    </row>
    <row r="276" spans="1:166" ht="25.5" x14ac:dyDescent="0.25">
      <c r="A276" s="248">
        <f>Distribución_Reactivos!A276</f>
        <v>274</v>
      </c>
      <c r="B276" s="248" t="str">
        <f>Distribución_Reactivos!B276</f>
        <v>Light Green</v>
      </c>
      <c r="C276" s="248" t="str">
        <f>Distribución_Reactivos!C276</f>
        <v>Sigma Aldrich / Merck / JT Baker</v>
      </c>
      <c r="D276" s="248" t="str">
        <f>Distribución_Reactivos!D276</f>
        <v>Frasco X 25 g</v>
      </c>
      <c r="E276" s="29">
        <v>1</v>
      </c>
      <c r="F276" s="212">
        <v>0</v>
      </c>
      <c r="G276" s="214">
        <v>0</v>
      </c>
      <c r="H276" s="221">
        <v>639664.66666666663</v>
      </c>
      <c r="I276" s="221">
        <v>0</v>
      </c>
      <c r="J276" s="221">
        <v>687939</v>
      </c>
      <c r="K276" s="221">
        <v>0</v>
      </c>
      <c r="L276" s="247">
        <f>AVERAGE(H276,J276)</f>
        <v>663801.83333333326</v>
      </c>
      <c r="M276" s="247"/>
      <c r="N276" s="217"/>
      <c r="O276" s="97"/>
      <c r="P276" s="97"/>
      <c r="Q276" s="115"/>
      <c r="R276" s="115"/>
      <c r="S276" s="53"/>
      <c r="T276" s="97"/>
      <c r="U276" s="97"/>
      <c r="V276" s="97"/>
      <c r="W276" s="115"/>
      <c r="X276" s="115"/>
      <c r="Y276" s="11"/>
      <c r="Z276" s="97"/>
      <c r="AA276" s="97"/>
      <c r="AB276" s="97"/>
      <c r="AC276" s="44"/>
      <c r="AD276" s="44"/>
      <c r="AE276" s="11"/>
      <c r="AF276" s="102"/>
      <c r="AG276" s="125"/>
      <c r="AH276" s="97"/>
      <c r="AI276" s="11"/>
      <c r="AJ276" s="11"/>
      <c r="AK276" s="17"/>
      <c r="AL276" s="97"/>
      <c r="AM276" s="97"/>
      <c r="AN276" s="103"/>
      <c r="AO276" s="248"/>
      <c r="AP276" s="17"/>
      <c r="AQ276" s="17"/>
      <c r="AR276" s="252">
        <v>727200</v>
      </c>
      <c r="AS276" s="97">
        <f>+AR276*0.19</f>
        <v>138168</v>
      </c>
      <c r="AT276" s="103">
        <f t="shared" ref="AT276:AT281" si="107">+AR276+AS276</f>
        <v>865368</v>
      </c>
      <c r="AU276" s="52" t="s">
        <v>41</v>
      </c>
      <c r="AV276" s="52" t="s">
        <v>42</v>
      </c>
      <c r="AW276" s="30"/>
      <c r="AX276" s="100"/>
      <c r="AY276" s="100"/>
      <c r="AZ276" s="124"/>
      <c r="BA276" s="169"/>
      <c r="BB276" s="116"/>
      <c r="BC276" s="116"/>
      <c r="BD276" s="247"/>
      <c r="BE276" s="124"/>
      <c r="BF276" s="124"/>
      <c r="BG276" s="116"/>
      <c r="BH276" s="116"/>
      <c r="BI276" s="116"/>
      <c r="BJ276" s="124"/>
      <c r="BK276" s="124"/>
      <c r="BL276" s="124"/>
      <c r="BM276" s="116"/>
      <c r="BN276" s="116"/>
      <c r="BO276" s="116"/>
      <c r="BP276" s="124"/>
      <c r="BQ276" s="116"/>
      <c r="BR276" s="116"/>
      <c r="BS276" s="116"/>
      <c r="BT276" s="116"/>
      <c r="BU276" s="116"/>
      <c r="BV276" s="236">
        <v>953000</v>
      </c>
      <c r="BW276" s="125">
        <f t="shared" si="103"/>
        <v>181070</v>
      </c>
      <c r="BX276" s="97">
        <f t="shared" si="104"/>
        <v>1134070</v>
      </c>
      <c r="BY276" s="237" t="s">
        <v>323</v>
      </c>
      <c r="BZ276" s="237" t="s">
        <v>93</v>
      </c>
      <c r="CA276" s="116"/>
      <c r="CB276" s="247"/>
      <c r="CC276" s="125"/>
      <c r="CD276" s="247"/>
      <c r="CE276" s="116"/>
      <c r="CF276" s="116"/>
      <c r="CG276" s="34"/>
      <c r="CH276" s="241">
        <v>1010180</v>
      </c>
      <c r="CI276" s="238">
        <f t="shared" si="105"/>
        <v>191934.2</v>
      </c>
      <c r="CJ276" s="236">
        <f t="shared" si="106"/>
        <v>1202114.2</v>
      </c>
      <c r="CK276" s="237" t="s">
        <v>323</v>
      </c>
      <c r="CL276" s="237" t="s">
        <v>93</v>
      </c>
      <c r="CM276" s="116"/>
      <c r="CN276" s="247"/>
      <c r="CO276" s="125"/>
      <c r="CP276" s="247"/>
      <c r="CQ276" s="116"/>
      <c r="CR276" s="116"/>
      <c r="CS276" s="116"/>
      <c r="CT276" s="247"/>
      <c r="CU276" s="125"/>
      <c r="CV276" s="247"/>
      <c r="CW276" s="116"/>
      <c r="CX276" s="116"/>
      <c r="CY276" s="116"/>
      <c r="CZ276" s="102"/>
      <c r="DA276" s="125"/>
      <c r="DB276" s="102"/>
      <c r="DC276" s="31"/>
      <c r="DD276" s="17"/>
      <c r="DE276" s="11"/>
      <c r="DF276" s="116"/>
      <c r="DG276" s="116"/>
      <c r="DH276" s="116"/>
      <c r="DI276" s="116"/>
      <c r="DJ276" s="116"/>
      <c r="DK276" s="116"/>
      <c r="DL276" s="116"/>
      <c r="DM276" s="116"/>
      <c r="DN276" s="116"/>
      <c r="DO276" s="116"/>
      <c r="DP276" s="116"/>
      <c r="DQ276" s="116"/>
      <c r="DR276" s="116"/>
      <c r="DS276" s="116"/>
      <c r="DT276" s="116"/>
      <c r="DU276" s="116"/>
      <c r="DV276" s="116"/>
      <c r="DW276" s="116"/>
      <c r="DX276" s="116"/>
      <c r="DY276" s="116"/>
      <c r="DZ276" s="116"/>
      <c r="EA276" s="116"/>
      <c r="EB276" s="116"/>
      <c r="EC276" s="116"/>
      <c r="ED276" s="116"/>
      <c r="EE276" s="116"/>
      <c r="EF276" s="116"/>
      <c r="EG276" s="116"/>
      <c r="EH276" s="116"/>
      <c r="EI276" s="116"/>
      <c r="EJ276" s="116"/>
      <c r="EK276" s="116"/>
      <c r="EL276" s="116"/>
      <c r="EM276" s="116"/>
      <c r="EN276" s="116"/>
      <c r="EO276" s="116"/>
      <c r="EP276" s="116"/>
      <c r="EQ276" s="116"/>
      <c r="ER276" s="116"/>
      <c r="ES276" s="116"/>
      <c r="ET276" s="11"/>
      <c r="EU276" s="11"/>
      <c r="EV276" s="11"/>
      <c r="EW276" s="11"/>
      <c r="EX276" s="11"/>
      <c r="EY276" s="11"/>
      <c r="EZ276" s="11"/>
      <c r="FA276" s="11"/>
      <c r="FB276" s="11"/>
      <c r="FC276" s="11"/>
      <c r="FD276" s="11"/>
      <c r="FE276" s="11"/>
      <c r="FF276" s="11"/>
      <c r="FG276" s="11"/>
      <c r="FH276" s="17">
        <f t="shared" si="100"/>
        <v>3201552.2</v>
      </c>
      <c r="FI276" s="31">
        <f t="shared" si="101"/>
        <v>3</v>
      </c>
      <c r="FJ276" s="68">
        <f t="shared" si="102"/>
        <v>1067184.0666666667</v>
      </c>
    </row>
    <row r="277" spans="1:166" ht="25.5" x14ac:dyDescent="0.25">
      <c r="A277" s="248">
        <f>Distribución_Reactivos!A277</f>
        <v>275</v>
      </c>
      <c r="B277" s="248" t="str">
        <f>Distribución_Reactivos!B277</f>
        <v>L-tirosina</v>
      </c>
      <c r="C277" s="248" t="str">
        <f>Distribución_Reactivos!C277</f>
        <v>Merck</v>
      </c>
      <c r="D277" s="248" t="str">
        <f>Distribución_Reactivos!D277</f>
        <v>Frasco x 100 g</v>
      </c>
      <c r="E277" s="29">
        <v>1</v>
      </c>
      <c r="F277" s="212">
        <v>556602.66666666663</v>
      </c>
      <c r="G277" s="214">
        <v>548233</v>
      </c>
      <c r="H277" s="221">
        <v>410585.02302222216</v>
      </c>
      <c r="I277" s="221">
        <v>410550</v>
      </c>
      <c r="J277" s="221">
        <v>415913.32999999996</v>
      </c>
      <c r="K277" s="221">
        <v>0</v>
      </c>
      <c r="L277" s="247">
        <f>AVERAGE(F277,H277,J277)</f>
        <v>461033.67322962964</v>
      </c>
      <c r="M277" s="247">
        <f>AVERAGE(G277,I277)*E1</f>
        <v>493773.245</v>
      </c>
      <c r="N277" s="217"/>
      <c r="O277" s="97"/>
      <c r="P277" s="97"/>
      <c r="Q277" s="115"/>
      <c r="R277" s="115"/>
      <c r="S277" s="53"/>
      <c r="T277" s="97"/>
      <c r="U277" s="97"/>
      <c r="V277" s="97"/>
      <c r="W277" s="115"/>
      <c r="X277" s="115"/>
      <c r="Y277" s="11"/>
      <c r="Z277" s="97"/>
      <c r="AA277" s="97"/>
      <c r="AB277" s="97"/>
      <c r="AC277" s="44"/>
      <c r="AD277" s="44"/>
      <c r="AE277" s="11"/>
      <c r="AF277" s="102">
        <v>525000</v>
      </c>
      <c r="AG277" s="125">
        <f>AF277*19%</f>
        <v>99750</v>
      </c>
      <c r="AH277" s="97">
        <f>+AF277+AG277</f>
        <v>624750</v>
      </c>
      <c r="AI277" s="11"/>
      <c r="AJ277" s="11"/>
      <c r="AK277" s="17"/>
      <c r="AL277" s="97">
        <v>320000</v>
      </c>
      <c r="AM277" s="97">
        <f>+AL277*0.19</f>
        <v>60800</v>
      </c>
      <c r="AN277" s="103">
        <f>+AL277+AM277</f>
        <v>380800</v>
      </c>
      <c r="AO277" s="248" t="s">
        <v>220</v>
      </c>
      <c r="AP277" s="17" t="s">
        <v>351</v>
      </c>
      <c r="AQ277" s="17"/>
      <c r="AR277" s="252">
        <v>172800</v>
      </c>
      <c r="AS277" s="97">
        <f>+AR277*0.19</f>
        <v>32832</v>
      </c>
      <c r="AT277" s="103">
        <f t="shared" si="107"/>
        <v>205632</v>
      </c>
      <c r="AU277" s="52" t="s">
        <v>61</v>
      </c>
      <c r="AV277" s="52" t="s">
        <v>42</v>
      </c>
      <c r="AW277" s="30"/>
      <c r="AX277" s="100"/>
      <c r="AY277" s="172"/>
      <c r="AZ277" s="124"/>
      <c r="BA277" s="169"/>
      <c r="BB277" s="116"/>
      <c r="BC277" s="116"/>
      <c r="BD277" s="247"/>
      <c r="BE277" s="124"/>
      <c r="BF277" s="124"/>
      <c r="BG277" s="116"/>
      <c r="BH277" s="116"/>
      <c r="BI277" s="116"/>
      <c r="BJ277" s="124"/>
      <c r="BK277" s="124"/>
      <c r="BL277" s="124"/>
      <c r="BM277" s="116"/>
      <c r="BN277" s="116"/>
      <c r="BO277" s="116"/>
      <c r="BP277" s="124"/>
      <c r="BQ277" s="116"/>
      <c r="BR277" s="116"/>
      <c r="BS277" s="116"/>
      <c r="BT277" s="116"/>
      <c r="BU277" s="116"/>
      <c r="BV277" s="236">
        <v>662500</v>
      </c>
      <c r="BW277" s="125">
        <f t="shared" si="103"/>
        <v>125875</v>
      </c>
      <c r="BX277" s="97">
        <f t="shared" si="104"/>
        <v>788375</v>
      </c>
      <c r="BY277" s="237" t="s">
        <v>317</v>
      </c>
      <c r="BZ277" s="237" t="s">
        <v>93</v>
      </c>
      <c r="CA277" s="116"/>
      <c r="CB277" s="247"/>
      <c r="CC277" s="125"/>
      <c r="CD277" s="247"/>
      <c r="CE277" s="116"/>
      <c r="CF277" s="116"/>
      <c r="CG277" s="34"/>
      <c r="CH277" s="236">
        <v>689000</v>
      </c>
      <c r="CI277" s="238">
        <f t="shared" si="105"/>
        <v>130910</v>
      </c>
      <c r="CJ277" s="236">
        <f t="shared" si="106"/>
        <v>819910</v>
      </c>
      <c r="CK277" s="237" t="s">
        <v>317</v>
      </c>
      <c r="CL277" s="237" t="s">
        <v>93</v>
      </c>
      <c r="CM277" s="116"/>
      <c r="CN277" s="247"/>
      <c r="CO277" s="125"/>
      <c r="CP277" s="247"/>
      <c r="CQ277" s="116"/>
      <c r="CR277" s="116"/>
      <c r="CS277" s="116"/>
      <c r="CT277" s="247"/>
      <c r="CU277" s="125"/>
      <c r="CV277" s="247"/>
      <c r="CW277" s="116"/>
      <c r="CX277" s="116"/>
      <c r="CY277" s="116"/>
      <c r="CZ277" s="102"/>
      <c r="DA277" s="125"/>
      <c r="DB277" s="102"/>
      <c r="DC277" s="31"/>
      <c r="DD277" s="17"/>
      <c r="DE277" s="11"/>
      <c r="DF277" s="116"/>
      <c r="DG277" s="116"/>
      <c r="DH277" s="116"/>
      <c r="DI277" s="116"/>
      <c r="DJ277" s="116"/>
      <c r="DK277" s="116"/>
      <c r="DL277" s="116"/>
      <c r="DM277" s="116"/>
      <c r="DN277" s="116"/>
      <c r="DO277" s="116"/>
      <c r="DP277" s="116"/>
      <c r="DQ277" s="116"/>
      <c r="DR277" s="116"/>
      <c r="DS277" s="116"/>
      <c r="DT277" s="116"/>
      <c r="DU277" s="116"/>
      <c r="DV277" s="116"/>
      <c r="DW277" s="116"/>
      <c r="DX277" s="116"/>
      <c r="DY277" s="116"/>
      <c r="DZ277" s="116"/>
      <c r="EA277" s="116"/>
      <c r="EB277" s="116"/>
      <c r="EC277" s="116"/>
      <c r="ED277" s="116"/>
      <c r="EE277" s="116"/>
      <c r="EF277" s="116"/>
      <c r="EG277" s="116"/>
      <c r="EH277" s="116"/>
      <c r="EI277" s="116"/>
      <c r="EJ277" s="116"/>
      <c r="EK277" s="116"/>
      <c r="EL277" s="116"/>
      <c r="EM277" s="116"/>
      <c r="EN277" s="116"/>
      <c r="EO277" s="116"/>
      <c r="EP277" s="116"/>
      <c r="EQ277" s="116"/>
      <c r="ER277" s="116"/>
      <c r="ES277" s="116"/>
      <c r="ET277" s="11"/>
      <c r="EU277" s="11"/>
      <c r="EV277" s="11"/>
      <c r="EW277" s="11"/>
      <c r="EX277" s="11"/>
      <c r="EY277" s="11"/>
      <c r="EZ277" s="11"/>
      <c r="FA277" s="11"/>
      <c r="FB277" s="11"/>
      <c r="FC277" s="11"/>
      <c r="FD277" s="11"/>
      <c r="FE277" s="11"/>
      <c r="FF277" s="11"/>
      <c r="FG277" s="11"/>
      <c r="FH277" s="17">
        <f t="shared" si="100"/>
        <v>3313240.2450000001</v>
      </c>
      <c r="FI277" s="31">
        <f t="shared" si="101"/>
        <v>6</v>
      </c>
      <c r="FJ277" s="68">
        <f t="shared" si="102"/>
        <v>552206.70750000002</v>
      </c>
    </row>
    <row r="278" spans="1:166" ht="27" x14ac:dyDescent="0.25">
      <c r="A278" s="248">
        <f>Distribución_Reactivos!A278</f>
        <v>276</v>
      </c>
      <c r="B278" s="248" t="str">
        <f>Distribución_Reactivos!B278</f>
        <v>L-Triptofano reactivo analítico</v>
      </c>
      <c r="C278" s="248" t="str">
        <f>Distribución_Reactivos!C278</f>
        <v>Sigma</v>
      </c>
      <c r="D278" s="248" t="str">
        <f>Distribución_Reactivos!D278</f>
        <v>Frasco X 25 g</v>
      </c>
      <c r="E278" s="29">
        <v>1</v>
      </c>
      <c r="F278" s="212">
        <v>391926.5</v>
      </c>
      <c r="G278" s="214">
        <v>378182</v>
      </c>
      <c r="H278" s="221">
        <v>222350.71578999999</v>
      </c>
      <c r="I278" s="221">
        <v>222292</v>
      </c>
      <c r="J278" s="221">
        <v>0</v>
      </c>
      <c r="K278" s="221">
        <v>0</v>
      </c>
      <c r="L278" s="247">
        <f>AVERAGE(F278,H278)</f>
        <v>307138.60789500002</v>
      </c>
      <c r="M278" s="247">
        <f>AVERAGE(G278,I278)*E1</f>
        <v>309244.11</v>
      </c>
      <c r="N278" s="217"/>
      <c r="O278" s="97"/>
      <c r="P278" s="97"/>
      <c r="Q278" s="115"/>
      <c r="R278" s="115"/>
      <c r="S278" s="53"/>
      <c r="T278" s="97"/>
      <c r="U278" s="101"/>
      <c r="V278" s="97"/>
      <c r="W278" s="115"/>
      <c r="X278" s="115"/>
      <c r="Y278" s="11"/>
      <c r="Z278" s="97"/>
      <c r="AA278" s="97"/>
      <c r="AB278" s="97"/>
      <c r="AC278" s="44"/>
      <c r="AD278" s="44"/>
      <c r="AE278" s="11"/>
      <c r="AF278" s="102"/>
      <c r="AG278" s="125"/>
      <c r="AH278" s="97"/>
      <c r="AI278" s="11"/>
      <c r="AJ278" s="11"/>
      <c r="AK278" s="17"/>
      <c r="AL278" s="97">
        <v>205000</v>
      </c>
      <c r="AM278" s="97">
        <f>+AL278*0.19</f>
        <v>38950</v>
      </c>
      <c r="AN278" s="103">
        <f>+AL278+AM278</f>
        <v>243950</v>
      </c>
      <c r="AO278" s="248" t="s">
        <v>41</v>
      </c>
      <c r="AP278" s="17" t="s">
        <v>52</v>
      </c>
      <c r="AQ278" s="17"/>
      <c r="AR278" s="252">
        <v>892800</v>
      </c>
      <c r="AS278" s="97">
        <f>+AR278*0.19</f>
        <v>169632</v>
      </c>
      <c r="AT278" s="103">
        <f t="shared" si="107"/>
        <v>1062432</v>
      </c>
      <c r="AU278" s="52" t="s">
        <v>61</v>
      </c>
      <c r="AV278" s="52" t="s">
        <v>42</v>
      </c>
      <c r="AW278" s="30"/>
      <c r="AX278" s="100"/>
      <c r="AY278" s="100"/>
      <c r="AZ278" s="124"/>
      <c r="BA278" s="169"/>
      <c r="BB278" s="116"/>
      <c r="BC278" s="116"/>
      <c r="BD278" s="247"/>
      <c r="BE278" s="124"/>
      <c r="BF278" s="124"/>
      <c r="BG278" s="116"/>
      <c r="BH278" s="116"/>
      <c r="BI278" s="116"/>
      <c r="BJ278" s="124"/>
      <c r="BK278" s="124"/>
      <c r="BL278" s="124"/>
      <c r="BM278" s="116"/>
      <c r="BN278" s="116"/>
      <c r="BO278" s="116"/>
      <c r="BP278" s="124"/>
      <c r="BQ278" s="116"/>
      <c r="BR278" s="116"/>
      <c r="BS278" s="116"/>
      <c r="BT278" s="116"/>
      <c r="BU278" s="116"/>
      <c r="BV278" s="236">
        <v>250600</v>
      </c>
      <c r="BW278" s="125">
        <f t="shared" si="103"/>
        <v>47614</v>
      </c>
      <c r="BX278" s="97">
        <f t="shared" si="104"/>
        <v>298214</v>
      </c>
      <c r="BY278" s="237" t="s">
        <v>323</v>
      </c>
      <c r="BZ278" s="237" t="s">
        <v>252</v>
      </c>
      <c r="CA278" s="116"/>
      <c r="CB278" s="247"/>
      <c r="CC278" s="125"/>
      <c r="CD278" s="247"/>
      <c r="CE278" s="116"/>
      <c r="CF278" s="116"/>
      <c r="CG278" s="34"/>
      <c r="CH278" s="236">
        <v>255612</v>
      </c>
      <c r="CI278" s="238">
        <f t="shared" si="105"/>
        <v>48566.28</v>
      </c>
      <c r="CJ278" s="236">
        <f t="shared" si="106"/>
        <v>304178.28000000003</v>
      </c>
      <c r="CK278" s="237" t="s">
        <v>323</v>
      </c>
      <c r="CL278" s="237" t="s">
        <v>252</v>
      </c>
      <c r="CM278" s="116"/>
      <c r="CN278" s="247"/>
      <c r="CO278" s="125"/>
      <c r="CP278" s="247"/>
      <c r="CQ278" s="116"/>
      <c r="CR278" s="116"/>
      <c r="CS278" s="116"/>
      <c r="CT278" s="247"/>
      <c r="CU278" s="125"/>
      <c r="CV278" s="247"/>
      <c r="CW278" s="116"/>
      <c r="CX278" s="116"/>
      <c r="CY278" s="116"/>
      <c r="CZ278" s="102"/>
      <c r="DA278" s="125"/>
      <c r="DB278" s="102"/>
      <c r="DC278" s="31"/>
      <c r="DD278" s="17"/>
      <c r="DE278" s="11"/>
      <c r="DF278" s="116"/>
      <c r="DG278" s="116"/>
      <c r="DH278" s="116"/>
      <c r="DI278" s="116"/>
      <c r="DJ278" s="116"/>
      <c r="DK278" s="116"/>
      <c r="DL278" s="116"/>
      <c r="DM278" s="116"/>
      <c r="DN278" s="116"/>
      <c r="DO278" s="116"/>
      <c r="DP278" s="116"/>
      <c r="DQ278" s="116"/>
      <c r="DR278" s="116"/>
      <c r="DS278" s="116"/>
      <c r="DT278" s="116"/>
      <c r="DU278" s="116"/>
      <c r="DV278" s="116"/>
      <c r="DW278" s="116"/>
      <c r="DX278" s="116"/>
      <c r="DY278" s="116"/>
      <c r="DZ278" s="116"/>
      <c r="EA278" s="116"/>
      <c r="EB278" s="116"/>
      <c r="EC278" s="116"/>
      <c r="ED278" s="116"/>
      <c r="EE278" s="116"/>
      <c r="EF278" s="116"/>
      <c r="EG278" s="116"/>
      <c r="EH278" s="116"/>
      <c r="EI278" s="116"/>
      <c r="EJ278" s="116"/>
      <c r="EK278" s="116"/>
      <c r="EL278" s="116"/>
      <c r="EM278" s="116"/>
      <c r="EN278" s="116"/>
      <c r="EO278" s="116"/>
      <c r="EP278" s="116"/>
      <c r="EQ278" s="116"/>
      <c r="ER278" s="116"/>
      <c r="ES278" s="116"/>
      <c r="ET278" s="11"/>
      <c r="EU278" s="11"/>
      <c r="EV278" s="11"/>
      <c r="EW278" s="11"/>
      <c r="EX278" s="11"/>
      <c r="EY278" s="11"/>
      <c r="EZ278" s="11"/>
      <c r="FA278" s="11"/>
      <c r="FB278" s="11"/>
      <c r="FC278" s="11"/>
      <c r="FD278" s="11"/>
      <c r="FE278" s="11"/>
      <c r="FF278" s="11"/>
      <c r="FG278" s="11"/>
      <c r="FH278" s="17">
        <f t="shared" si="100"/>
        <v>2218018.3899999997</v>
      </c>
      <c r="FI278" s="31">
        <f t="shared" si="101"/>
        <v>5</v>
      </c>
      <c r="FJ278" s="68">
        <f t="shared" si="102"/>
        <v>443603.67799999996</v>
      </c>
    </row>
    <row r="279" spans="1:166" ht="25.5" x14ac:dyDescent="0.25">
      <c r="A279" s="248">
        <f>Distribución_Reactivos!A279</f>
        <v>277</v>
      </c>
      <c r="B279" s="248" t="str">
        <f>Distribución_Reactivos!B279</f>
        <v>L-Tyrosine análitico, ≥99.0% </v>
      </c>
      <c r="C279" s="248" t="str">
        <f>Distribución_Reactivos!C279</f>
        <v>Sigma/Merck</v>
      </c>
      <c r="D279" s="248" t="str">
        <f>Distribución_Reactivos!D279</f>
        <v>Frasco de 25 g</v>
      </c>
      <c r="E279" s="29">
        <v>1</v>
      </c>
      <c r="F279" s="212">
        <v>0</v>
      </c>
      <c r="G279" s="214">
        <v>0</v>
      </c>
      <c r="H279" s="221">
        <v>0</v>
      </c>
      <c r="I279" s="221">
        <v>0</v>
      </c>
      <c r="J279" s="221">
        <v>0</v>
      </c>
      <c r="K279" s="221">
        <v>0</v>
      </c>
      <c r="L279" s="247"/>
      <c r="M279" s="247"/>
      <c r="N279" s="217"/>
      <c r="O279" s="97"/>
      <c r="P279" s="97"/>
      <c r="Q279" s="115"/>
      <c r="R279" s="115"/>
      <c r="S279" s="53"/>
      <c r="T279" s="97"/>
      <c r="U279" s="97"/>
      <c r="V279" s="97"/>
      <c r="W279" s="115"/>
      <c r="X279" s="115"/>
      <c r="Y279" s="11"/>
      <c r="Z279" s="97"/>
      <c r="AA279" s="97"/>
      <c r="AB279" s="97"/>
      <c r="AC279" s="44"/>
      <c r="AD279" s="44"/>
      <c r="AE279" s="11"/>
      <c r="AF279" s="102"/>
      <c r="AG279" s="125"/>
      <c r="AH279" s="97"/>
      <c r="AI279" s="11"/>
      <c r="AJ279" s="11"/>
      <c r="AK279" s="17"/>
      <c r="AL279" s="97"/>
      <c r="AM279" s="97"/>
      <c r="AN279" s="103"/>
      <c r="AO279" s="248"/>
      <c r="AP279" s="17"/>
      <c r="AQ279" s="17"/>
      <c r="AR279" s="252">
        <v>172800</v>
      </c>
      <c r="AS279" s="97">
        <f>+AR279*0.19</f>
        <v>32832</v>
      </c>
      <c r="AT279" s="103">
        <f t="shared" si="107"/>
        <v>205632</v>
      </c>
      <c r="AU279" s="52" t="s">
        <v>61</v>
      </c>
      <c r="AV279" s="52" t="s">
        <v>42</v>
      </c>
      <c r="AW279" s="11"/>
      <c r="AX279" s="100"/>
      <c r="AY279" s="100"/>
      <c r="AZ279" s="124"/>
      <c r="BA279" s="169"/>
      <c r="BB279" s="116"/>
      <c r="BC279" s="116"/>
      <c r="BD279" s="247"/>
      <c r="BE279" s="124"/>
      <c r="BF279" s="124"/>
      <c r="BG279" s="116"/>
      <c r="BH279" s="116"/>
      <c r="BI279" s="116"/>
      <c r="BJ279" s="124"/>
      <c r="BK279" s="124"/>
      <c r="BL279" s="124"/>
      <c r="BM279" s="116"/>
      <c r="BN279" s="116"/>
      <c r="BO279" s="116"/>
      <c r="BP279" s="124"/>
      <c r="BQ279" s="116"/>
      <c r="BR279" s="116"/>
      <c r="BS279" s="116"/>
      <c r="BT279" s="116"/>
      <c r="BU279" s="116"/>
      <c r="BV279" s="187"/>
      <c r="BW279" s="125"/>
      <c r="BX279" s="97"/>
      <c r="BY279" s="246"/>
      <c r="BZ279" s="246"/>
      <c r="CA279" s="116"/>
      <c r="CB279" s="247"/>
      <c r="CC279" s="125"/>
      <c r="CD279" s="247"/>
      <c r="CE279" s="116"/>
      <c r="CF279" s="116"/>
      <c r="CG279" s="34"/>
      <c r="CH279" s="187"/>
      <c r="CI279" s="195"/>
      <c r="CJ279" s="187"/>
      <c r="CK279" s="246"/>
      <c r="CL279" s="246"/>
      <c r="CM279" s="116"/>
      <c r="CN279" s="247"/>
      <c r="CO279" s="125"/>
      <c r="CP279" s="247"/>
      <c r="CQ279" s="116"/>
      <c r="CR279" s="116"/>
      <c r="CS279" s="116"/>
      <c r="CT279" s="247"/>
      <c r="CU279" s="125"/>
      <c r="CV279" s="247"/>
      <c r="CW279" s="116"/>
      <c r="CX279" s="116"/>
      <c r="CY279" s="116"/>
      <c r="CZ279" s="102"/>
      <c r="DA279" s="125"/>
      <c r="DB279" s="102"/>
      <c r="DC279" s="31"/>
      <c r="DD279" s="17"/>
      <c r="DE279" s="11"/>
      <c r="DF279" s="116"/>
      <c r="DG279" s="116"/>
      <c r="DH279" s="116"/>
      <c r="DI279" s="116"/>
      <c r="DJ279" s="116"/>
      <c r="DK279" s="116"/>
      <c r="DL279" s="116"/>
      <c r="DM279" s="116"/>
      <c r="DN279" s="116"/>
      <c r="DO279" s="116"/>
      <c r="DP279" s="116"/>
      <c r="DQ279" s="116"/>
      <c r="DR279" s="116"/>
      <c r="DS279" s="116"/>
      <c r="DT279" s="116"/>
      <c r="DU279" s="116"/>
      <c r="DV279" s="116"/>
      <c r="DW279" s="116"/>
      <c r="DX279" s="116"/>
      <c r="DY279" s="116"/>
      <c r="DZ279" s="116"/>
      <c r="EA279" s="116"/>
      <c r="EB279" s="116"/>
      <c r="EC279" s="116"/>
      <c r="ED279" s="116"/>
      <c r="EE279" s="116"/>
      <c r="EF279" s="116"/>
      <c r="EG279" s="116"/>
      <c r="EH279" s="116"/>
      <c r="EI279" s="116"/>
      <c r="EJ279" s="116"/>
      <c r="EK279" s="116"/>
      <c r="EL279" s="116"/>
      <c r="EM279" s="116"/>
      <c r="EN279" s="116"/>
      <c r="EO279" s="116"/>
      <c r="EP279" s="116"/>
      <c r="EQ279" s="116"/>
      <c r="ER279" s="116"/>
      <c r="ES279" s="116"/>
      <c r="ET279" s="11"/>
      <c r="EU279" s="11"/>
      <c r="EV279" s="11"/>
      <c r="EW279" s="11"/>
      <c r="EX279" s="11"/>
      <c r="EY279" s="11"/>
      <c r="EZ279" s="11"/>
      <c r="FA279" s="11"/>
      <c r="FB279" s="11"/>
      <c r="FC279" s="11"/>
      <c r="FD279" s="11"/>
      <c r="FE279" s="11"/>
      <c r="FF279" s="11"/>
      <c r="FG279" s="11"/>
      <c r="FH279" s="17">
        <f t="shared" si="100"/>
        <v>205632</v>
      </c>
      <c r="FI279" s="31">
        <f t="shared" si="101"/>
        <v>1</v>
      </c>
      <c r="FJ279" s="68">
        <f t="shared" si="102"/>
        <v>205632</v>
      </c>
    </row>
    <row r="280" spans="1:166" ht="40.5" x14ac:dyDescent="0.25">
      <c r="A280" s="248">
        <f>Distribución_Reactivos!A280</f>
        <v>278</v>
      </c>
      <c r="B280" s="248" t="str">
        <f>Distribución_Reactivos!B280</f>
        <v>Lugol de gram</v>
      </c>
      <c r="C280" s="248" t="str">
        <f>Distribución_Reactivos!C280</f>
        <v>Albor o equivalente</v>
      </c>
      <c r="D280" s="248" t="str">
        <f>Distribución_Reactivos!D280</f>
        <v>Frasco x 1 L</v>
      </c>
      <c r="E280" s="29">
        <v>1</v>
      </c>
      <c r="F280" s="212">
        <v>34595</v>
      </c>
      <c r="G280" s="214">
        <v>33500</v>
      </c>
      <c r="H280" s="221">
        <v>95409.822822999995</v>
      </c>
      <c r="I280" s="221">
        <v>42000</v>
      </c>
      <c r="J280" s="221">
        <v>52643.4</v>
      </c>
      <c r="K280" s="221">
        <v>42000</v>
      </c>
      <c r="L280" s="247">
        <f>AVERAGE(F280,H280,J280)</f>
        <v>60882.740940999996</v>
      </c>
      <c r="M280" s="247">
        <f>AVERAGE(G280,I280,K280)*E1</f>
        <v>40341.666666666664</v>
      </c>
      <c r="N280" s="217"/>
      <c r="O280" s="103"/>
      <c r="P280" s="97"/>
      <c r="Q280" s="115"/>
      <c r="R280" s="115"/>
      <c r="S280" s="53"/>
      <c r="T280" s="97"/>
      <c r="U280" s="97"/>
      <c r="V280" s="97"/>
      <c r="W280" s="115"/>
      <c r="X280" s="115"/>
      <c r="Y280" s="11"/>
      <c r="Z280" s="97"/>
      <c r="AA280" s="97"/>
      <c r="AB280" s="97"/>
      <c r="AC280" s="44"/>
      <c r="AD280" s="44"/>
      <c r="AE280" s="11"/>
      <c r="AF280" s="102">
        <v>45000</v>
      </c>
      <c r="AG280" s="125">
        <v>0</v>
      </c>
      <c r="AH280" s="97">
        <f>+AF280+AG280</f>
        <v>45000</v>
      </c>
      <c r="AI280" s="11"/>
      <c r="AJ280" s="11"/>
      <c r="AK280" s="17"/>
      <c r="AL280" s="97">
        <v>39000</v>
      </c>
      <c r="AM280" s="97">
        <f>+AL280*0</f>
        <v>0</v>
      </c>
      <c r="AN280" s="103">
        <f>+AL280+AM280</f>
        <v>39000</v>
      </c>
      <c r="AO280" s="248" t="s">
        <v>352</v>
      </c>
      <c r="AP280" s="17" t="s">
        <v>153</v>
      </c>
      <c r="AQ280" s="17"/>
      <c r="AR280" s="252">
        <v>28009</v>
      </c>
      <c r="AS280" s="97">
        <f>+AR280*0</f>
        <v>0</v>
      </c>
      <c r="AT280" s="103">
        <f t="shared" si="107"/>
        <v>28009</v>
      </c>
      <c r="AU280" s="52" t="s">
        <v>204</v>
      </c>
      <c r="AV280" s="52" t="s">
        <v>205</v>
      </c>
      <c r="AW280" s="11"/>
      <c r="AX280" s="100"/>
      <c r="AY280" s="100"/>
      <c r="AZ280" s="124"/>
      <c r="BA280" s="169"/>
      <c r="BB280" s="116"/>
      <c r="BC280" s="116"/>
      <c r="BD280" s="247"/>
      <c r="BE280" s="124"/>
      <c r="BF280" s="124"/>
      <c r="BG280" s="116"/>
      <c r="BH280" s="116"/>
      <c r="BI280" s="116"/>
      <c r="BJ280" s="124"/>
      <c r="BK280" s="124"/>
      <c r="BL280" s="124"/>
      <c r="BM280" s="44"/>
      <c r="BN280" s="22"/>
      <c r="BO280" s="115"/>
      <c r="BP280" s="97"/>
      <c r="BQ280" s="115"/>
      <c r="BR280" s="116"/>
      <c r="BS280" s="116"/>
      <c r="BT280" s="116"/>
      <c r="BU280" s="116"/>
      <c r="BV280" s="236">
        <v>68600</v>
      </c>
      <c r="BW280" s="125">
        <f t="shared" ref="BW280:BW287" si="108">BV280*19%</f>
        <v>13034</v>
      </c>
      <c r="BX280" s="97">
        <f t="shared" ref="BX280:BX287" si="109">+BV280+BW280</f>
        <v>81634</v>
      </c>
      <c r="BY280" s="237" t="s">
        <v>308</v>
      </c>
      <c r="BZ280" s="237" t="s">
        <v>55</v>
      </c>
      <c r="CA280" s="116"/>
      <c r="CB280" s="247"/>
      <c r="CC280" s="125"/>
      <c r="CD280" s="247"/>
      <c r="CE280" s="116"/>
      <c r="CF280" s="116"/>
      <c r="CG280" s="34"/>
      <c r="CH280" s="236">
        <v>69286</v>
      </c>
      <c r="CI280" s="238">
        <f>+CH280*0.19</f>
        <v>13164.34</v>
      </c>
      <c r="CJ280" s="236">
        <f>+CH280+CI280</f>
        <v>82450.34</v>
      </c>
      <c r="CK280" s="237" t="s">
        <v>308</v>
      </c>
      <c r="CL280" s="237" t="s">
        <v>55</v>
      </c>
      <c r="CM280" s="116"/>
      <c r="CN280" s="247"/>
      <c r="CO280" s="125"/>
      <c r="CP280" s="247"/>
      <c r="CQ280" s="116"/>
      <c r="CR280" s="116"/>
      <c r="CS280" s="116"/>
      <c r="CT280" s="247"/>
      <c r="CU280" s="125"/>
      <c r="CV280" s="247"/>
      <c r="CW280" s="116"/>
      <c r="CX280" s="116"/>
      <c r="CY280" s="116"/>
      <c r="CZ280" s="102"/>
      <c r="DA280" s="125"/>
      <c r="DB280" s="102"/>
      <c r="DC280" s="31"/>
      <c r="DD280" s="17"/>
      <c r="DE280" s="11"/>
      <c r="DF280" s="116"/>
      <c r="DG280" s="116"/>
      <c r="DH280" s="116"/>
      <c r="DI280" s="116"/>
      <c r="DJ280" s="116"/>
      <c r="DK280" s="116"/>
      <c r="DL280" s="116"/>
      <c r="DM280" s="116"/>
      <c r="DN280" s="116"/>
      <c r="DO280" s="116"/>
      <c r="DP280" s="116"/>
      <c r="DQ280" s="116"/>
      <c r="DR280" s="116"/>
      <c r="DS280" s="116"/>
      <c r="DT280" s="116"/>
      <c r="DU280" s="116"/>
      <c r="DV280" s="116"/>
      <c r="DW280" s="116"/>
      <c r="DX280" s="116"/>
      <c r="DY280" s="116"/>
      <c r="DZ280" s="116"/>
      <c r="EA280" s="116"/>
      <c r="EB280" s="116"/>
      <c r="EC280" s="116"/>
      <c r="ED280" s="116"/>
      <c r="EE280" s="116"/>
      <c r="EF280" s="116"/>
      <c r="EG280" s="116"/>
      <c r="EH280" s="116"/>
      <c r="EI280" s="116"/>
      <c r="EJ280" s="116"/>
      <c r="EK280" s="116"/>
      <c r="EL280" s="116"/>
      <c r="EM280" s="116"/>
      <c r="EN280" s="116"/>
      <c r="EO280" s="116"/>
      <c r="EP280" s="116"/>
      <c r="EQ280" s="116"/>
      <c r="ER280" s="116"/>
      <c r="ES280" s="116"/>
      <c r="ET280" s="11"/>
      <c r="EU280" s="11"/>
      <c r="EV280" s="11"/>
      <c r="EW280" s="11"/>
      <c r="EX280" s="11"/>
      <c r="EY280" s="11"/>
      <c r="EZ280" s="11"/>
      <c r="FA280" s="11"/>
      <c r="FB280" s="11"/>
      <c r="FC280" s="11"/>
      <c r="FD280" s="11"/>
      <c r="FE280" s="11"/>
      <c r="FF280" s="11"/>
      <c r="FG280" s="11"/>
      <c r="FH280" s="17">
        <f t="shared" si="100"/>
        <v>316435.00666666665</v>
      </c>
      <c r="FI280" s="31">
        <f t="shared" si="101"/>
        <v>6</v>
      </c>
      <c r="FJ280" s="68">
        <f t="shared" si="102"/>
        <v>52739.167777777773</v>
      </c>
    </row>
    <row r="281" spans="1:166" ht="27" x14ac:dyDescent="0.25">
      <c r="A281" s="248">
        <f>Distribución_Reactivos!A281</f>
        <v>279</v>
      </c>
      <c r="B281" s="248" t="str">
        <f>Distribución_Reactivos!B281</f>
        <v>D(+)Manosa CAS 3458-28-4</v>
      </c>
      <c r="C281" s="248" t="str">
        <f>Distribución_Reactivos!C281</f>
        <v>Merck/VWR</v>
      </c>
      <c r="D281" s="248" t="str">
        <f>Distribución_Reactivos!D281</f>
        <v>Frasco x 500 g</v>
      </c>
      <c r="E281" s="29">
        <v>1</v>
      </c>
      <c r="F281" s="212">
        <v>339150</v>
      </c>
      <c r="G281" s="214">
        <v>0</v>
      </c>
      <c r="H281" s="221">
        <v>601951.78166666662</v>
      </c>
      <c r="I281" s="221">
        <v>0</v>
      </c>
      <c r="J281" s="221">
        <v>873460</v>
      </c>
      <c r="K281" s="221">
        <v>0</v>
      </c>
      <c r="L281" s="247">
        <f>AVERAGE(F281,H281,J281)</f>
        <v>604853.92722222221</v>
      </c>
      <c r="M281" s="247"/>
      <c r="N281" s="217"/>
      <c r="O281" s="97"/>
      <c r="P281" s="97"/>
      <c r="Q281" s="115"/>
      <c r="R281" s="115"/>
      <c r="S281" s="53"/>
      <c r="T281" s="97"/>
      <c r="U281" s="97"/>
      <c r="V281" s="97"/>
      <c r="W281" s="115"/>
      <c r="X281" s="115"/>
      <c r="Y281" s="11"/>
      <c r="Z281" s="97"/>
      <c r="AA281" s="97"/>
      <c r="AB281" s="97"/>
      <c r="AC281" s="44"/>
      <c r="AD281" s="44"/>
      <c r="AE281" s="11"/>
      <c r="AF281" s="102"/>
      <c r="AG281" s="125"/>
      <c r="AH281" s="97"/>
      <c r="AI281" s="11"/>
      <c r="AJ281" s="11"/>
      <c r="AK281" s="17"/>
      <c r="AL281" s="97"/>
      <c r="AM281" s="97"/>
      <c r="AN281" s="103"/>
      <c r="AO281" s="248"/>
      <c r="AP281" s="17"/>
      <c r="AQ281" s="115"/>
      <c r="AR281" s="97">
        <v>1080000</v>
      </c>
      <c r="AS281" s="97">
        <f>+AR281*0.19</f>
        <v>205200</v>
      </c>
      <c r="AT281" s="103">
        <f t="shared" si="107"/>
        <v>1285200</v>
      </c>
      <c r="AU281" s="52" t="s">
        <v>82</v>
      </c>
      <c r="AV281" s="52" t="s">
        <v>42</v>
      </c>
      <c r="AW281" s="11"/>
      <c r="AX281" s="100"/>
      <c r="AY281" s="174"/>
      <c r="AZ281" s="124"/>
      <c r="BA281" s="169"/>
      <c r="BB281" s="116"/>
      <c r="BC281" s="116"/>
      <c r="BD281" s="247"/>
      <c r="BE281" s="124"/>
      <c r="BF281" s="124"/>
      <c r="BG281" s="116"/>
      <c r="BH281" s="116"/>
      <c r="BI281" s="116"/>
      <c r="BJ281" s="124"/>
      <c r="BK281" s="124"/>
      <c r="BL281" s="124"/>
      <c r="BM281" s="116"/>
      <c r="BN281" s="116"/>
      <c r="BO281" s="116"/>
      <c r="BP281" s="124"/>
      <c r="BQ281" s="116"/>
      <c r="BR281" s="116"/>
      <c r="BS281" s="116"/>
      <c r="BT281" s="116"/>
      <c r="BU281" s="116"/>
      <c r="BV281" s="241">
        <v>4000000</v>
      </c>
      <c r="BW281" s="125">
        <f t="shared" si="108"/>
        <v>760000</v>
      </c>
      <c r="BX281" s="97">
        <f t="shared" si="109"/>
        <v>4760000</v>
      </c>
      <c r="BY281" s="237" t="s">
        <v>319</v>
      </c>
      <c r="BZ281" s="237" t="s">
        <v>252</v>
      </c>
      <c r="CA281" s="116"/>
      <c r="CB281" s="247"/>
      <c r="CC281" s="125"/>
      <c r="CD281" s="247"/>
      <c r="CE281" s="116"/>
      <c r="CF281" s="116"/>
      <c r="CG281" s="34"/>
      <c r="CH281" s="241"/>
      <c r="CI281" s="238"/>
      <c r="CJ281" s="236"/>
      <c r="CK281" s="237"/>
      <c r="CL281" s="237"/>
      <c r="CM281" s="116"/>
      <c r="CN281" s="247"/>
      <c r="CO281" s="125"/>
      <c r="CP281" s="247"/>
      <c r="CQ281" s="116"/>
      <c r="CR281" s="116"/>
      <c r="CS281" s="116"/>
      <c r="CT281" s="247"/>
      <c r="CU281" s="125"/>
      <c r="CV281" s="247"/>
      <c r="CW281" s="116"/>
      <c r="CX281" s="116"/>
      <c r="CY281" s="116"/>
      <c r="CZ281" s="102"/>
      <c r="DA281" s="125"/>
      <c r="DB281" s="102"/>
      <c r="DC281" s="31"/>
      <c r="DD281" s="17"/>
      <c r="DE281" s="11"/>
      <c r="DF281" s="116"/>
      <c r="DG281" s="116"/>
      <c r="DH281" s="116"/>
      <c r="DI281" s="116"/>
      <c r="DJ281" s="116"/>
      <c r="DK281" s="116"/>
      <c r="DL281" s="116"/>
      <c r="DM281" s="116"/>
      <c r="DN281" s="116"/>
      <c r="DO281" s="116"/>
      <c r="DP281" s="116"/>
      <c r="DQ281" s="116"/>
      <c r="DR281" s="116"/>
      <c r="DS281" s="116"/>
      <c r="DT281" s="116"/>
      <c r="DU281" s="116"/>
      <c r="DV281" s="116"/>
      <c r="DW281" s="116"/>
      <c r="DX281" s="116"/>
      <c r="DY281" s="116"/>
      <c r="DZ281" s="116"/>
      <c r="EA281" s="116"/>
      <c r="EB281" s="116"/>
      <c r="EC281" s="116"/>
      <c r="ED281" s="116"/>
      <c r="EE281" s="116"/>
      <c r="EF281" s="116"/>
      <c r="EG281" s="116"/>
      <c r="EH281" s="116"/>
      <c r="EI281" s="116"/>
      <c r="EJ281" s="116"/>
      <c r="EK281" s="116"/>
      <c r="EL281" s="116"/>
      <c r="EM281" s="116"/>
      <c r="EN281" s="116"/>
      <c r="EO281" s="116"/>
      <c r="EP281" s="116"/>
      <c r="EQ281" s="116"/>
      <c r="ER281" s="116"/>
      <c r="ES281" s="116"/>
      <c r="ET281" s="11"/>
      <c r="EU281" s="11"/>
      <c r="EV281" s="11"/>
      <c r="EW281" s="11"/>
      <c r="EX281" s="11"/>
      <c r="EY281" s="11"/>
      <c r="EZ281" s="11"/>
      <c r="FA281" s="11"/>
      <c r="FB281" s="11"/>
      <c r="FC281" s="11"/>
      <c r="FD281" s="11"/>
      <c r="FE281" s="11"/>
      <c r="FF281" s="11"/>
      <c r="FG281" s="11"/>
      <c r="FH281" s="17">
        <f t="shared" si="100"/>
        <v>6045200</v>
      </c>
      <c r="FI281" s="31">
        <f t="shared" si="101"/>
        <v>2</v>
      </c>
      <c r="FJ281" s="68">
        <f t="shared" si="102"/>
        <v>3022600</v>
      </c>
    </row>
    <row r="282" spans="1:166" ht="51" x14ac:dyDescent="0.25">
      <c r="A282" s="248">
        <f>Distribución_Reactivos!A282</f>
        <v>280</v>
      </c>
      <c r="B282" s="248" t="str">
        <f>Distribución_Reactivos!B282</f>
        <v>Material  de referencia certificado  para  conteo de enterobacterias. Fecha  de vencimiento  no  inferior  a 2022 y  con certificado  de ISO  17043</v>
      </c>
      <c r="C282" s="248" t="str">
        <f>Distribución_Reactivos!C282</f>
        <v>Cualquier marca</v>
      </c>
      <c r="D282" s="248" t="str">
        <f>Distribución_Reactivos!D282</f>
        <v>Unidad</v>
      </c>
      <c r="E282" s="29">
        <v>1</v>
      </c>
      <c r="F282" s="212">
        <v>0</v>
      </c>
      <c r="G282" s="214">
        <v>0</v>
      </c>
      <c r="H282" s="221">
        <v>0</v>
      </c>
      <c r="I282" s="221">
        <v>0</v>
      </c>
      <c r="J282" s="221">
        <v>0</v>
      </c>
      <c r="K282" s="221">
        <v>0</v>
      </c>
      <c r="L282" s="247"/>
      <c r="M282" s="247"/>
      <c r="N282" s="217"/>
      <c r="O282" s="97"/>
      <c r="P282" s="97"/>
      <c r="Q282" s="115"/>
      <c r="R282" s="115"/>
      <c r="S282" s="53"/>
      <c r="T282" s="97"/>
      <c r="U282" s="97"/>
      <c r="V282" s="97"/>
      <c r="W282" s="115"/>
      <c r="X282" s="115"/>
      <c r="Y282" s="11"/>
      <c r="Z282" s="97"/>
      <c r="AA282" s="97"/>
      <c r="AB282" s="97"/>
      <c r="AC282" s="44"/>
      <c r="AD282" s="44"/>
      <c r="AE282" s="11"/>
      <c r="AF282" s="102"/>
      <c r="AG282" s="125"/>
      <c r="AH282" s="97"/>
      <c r="AI282" s="11"/>
      <c r="AJ282" s="11"/>
      <c r="AK282" s="17"/>
      <c r="AL282" s="97"/>
      <c r="AM282" s="97"/>
      <c r="AN282" s="103"/>
      <c r="AO282" s="248"/>
      <c r="AP282" s="115"/>
      <c r="AQ282" s="115"/>
      <c r="AR282" s="97"/>
      <c r="AS282" s="252"/>
      <c r="AT282" s="252"/>
      <c r="AU282" s="52"/>
      <c r="AV282" s="52"/>
      <c r="AW282" s="11"/>
      <c r="AX282" s="100"/>
      <c r="AY282" s="174"/>
      <c r="AZ282" s="124"/>
      <c r="BA282" s="169"/>
      <c r="BB282" s="116"/>
      <c r="BC282" s="116"/>
      <c r="BD282" s="247"/>
      <c r="BE282" s="124"/>
      <c r="BF282" s="124"/>
      <c r="BG282" s="116"/>
      <c r="BH282" s="116"/>
      <c r="BI282" s="116"/>
      <c r="BJ282" s="124"/>
      <c r="BK282" s="124"/>
      <c r="BL282" s="124"/>
      <c r="BM282" s="116"/>
      <c r="BN282" s="116"/>
      <c r="BO282" s="116"/>
      <c r="BP282" s="124"/>
      <c r="BQ282" s="116"/>
      <c r="BR282" s="116"/>
      <c r="BS282" s="116"/>
      <c r="BT282" s="116"/>
      <c r="BU282" s="116"/>
      <c r="BV282" s="236">
        <v>2729200</v>
      </c>
      <c r="BW282" s="125">
        <f t="shared" si="108"/>
        <v>518548</v>
      </c>
      <c r="BX282" s="97">
        <f t="shared" si="109"/>
        <v>3247748</v>
      </c>
      <c r="BY282" s="237" t="s">
        <v>353</v>
      </c>
      <c r="BZ282" s="237" t="s">
        <v>354</v>
      </c>
      <c r="CA282" s="115"/>
      <c r="CB282" s="247"/>
      <c r="CC282" s="125"/>
      <c r="CD282" s="247"/>
      <c r="CE282" s="116"/>
      <c r="CF282" s="116"/>
      <c r="CG282" s="34"/>
      <c r="CH282" s="241">
        <v>2892952</v>
      </c>
      <c r="CI282" s="238">
        <f t="shared" ref="CI282:CI287" si="110">+CH282*0.19</f>
        <v>549660.88</v>
      </c>
      <c r="CJ282" s="236">
        <f t="shared" ref="CJ282:CJ287" si="111">+CH282+CI282</f>
        <v>3442612.88</v>
      </c>
      <c r="CK282" s="237" t="s">
        <v>353</v>
      </c>
      <c r="CL282" s="237" t="s">
        <v>354</v>
      </c>
      <c r="CM282" s="116"/>
      <c r="CN282" s="247"/>
      <c r="CO282" s="125"/>
      <c r="CP282" s="247"/>
      <c r="CQ282" s="116"/>
      <c r="CR282" s="116"/>
      <c r="CS282" s="116"/>
      <c r="CT282" s="247"/>
      <c r="CU282" s="125"/>
      <c r="CV282" s="247"/>
      <c r="CW282" s="116"/>
      <c r="CX282" s="116"/>
      <c r="CY282" s="116"/>
      <c r="CZ282" s="102"/>
      <c r="DA282" s="125"/>
      <c r="DB282" s="102"/>
      <c r="DC282" s="31"/>
      <c r="DD282" s="17"/>
      <c r="DE282" s="11"/>
      <c r="DF282" s="116"/>
      <c r="DG282" s="116"/>
      <c r="DH282" s="116"/>
      <c r="DI282" s="116"/>
      <c r="DJ282" s="116"/>
      <c r="DK282" s="116"/>
      <c r="DL282" s="116"/>
      <c r="DM282" s="116"/>
      <c r="DN282" s="116"/>
      <c r="DO282" s="116"/>
      <c r="DP282" s="116"/>
      <c r="DQ282" s="116"/>
      <c r="DR282" s="116"/>
      <c r="DS282" s="116"/>
      <c r="DT282" s="116"/>
      <c r="DU282" s="116"/>
      <c r="DV282" s="116"/>
      <c r="DW282" s="116"/>
      <c r="DX282" s="116"/>
      <c r="DY282" s="116"/>
      <c r="DZ282" s="116"/>
      <c r="EA282" s="116"/>
      <c r="EB282" s="116"/>
      <c r="EC282" s="116"/>
      <c r="ED282" s="116"/>
      <c r="EE282" s="116"/>
      <c r="EF282" s="116"/>
      <c r="EG282" s="116"/>
      <c r="EH282" s="116"/>
      <c r="EI282" s="116"/>
      <c r="EJ282" s="116"/>
      <c r="EK282" s="116"/>
      <c r="EL282" s="116"/>
      <c r="EM282" s="116"/>
      <c r="EN282" s="116"/>
      <c r="EO282" s="116"/>
      <c r="EP282" s="116"/>
      <c r="EQ282" s="116"/>
      <c r="ER282" s="116"/>
      <c r="ES282" s="116"/>
      <c r="ET282" s="11"/>
      <c r="EU282" s="11"/>
      <c r="EV282" s="11"/>
      <c r="EW282" s="11"/>
      <c r="EX282" s="11"/>
      <c r="EY282" s="11"/>
      <c r="EZ282" s="11"/>
      <c r="FA282" s="11"/>
      <c r="FB282" s="11"/>
      <c r="FC282" s="11"/>
      <c r="FD282" s="11"/>
      <c r="FE282" s="11"/>
      <c r="FF282" s="11"/>
      <c r="FG282" s="11"/>
      <c r="FH282" s="17">
        <f t="shared" si="100"/>
        <v>6690360.8799999999</v>
      </c>
      <c r="FI282" s="31">
        <f t="shared" si="101"/>
        <v>2</v>
      </c>
      <c r="FJ282" s="68">
        <f t="shared" si="102"/>
        <v>3345180.44</v>
      </c>
    </row>
    <row r="283" spans="1:166" ht="25.5" x14ac:dyDescent="0.25">
      <c r="A283" s="248">
        <f>Distribución_Reactivos!A283</f>
        <v>281</v>
      </c>
      <c r="B283" s="248" t="str">
        <f>Distribución_Reactivos!B283</f>
        <v xml:space="preserve">Material de Referencia Poultry Feed. Con certificado de análisis e incertidumbre. </v>
      </c>
      <c r="C283" s="248" t="str">
        <f>Distribución_Reactivos!C283</f>
        <v>LGC 7173</v>
      </c>
      <c r="D283" s="248" t="str">
        <f>Distribución_Reactivos!D283</f>
        <v xml:space="preserve">Frasco x 45 g </v>
      </c>
      <c r="E283" s="29">
        <v>1</v>
      </c>
      <c r="F283" s="212">
        <v>0</v>
      </c>
      <c r="G283" s="214">
        <v>0</v>
      </c>
      <c r="H283" s="221">
        <v>0</v>
      </c>
      <c r="I283" s="221">
        <v>0</v>
      </c>
      <c r="J283" s="221">
        <v>3541346.5</v>
      </c>
      <c r="K283" s="221">
        <v>0</v>
      </c>
      <c r="L283" s="247">
        <f>J283</f>
        <v>3541346.5</v>
      </c>
      <c r="M283" s="247"/>
      <c r="N283" s="217"/>
      <c r="O283" s="97"/>
      <c r="P283" s="97"/>
      <c r="Q283" s="115"/>
      <c r="R283" s="115"/>
      <c r="S283" s="53"/>
      <c r="T283" s="97"/>
      <c r="U283" s="97"/>
      <c r="V283" s="97"/>
      <c r="W283" s="115"/>
      <c r="X283" s="115"/>
      <c r="Y283" s="11"/>
      <c r="Z283" s="97"/>
      <c r="AA283" s="97"/>
      <c r="AB283" s="97"/>
      <c r="AC283" s="44"/>
      <c r="AD283" s="44"/>
      <c r="AE283" s="11"/>
      <c r="AF283" s="102"/>
      <c r="AG283" s="125"/>
      <c r="AH283" s="97"/>
      <c r="AI283" s="11"/>
      <c r="AJ283" s="11"/>
      <c r="AK283" s="17"/>
      <c r="AL283" s="97"/>
      <c r="AM283" s="97"/>
      <c r="AN283" s="103"/>
      <c r="AO283" s="248"/>
      <c r="AP283" s="17"/>
      <c r="AQ283" s="17"/>
      <c r="AR283" s="252"/>
      <c r="AS283" s="252"/>
      <c r="AT283" s="252"/>
      <c r="AU283" s="52"/>
      <c r="AV283" s="52"/>
      <c r="AW283" s="11"/>
      <c r="AX283" s="100"/>
      <c r="AY283" s="174"/>
      <c r="AZ283" s="124"/>
      <c r="BA283" s="169"/>
      <c r="BB283" s="116"/>
      <c r="BC283" s="116"/>
      <c r="BD283" s="247"/>
      <c r="BE283" s="247"/>
      <c r="BF283" s="247"/>
      <c r="BG283" s="247"/>
      <c r="BH283" s="116"/>
      <c r="BI283" s="116"/>
      <c r="BJ283" s="124"/>
      <c r="BK283" s="124"/>
      <c r="BL283" s="124"/>
      <c r="BM283" s="116"/>
      <c r="BN283" s="116"/>
      <c r="BO283" s="116"/>
      <c r="BP283" s="124"/>
      <c r="BQ283" s="116"/>
      <c r="BR283" s="116"/>
      <c r="BS283" s="116"/>
      <c r="BT283" s="116"/>
      <c r="BU283" s="116"/>
      <c r="BV283" s="241">
        <v>4000000</v>
      </c>
      <c r="BW283" s="125">
        <f t="shared" si="108"/>
        <v>760000</v>
      </c>
      <c r="BX283" s="97">
        <f t="shared" si="109"/>
        <v>4760000</v>
      </c>
      <c r="BY283" s="237" t="s">
        <v>227</v>
      </c>
      <c r="BZ283" s="237" t="s">
        <v>303</v>
      </c>
      <c r="CA283" s="116"/>
      <c r="CB283" s="247"/>
      <c r="CC283" s="125"/>
      <c r="CD283" s="247"/>
      <c r="CE283" s="116"/>
      <c r="CF283" s="116"/>
      <c r="CG283" s="34"/>
      <c r="CH283" s="241">
        <v>6649230</v>
      </c>
      <c r="CI283" s="238">
        <f t="shared" si="110"/>
        <v>1263353.7</v>
      </c>
      <c r="CJ283" s="236">
        <f t="shared" si="111"/>
        <v>7912583.7000000002</v>
      </c>
      <c r="CK283" s="237" t="s">
        <v>227</v>
      </c>
      <c r="CL283" s="237" t="s">
        <v>303</v>
      </c>
      <c r="CM283" s="116"/>
      <c r="CN283" s="247"/>
      <c r="CO283" s="125"/>
      <c r="CP283" s="247"/>
      <c r="CQ283" s="116"/>
      <c r="CR283" s="116"/>
      <c r="CS283" s="116"/>
      <c r="CT283" s="247"/>
      <c r="CU283" s="125"/>
      <c r="CV283" s="247"/>
      <c r="CW283" s="116"/>
      <c r="CX283" s="116"/>
      <c r="CY283" s="116"/>
      <c r="CZ283" s="102"/>
      <c r="DA283" s="125"/>
      <c r="DB283" s="102"/>
      <c r="DC283" s="31"/>
      <c r="DD283" s="17"/>
      <c r="DE283" s="11"/>
      <c r="DF283" s="116"/>
      <c r="DG283" s="116"/>
      <c r="DH283" s="116"/>
      <c r="DI283" s="116"/>
      <c r="DJ283" s="116"/>
      <c r="DK283" s="116"/>
      <c r="DL283" s="116"/>
      <c r="DM283" s="116"/>
      <c r="DN283" s="116"/>
      <c r="DO283" s="116"/>
      <c r="DP283" s="116"/>
      <c r="DQ283" s="116"/>
      <c r="DR283" s="116"/>
      <c r="DS283" s="116"/>
      <c r="DT283" s="116"/>
      <c r="DU283" s="116"/>
      <c r="DV283" s="116"/>
      <c r="DW283" s="116"/>
      <c r="DX283" s="116"/>
      <c r="DY283" s="116"/>
      <c r="DZ283" s="116"/>
      <c r="EA283" s="116"/>
      <c r="EB283" s="116"/>
      <c r="EC283" s="116"/>
      <c r="ED283" s="116"/>
      <c r="EE283" s="116"/>
      <c r="EF283" s="116"/>
      <c r="EG283" s="116"/>
      <c r="EH283" s="116"/>
      <c r="EI283" s="116"/>
      <c r="EJ283" s="116"/>
      <c r="EK283" s="116"/>
      <c r="EL283" s="116"/>
      <c r="EM283" s="116"/>
      <c r="EN283" s="116"/>
      <c r="EO283" s="116"/>
      <c r="EP283" s="116"/>
      <c r="EQ283" s="116"/>
      <c r="ER283" s="116"/>
      <c r="ES283" s="116"/>
      <c r="ET283" s="11"/>
      <c r="EU283" s="11"/>
      <c r="EV283" s="11"/>
      <c r="EW283" s="11"/>
      <c r="EX283" s="11"/>
      <c r="EY283" s="11"/>
      <c r="EZ283" s="11"/>
      <c r="FA283" s="11"/>
      <c r="FB283" s="11"/>
      <c r="FC283" s="11"/>
      <c r="FD283" s="11"/>
      <c r="FE283" s="11"/>
      <c r="FF283" s="11"/>
      <c r="FG283" s="11"/>
      <c r="FH283" s="17">
        <f t="shared" si="100"/>
        <v>12672583.699999999</v>
      </c>
      <c r="FI283" s="31">
        <f t="shared" si="101"/>
        <v>2</v>
      </c>
      <c r="FJ283" s="68">
        <f t="shared" si="102"/>
        <v>6336291.8499999996</v>
      </c>
    </row>
    <row r="284" spans="1:166" ht="27" x14ac:dyDescent="0.25">
      <c r="A284" s="248">
        <f>Distribución_Reactivos!A284</f>
        <v>282</v>
      </c>
      <c r="B284" s="248" t="str">
        <f>Distribución_Reactivos!B284</f>
        <v>May-Grunwald Stain</v>
      </c>
      <c r="C284" s="248" t="str">
        <f>Distribución_Reactivos!C284</f>
        <v>Sigma Aldrich / Merck / JT Baker</v>
      </c>
      <c r="D284" s="248" t="str">
        <f>Distribución_Reactivos!D284</f>
        <v>Frasco X 25 g</v>
      </c>
      <c r="E284" s="29">
        <v>1</v>
      </c>
      <c r="F284" s="212">
        <v>0</v>
      </c>
      <c r="G284" s="214">
        <v>0</v>
      </c>
      <c r="H284" s="221">
        <v>437285.33333333331</v>
      </c>
      <c r="I284" s="221">
        <v>0</v>
      </c>
      <c r="J284" s="221">
        <v>0</v>
      </c>
      <c r="K284" s="221">
        <v>0</v>
      </c>
      <c r="L284" s="247">
        <f>H284</f>
        <v>437285.33333333331</v>
      </c>
      <c r="M284" s="247"/>
      <c r="N284" s="217"/>
      <c r="O284" s="97"/>
      <c r="P284" s="97"/>
      <c r="Q284" s="115"/>
      <c r="R284" s="115"/>
      <c r="S284" s="53"/>
      <c r="T284" s="97"/>
      <c r="U284" s="97"/>
      <c r="V284" s="97"/>
      <c r="W284" s="115"/>
      <c r="X284" s="115"/>
      <c r="Y284" s="11"/>
      <c r="Z284" s="97"/>
      <c r="AA284" s="97"/>
      <c r="AB284" s="97"/>
      <c r="AC284" s="44"/>
      <c r="AD284" s="44"/>
      <c r="AE284" s="11"/>
      <c r="AF284" s="102"/>
      <c r="AG284" s="125"/>
      <c r="AH284" s="97"/>
      <c r="AI284" s="11"/>
      <c r="AJ284" s="11"/>
      <c r="AK284" s="17"/>
      <c r="AL284" s="97"/>
      <c r="AM284" s="97"/>
      <c r="AN284" s="100"/>
      <c r="AO284" s="248"/>
      <c r="AP284" s="17"/>
      <c r="AQ284" s="17"/>
      <c r="AR284" s="252">
        <v>547200</v>
      </c>
      <c r="AS284" s="97">
        <f>+AR284*0.19</f>
        <v>103968</v>
      </c>
      <c r="AT284" s="103">
        <f>+AR284+AS284</f>
        <v>651168</v>
      </c>
      <c r="AU284" s="52" t="s">
        <v>41</v>
      </c>
      <c r="AV284" s="52" t="s">
        <v>42</v>
      </c>
      <c r="AW284" s="11"/>
      <c r="AX284" s="100"/>
      <c r="AY284" s="174"/>
      <c r="AZ284" s="124"/>
      <c r="BA284" s="169"/>
      <c r="BB284" s="116"/>
      <c r="BC284" s="116"/>
      <c r="BD284" s="247"/>
      <c r="BE284" s="124"/>
      <c r="BF284" s="124"/>
      <c r="BG284" s="116"/>
      <c r="BH284" s="116"/>
      <c r="BI284" s="116"/>
      <c r="BJ284" s="124"/>
      <c r="BK284" s="124"/>
      <c r="BL284" s="124"/>
      <c r="BM284" s="116"/>
      <c r="BN284" s="116"/>
      <c r="BO284" s="116"/>
      <c r="BP284" s="124"/>
      <c r="BQ284" s="116"/>
      <c r="BR284" s="116"/>
      <c r="BS284" s="116"/>
      <c r="BT284" s="116"/>
      <c r="BU284" s="116"/>
      <c r="BV284" s="241">
        <v>2603700</v>
      </c>
      <c r="BW284" s="125">
        <f t="shared" si="108"/>
        <v>494703</v>
      </c>
      <c r="BX284" s="97">
        <f t="shared" si="109"/>
        <v>3098403</v>
      </c>
      <c r="BY284" s="237" t="s">
        <v>339</v>
      </c>
      <c r="BZ284" s="237" t="s">
        <v>252</v>
      </c>
      <c r="CA284" s="116"/>
      <c r="CB284" s="247"/>
      <c r="CC284" s="125"/>
      <c r="CD284" s="247"/>
      <c r="CE284" s="116"/>
      <c r="CF284" s="116"/>
      <c r="CG284" s="34"/>
      <c r="CH284" s="241">
        <v>2655774</v>
      </c>
      <c r="CI284" s="238">
        <f t="shared" si="110"/>
        <v>504597.06</v>
      </c>
      <c r="CJ284" s="236">
        <f t="shared" si="111"/>
        <v>3160371.06</v>
      </c>
      <c r="CK284" s="237" t="s">
        <v>339</v>
      </c>
      <c r="CL284" s="237" t="s">
        <v>252</v>
      </c>
      <c r="CM284" s="116"/>
      <c r="CN284" s="247"/>
      <c r="CO284" s="125"/>
      <c r="CP284" s="247"/>
      <c r="CQ284" s="116"/>
      <c r="CR284" s="116"/>
      <c r="CS284" s="116"/>
      <c r="CT284" s="247"/>
      <c r="CU284" s="125"/>
      <c r="CV284" s="247"/>
      <c r="CW284" s="116"/>
      <c r="CX284" s="116"/>
      <c r="CY284" s="116"/>
      <c r="CZ284" s="102"/>
      <c r="DA284" s="125"/>
      <c r="DB284" s="102"/>
      <c r="DC284" s="31"/>
      <c r="DD284" s="17"/>
      <c r="DE284" s="11"/>
      <c r="DF284" s="116"/>
      <c r="DG284" s="116"/>
      <c r="DH284" s="116"/>
      <c r="DI284" s="116"/>
      <c r="DJ284" s="116"/>
      <c r="DK284" s="116"/>
      <c r="DL284" s="116"/>
      <c r="DM284" s="116"/>
      <c r="DN284" s="116"/>
      <c r="DO284" s="116"/>
      <c r="DP284" s="116"/>
      <c r="DQ284" s="116"/>
      <c r="DR284" s="116"/>
      <c r="DS284" s="116"/>
      <c r="DT284" s="116"/>
      <c r="DU284" s="116"/>
      <c r="DV284" s="116"/>
      <c r="DW284" s="116"/>
      <c r="DX284" s="116"/>
      <c r="DY284" s="116"/>
      <c r="DZ284" s="116"/>
      <c r="EA284" s="116"/>
      <c r="EB284" s="116"/>
      <c r="EC284" s="116"/>
      <c r="ED284" s="116"/>
      <c r="EE284" s="116"/>
      <c r="EF284" s="116"/>
      <c r="EG284" s="116"/>
      <c r="EH284" s="116"/>
      <c r="EI284" s="116"/>
      <c r="EJ284" s="116"/>
      <c r="EK284" s="116"/>
      <c r="EL284" s="116"/>
      <c r="EM284" s="116"/>
      <c r="EN284" s="116"/>
      <c r="EO284" s="116"/>
      <c r="EP284" s="116"/>
      <c r="EQ284" s="116"/>
      <c r="ER284" s="116"/>
      <c r="ES284" s="116"/>
      <c r="ET284" s="11"/>
      <c r="EU284" s="11"/>
      <c r="EV284" s="11"/>
      <c r="EW284" s="11"/>
      <c r="EX284" s="11"/>
      <c r="EY284" s="11"/>
      <c r="EZ284" s="11"/>
      <c r="FA284" s="11"/>
      <c r="FB284" s="11"/>
      <c r="FC284" s="11"/>
      <c r="FD284" s="11"/>
      <c r="FE284" s="11"/>
      <c r="FF284" s="11"/>
      <c r="FG284" s="11"/>
      <c r="FH284" s="17">
        <f t="shared" si="100"/>
        <v>6909942.0600000005</v>
      </c>
      <c r="FI284" s="31">
        <f t="shared" si="101"/>
        <v>3</v>
      </c>
      <c r="FJ284" s="68">
        <f t="shared" si="102"/>
        <v>2303314.02</v>
      </c>
    </row>
    <row r="285" spans="1:166" ht="51" x14ac:dyDescent="0.25">
      <c r="A285" s="248">
        <f>Distribución_Reactivos!A285</f>
        <v>283</v>
      </c>
      <c r="B285" s="248" t="str">
        <f>Distribución_Reactivos!B285</f>
        <v>Medio de cultivo LB Fecha de vencimiento no inferior a dos años</v>
      </c>
      <c r="C285" s="248" t="str">
        <f>Distribución_Reactivos!C285</f>
        <v>Merck</v>
      </c>
      <c r="D285" s="248" t="str">
        <f>Distribución_Reactivos!D285</f>
        <v>Frasco x 500 g</v>
      </c>
      <c r="E285" s="29">
        <v>1</v>
      </c>
      <c r="F285" s="212">
        <v>0</v>
      </c>
      <c r="G285" s="214">
        <v>0</v>
      </c>
      <c r="H285" s="221">
        <v>0</v>
      </c>
      <c r="I285" s="221">
        <v>0</v>
      </c>
      <c r="J285" s="221">
        <v>2943303.16</v>
      </c>
      <c r="K285" s="221">
        <v>0</v>
      </c>
      <c r="L285" s="247">
        <f>J285</f>
        <v>2943303.16</v>
      </c>
      <c r="M285" s="247"/>
      <c r="N285" s="217"/>
      <c r="O285" s="97"/>
      <c r="P285" s="97"/>
      <c r="Q285" s="115"/>
      <c r="R285" s="115"/>
      <c r="S285" s="53"/>
      <c r="T285" s="97"/>
      <c r="U285" s="97"/>
      <c r="V285" s="97"/>
      <c r="W285" s="115"/>
      <c r="X285" s="115"/>
      <c r="Y285" s="11"/>
      <c r="Z285" s="97"/>
      <c r="AA285" s="97"/>
      <c r="AB285" s="97"/>
      <c r="AC285" s="44"/>
      <c r="AD285" s="44"/>
      <c r="AE285" s="11"/>
      <c r="AF285" s="102"/>
      <c r="AG285" s="125"/>
      <c r="AH285" s="97"/>
      <c r="AI285" s="11"/>
      <c r="AJ285" s="11"/>
      <c r="AK285" s="17"/>
      <c r="AL285" s="97"/>
      <c r="AM285" s="97"/>
      <c r="AN285" s="101"/>
      <c r="AO285" s="248"/>
      <c r="AP285" s="17"/>
      <c r="AQ285" s="17"/>
      <c r="AR285" s="252"/>
      <c r="AS285" s="252"/>
      <c r="AT285" s="252"/>
      <c r="AU285" s="52"/>
      <c r="AV285" s="52"/>
      <c r="AW285" s="11"/>
      <c r="AX285" s="100"/>
      <c r="AY285" s="174"/>
      <c r="AZ285" s="124"/>
      <c r="BA285" s="169"/>
      <c r="BB285" s="116"/>
      <c r="BC285" s="116"/>
      <c r="BD285" s="247"/>
      <c r="BE285" s="124"/>
      <c r="BF285" s="124"/>
      <c r="BG285" s="116"/>
      <c r="BH285" s="116"/>
      <c r="BI285" s="116"/>
      <c r="BJ285" s="124"/>
      <c r="BK285" s="124"/>
      <c r="BL285" s="124"/>
      <c r="BM285" s="116"/>
      <c r="BN285" s="116"/>
      <c r="BO285" s="116"/>
      <c r="BP285" s="124">
        <v>415935</v>
      </c>
      <c r="BQ285" s="125">
        <f>BP285*19%</f>
        <v>79027.649999999994</v>
      </c>
      <c r="BR285" s="97">
        <f>+BP285+BQ285</f>
        <v>494962.65</v>
      </c>
      <c r="BS285" s="31" t="s">
        <v>123</v>
      </c>
      <c r="BT285" s="182" t="s">
        <v>355</v>
      </c>
      <c r="BU285" s="5" t="s">
        <v>356</v>
      </c>
      <c r="BV285" s="241">
        <v>1800000</v>
      </c>
      <c r="BW285" s="125">
        <f t="shared" si="108"/>
        <v>342000</v>
      </c>
      <c r="BX285" s="97">
        <f t="shared" si="109"/>
        <v>2142000</v>
      </c>
      <c r="BY285" s="237" t="s">
        <v>319</v>
      </c>
      <c r="BZ285" s="237" t="s">
        <v>93</v>
      </c>
      <c r="CA285" s="116"/>
      <c r="CB285" s="247"/>
      <c r="CC285" s="125"/>
      <c r="CD285" s="247"/>
      <c r="CE285" s="116"/>
      <c r="CF285" s="116"/>
      <c r="CG285" s="34"/>
      <c r="CH285" s="241">
        <v>2136225</v>
      </c>
      <c r="CI285" s="238">
        <f t="shared" si="110"/>
        <v>405882.75</v>
      </c>
      <c r="CJ285" s="236">
        <f t="shared" si="111"/>
        <v>2542107.75</v>
      </c>
      <c r="CK285" s="237" t="s">
        <v>319</v>
      </c>
      <c r="CL285" s="237" t="s">
        <v>93</v>
      </c>
      <c r="CM285" s="116"/>
      <c r="CN285" s="247"/>
      <c r="CO285" s="125"/>
      <c r="CP285" s="247"/>
      <c r="CQ285" s="116"/>
      <c r="CR285" s="116"/>
      <c r="CS285" s="116"/>
      <c r="CT285" s="247"/>
      <c r="CU285" s="125"/>
      <c r="CV285" s="247"/>
      <c r="CW285" s="116"/>
      <c r="CX285" s="116"/>
      <c r="CY285" s="116"/>
      <c r="CZ285" s="102"/>
      <c r="DA285" s="125"/>
      <c r="DB285" s="102"/>
      <c r="DC285" s="31"/>
      <c r="DD285" s="17"/>
      <c r="DE285" s="11"/>
      <c r="DF285" s="116"/>
      <c r="DG285" s="116"/>
      <c r="DH285" s="116"/>
      <c r="DI285" s="116"/>
      <c r="DJ285" s="116"/>
      <c r="DK285" s="116"/>
      <c r="DL285" s="116"/>
      <c r="DM285" s="116"/>
      <c r="DN285" s="116"/>
      <c r="DO285" s="116"/>
      <c r="DP285" s="116"/>
      <c r="DQ285" s="116"/>
      <c r="DR285" s="116"/>
      <c r="DS285" s="116"/>
      <c r="DT285" s="116"/>
      <c r="DU285" s="116"/>
      <c r="DV285" s="116"/>
      <c r="DW285" s="116"/>
      <c r="DX285" s="116"/>
      <c r="DY285" s="116"/>
      <c r="DZ285" s="116"/>
      <c r="EA285" s="116"/>
      <c r="EB285" s="116"/>
      <c r="EC285" s="116"/>
      <c r="ED285" s="116"/>
      <c r="EE285" s="116"/>
      <c r="EF285" s="116"/>
      <c r="EG285" s="116"/>
      <c r="EH285" s="116"/>
      <c r="EI285" s="116"/>
      <c r="EJ285" s="116"/>
      <c r="EK285" s="116"/>
      <c r="EL285" s="116"/>
      <c r="EM285" s="116"/>
      <c r="EN285" s="116"/>
      <c r="EO285" s="116"/>
      <c r="EP285" s="116"/>
      <c r="EQ285" s="116"/>
      <c r="ER285" s="116"/>
      <c r="ES285" s="116"/>
      <c r="ET285" s="11"/>
      <c r="EU285" s="11"/>
      <c r="EV285" s="11"/>
      <c r="EW285" s="11"/>
      <c r="EX285" s="11"/>
      <c r="EY285" s="11"/>
      <c r="EZ285" s="11"/>
      <c r="FA285" s="11"/>
      <c r="FB285" s="11"/>
      <c r="FC285" s="11"/>
      <c r="FD285" s="11"/>
      <c r="FE285" s="11"/>
      <c r="FF285" s="11"/>
      <c r="FG285" s="11"/>
      <c r="FH285" s="17">
        <f t="shared" si="100"/>
        <v>5179070.4000000004</v>
      </c>
      <c r="FI285" s="31">
        <f t="shared" si="101"/>
        <v>3</v>
      </c>
      <c r="FJ285" s="68">
        <f t="shared" si="102"/>
        <v>1726356.8</v>
      </c>
    </row>
    <row r="286" spans="1:166" ht="25.5" x14ac:dyDescent="0.25">
      <c r="A286" s="248">
        <f>Distribución_Reactivos!A286</f>
        <v>284</v>
      </c>
      <c r="B286" s="248" t="str">
        <f>Distribución_Reactivos!B286</f>
        <v>Medio de cultivo PDA Fecha de vencimiento no inferior a dos años</v>
      </c>
      <c r="C286" s="248" t="str">
        <f>Distribución_Reactivos!C286</f>
        <v>Merck</v>
      </c>
      <c r="D286" s="248" t="str">
        <f>Distribución_Reactivos!D286</f>
        <v>Frasco x 500 g</v>
      </c>
      <c r="E286" s="29">
        <v>1</v>
      </c>
      <c r="F286" s="212">
        <v>0</v>
      </c>
      <c r="G286" s="214">
        <v>0</v>
      </c>
      <c r="H286" s="221">
        <v>0</v>
      </c>
      <c r="I286" s="221">
        <v>0</v>
      </c>
      <c r="J286" s="221">
        <v>722330</v>
      </c>
      <c r="K286" s="221">
        <v>0</v>
      </c>
      <c r="L286" s="247">
        <f>J286</f>
        <v>722330</v>
      </c>
      <c r="M286" s="247"/>
      <c r="N286" s="217"/>
      <c r="O286" s="97"/>
      <c r="P286" s="97"/>
      <c r="Q286" s="115"/>
      <c r="R286" s="115"/>
      <c r="S286" s="53"/>
      <c r="T286" s="97"/>
      <c r="U286" s="97"/>
      <c r="V286" s="97"/>
      <c r="W286" s="115"/>
      <c r="X286" s="115"/>
      <c r="Y286" s="11"/>
      <c r="Z286" s="97"/>
      <c r="AA286" s="97"/>
      <c r="AB286" s="97"/>
      <c r="AC286" s="44"/>
      <c r="AD286" s="44"/>
      <c r="AE286" s="11"/>
      <c r="AF286" s="102"/>
      <c r="AG286" s="125"/>
      <c r="AH286" s="97"/>
      <c r="AI286" s="11"/>
      <c r="AJ286" s="11"/>
      <c r="AK286" s="17"/>
      <c r="AL286" s="97"/>
      <c r="AM286" s="97"/>
      <c r="AN286" s="101"/>
      <c r="AO286" s="248"/>
      <c r="AP286" s="17"/>
      <c r="AQ286" s="17"/>
      <c r="AR286" s="252"/>
      <c r="AS286" s="252"/>
      <c r="AT286" s="252"/>
      <c r="AU286" s="52"/>
      <c r="AV286" s="52"/>
      <c r="AW286" s="11"/>
      <c r="AX286" s="100"/>
      <c r="AY286" s="174"/>
      <c r="AZ286" s="124"/>
      <c r="BA286" s="169"/>
      <c r="BB286" s="116"/>
      <c r="BC286" s="116"/>
      <c r="BD286" s="247"/>
      <c r="BE286" s="124"/>
      <c r="BF286" s="124"/>
      <c r="BG286" s="116"/>
      <c r="BH286" s="116"/>
      <c r="BI286" s="116"/>
      <c r="BJ286" s="124"/>
      <c r="BK286" s="124"/>
      <c r="BL286" s="124"/>
      <c r="BM286" s="116"/>
      <c r="BN286" s="116"/>
      <c r="BO286" s="116"/>
      <c r="BP286" s="124"/>
      <c r="BQ286" s="116"/>
      <c r="BR286" s="116"/>
      <c r="BS286" s="116"/>
      <c r="BT286" s="116"/>
      <c r="BU286" s="116"/>
      <c r="BV286" s="236">
        <v>639000</v>
      </c>
      <c r="BW286" s="125">
        <f t="shared" si="108"/>
        <v>121410</v>
      </c>
      <c r="BX286" s="97">
        <f t="shared" si="109"/>
        <v>760410</v>
      </c>
      <c r="BY286" s="237" t="s">
        <v>319</v>
      </c>
      <c r="BZ286" s="237" t="s">
        <v>93</v>
      </c>
      <c r="CA286" s="116"/>
      <c r="CB286" s="247"/>
      <c r="CC286" s="125"/>
      <c r="CD286" s="247"/>
      <c r="CE286" s="116"/>
      <c r="CF286" s="116"/>
      <c r="CG286" s="34"/>
      <c r="CH286" s="236">
        <v>645390</v>
      </c>
      <c r="CI286" s="238">
        <f t="shared" si="110"/>
        <v>122624.1</v>
      </c>
      <c r="CJ286" s="236">
        <f t="shared" si="111"/>
        <v>768014.1</v>
      </c>
      <c r="CK286" s="237" t="s">
        <v>319</v>
      </c>
      <c r="CL286" s="237" t="s">
        <v>93</v>
      </c>
      <c r="CM286" s="116"/>
      <c r="CN286" s="247"/>
      <c r="CO286" s="125"/>
      <c r="CP286" s="247"/>
      <c r="CQ286" s="116"/>
      <c r="CR286" s="116"/>
      <c r="CS286" s="116"/>
      <c r="CT286" s="247"/>
      <c r="CU286" s="125"/>
      <c r="CV286" s="247"/>
      <c r="CW286" s="116"/>
      <c r="CX286" s="116"/>
      <c r="CY286" s="116"/>
      <c r="CZ286" s="102">
        <v>383055</v>
      </c>
      <c r="DA286" s="125">
        <f>+CZ286*0.19</f>
        <v>72780.45</v>
      </c>
      <c r="DB286" s="102">
        <f>+CZ286+DA286</f>
        <v>455835.45</v>
      </c>
      <c r="DC286" s="31" t="s">
        <v>357</v>
      </c>
      <c r="DD286" s="17" t="s">
        <v>65</v>
      </c>
      <c r="DE286" s="11">
        <v>1101300500</v>
      </c>
      <c r="DF286" s="116"/>
      <c r="DG286" s="116"/>
      <c r="DH286" s="116"/>
      <c r="DI286" s="116"/>
      <c r="DJ286" s="116"/>
      <c r="DK286" s="116"/>
      <c r="DL286" s="116"/>
      <c r="DM286" s="116"/>
      <c r="DN286" s="116"/>
      <c r="DO286" s="116"/>
      <c r="DP286" s="116"/>
      <c r="DQ286" s="116"/>
      <c r="DR286" s="116"/>
      <c r="DS286" s="116"/>
      <c r="DT286" s="116"/>
      <c r="DU286" s="116"/>
      <c r="DV286" s="116"/>
      <c r="DW286" s="116"/>
      <c r="DX286" s="116"/>
      <c r="DY286" s="116"/>
      <c r="DZ286" s="116"/>
      <c r="EA286" s="116"/>
      <c r="EB286" s="116"/>
      <c r="EC286" s="116"/>
      <c r="ED286" s="116"/>
      <c r="EE286" s="116"/>
      <c r="EF286" s="116"/>
      <c r="EG286" s="116"/>
      <c r="EH286" s="116"/>
      <c r="EI286" s="116"/>
      <c r="EJ286" s="116"/>
      <c r="EK286" s="116"/>
      <c r="EL286" s="116"/>
      <c r="EM286" s="116"/>
      <c r="EN286" s="116"/>
      <c r="EO286" s="116"/>
      <c r="EP286" s="116"/>
      <c r="EQ286" s="116"/>
      <c r="ER286" s="116"/>
      <c r="ES286" s="116"/>
      <c r="ET286" s="11"/>
      <c r="EU286" s="11"/>
      <c r="EV286" s="11"/>
      <c r="EW286" s="11"/>
      <c r="EX286" s="11"/>
      <c r="EY286" s="11"/>
      <c r="EZ286" s="11"/>
      <c r="FA286" s="11"/>
      <c r="FB286" s="11"/>
      <c r="FC286" s="11"/>
      <c r="FD286" s="11"/>
      <c r="FE286" s="11"/>
      <c r="FF286" s="11"/>
      <c r="FG286" s="11"/>
      <c r="FH286" s="17">
        <f t="shared" si="100"/>
        <v>1984259.55</v>
      </c>
      <c r="FI286" s="31">
        <f t="shared" si="101"/>
        <v>3</v>
      </c>
      <c r="FJ286" s="68">
        <f t="shared" si="102"/>
        <v>661419.85</v>
      </c>
    </row>
    <row r="287" spans="1:166" ht="25.5" x14ac:dyDescent="0.25">
      <c r="A287" s="248">
        <f>Distribución_Reactivos!A287</f>
        <v>285</v>
      </c>
      <c r="B287" s="248" t="str">
        <f>Distribución_Reactivos!B287</f>
        <v>Medio de Kligler</v>
      </c>
      <c r="C287" s="248" t="str">
        <f>Distribución_Reactivos!C287</f>
        <v>Merck o cualquier marca</v>
      </c>
      <c r="D287" s="248" t="str">
        <f>Distribución_Reactivos!D287</f>
        <v>Frasco x 500 g</v>
      </c>
      <c r="E287" s="29">
        <v>1</v>
      </c>
      <c r="F287" s="212">
        <v>0</v>
      </c>
      <c r="G287" s="214">
        <v>0</v>
      </c>
      <c r="H287" s="221">
        <v>0</v>
      </c>
      <c r="I287" s="221">
        <v>0</v>
      </c>
      <c r="J287" s="221">
        <v>1458940</v>
      </c>
      <c r="K287" s="221">
        <v>0</v>
      </c>
      <c r="L287" s="247">
        <f>J287</f>
        <v>1458940</v>
      </c>
      <c r="M287" s="247"/>
      <c r="N287" s="217"/>
      <c r="O287" s="97"/>
      <c r="P287" s="97"/>
      <c r="Q287" s="115"/>
      <c r="R287" s="115"/>
      <c r="S287" s="53"/>
      <c r="T287" s="97"/>
      <c r="U287" s="97"/>
      <c r="V287" s="97"/>
      <c r="W287" s="115"/>
      <c r="X287" s="115"/>
      <c r="Y287" s="11"/>
      <c r="Z287" s="97"/>
      <c r="AA287" s="97"/>
      <c r="AB287" s="97"/>
      <c r="AC287" s="44"/>
      <c r="AD287" s="44"/>
      <c r="AE287" s="11"/>
      <c r="AF287" s="102"/>
      <c r="AG287" s="125"/>
      <c r="AH287" s="97"/>
      <c r="AI287" s="11"/>
      <c r="AJ287" s="11"/>
      <c r="AK287" s="17"/>
      <c r="AL287" s="97"/>
      <c r="AM287" s="97"/>
      <c r="AN287" s="101"/>
      <c r="AO287" s="248"/>
      <c r="AP287" s="17"/>
      <c r="AQ287" s="17"/>
      <c r="AR287" s="252"/>
      <c r="AS287" s="252"/>
      <c r="AT287" s="252"/>
      <c r="AU287" s="52"/>
      <c r="AV287" s="52"/>
      <c r="AW287" s="11"/>
      <c r="AX287" s="100"/>
      <c r="AY287" s="174"/>
      <c r="AZ287" s="124"/>
      <c r="BA287" s="169"/>
      <c r="BB287" s="116"/>
      <c r="BC287" s="116"/>
      <c r="BD287" s="247"/>
      <c r="BE287" s="124"/>
      <c r="BF287" s="124"/>
      <c r="BG287" s="116"/>
      <c r="BH287" s="116"/>
      <c r="BI287" s="116"/>
      <c r="BJ287" s="124"/>
      <c r="BK287" s="124"/>
      <c r="BL287" s="124"/>
      <c r="BM287" s="116"/>
      <c r="BN287" s="116"/>
      <c r="BO287" s="116"/>
      <c r="BP287" s="124"/>
      <c r="BQ287" s="116"/>
      <c r="BR287" s="116"/>
      <c r="BS287" s="116"/>
      <c r="BT287" s="116"/>
      <c r="BU287" s="116"/>
      <c r="BV287" s="236">
        <v>1338500</v>
      </c>
      <c r="BW287" s="125">
        <f t="shared" si="108"/>
        <v>254315</v>
      </c>
      <c r="BX287" s="97">
        <f t="shared" si="109"/>
        <v>1592815</v>
      </c>
      <c r="BY287" s="237" t="s">
        <v>319</v>
      </c>
      <c r="BZ287" s="237" t="s">
        <v>93</v>
      </c>
      <c r="CA287" s="116"/>
      <c r="CB287" s="247"/>
      <c r="CC287" s="125"/>
      <c r="CD287" s="247"/>
      <c r="CE287" s="116"/>
      <c r="CF287" s="116"/>
      <c r="CG287" s="34"/>
      <c r="CH287" s="241">
        <v>1418810</v>
      </c>
      <c r="CI287" s="238">
        <f t="shared" si="110"/>
        <v>269573.90000000002</v>
      </c>
      <c r="CJ287" s="236">
        <f t="shared" si="111"/>
        <v>1688383.9</v>
      </c>
      <c r="CK287" s="237" t="s">
        <v>319</v>
      </c>
      <c r="CL287" s="237" t="s">
        <v>93</v>
      </c>
      <c r="CM287" s="116"/>
      <c r="CN287" s="247"/>
      <c r="CO287" s="125"/>
      <c r="CP287" s="247"/>
      <c r="CQ287" s="116"/>
      <c r="CR287" s="116"/>
      <c r="CS287" s="116"/>
      <c r="CT287" s="247"/>
      <c r="CU287" s="125"/>
      <c r="CV287" s="247"/>
      <c r="CW287" s="116"/>
      <c r="CX287" s="116"/>
      <c r="CY287" s="116"/>
      <c r="CZ287" s="102"/>
      <c r="DA287" s="125"/>
      <c r="DB287" s="102"/>
      <c r="DC287" s="31"/>
      <c r="DD287" s="17"/>
      <c r="DE287" s="11"/>
      <c r="DF287" s="116"/>
      <c r="DG287" s="116"/>
      <c r="DH287" s="116"/>
      <c r="DI287" s="116"/>
      <c r="DJ287" s="116"/>
      <c r="DK287" s="116"/>
      <c r="DL287" s="116"/>
      <c r="DM287" s="116"/>
      <c r="DN287" s="116"/>
      <c r="DO287" s="116"/>
      <c r="DP287" s="116"/>
      <c r="DQ287" s="116"/>
      <c r="DR287" s="116"/>
      <c r="DS287" s="116"/>
      <c r="DT287" s="116"/>
      <c r="DU287" s="116"/>
      <c r="DV287" s="116"/>
      <c r="DW287" s="116"/>
      <c r="DX287" s="116"/>
      <c r="DY287" s="116"/>
      <c r="DZ287" s="116"/>
      <c r="EA287" s="116"/>
      <c r="EB287" s="116"/>
      <c r="EC287" s="116"/>
      <c r="ED287" s="116"/>
      <c r="EE287" s="116"/>
      <c r="EF287" s="116"/>
      <c r="EG287" s="116"/>
      <c r="EH287" s="116"/>
      <c r="EI287" s="116"/>
      <c r="EJ287" s="116"/>
      <c r="EK287" s="116"/>
      <c r="EL287" s="116"/>
      <c r="EM287" s="116"/>
      <c r="EN287" s="116"/>
      <c r="EO287" s="116"/>
      <c r="EP287" s="116"/>
      <c r="EQ287" s="116"/>
      <c r="ER287" s="116"/>
      <c r="ES287" s="116"/>
      <c r="ET287" s="11"/>
      <c r="EU287" s="11"/>
      <c r="EV287" s="11"/>
      <c r="EW287" s="11"/>
      <c r="EX287" s="11"/>
      <c r="EY287" s="11"/>
      <c r="EZ287" s="11"/>
      <c r="FA287" s="11"/>
      <c r="FB287" s="11"/>
      <c r="FC287" s="11"/>
      <c r="FD287" s="11"/>
      <c r="FE287" s="11"/>
      <c r="FF287" s="11"/>
      <c r="FG287" s="11"/>
      <c r="FH287" s="17">
        <f t="shared" si="100"/>
        <v>3281198.9</v>
      </c>
      <c r="FI287" s="31">
        <f t="shared" si="101"/>
        <v>2</v>
      </c>
      <c r="FJ287" s="68">
        <f t="shared" si="102"/>
        <v>1640599.45</v>
      </c>
    </row>
    <row r="288" spans="1:166" ht="40.5" x14ac:dyDescent="0.25">
      <c r="A288" s="248">
        <f>Distribución_Reactivos!A288</f>
        <v>286</v>
      </c>
      <c r="B288" s="248" t="str">
        <f>Distribución_Reactivos!B288</f>
        <v xml:space="preserve">Medio de suspensión para API </v>
      </c>
      <c r="C288" s="248" t="str">
        <f>Distribución_Reactivos!C288</f>
        <v>Biomerieux 20150</v>
      </c>
      <c r="D288" s="248" t="str">
        <f>Distribución_Reactivos!D288</f>
        <v>Caja x ampollas de 5ml</v>
      </c>
      <c r="E288" s="29">
        <v>1</v>
      </c>
      <c r="F288" s="212">
        <v>0</v>
      </c>
      <c r="G288" s="214">
        <v>0</v>
      </c>
      <c r="H288" s="221">
        <v>616598.5</v>
      </c>
      <c r="I288" s="221">
        <v>616539</v>
      </c>
      <c r="J288" s="221">
        <v>1190000</v>
      </c>
      <c r="K288" s="221">
        <v>1172150</v>
      </c>
      <c r="L288" s="247">
        <f>AVERAGE(H288,J288)</f>
        <v>903299.25</v>
      </c>
      <c r="M288" s="247">
        <f>AVERAGE(I288,K288)*E1</f>
        <v>921174.83500000008</v>
      </c>
      <c r="N288" s="217"/>
      <c r="O288" s="97"/>
      <c r="P288" s="97"/>
      <c r="Q288" s="115"/>
      <c r="R288" s="115"/>
      <c r="S288" s="53"/>
      <c r="T288" s="97"/>
      <c r="U288" s="97"/>
      <c r="V288" s="97"/>
      <c r="W288" s="115"/>
      <c r="X288" s="115"/>
      <c r="Y288" s="11"/>
      <c r="Z288" s="97"/>
      <c r="AA288" s="97"/>
      <c r="AB288" s="97"/>
      <c r="AC288" s="115"/>
      <c r="AD288" s="44"/>
      <c r="AE288" s="11"/>
      <c r="AF288" s="102"/>
      <c r="AG288" s="125"/>
      <c r="AH288" s="97"/>
      <c r="AI288" s="11"/>
      <c r="AJ288" s="11"/>
      <c r="AK288" s="17"/>
      <c r="AL288" s="97"/>
      <c r="AM288" s="97"/>
      <c r="AN288" s="101"/>
      <c r="AO288" s="248"/>
      <c r="AP288" s="17"/>
      <c r="AQ288" s="17"/>
      <c r="AR288" s="252"/>
      <c r="AS288" s="252"/>
      <c r="AT288" s="252"/>
      <c r="AU288" s="52"/>
      <c r="AV288" s="52"/>
      <c r="AW288" s="11"/>
      <c r="AX288" s="100"/>
      <c r="AY288" s="100"/>
      <c r="AZ288" s="124"/>
      <c r="BA288" s="169"/>
      <c r="BB288" s="116"/>
      <c r="BC288" s="116"/>
      <c r="BD288" s="247"/>
      <c r="BE288" s="124"/>
      <c r="BF288" s="124"/>
      <c r="BG288" s="116"/>
      <c r="BH288" s="116"/>
      <c r="BI288" s="116"/>
      <c r="BJ288" s="124"/>
      <c r="BK288" s="124"/>
      <c r="BL288" s="124"/>
      <c r="BM288" s="116"/>
      <c r="BN288" s="116"/>
      <c r="BO288" s="116"/>
      <c r="BP288" s="124"/>
      <c r="BQ288" s="116"/>
      <c r="BR288" s="116"/>
      <c r="BS288" s="116"/>
      <c r="BT288" s="116"/>
      <c r="BU288" s="116"/>
      <c r="BV288" s="236">
        <v>552000</v>
      </c>
      <c r="BW288" s="125">
        <f t="shared" ref="BW288:BW293" si="112">BV288*19%</f>
        <v>104880</v>
      </c>
      <c r="BX288" s="97">
        <f t="shared" ref="BX288:BX293" si="113">+BV288+BW288</f>
        <v>656880</v>
      </c>
      <c r="BY288" s="237" t="s">
        <v>358</v>
      </c>
      <c r="BZ288" s="237" t="s">
        <v>359</v>
      </c>
      <c r="CA288" s="116"/>
      <c r="CB288" s="247"/>
      <c r="CC288" s="125"/>
      <c r="CD288" s="247"/>
      <c r="CE288" s="116"/>
      <c r="CF288" s="116"/>
      <c r="CG288" s="34"/>
      <c r="CH288" s="236">
        <v>585120</v>
      </c>
      <c r="CI288" s="238">
        <f t="shared" ref="CI288:CI293" si="114">+CH288*0.19</f>
        <v>111172.8</v>
      </c>
      <c r="CJ288" s="236">
        <f t="shared" ref="CJ288:CJ293" si="115">+CH288+CI288</f>
        <v>696292.8</v>
      </c>
      <c r="CK288" s="237" t="s">
        <v>358</v>
      </c>
      <c r="CL288" s="237" t="s">
        <v>359</v>
      </c>
      <c r="CM288" s="116"/>
      <c r="CN288" s="247"/>
      <c r="CO288" s="125"/>
      <c r="CP288" s="247"/>
      <c r="CQ288" s="116"/>
      <c r="CR288" s="116"/>
      <c r="CS288" s="116"/>
      <c r="CT288" s="247"/>
      <c r="CU288" s="125"/>
      <c r="CV288" s="247"/>
      <c r="CW288" s="116"/>
      <c r="CX288" s="116"/>
      <c r="CY288" s="116"/>
      <c r="CZ288" s="102"/>
      <c r="DA288" s="125"/>
      <c r="DB288" s="102"/>
      <c r="DC288" s="31"/>
      <c r="DD288" s="17"/>
      <c r="DE288" s="11"/>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
      <c r="EU288" s="11"/>
      <c r="EV288" s="11"/>
      <c r="EW288" s="11"/>
      <c r="EX288" s="11"/>
      <c r="EY288" s="11"/>
      <c r="EZ288" s="11"/>
      <c r="FA288" s="11"/>
      <c r="FB288" s="11"/>
      <c r="FC288" s="11"/>
      <c r="FD288" s="11"/>
      <c r="FE288" s="11"/>
      <c r="FF288" s="11"/>
      <c r="FG288" s="11"/>
      <c r="FH288" s="17">
        <f t="shared" si="100"/>
        <v>2274347.6349999998</v>
      </c>
      <c r="FI288" s="31">
        <f t="shared" si="101"/>
        <v>3</v>
      </c>
      <c r="FJ288" s="68">
        <f t="shared" si="102"/>
        <v>758115.8783333333</v>
      </c>
    </row>
    <row r="289" spans="1:166" ht="40.5" x14ac:dyDescent="0.25">
      <c r="A289" s="248">
        <f>Distribución_Reactivos!A289</f>
        <v>287</v>
      </c>
      <c r="B289" s="248" t="str">
        <f>Distribución_Reactivos!B289</f>
        <v>Medio de transporte Stuart</v>
      </c>
      <c r="C289" s="248" t="str">
        <f>Distribución_Reactivos!C289</f>
        <v>Merck, Acumedia, BBL, Sharlau, Sigma</v>
      </c>
      <c r="D289" s="248" t="str">
        <f>Distribución_Reactivos!D289</f>
        <v>Kit x 50 tubos</v>
      </c>
      <c r="E289" s="29">
        <v>1</v>
      </c>
      <c r="F289" s="212">
        <v>906780</v>
      </c>
      <c r="G289" s="214">
        <v>861441</v>
      </c>
      <c r="H289" s="221">
        <v>694766.26800000004</v>
      </c>
      <c r="I289" s="221">
        <v>0</v>
      </c>
      <c r="J289" s="221">
        <v>904513.05</v>
      </c>
      <c r="K289" s="221">
        <v>0</v>
      </c>
      <c r="L289" s="247">
        <f>AVERAGE(F289,H289,J289)</f>
        <v>835353.10600000003</v>
      </c>
      <c r="M289" s="247">
        <f>G289*E1</f>
        <v>887284.23</v>
      </c>
      <c r="N289" s="217"/>
      <c r="O289" s="97"/>
      <c r="P289" s="97"/>
      <c r="Q289" s="115"/>
      <c r="R289" s="115"/>
      <c r="S289" s="53"/>
      <c r="T289" s="97"/>
      <c r="U289" s="97"/>
      <c r="V289" s="97"/>
      <c r="W289" s="115"/>
      <c r="X289" s="115"/>
      <c r="Y289" s="11"/>
      <c r="Z289" s="97"/>
      <c r="AA289" s="97"/>
      <c r="AB289" s="97"/>
      <c r="AC289" s="44"/>
      <c r="AD289" s="44"/>
      <c r="AE289" s="11"/>
      <c r="AF289" s="102"/>
      <c r="AG289" s="125"/>
      <c r="AH289" s="97"/>
      <c r="AI289" s="11"/>
      <c r="AJ289" s="11"/>
      <c r="AK289" s="17"/>
      <c r="AL289" s="97"/>
      <c r="AM289" s="97"/>
      <c r="AN289" s="101"/>
      <c r="AO289" s="248"/>
      <c r="AP289" s="17"/>
      <c r="AQ289" s="17"/>
      <c r="AR289" s="252"/>
      <c r="AS289" s="252"/>
      <c r="AT289" s="252"/>
      <c r="AU289" s="52"/>
      <c r="AV289" s="52"/>
      <c r="AW289" s="11"/>
      <c r="AX289" s="100"/>
      <c r="AY289" s="174"/>
      <c r="AZ289" s="124"/>
      <c r="BA289" s="169"/>
      <c r="BB289" s="116"/>
      <c r="BC289" s="116"/>
      <c r="BD289" s="247"/>
      <c r="BE289" s="124"/>
      <c r="BF289" s="124"/>
      <c r="BG289" s="116"/>
      <c r="BH289" s="116"/>
      <c r="BI289" s="116"/>
      <c r="BJ289" s="124"/>
      <c r="BK289" s="124"/>
      <c r="BL289" s="124"/>
      <c r="BM289" s="116"/>
      <c r="BN289" s="116"/>
      <c r="BO289" s="116"/>
      <c r="BP289" s="124"/>
      <c r="BQ289" s="116"/>
      <c r="BR289" s="116"/>
      <c r="BS289" s="116"/>
      <c r="BT289" s="116"/>
      <c r="BU289" s="116"/>
      <c r="BV289" s="236">
        <v>171800</v>
      </c>
      <c r="BW289" s="125">
        <f t="shared" si="112"/>
        <v>32642</v>
      </c>
      <c r="BX289" s="97">
        <f t="shared" si="113"/>
        <v>204442</v>
      </c>
      <c r="BY289" s="237" t="s">
        <v>360</v>
      </c>
      <c r="BZ289" s="237" t="s">
        <v>361</v>
      </c>
      <c r="CA289" s="116"/>
      <c r="CB289" s="247"/>
      <c r="CC289" s="125"/>
      <c r="CD289" s="247"/>
      <c r="CE289" s="116"/>
      <c r="CF289" s="116"/>
      <c r="CG289" s="34"/>
      <c r="CH289" s="236">
        <v>173518</v>
      </c>
      <c r="CI289" s="238">
        <f t="shared" si="114"/>
        <v>32968.42</v>
      </c>
      <c r="CJ289" s="236">
        <f t="shared" si="115"/>
        <v>206486.41999999998</v>
      </c>
      <c r="CK289" s="237" t="s">
        <v>360</v>
      </c>
      <c r="CL289" s="237" t="s">
        <v>361</v>
      </c>
      <c r="CM289" s="116"/>
      <c r="CN289" s="247"/>
      <c r="CO289" s="125"/>
      <c r="CP289" s="247"/>
      <c r="CQ289" s="116"/>
      <c r="CR289" s="116"/>
      <c r="CS289" s="116"/>
      <c r="CT289" s="247"/>
      <c r="CU289" s="125"/>
      <c r="CV289" s="247"/>
      <c r="CW289" s="116"/>
      <c r="CX289" s="116"/>
      <c r="CY289" s="116"/>
      <c r="CZ289" s="102"/>
      <c r="DA289" s="125"/>
      <c r="DB289" s="102"/>
      <c r="DC289" s="31"/>
      <c r="DD289" s="17"/>
      <c r="DE289" s="11"/>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
      <c r="EU289" s="11"/>
      <c r="EV289" s="11"/>
      <c r="EW289" s="11"/>
      <c r="EX289" s="11"/>
      <c r="EY289" s="11"/>
      <c r="EZ289" s="11"/>
      <c r="FA289" s="11"/>
      <c r="FB289" s="11"/>
      <c r="FC289" s="11"/>
      <c r="FD289" s="11"/>
      <c r="FE289" s="11"/>
      <c r="FF289" s="11"/>
      <c r="FG289" s="11"/>
      <c r="FH289" s="17">
        <f t="shared" si="100"/>
        <v>1298212.6499999999</v>
      </c>
      <c r="FI289" s="31">
        <f t="shared" si="101"/>
        <v>3</v>
      </c>
      <c r="FJ289" s="68">
        <f t="shared" si="102"/>
        <v>432737.55</v>
      </c>
    </row>
    <row r="290" spans="1:166" ht="51" x14ac:dyDescent="0.25">
      <c r="A290" s="248">
        <f>Distribución_Reactivos!A290</f>
        <v>288</v>
      </c>
      <c r="B290" s="248" t="str">
        <f>Distribución_Reactivos!B290</f>
        <v>Medio Dulbecco´s MEM</v>
      </c>
      <c r="C290" s="248" t="str">
        <f>Distribución_Reactivos!C290</f>
        <v xml:space="preserve">Gibco, Sigma-Aldrich </v>
      </c>
      <c r="D290" s="248" t="str">
        <f>Distribución_Reactivos!D290</f>
        <v>Frasco x 500 ml</v>
      </c>
      <c r="E290" s="29">
        <v>1</v>
      </c>
      <c r="F290" s="212">
        <v>83538</v>
      </c>
      <c r="G290" s="214">
        <v>0</v>
      </c>
      <c r="H290" s="221">
        <v>133641.67670000001</v>
      </c>
      <c r="I290" s="221">
        <v>0</v>
      </c>
      <c r="J290" s="221">
        <v>0</v>
      </c>
      <c r="K290" s="221">
        <v>0</v>
      </c>
      <c r="L290" s="247">
        <f>AVERAGE(F290,H290)</f>
        <v>108589.83835000001</v>
      </c>
      <c r="M290" s="247"/>
      <c r="N290" s="217"/>
      <c r="O290" s="97"/>
      <c r="P290" s="97"/>
      <c r="Q290" s="115"/>
      <c r="R290" s="115"/>
      <c r="S290" s="53"/>
      <c r="T290" s="97"/>
      <c r="U290" s="97"/>
      <c r="V290" s="97"/>
      <c r="W290" s="115"/>
      <c r="X290" s="115"/>
      <c r="Y290" s="11"/>
      <c r="Z290" s="97"/>
      <c r="AA290" s="97"/>
      <c r="AB290" s="97"/>
      <c r="AC290" s="44"/>
      <c r="AD290" s="44"/>
      <c r="AE290" s="11"/>
      <c r="AF290" s="102"/>
      <c r="AG290" s="125"/>
      <c r="AH290" s="97"/>
      <c r="AI290" s="11"/>
      <c r="AJ290" s="11"/>
      <c r="AK290" s="17"/>
      <c r="AL290" s="97"/>
      <c r="AM290" s="97"/>
      <c r="AN290" s="101"/>
      <c r="AO290" s="248"/>
      <c r="AP290" s="17"/>
      <c r="AQ290" s="17"/>
      <c r="AR290" s="252"/>
      <c r="AS290" s="252"/>
      <c r="AT290" s="252"/>
      <c r="AU290" s="52"/>
      <c r="AV290" s="52"/>
      <c r="AW290" s="11"/>
      <c r="AX290" s="100"/>
      <c r="AY290" s="174"/>
      <c r="AZ290" s="124"/>
      <c r="BA290" s="169"/>
      <c r="BB290" s="116"/>
      <c r="BC290" s="116"/>
      <c r="BD290" s="247"/>
      <c r="BE290" s="124"/>
      <c r="BF290" s="124"/>
      <c r="BG290" s="116"/>
      <c r="BH290" s="116"/>
      <c r="BI290" s="116"/>
      <c r="BJ290" s="124"/>
      <c r="BK290" s="124"/>
      <c r="BL290" s="124"/>
      <c r="BM290" s="116"/>
      <c r="BN290" s="116"/>
      <c r="BO290" s="116"/>
      <c r="BP290" s="124">
        <v>379878</v>
      </c>
      <c r="BQ290" s="125">
        <f>BP290*19%</f>
        <v>72176.820000000007</v>
      </c>
      <c r="BR290" s="97">
        <f>+BP290+BQ290</f>
        <v>452054.82</v>
      </c>
      <c r="BS290" s="31" t="s">
        <v>144</v>
      </c>
      <c r="BT290" s="182" t="s">
        <v>362</v>
      </c>
      <c r="BU290" s="5" t="s">
        <v>363</v>
      </c>
      <c r="BV290" s="236">
        <v>258800</v>
      </c>
      <c r="BW290" s="125">
        <f t="shared" si="112"/>
        <v>49172</v>
      </c>
      <c r="BX290" s="97">
        <f t="shared" si="113"/>
        <v>307972</v>
      </c>
      <c r="BY290" s="237" t="s">
        <v>339</v>
      </c>
      <c r="BZ290" s="237" t="s">
        <v>252</v>
      </c>
      <c r="CA290" s="116"/>
      <c r="CB290" s="247"/>
      <c r="CC290" s="125"/>
      <c r="CD290" s="247"/>
      <c r="CE290" s="116"/>
      <c r="CF290" s="116"/>
      <c r="CG290" s="34"/>
      <c r="CH290" s="236">
        <v>271740</v>
      </c>
      <c r="CI290" s="238">
        <f t="shared" si="114"/>
        <v>51630.6</v>
      </c>
      <c r="CJ290" s="236">
        <f t="shared" si="115"/>
        <v>323370.59999999998</v>
      </c>
      <c r="CK290" s="237" t="s">
        <v>339</v>
      </c>
      <c r="CL290" s="237" t="s">
        <v>252</v>
      </c>
      <c r="CM290" s="116"/>
      <c r="CN290" s="247"/>
      <c r="CO290" s="125"/>
      <c r="CP290" s="247"/>
      <c r="CQ290" s="116"/>
      <c r="CR290" s="116"/>
      <c r="CS290" s="116"/>
      <c r="CT290" s="247"/>
      <c r="CU290" s="125"/>
      <c r="CV290" s="247"/>
      <c r="CW290" s="116"/>
      <c r="CX290" s="116"/>
      <c r="CY290" s="116"/>
      <c r="CZ290" s="102"/>
      <c r="DA290" s="125"/>
      <c r="DB290" s="102"/>
      <c r="DC290" s="31"/>
      <c r="DD290" s="17"/>
      <c r="DE290" s="11"/>
      <c r="DF290" s="116"/>
      <c r="DG290" s="116"/>
      <c r="DH290" s="116"/>
      <c r="DI290" s="116"/>
      <c r="DJ290" s="116"/>
      <c r="DK290" s="116"/>
      <c r="DL290" s="116"/>
      <c r="DM290" s="116"/>
      <c r="DN290" s="116"/>
      <c r="DO290" s="116"/>
      <c r="DP290" s="116"/>
      <c r="DQ290" s="116"/>
      <c r="DR290" s="116"/>
      <c r="DS290" s="116"/>
      <c r="DT290" s="116"/>
      <c r="DU290" s="116"/>
      <c r="DV290" s="116"/>
      <c r="DW290" s="116"/>
      <c r="DX290" s="116"/>
      <c r="DY290" s="116"/>
      <c r="DZ290" s="116"/>
      <c r="EA290" s="116"/>
      <c r="EB290" s="116"/>
      <c r="EC290" s="116"/>
      <c r="ED290" s="116"/>
      <c r="EE290" s="116"/>
      <c r="EF290" s="116"/>
      <c r="EG290" s="116"/>
      <c r="EH290" s="116"/>
      <c r="EI290" s="116"/>
      <c r="EJ290" s="116"/>
      <c r="EK290" s="116"/>
      <c r="EL290" s="116"/>
      <c r="EM290" s="116"/>
      <c r="EN290" s="116"/>
      <c r="EO290" s="116"/>
      <c r="EP290" s="116"/>
      <c r="EQ290" s="116"/>
      <c r="ER290" s="116"/>
      <c r="ES290" s="116"/>
      <c r="ET290" s="11"/>
      <c r="EU290" s="11"/>
      <c r="EV290" s="11"/>
      <c r="EW290" s="11"/>
      <c r="EX290" s="11"/>
      <c r="EY290" s="11"/>
      <c r="EZ290" s="11"/>
      <c r="FA290" s="11"/>
      <c r="FB290" s="11"/>
      <c r="FC290" s="11"/>
      <c r="FD290" s="11"/>
      <c r="FE290" s="11"/>
      <c r="FF290" s="11"/>
      <c r="FG290" s="11"/>
      <c r="FH290" s="17">
        <f t="shared" si="100"/>
        <v>1083397.42</v>
      </c>
      <c r="FI290" s="31">
        <f t="shared" si="101"/>
        <v>3</v>
      </c>
      <c r="FJ290" s="68">
        <f t="shared" si="102"/>
        <v>361132.47333333333</v>
      </c>
    </row>
    <row r="291" spans="1:166" ht="25.5" x14ac:dyDescent="0.25">
      <c r="A291" s="248">
        <f>Distribución_Reactivos!A291</f>
        <v>289</v>
      </c>
      <c r="B291" s="248" t="str">
        <f>Distribución_Reactivos!B291</f>
        <v>Extracto de carne Fecha de vencimiento no inferior a dos año</v>
      </c>
      <c r="C291" s="248" t="str">
        <f>Distribución_Reactivos!C291</f>
        <v>Merck</v>
      </c>
      <c r="D291" s="248" t="str">
        <f>Distribución_Reactivos!D291</f>
        <v>Frasco x 500 g</v>
      </c>
      <c r="E291" s="29">
        <v>1</v>
      </c>
      <c r="F291" s="212">
        <v>0</v>
      </c>
      <c r="G291" s="214">
        <v>0</v>
      </c>
      <c r="H291" s="221">
        <v>0</v>
      </c>
      <c r="I291" s="221">
        <v>0</v>
      </c>
      <c r="J291" s="221">
        <v>2729860</v>
      </c>
      <c r="K291" s="221">
        <v>0</v>
      </c>
      <c r="L291" s="247">
        <f>J291</f>
        <v>2729860</v>
      </c>
      <c r="M291" s="247"/>
      <c r="N291" s="217"/>
      <c r="O291" s="97"/>
      <c r="P291" s="97"/>
      <c r="Q291" s="115"/>
      <c r="R291" s="115"/>
      <c r="S291" s="53"/>
      <c r="T291" s="97"/>
      <c r="U291" s="101"/>
      <c r="V291" s="97"/>
      <c r="W291" s="115"/>
      <c r="X291" s="115"/>
      <c r="Y291" s="11"/>
      <c r="Z291" s="97"/>
      <c r="AA291" s="97"/>
      <c r="AB291" s="97"/>
      <c r="AC291" s="44"/>
      <c r="AD291" s="44"/>
      <c r="AE291" s="11"/>
      <c r="AF291" s="102"/>
      <c r="AG291" s="125"/>
      <c r="AH291" s="97"/>
      <c r="AI291" s="11"/>
      <c r="AJ291" s="11"/>
      <c r="AK291" s="17"/>
      <c r="AL291" s="97"/>
      <c r="AM291" s="97"/>
      <c r="AN291" s="101"/>
      <c r="AO291" s="248"/>
      <c r="AP291" s="17"/>
      <c r="AQ291" s="17"/>
      <c r="AR291" s="252"/>
      <c r="AS291" s="252"/>
      <c r="AT291" s="252"/>
      <c r="AU291" s="52"/>
      <c r="AV291" s="52"/>
      <c r="AW291" s="11"/>
      <c r="AX291" s="100"/>
      <c r="AY291" s="174"/>
      <c r="AZ291" s="124"/>
      <c r="BA291" s="169"/>
      <c r="BB291" s="116"/>
      <c r="BC291" s="116"/>
      <c r="BD291" s="247"/>
      <c r="BE291" s="124"/>
      <c r="BF291" s="124"/>
      <c r="BG291" s="116"/>
      <c r="BH291" s="116"/>
      <c r="BI291" s="116"/>
      <c r="BJ291" s="124"/>
      <c r="BK291" s="124"/>
      <c r="BL291" s="124"/>
      <c r="BM291" s="116"/>
      <c r="BN291" s="116"/>
      <c r="BO291" s="116"/>
      <c r="BP291" s="124"/>
      <c r="BQ291" s="116"/>
      <c r="BR291" s="116"/>
      <c r="BS291" s="116"/>
      <c r="BT291" s="116"/>
      <c r="BU291" s="116"/>
      <c r="BV291" s="236">
        <v>2507800</v>
      </c>
      <c r="BW291" s="125">
        <f t="shared" si="112"/>
        <v>476482</v>
      </c>
      <c r="BX291" s="97">
        <f t="shared" si="113"/>
        <v>2984282</v>
      </c>
      <c r="BY291" s="237" t="s">
        <v>319</v>
      </c>
      <c r="BZ291" s="237" t="s">
        <v>93</v>
      </c>
      <c r="CA291" s="116"/>
      <c r="CB291" s="247"/>
      <c r="CC291" s="125"/>
      <c r="CD291" s="247"/>
      <c r="CE291" s="116"/>
      <c r="CF291" s="116"/>
      <c r="CG291" s="34"/>
      <c r="CH291" s="241">
        <v>2683346</v>
      </c>
      <c r="CI291" s="238">
        <f t="shared" si="114"/>
        <v>509835.74</v>
      </c>
      <c r="CJ291" s="236">
        <f t="shared" si="115"/>
        <v>3193181.74</v>
      </c>
      <c r="CK291" s="237" t="s">
        <v>319</v>
      </c>
      <c r="CL291" s="237" t="s">
        <v>93</v>
      </c>
      <c r="CM291" s="116"/>
      <c r="CN291" s="247"/>
      <c r="CO291" s="125"/>
      <c r="CP291" s="247"/>
      <c r="CQ291" s="116"/>
      <c r="CR291" s="116"/>
      <c r="CS291" s="116"/>
      <c r="CT291" s="247"/>
      <c r="CU291" s="125"/>
      <c r="CV291" s="247"/>
      <c r="CW291" s="116"/>
      <c r="CX291" s="116"/>
      <c r="CY291" s="116"/>
      <c r="CZ291" s="102"/>
      <c r="DA291" s="125"/>
      <c r="DB291" s="102"/>
      <c r="DC291" s="31"/>
      <c r="DD291" s="17"/>
      <c r="DE291" s="11"/>
      <c r="DF291" s="116"/>
      <c r="DG291" s="116"/>
      <c r="DH291" s="116"/>
      <c r="DI291" s="116"/>
      <c r="DJ291" s="116"/>
      <c r="DK291" s="116"/>
      <c r="DL291" s="116"/>
      <c r="DM291" s="116"/>
      <c r="DN291" s="116"/>
      <c r="DO291" s="116"/>
      <c r="DP291" s="116"/>
      <c r="DQ291" s="116"/>
      <c r="DR291" s="116"/>
      <c r="DS291" s="116"/>
      <c r="DT291" s="116"/>
      <c r="DU291" s="116"/>
      <c r="DV291" s="116"/>
      <c r="DW291" s="116"/>
      <c r="DX291" s="116"/>
      <c r="DY291" s="116"/>
      <c r="DZ291" s="116"/>
      <c r="EA291" s="116"/>
      <c r="EB291" s="116"/>
      <c r="EC291" s="116"/>
      <c r="ED291" s="116"/>
      <c r="EE291" s="116"/>
      <c r="EF291" s="116"/>
      <c r="EG291" s="116"/>
      <c r="EH291" s="116"/>
      <c r="EI291" s="116"/>
      <c r="EJ291" s="116"/>
      <c r="EK291" s="116"/>
      <c r="EL291" s="116"/>
      <c r="EM291" s="116"/>
      <c r="EN291" s="116"/>
      <c r="EO291" s="116"/>
      <c r="EP291" s="116"/>
      <c r="EQ291" s="116"/>
      <c r="ER291" s="116"/>
      <c r="ES291" s="116"/>
      <c r="ET291" s="11"/>
      <c r="EU291" s="11"/>
      <c r="EV291" s="11"/>
      <c r="EW291" s="11"/>
      <c r="EX291" s="11"/>
      <c r="EY291" s="11"/>
      <c r="EZ291" s="11"/>
      <c r="FA291" s="11"/>
      <c r="FB291" s="11"/>
      <c r="FC291" s="11"/>
      <c r="FD291" s="11"/>
      <c r="FE291" s="11"/>
      <c r="FF291" s="11"/>
      <c r="FG291" s="11"/>
      <c r="FH291" s="17">
        <f t="shared" si="100"/>
        <v>6177463.7400000002</v>
      </c>
      <c r="FI291" s="31">
        <f t="shared" si="101"/>
        <v>2</v>
      </c>
      <c r="FJ291" s="68">
        <f t="shared" si="102"/>
        <v>3088731.87</v>
      </c>
    </row>
    <row r="292" spans="1:166" ht="25.5" x14ac:dyDescent="0.25">
      <c r="A292" s="248">
        <f>Distribución_Reactivos!A292</f>
        <v>290</v>
      </c>
      <c r="B292" s="248" t="str">
        <f>Distribución_Reactivos!B292</f>
        <v>Medio King B</v>
      </c>
      <c r="C292" s="248" t="str">
        <f>Distribución_Reactivos!C292</f>
        <v>Merck o cualquier marca</v>
      </c>
      <c r="D292" s="248" t="str">
        <f>Distribución_Reactivos!D292</f>
        <v>Frasco x 500 g</v>
      </c>
      <c r="E292" s="29">
        <v>1</v>
      </c>
      <c r="F292" s="212">
        <v>0</v>
      </c>
      <c r="G292" s="214">
        <v>0</v>
      </c>
      <c r="H292" s="221">
        <v>0</v>
      </c>
      <c r="I292" s="221">
        <v>0</v>
      </c>
      <c r="J292" s="221">
        <v>3722320</v>
      </c>
      <c r="K292" s="221">
        <v>3647826</v>
      </c>
      <c r="L292" s="247">
        <f>J292</f>
        <v>3722320</v>
      </c>
      <c r="M292" s="247">
        <f>K292*E1</f>
        <v>3757260.7800000003</v>
      </c>
      <c r="N292" s="217"/>
      <c r="O292" s="97"/>
      <c r="P292" s="97"/>
      <c r="Q292" s="115"/>
      <c r="R292" s="115"/>
      <c r="S292" s="53"/>
      <c r="T292" s="97"/>
      <c r="U292" s="97"/>
      <c r="V292" s="97"/>
      <c r="W292" s="115"/>
      <c r="X292" s="115"/>
      <c r="Y292" s="11"/>
      <c r="Z292" s="97"/>
      <c r="AA292" s="97"/>
      <c r="AB292" s="97"/>
      <c r="AC292" s="44"/>
      <c r="AD292" s="44"/>
      <c r="AE292" s="11"/>
      <c r="AF292" s="102"/>
      <c r="AG292" s="125"/>
      <c r="AH292" s="97"/>
      <c r="AI292" s="11"/>
      <c r="AJ292" s="11"/>
      <c r="AK292" s="17"/>
      <c r="AL292" s="97"/>
      <c r="AM292" s="97"/>
      <c r="AN292" s="127"/>
      <c r="AO292" s="248"/>
      <c r="AP292" s="17"/>
      <c r="AQ292" s="17"/>
      <c r="AR292" s="252"/>
      <c r="AS292" s="252"/>
      <c r="AT292" s="252"/>
      <c r="AU292" s="52"/>
      <c r="AV292" s="52"/>
      <c r="AW292" s="11"/>
      <c r="AX292" s="100"/>
      <c r="AY292" s="174"/>
      <c r="AZ292" s="124"/>
      <c r="BA292" s="169"/>
      <c r="BB292" s="116"/>
      <c r="BC292" s="116"/>
      <c r="BD292" s="247"/>
      <c r="BE292" s="124"/>
      <c r="BF292" s="124"/>
      <c r="BG292" s="116"/>
      <c r="BH292" s="116"/>
      <c r="BI292" s="116"/>
      <c r="BJ292" s="124"/>
      <c r="BK292" s="124"/>
      <c r="BL292" s="124"/>
      <c r="BM292" s="116"/>
      <c r="BN292" s="116"/>
      <c r="BO292" s="116"/>
      <c r="BP292" s="124"/>
      <c r="BQ292" s="116"/>
      <c r="BR292" s="116"/>
      <c r="BS292" s="116"/>
      <c r="BT292" s="116"/>
      <c r="BU292" s="116"/>
      <c r="BV292" s="236">
        <v>3419400</v>
      </c>
      <c r="BW292" s="125">
        <f t="shared" si="112"/>
        <v>649686</v>
      </c>
      <c r="BX292" s="97">
        <f t="shared" si="113"/>
        <v>4069086</v>
      </c>
      <c r="BY292" s="237" t="s">
        <v>319</v>
      </c>
      <c r="BZ292" s="237" t="s">
        <v>93</v>
      </c>
      <c r="CA292" s="116"/>
      <c r="CB292" s="247"/>
      <c r="CC292" s="125"/>
      <c r="CD292" s="247"/>
      <c r="CE292" s="116"/>
      <c r="CF292" s="116"/>
      <c r="CG292" s="34"/>
      <c r="CH292" s="241">
        <v>3590370</v>
      </c>
      <c r="CI292" s="238">
        <f t="shared" si="114"/>
        <v>682170.3</v>
      </c>
      <c r="CJ292" s="236">
        <f t="shared" si="115"/>
        <v>4272540.3</v>
      </c>
      <c r="CK292" s="237" t="s">
        <v>319</v>
      </c>
      <c r="CL292" s="237" t="s">
        <v>93</v>
      </c>
      <c r="CM292" s="116"/>
      <c r="CN292" s="247"/>
      <c r="CO292" s="125"/>
      <c r="CP292" s="247"/>
      <c r="CQ292" s="116"/>
      <c r="CR292" s="116"/>
      <c r="CS292" s="116"/>
      <c r="CT292" s="247"/>
      <c r="CU292" s="125"/>
      <c r="CV292" s="247"/>
      <c r="CW292" s="116"/>
      <c r="CX292" s="116"/>
      <c r="CY292" s="116"/>
      <c r="CZ292" s="102"/>
      <c r="DA292" s="125"/>
      <c r="DB292" s="102"/>
      <c r="DC292" s="31"/>
      <c r="DD292" s="17"/>
      <c r="DE292" s="11"/>
      <c r="DF292" s="116"/>
      <c r="DG292" s="116"/>
      <c r="DH292" s="116"/>
      <c r="DI292" s="116"/>
      <c r="DJ292" s="116"/>
      <c r="DK292" s="116"/>
      <c r="DL292" s="116"/>
      <c r="DM292" s="116"/>
      <c r="DN292" s="116"/>
      <c r="DO292" s="116"/>
      <c r="DP292" s="116"/>
      <c r="DQ292" s="116"/>
      <c r="DR292" s="116"/>
      <c r="DS292" s="116"/>
      <c r="DT292" s="116"/>
      <c r="DU292" s="116"/>
      <c r="DV292" s="116"/>
      <c r="DW292" s="116"/>
      <c r="DX292" s="116"/>
      <c r="DY292" s="116"/>
      <c r="DZ292" s="116"/>
      <c r="EA292" s="116"/>
      <c r="EB292" s="116"/>
      <c r="EC292" s="116"/>
      <c r="ED292" s="116"/>
      <c r="EE292" s="116"/>
      <c r="EF292" s="116"/>
      <c r="EG292" s="116"/>
      <c r="EH292" s="116"/>
      <c r="EI292" s="116"/>
      <c r="EJ292" s="116"/>
      <c r="EK292" s="116"/>
      <c r="EL292" s="116"/>
      <c r="EM292" s="116"/>
      <c r="EN292" s="116"/>
      <c r="EO292" s="116"/>
      <c r="EP292" s="116"/>
      <c r="EQ292" s="116"/>
      <c r="ER292" s="116"/>
      <c r="ES292" s="116"/>
      <c r="ET292" s="11"/>
      <c r="EU292" s="11"/>
      <c r="EV292" s="11"/>
      <c r="EW292" s="11"/>
      <c r="EX292" s="11"/>
      <c r="EY292" s="11"/>
      <c r="EZ292" s="11"/>
      <c r="FA292" s="11"/>
      <c r="FB292" s="11"/>
      <c r="FC292" s="11"/>
      <c r="FD292" s="11"/>
      <c r="FE292" s="11"/>
      <c r="FF292" s="11"/>
      <c r="FG292" s="11"/>
      <c r="FH292" s="17">
        <f t="shared" si="100"/>
        <v>12098887.08</v>
      </c>
      <c r="FI292" s="31">
        <f t="shared" si="101"/>
        <v>3</v>
      </c>
      <c r="FJ292" s="68">
        <f t="shared" si="102"/>
        <v>4032962.36</v>
      </c>
    </row>
    <row r="293" spans="1:166" ht="40.5" x14ac:dyDescent="0.25">
      <c r="A293" s="248">
        <f>Distribución_Reactivos!A293</f>
        <v>291</v>
      </c>
      <c r="B293" s="248" t="str">
        <f>Distribución_Reactivos!B293</f>
        <v>Medio Simmons Citrato</v>
      </c>
      <c r="C293" s="248" t="str">
        <f>Distribución_Reactivos!C293</f>
        <v>Merck o cualquier marca</v>
      </c>
      <c r="D293" s="248" t="str">
        <f>Distribución_Reactivos!D293</f>
        <v>Frasco x 500 g</v>
      </c>
      <c r="E293" s="29">
        <v>1</v>
      </c>
      <c r="F293" s="212">
        <v>0</v>
      </c>
      <c r="G293" s="214">
        <v>0</v>
      </c>
      <c r="H293" s="221">
        <v>0</v>
      </c>
      <c r="I293" s="221">
        <v>0</v>
      </c>
      <c r="J293" s="221">
        <v>2039660</v>
      </c>
      <c r="K293" s="221">
        <v>1892100</v>
      </c>
      <c r="L293" s="247">
        <f>J293</f>
        <v>2039660</v>
      </c>
      <c r="M293" s="247">
        <f>K293*E1</f>
        <v>1948863</v>
      </c>
      <c r="N293" s="219">
        <v>700500</v>
      </c>
      <c r="O293" s="97">
        <f>+N293*0.19</f>
        <v>133095</v>
      </c>
      <c r="P293" s="97">
        <f>+O293+N293</f>
        <v>833595</v>
      </c>
      <c r="Q293" s="34" t="s">
        <v>118</v>
      </c>
      <c r="R293" s="116" t="s">
        <v>119</v>
      </c>
      <c r="S293" s="53"/>
      <c r="T293" s="97"/>
      <c r="U293" s="101"/>
      <c r="V293" s="97"/>
      <c r="W293" s="115"/>
      <c r="X293" s="115"/>
      <c r="Y293" s="11"/>
      <c r="Z293" s="97"/>
      <c r="AA293" s="97"/>
      <c r="AB293" s="97"/>
      <c r="AC293" s="44"/>
      <c r="AD293" s="44"/>
      <c r="AE293" s="11"/>
      <c r="AF293" s="102"/>
      <c r="AG293" s="125"/>
      <c r="AH293" s="97"/>
      <c r="AI293" s="11"/>
      <c r="AJ293" s="11"/>
      <c r="AK293" s="17"/>
      <c r="AL293" s="97"/>
      <c r="AM293" s="97"/>
      <c r="AN293" s="101"/>
      <c r="AO293" s="248"/>
      <c r="AP293" s="17"/>
      <c r="AQ293" s="17"/>
      <c r="AR293" s="252"/>
      <c r="AS293" s="252"/>
      <c r="AT293" s="252"/>
      <c r="AU293" s="52"/>
      <c r="AV293" s="52"/>
      <c r="AW293" s="11"/>
      <c r="AX293" s="100"/>
      <c r="AY293" s="100"/>
      <c r="AZ293" s="124"/>
      <c r="BA293" s="169"/>
      <c r="BB293" s="116"/>
      <c r="BC293" s="116"/>
      <c r="BD293" s="247"/>
      <c r="BE293" s="124"/>
      <c r="BF293" s="124"/>
      <c r="BG293" s="116"/>
      <c r="BH293" s="116"/>
      <c r="BI293" s="116"/>
      <c r="BJ293" s="124"/>
      <c r="BK293" s="124"/>
      <c r="BL293" s="124"/>
      <c r="BM293" s="116"/>
      <c r="BN293" s="116"/>
      <c r="BO293" s="116"/>
      <c r="BP293" s="124"/>
      <c r="BQ293" s="116"/>
      <c r="BR293" s="116"/>
      <c r="BS293" s="116"/>
      <c r="BT293" s="116"/>
      <c r="BU293" s="116"/>
      <c r="BV293" s="236">
        <v>522000</v>
      </c>
      <c r="BW293" s="125">
        <f t="shared" si="112"/>
        <v>99180</v>
      </c>
      <c r="BX293" s="97">
        <f t="shared" si="113"/>
        <v>621180</v>
      </c>
      <c r="BY293" s="237" t="s">
        <v>319</v>
      </c>
      <c r="BZ293" s="237" t="s">
        <v>117</v>
      </c>
      <c r="CA293" s="116"/>
      <c r="CB293" s="247"/>
      <c r="CC293" s="125"/>
      <c r="CD293" s="247"/>
      <c r="CE293" s="116"/>
      <c r="CF293" s="116"/>
      <c r="CG293" s="34"/>
      <c r="CH293" s="236">
        <v>532440</v>
      </c>
      <c r="CI293" s="238">
        <f t="shared" si="114"/>
        <v>101163.6</v>
      </c>
      <c r="CJ293" s="236">
        <f t="shared" si="115"/>
        <v>633603.6</v>
      </c>
      <c r="CK293" s="237" t="s">
        <v>319</v>
      </c>
      <c r="CL293" s="237" t="s">
        <v>117</v>
      </c>
      <c r="CM293" s="116"/>
      <c r="CN293" s="247"/>
      <c r="CO293" s="125"/>
      <c r="CP293" s="247"/>
      <c r="CQ293" s="116"/>
      <c r="CR293" s="116"/>
      <c r="CS293" s="116"/>
      <c r="CT293" s="247"/>
      <c r="CU293" s="125"/>
      <c r="CV293" s="247"/>
      <c r="CW293" s="116"/>
      <c r="CX293" s="116"/>
      <c r="CY293" s="116"/>
      <c r="CZ293" s="102">
        <v>1114444</v>
      </c>
      <c r="DA293" s="125">
        <f>+CZ293*0.19</f>
        <v>211744.36000000002</v>
      </c>
      <c r="DB293" s="102">
        <f>+CZ293+DA293</f>
        <v>1326188.3600000001</v>
      </c>
      <c r="DC293" s="31" t="s">
        <v>357</v>
      </c>
      <c r="DD293" s="17" t="s">
        <v>65</v>
      </c>
      <c r="DE293" s="11">
        <v>1025010500</v>
      </c>
      <c r="DF293" s="116"/>
      <c r="DG293" s="116"/>
      <c r="DH293" s="116"/>
      <c r="DI293" s="116"/>
      <c r="DJ293" s="116"/>
      <c r="DK293" s="116"/>
      <c r="DL293" s="116"/>
      <c r="DM293" s="116"/>
      <c r="DN293" s="116"/>
      <c r="DO293" s="116"/>
      <c r="DP293" s="116"/>
      <c r="DQ293" s="116"/>
      <c r="DR293" s="116"/>
      <c r="DS293" s="116"/>
      <c r="DT293" s="116"/>
      <c r="DU293" s="116"/>
      <c r="DV293" s="116"/>
      <c r="DW293" s="116"/>
      <c r="DX293" s="116"/>
      <c r="DY293" s="116"/>
      <c r="DZ293" s="116"/>
      <c r="EA293" s="116"/>
      <c r="EB293" s="116"/>
      <c r="EC293" s="116"/>
      <c r="ED293" s="116"/>
      <c r="EE293" s="116"/>
      <c r="EF293" s="116"/>
      <c r="EG293" s="116"/>
      <c r="EH293" s="116"/>
      <c r="EI293" s="116"/>
      <c r="EJ293" s="116"/>
      <c r="EK293" s="116"/>
      <c r="EL293" s="116"/>
      <c r="EM293" s="116"/>
      <c r="EN293" s="116"/>
      <c r="EO293" s="116"/>
      <c r="EP293" s="116"/>
      <c r="EQ293" s="116"/>
      <c r="ER293" s="116"/>
      <c r="ES293" s="116"/>
      <c r="ET293" s="11"/>
      <c r="EU293" s="11"/>
      <c r="EV293" s="11"/>
      <c r="EW293" s="11"/>
      <c r="EX293" s="11"/>
      <c r="EY293" s="11"/>
      <c r="EZ293" s="11"/>
      <c r="FA293" s="11"/>
      <c r="FB293" s="11"/>
      <c r="FC293" s="11"/>
      <c r="FD293" s="11"/>
      <c r="FE293" s="11"/>
      <c r="FF293" s="11"/>
      <c r="FG293" s="11"/>
      <c r="FH293" s="17">
        <f t="shared" si="100"/>
        <v>5363429.96</v>
      </c>
      <c r="FI293" s="31">
        <f t="shared" si="101"/>
        <v>5</v>
      </c>
      <c r="FJ293" s="68">
        <f t="shared" si="102"/>
        <v>1072685.9920000001</v>
      </c>
    </row>
    <row r="294" spans="1:166" ht="54" x14ac:dyDescent="0.25">
      <c r="A294" s="248">
        <f>Distribución_Reactivos!A294</f>
        <v>292</v>
      </c>
      <c r="B294" s="248" t="str">
        <f>Distribución_Reactivos!B294</f>
        <v>MEM Non-Essential Amino Acids Solution (100X)</v>
      </c>
      <c r="C294" s="248" t="str">
        <f>Distribución_Reactivos!C294</f>
        <v>Gibco 11140076</v>
      </c>
      <c r="D294" s="248" t="str">
        <f>Distribución_Reactivos!D294</f>
        <v>Frasco x 100 ml</v>
      </c>
      <c r="E294" s="29">
        <v>1</v>
      </c>
      <c r="F294" s="212">
        <v>0</v>
      </c>
      <c r="G294" s="214">
        <v>0</v>
      </c>
      <c r="H294" s="221">
        <v>2140810</v>
      </c>
      <c r="I294" s="221">
        <v>0</v>
      </c>
      <c r="J294" s="221">
        <v>2529275</v>
      </c>
      <c r="K294" s="221">
        <v>0</v>
      </c>
      <c r="L294" s="247">
        <f>AVERAGE(H294,J294)</f>
        <v>2335042.5</v>
      </c>
      <c r="M294" s="247"/>
      <c r="N294" s="217"/>
      <c r="O294" s="97"/>
      <c r="P294" s="97"/>
      <c r="Q294" s="44"/>
      <c r="R294" s="44"/>
      <c r="S294" s="5"/>
      <c r="T294" s="97">
        <f>2795000/20</f>
        <v>139750</v>
      </c>
      <c r="U294" s="97">
        <f>+T294*0.19</f>
        <v>26552.5</v>
      </c>
      <c r="V294" s="97">
        <f>+T294+U294</f>
        <v>166302.5</v>
      </c>
      <c r="W294" s="108" t="s">
        <v>364</v>
      </c>
      <c r="X294" s="115" t="s">
        <v>365</v>
      </c>
      <c r="Y294" s="11"/>
      <c r="Z294" s="97"/>
      <c r="AA294" s="97"/>
      <c r="AB294" s="97"/>
      <c r="AC294" s="44"/>
      <c r="AD294" s="44"/>
      <c r="AE294" s="11"/>
      <c r="AF294" s="102"/>
      <c r="AG294" s="125"/>
      <c r="AH294" s="97"/>
      <c r="AI294" s="11"/>
      <c r="AJ294" s="11"/>
      <c r="AK294" s="11"/>
      <c r="AL294" s="97"/>
      <c r="AM294" s="97"/>
      <c r="AN294" s="97"/>
      <c r="AO294" s="248"/>
      <c r="AP294" s="11"/>
      <c r="AQ294" s="11"/>
      <c r="AR294" s="252"/>
      <c r="AS294" s="252"/>
      <c r="AT294" s="252"/>
      <c r="AU294" s="52"/>
      <c r="AV294" s="42"/>
      <c r="AW294" s="11"/>
      <c r="AX294" s="252"/>
      <c r="AY294" s="252"/>
      <c r="AZ294" s="252"/>
      <c r="BA294" s="11"/>
      <c r="BB294" s="11"/>
      <c r="BC294" s="11"/>
      <c r="BD294" s="247"/>
      <c r="BE294" s="124"/>
      <c r="BF294" s="124"/>
      <c r="BG294" s="116"/>
      <c r="BH294" s="11"/>
      <c r="BI294" s="116"/>
      <c r="BJ294" s="124"/>
      <c r="BK294" s="124"/>
      <c r="BL294" s="124"/>
      <c r="BM294" s="116"/>
      <c r="BN294" s="116"/>
      <c r="BO294" s="116"/>
      <c r="BP294" s="124"/>
      <c r="BQ294" s="116"/>
      <c r="BR294" s="116"/>
      <c r="BS294" s="116"/>
      <c r="BT294" s="116"/>
      <c r="BU294" s="116"/>
      <c r="BV294" s="241">
        <f>5400000/20</f>
        <v>270000</v>
      </c>
      <c r="BW294" s="125">
        <f>BV294*19%</f>
        <v>51300</v>
      </c>
      <c r="BX294" s="97">
        <f t="shared" ref="BX294:BX303" si="116">+BV294+BW294</f>
        <v>321300</v>
      </c>
      <c r="BY294" s="237" t="s">
        <v>366</v>
      </c>
      <c r="BZ294" s="237" t="s">
        <v>367</v>
      </c>
      <c r="CA294" s="116"/>
      <c r="CB294" s="247"/>
      <c r="CC294" s="125"/>
      <c r="CD294" s="247"/>
      <c r="CE294" s="116"/>
      <c r="CF294" s="116"/>
      <c r="CG294" s="34"/>
      <c r="CH294" s="241"/>
      <c r="CI294" s="238"/>
      <c r="CJ294" s="236"/>
      <c r="CK294" s="237"/>
      <c r="CL294" s="237"/>
      <c r="CM294" s="116"/>
      <c r="CN294" s="247"/>
      <c r="CO294" s="125"/>
      <c r="CP294" s="247"/>
      <c r="CQ294" s="116"/>
      <c r="CR294" s="116"/>
      <c r="CS294" s="116"/>
      <c r="CT294" s="247"/>
      <c r="CU294" s="125"/>
      <c r="CV294" s="247"/>
      <c r="CW294" s="116"/>
      <c r="CX294" s="116"/>
      <c r="CY294" s="116"/>
      <c r="CZ294" s="102"/>
      <c r="DA294" s="125"/>
      <c r="DB294" s="102"/>
      <c r="DC294" s="31"/>
      <c r="DD294" s="17"/>
      <c r="DE294" s="11"/>
      <c r="DF294" s="116"/>
      <c r="DG294" s="116"/>
      <c r="DH294" s="116"/>
      <c r="DI294" s="116"/>
      <c r="DJ294" s="116"/>
      <c r="DK294" s="116"/>
      <c r="DL294" s="116"/>
      <c r="DM294" s="116"/>
      <c r="DN294" s="116"/>
      <c r="DO294" s="116"/>
      <c r="DP294" s="116"/>
      <c r="DQ294" s="116"/>
      <c r="DR294" s="116"/>
      <c r="DS294" s="116"/>
      <c r="DT294" s="116"/>
      <c r="DU294" s="116"/>
      <c r="DV294" s="116"/>
      <c r="DW294" s="116"/>
      <c r="DX294" s="116"/>
      <c r="DY294" s="116"/>
      <c r="DZ294" s="116"/>
      <c r="EA294" s="116"/>
      <c r="EB294" s="116"/>
      <c r="EC294" s="116"/>
      <c r="ED294" s="116"/>
      <c r="EE294" s="116"/>
      <c r="EF294" s="116"/>
      <c r="EG294" s="116"/>
      <c r="EH294" s="116"/>
      <c r="EI294" s="116"/>
      <c r="EJ294" s="116"/>
      <c r="EK294" s="116"/>
      <c r="EL294" s="116"/>
      <c r="EM294" s="116"/>
      <c r="EN294" s="116"/>
      <c r="EO294" s="116"/>
      <c r="EP294" s="116"/>
      <c r="EQ294" s="116"/>
      <c r="ER294" s="116"/>
      <c r="ES294" s="116"/>
      <c r="ET294" s="11"/>
      <c r="EU294" s="11"/>
      <c r="EV294" s="11"/>
      <c r="EW294" s="11"/>
      <c r="EX294" s="11"/>
      <c r="EY294" s="11"/>
      <c r="EZ294" s="11"/>
      <c r="FA294" s="11"/>
      <c r="FB294" s="11"/>
      <c r="FC294" s="11"/>
      <c r="FD294" s="11"/>
      <c r="FE294" s="11"/>
      <c r="FF294" s="11"/>
      <c r="FG294" s="11"/>
      <c r="FH294" s="17">
        <f t="shared" si="100"/>
        <v>487602.5</v>
      </c>
      <c r="FI294" s="31">
        <f t="shared" si="101"/>
        <v>2</v>
      </c>
      <c r="FJ294" s="68">
        <f t="shared" si="102"/>
        <v>243801.25</v>
      </c>
    </row>
    <row r="295" spans="1:166" ht="27" x14ac:dyDescent="0.25">
      <c r="A295" s="248">
        <f>Distribución_Reactivos!A295</f>
        <v>293</v>
      </c>
      <c r="B295" s="248" t="str">
        <f>Distribución_Reactivos!B295</f>
        <v>D(+) Mercaptoetanol &gt;= 99.0% (Peligroso)</v>
      </c>
      <c r="C295" s="248" t="str">
        <f>Distribución_Reactivos!C295</f>
        <v>Sigma-Aldrich M-6250</v>
      </c>
      <c r="D295" s="248" t="str">
        <f>Distribución_Reactivos!D295</f>
        <v>Frasco x 100 ml</v>
      </c>
      <c r="E295" s="29">
        <v>1</v>
      </c>
      <c r="F295" s="212">
        <v>0</v>
      </c>
      <c r="G295" s="214">
        <v>0</v>
      </c>
      <c r="H295" s="221">
        <v>0</v>
      </c>
      <c r="I295" s="221">
        <v>0</v>
      </c>
      <c r="J295" s="221">
        <v>0</v>
      </c>
      <c r="K295" s="221">
        <v>0</v>
      </c>
      <c r="L295" s="247"/>
      <c r="M295" s="247"/>
      <c r="N295" s="217"/>
      <c r="O295" s="97"/>
      <c r="P295" s="97"/>
      <c r="Q295" s="44"/>
      <c r="R295" s="44"/>
      <c r="S295" s="5"/>
      <c r="T295" s="97"/>
      <c r="U295" s="97"/>
      <c r="V295" s="97"/>
      <c r="W295" s="11"/>
      <c r="X295" s="11"/>
      <c r="Y295" s="11"/>
      <c r="Z295" s="97"/>
      <c r="AA295" s="97"/>
      <c r="AB295" s="97"/>
      <c r="AC295" s="44"/>
      <c r="AD295" s="44"/>
      <c r="AE295" s="11"/>
      <c r="AF295" s="102"/>
      <c r="AG295" s="125"/>
      <c r="AH295" s="97"/>
      <c r="AI295" s="11"/>
      <c r="AJ295" s="11"/>
      <c r="AK295" s="11"/>
      <c r="AL295" s="97">
        <v>165000</v>
      </c>
      <c r="AM295" s="97">
        <f>+AL295*0.19</f>
        <v>31350</v>
      </c>
      <c r="AN295" s="103">
        <f>+AL295+AM295</f>
        <v>196350</v>
      </c>
      <c r="AO295" s="248" t="s">
        <v>51</v>
      </c>
      <c r="AP295" s="11" t="s">
        <v>52</v>
      </c>
      <c r="AQ295" s="11"/>
      <c r="AR295" s="252">
        <v>172942</v>
      </c>
      <c r="AS295" s="97">
        <f>+AR295*0.19</f>
        <v>32858.980000000003</v>
      </c>
      <c r="AT295" s="103">
        <f>+AR295+AS295</f>
        <v>205800.98</v>
      </c>
      <c r="AU295" s="52" t="s">
        <v>51</v>
      </c>
      <c r="AV295" s="52" t="s">
        <v>52</v>
      </c>
      <c r="AW295" s="11"/>
      <c r="AX295" s="252"/>
      <c r="AY295" s="252"/>
      <c r="AZ295" s="252"/>
      <c r="BA295" s="11"/>
      <c r="BB295" s="11"/>
      <c r="BC295" s="11"/>
      <c r="BD295" s="247"/>
      <c r="BE295" s="124"/>
      <c r="BF295" s="124"/>
      <c r="BG295" s="116"/>
      <c r="BH295" s="11"/>
      <c r="BI295" s="116"/>
      <c r="BJ295" s="124"/>
      <c r="BK295" s="124"/>
      <c r="BL295" s="124"/>
      <c r="BM295" s="116"/>
      <c r="BN295" s="116"/>
      <c r="BO295" s="116"/>
      <c r="BP295" s="124"/>
      <c r="BQ295" s="116"/>
      <c r="BR295" s="116"/>
      <c r="BS295" s="116"/>
      <c r="BT295" s="116"/>
      <c r="BU295" s="116"/>
      <c r="BV295" s="236">
        <v>923600</v>
      </c>
      <c r="BW295" s="125">
        <f>BV295*19%</f>
        <v>175484</v>
      </c>
      <c r="BX295" s="97">
        <f t="shared" si="116"/>
        <v>1099084</v>
      </c>
      <c r="BY295" s="237" t="s">
        <v>291</v>
      </c>
      <c r="BZ295" s="237" t="s">
        <v>252</v>
      </c>
      <c r="CA295" s="116"/>
      <c r="CB295" s="247"/>
      <c r="CC295" s="125"/>
      <c r="CD295" s="247"/>
      <c r="CE295" s="116"/>
      <c r="CF295" s="116"/>
      <c r="CG295" s="34"/>
      <c r="CH295" s="236">
        <v>969780</v>
      </c>
      <c r="CI295" s="238">
        <f t="shared" ref="CI295:CI304" si="117">+CH295*0.19</f>
        <v>184258.2</v>
      </c>
      <c r="CJ295" s="236">
        <f>+CH295+CI295</f>
        <v>1154038.2</v>
      </c>
      <c r="CK295" s="237" t="s">
        <v>291</v>
      </c>
      <c r="CL295" s="237" t="s">
        <v>252</v>
      </c>
      <c r="CM295" s="116"/>
      <c r="CN295" s="247"/>
      <c r="CO295" s="125"/>
      <c r="CP295" s="247"/>
      <c r="CQ295" s="116"/>
      <c r="CR295" s="116"/>
      <c r="CS295" s="116"/>
      <c r="CT295" s="247"/>
      <c r="CU295" s="125"/>
      <c r="CV295" s="247"/>
      <c r="CW295" s="116"/>
      <c r="CX295" s="116"/>
      <c r="CY295" s="116"/>
      <c r="CZ295" s="102"/>
      <c r="DA295" s="125"/>
      <c r="DB295" s="102"/>
      <c r="DC295" s="31"/>
      <c r="DD295" s="17"/>
      <c r="DE295" s="11"/>
      <c r="DF295" s="116"/>
      <c r="DG295" s="116"/>
      <c r="DH295" s="116"/>
      <c r="DI295" s="116"/>
      <c r="DJ295" s="116"/>
      <c r="DK295" s="116"/>
      <c r="DL295" s="116"/>
      <c r="DM295" s="116"/>
      <c r="DN295" s="116"/>
      <c r="DO295" s="116"/>
      <c r="DP295" s="116"/>
      <c r="DQ295" s="116"/>
      <c r="DR295" s="116"/>
      <c r="DS295" s="116"/>
      <c r="DT295" s="116"/>
      <c r="DU295" s="116"/>
      <c r="DV295" s="116"/>
      <c r="DW295" s="116"/>
      <c r="DX295" s="116"/>
      <c r="DY295" s="116"/>
      <c r="DZ295" s="116"/>
      <c r="EA295" s="116"/>
      <c r="EB295" s="116"/>
      <c r="EC295" s="116"/>
      <c r="ED295" s="116"/>
      <c r="EE295" s="116"/>
      <c r="EF295" s="116"/>
      <c r="EG295" s="116"/>
      <c r="EH295" s="116"/>
      <c r="EI295" s="116"/>
      <c r="EJ295" s="116"/>
      <c r="EK295" s="116"/>
      <c r="EL295" s="116"/>
      <c r="EM295" s="116"/>
      <c r="EN295" s="116"/>
      <c r="EO295" s="116"/>
      <c r="EP295" s="116"/>
      <c r="EQ295" s="116"/>
      <c r="ER295" s="116"/>
      <c r="ES295" s="116"/>
      <c r="ET295" s="11"/>
      <c r="EU295" s="11"/>
      <c r="EV295" s="11"/>
      <c r="EW295" s="11"/>
      <c r="EX295" s="11"/>
      <c r="EY295" s="11"/>
      <c r="EZ295" s="11"/>
      <c r="FA295" s="11"/>
      <c r="FB295" s="11"/>
      <c r="FC295" s="11"/>
      <c r="FD295" s="11"/>
      <c r="FE295" s="11"/>
      <c r="FF295" s="11"/>
      <c r="FG295" s="11"/>
      <c r="FH295" s="17">
        <f t="shared" si="100"/>
        <v>2655273.1799999997</v>
      </c>
      <c r="FI295" s="31">
        <f t="shared" si="101"/>
        <v>4</v>
      </c>
      <c r="FJ295" s="68">
        <f t="shared" si="102"/>
        <v>663818.29499999993</v>
      </c>
    </row>
    <row r="296" spans="1:166" ht="51" x14ac:dyDescent="0.25">
      <c r="A296" s="248">
        <f>Distribución_Reactivos!A296</f>
        <v>294</v>
      </c>
      <c r="B296" s="248" t="str">
        <f>Distribución_Reactivos!B296</f>
        <v xml:space="preserve">Metanol grado espectrometría de masas Lichrosolv hipergrade LC/MS con certificado de análisis y ficha de seguridad </v>
      </c>
      <c r="C296" s="248" t="str">
        <f>Distribución_Reactivos!C296</f>
        <v>Merck Lichrosolv hipergrade LC/MS o equivalente</v>
      </c>
      <c r="D296" s="248" t="str">
        <f>Distribución_Reactivos!D296</f>
        <v xml:space="preserve">Frasco x 2.5 litros </v>
      </c>
      <c r="E296" s="29">
        <v>1</v>
      </c>
      <c r="F296" s="212">
        <v>0</v>
      </c>
      <c r="G296" s="214">
        <v>0</v>
      </c>
      <c r="H296" s="221">
        <v>0</v>
      </c>
      <c r="I296" s="221">
        <v>0</v>
      </c>
      <c r="J296" s="221">
        <v>0</v>
      </c>
      <c r="K296" s="221">
        <v>0</v>
      </c>
      <c r="L296" s="247"/>
      <c r="M296" s="247"/>
      <c r="N296" s="217"/>
      <c r="O296" s="97"/>
      <c r="P296" s="97"/>
      <c r="Q296" s="44"/>
      <c r="R296" s="44"/>
      <c r="S296" s="5"/>
      <c r="T296" s="97"/>
      <c r="U296" s="97"/>
      <c r="V296" s="97"/>
      <c r="W296" s="11"/>
      <c r="X296" s="11"/>
      <c r="Y296" s="11"/>
      <c r="Z296" s="97"/>
      <c r="AA296" s="97"/>
      <c r="AB296" s="97"/>
      <c r="AC296" s="44"/>
      <c r="AD296" s="44"/>
      <c r="AE296" s="11"/>
      <c r="AF296" s="102">
        <v>350000</v>
      </c>
      <c r="AG296" s="125">
        <f>AF296*19%</f>
        <v>66500</v>
      </c>
      <c r="AH296" s="97">
        <f>+AF296+AG296</f>
        <v>416500</v>
      </c>
      <c r="AI296" s="11"/>
      <c r="AJ296" s="11"/>
      <c r="AK296" s="11"/>
      <c r="AL296" s="97"/>
      <c r="AM296" s="97"/>
      <c r="AN296" s="97"/>
      <c r="AO296" s="248"/>
      <c r="AP296" s="11"/>
      <c r="AQ296" s="11"/>
      <c r="AR296" s="252"/>
      <c r="AS296" s="252"/>
      <c r="AT296" s="252"/>
      <c r="AU296" s="52"/>
      <c r="AV296" s="42"/>
      <c r="AW296" s="11"/>
      <c r="AX296" s="252"/>
      <c r="AY296" s="252"/>
      <c r="AZ296" s="252"/>
      <c r="BA296" s="11"/>
      <c r="BB296" s="11"/>
      <c r="BC296" s="11"/>
      <c r="BD296" s="247"/>
      <c r="BE296" s="124"/>
      <c r="BF296" s="124"/>
      <c r="BG296" s="116"/>
      <c r="BH296" s="11"/>
      <c r="BI296" s="116"/>
      <c r="BJ296" s="124"/>
      <c r="BK296" s="124"/>
      <c r="BL296" s="124"/>
      <c r="BM296" s="116"/>
      <c r="BN296" s="116"/>
      <c r="BO296" s="116"/>
      <c r="BP296" s="124"/>
      <c r="BQ296" s="116"/>
      <c r="BR296" s="116"/>
      <c r="BS296" s="116"/>
      <c r="BT296" s="116"/>
      <c r="BU296" s="116"/>
      <c r="BV296" s="236">
        <v>493900</v>
      </c>
      <c r="BW296" s="125">
        <f>BV296*19%</f>
        <v>93841</v>
      </c>
      <c r="BX296" s="97">
        <f t="shared" si="116"/>
        <v>587741</v>
      </c>
      <c r="BY296" s="237" t="s">
        <v>368</v>
      </c>
      <c r="BZ296" s="237" t="s">
        <v>93</v>
      </c>
      <c r="CA296" s="116"/>
      <c r="CB296" s="247"/>
      <c r="CC296" s="125"/>
      <c r="CD296" s="247"/>
      <c r="CE296" s="116"/>
      <c r="CF296" s="116"/>
      <c r="CG296" s="34"/>
      <c r="CH296" s="236">
        <v>508717</v>
      </c>
      <c r="CI296" s="238">
        <f t="shared" si="117"/>
        <v>96656.23</v>
      </c>
      <c r="CJ296" s="236">
        <f>+CH296+CI296</f>
        <v>605373.23</v>
      </c>
      <c r="CK296" s="237" t="s">
        <v>368</v>
      </c>
      <c r="CL296" s="237" t="s">
        <v>93</v>
      </c>
      <c r="CM296" s="116"/>
      <c r="CN296" s="247"/>
      <c r="CO296" s="125"/>
      <c r="CP296" s="247"/>
      <c r="CQ296" s="116"/>
      <c r="CR296" s="116"/>
      <c r="CS296" s="116"/>
      <c r="CT296" s="247"/>
      <c r="CU296" s="125"/>
      <c r="CV296" s="247"/>
      <c r="CW296" s="116"/>
      <c r="CX296" s="116"/>
      <c r="CY296" s="116"/>
      <c r="CZ296" s="102">
        <v>194207</v>
      </c>
      <c r="DA296" s="125">
        <f>+CZ296*0.19</f>
        <v>36899.33</v>
      </c>
      <c r="DB296" s="102">
        <f>+CZ296+DA296</f>
        <v>231106.33000000002</v>
      </c>
      <c r="DC296" s="31" t="s">
        <v>369</v>
      </c>
      <c r="DD296" s="17" t="s">
        <v>65</v>
      </c>
      <c r="DE296" s="11" t="s">
        <v>370</v>
      </c>
      <c r="DF296" s="116"/>
      <c r="DG296" s="116"/>
      <c r="DH296" s="116"/>
      <c r="DI296" s="116"/>
      <c r="DJ296" s="116"/>
      <c r="DK296" s="116"/>
      <c r="DL296" s="116"/>
      <c r="DM296" s="116"/>
      <c r="DN296" s="116"/>
      <c r="DO296" s="116"/>
      <c r="DP296" s="116"/>
      <c r="DQ296" s="116"/>
      <c r="DR296" s="116"/>
      <c r="DS296" s="116"/>
      <c r="DT296" s="116"/>
      <c r="DU296" s="116"/>
      <c r="DV296" s="116"/>
      <c r="DW296" s="116"/>
      <c r="DX296" s="116"/>
      <c r="DY296" s="116"/>
      <c r="DZ296" s="116"/>
      <c r="EA296" s="116"/>
      <c r="EB296" s="116"/>
      <c r="EC296" s="116"/>
      <c r="ED296" s="116"/>
      <c r="EE296" s="116"/>
      <c r="EF296" s="116"/>
      <c r="EG296" s="116"/>
      <c r="EH296" s="116"/>
      <c r="EI296" s="116"/>
      <c r="EJ296" s="116"/>
      <c r="EK296" s="116"/>
      <c r="EL296" s="116"/>
      <c r="EM296" s="116"/>
      <c r="EN296" s="116"/>
      <c r="EO296" s="116"/>
      <c r="EP296" s="116"/>
      <c r="EQ296" s="116"/>
      <c r="ER296" s="116"/>
      <c r="ES296" s="116"/>
      <c r="ET296" s="11"/>
      <c r="EU296" s="11"/>
      <c r="EV296" s="11"/>
      <c r="EW296" s="11"/>
      <c r="EX296" s="11"/>
      <c r="EY296" s="11"/>
      <c r="EZ296" s="11"/>
      <c r="FA296" s="11"/>
      <c r="FB296" s="11"/>
      <c r="FC296" s="11"/>
      <c r="FD296" s="11"/>
      <c r="FE296" s="11"/>
      <c r="FF296" s="11"/>
      <c r="FG296" s="11"/>
      <c r="FH296" s="17">
        <f t="shared" si="100"/>
        <v>1840720.56</v>
      </c>
      <c r="FI296" s="31">
        <f t="shared" si="101"/>
        <v>4</v>
      </c>
      <c r="FJ296" s="68">
        <f t="shared" si="102"/>
        <v>460180.14</v>
      </c>
    </row>
    <row r="297" spans="1:166" ht="38.25" x14ac:dyDescent="0.25">
      <c r="A297" s="248">
        <f>Distribución_Reactivos!A297</f>
        <v>295</v>
      </c>
      <c r="B297" s="248" t="str">
        <f>Distribución_Reactivos!B297</f>
        <v xml:space="preserve">Metanol HPLC con certificado de análisis y ficha de seguridad </v>
      </c>
      <c r="C297" s="248" t="str">
        <f>Distribución_Reactivos!C297</f>
        <v>Merck o JT Baker o equivalente</v>
      </c>
      <c r="D297" s="248" t="str">
        <f>Distribución_Reactivos!D297</f>
        <v>Frasco x 4 litros</v>
      </c>
      <c r="E297" s="29">
        <v>1</v>
      </c>
      <c r="F297" s="212">
        <v>201050.5</v>
      </c>
      <c r="G297" s="214">
        <v>192899</v>
      </c>
      <c r="H297" s="221">
        <v>194771.00357222222</v>
      </c>
      <c r="I297" s="221">
        <v>194684</v>
      </c>
      <c r="J297" s="221">
        <v>203383.61016129033</v>
      </c>
      <c r="K297" s="221">
        <v>107100</v>
      </c>
      <c r="L297" s="247">
        <f>AVERAGE(F297,H297,J297)</f>
        <v>199735.03791117086</v>
      </c>
      <c r="M297" s="247">
        <f>AVERAGE(G297,I297,K297)*E1</f>
        <v>169841.16333333336</v>
      </c>
      <c r="N297" s="217"/>
      <c r="O297" s="97"/>
      <c r="P297" s="97"/>
      <c r="Q297" s="44"/>
      <c r="R297" s="44"/>
      <c r="S297" s="5"/>
      <c r="T297" s="97"/>
      <c r="U297" s="97"/>
      <c r="V297" s="97"/>
      <c r="W297" s="11"/>
      <c r="X297" s="11"/>
      <c r="Y297" s="11"/>
      <c r="Z297" s="97"/>
      <c r="AA297" s="97"/>
      <c r="AB297" s="97"/>
      <c r="AC297" s="44"/>
      <c r="AD297" s="44"/>
      <c r="AE297" s="11"/>
      <c r="AF297" s="102"/>
      <c r="AG297" s="125"/>
      <c r="AH297" s="97"/>
      <c r="AI297" s="11"/>
      <c r="AJ297" s="11"/>
      <c r="AK297" s="11"/>
      <c r="AL297" s="97">
        <v>210000</v>
      </c>
      <c r="AM297" s="97">
        <f>+AL297*0.19</f>
        <v>39900</v>
      </c>
      <c r="AN297" s="103">
        <f>+AL297+AM297</f>
        <v>249900</v>
      </c>
      <c r="AO297" s="248" t="s">
        <v>71</v>
      </c>
      <c r="AP297" s="11" t="s">
        <v>52</v>
      </c>
      <c r="AQ297" s="11"/>
      <c r="AR297" s="252"/>
      <c r="AS297" s="252"/>
      <c r="AT297" s="252"/>
      <c r="AU297" s="52"/>
      <c r="AV297" s="42"/>
      <c r="AW297" s="11"/>
      <c r="AX297" s="252">
        <v>173216.35836299998</v>
      </c>
      <c r="AY297" s="100">
        <f>+AX297*0.19</f>
        <v>32911.108088969995</v>
      </c>
      <c r="AZ297" s="124">
        <f>+AX297+AY297</f>
        <v>206127.46645196999</v>
      </c>
      <c r="BA297" s="169" t="s">
        <v>71</v>
      </c>
      <c r="BB297" s="116" t="s">
        <v>72</v>
      </c>
      <c r="BC297" s="11"/>
      <c r="BD297" s="247"/>
      <c r="BE297" s="124"/>
      <c r="BF297" s="124"/>
      <c r="BG297" s="116"/>
      <c r="BH297" s="11"/>
      <c r="BI297" s="116"/>
      <c r="BJ297" s="124"/>
      <c r="BK297" s="124"/>
      <c r="BL297" s="124"/>
      <c r="BM297" s="116"/>
      <c r="BN297" s="116"/>
      <c r="BO297" s="116"/>
      <c r="BP297" s="124"/>
      <c r="BQ297" s="116"/>
      <c r="BR297" s="116"/>
      <c r="BS297" s="116"/>
      <c r="BT297" s="116"/>
      <c r="BU297" s="116"/>
      <c r="BV297" s="236">
        <v>184600</v>
      </c>
      <c r="BW297" s="125">
        <f>BV297*19%</f>
        <v>35074</v>
      </c>
      <c r="BX297" s="97">
        <f t="shared" si="116"/>
        <v>219674</v>
      </c>
      <c r="BY297" s="237" t="s">
        <v>306</v>
      </c>
      <c r="BZ297" s="237" t="s">
        <v>83</v>
      </c>
      <c r="CA297" s="116"/>
      <c r="CB297" s="247"/>
      <c r="CC297" s="125"/>
      <c r="CD297" s="247"/>
      <c r="CE297" s="116"/>
      <c r="CF297" s="116"/>
      <c r="CG297" s="34"/>
      <c r="CH297" s="236">
        <v>193830</v>
      </c>
      <c r="CI297" s="238">
        <f t="shared" si="117"/>
        <v>36827.699999999997</v>
      </c>
      <c r="CJ297" s="236">
        <f>+CH297+CI297</f>
        <v>230657.7</v>
      </c>
      <c r="CK297" s="237" t="s">
        <v>306</v>
      </c>
      <c r="CL297" s="237" t="s">
        <v>83</v>
      </c>
      <c r="CM297" s="116"/>
      <c r="CN297" s="247"/>
      <c r="CO297" s="125"/>
      <c r="CP297" s="247"/>
      <c r="CQ297" s="116"/>
      <c r="CR297" s="116"/>
      <c r="CS297" s="116"/>
      <c r="CT297" s="247"/>
      <c r="CU297" s="125"/>
      <c r="CV297" s="247"/>
      <c r="CW297" s="116"/>
      <c r="CX297" s="116"/>
      <c r="CY297" s="116"/>
      <c r="CZ297" s="102">
        <v>167724</v>
      </c>
      <c r="DA297" s="125">
        <f>+CZ297*0.19</f>
        <v>31867.56</v>
      </c>
      <c r="DB297" s="102">
        <f>+CZ297+DA297</f>
        <v>199591.56</v>
      </c>
      <c r="DC297" s="31" t="s">
        <v>371</v>
      </c>
      <c r="DD297" s="17" t="s">
        <v>65</v>
      </c>
      <c r="DE297" s="11" t="s">
        <v>372</v>
      </c>
      <c r="DF297" s="116"/>
      <c r="DG297" s="116"/>
      <c r="DH297" s="116"/>
      <c r="DI297" s="116"/>
      <c r="DJ297" s="116"/>
      <c r="DK297" s="116"/>
      <c r="DL297" s="116"/>
      <c r="DM297" s="116"/>
      <c r="DN297" s="116"/>
      <c r="DO297" s="116"/>
      <c r="DP297" s="116"/>
      <c r="DQ297" s="116"/>
      <c r="DR297" s="116"/>
      <c r="DS297" s="116"/>
      <c r="DT297" s="116"/>
      <c r="DU297" s="116"/>
      <c r="DV297" s="116"/>
      <c r="DW297" s="116"/>
      <c r="DX297" s="116"/>
      <c r="DY297" s="116"/>
      <c r="DZ297" s="116"/>
      <c r="EA297" s="116"/>
      <c r="EB297" s="116"/>
      <c r="EC297" s="116"/>
      <c r="ED297" s="116"/>
      <c r="EE297" s="116"/>
      <c r="EF297" s="116"/>
      <c r="EG297" s="116"/>
      <c r="EH297" s="116"/>
      <c r="EI297" s="116"/>
      <c r="EJ297" s="116"/>
      <c r="EK297" s="116"/>
      <c r="EL297" s="116"/>
      <c r="EM297" s="116"/>
      <c r="EN297" s="116"/>
      <c r="EO297" s="116"/>
      <c r="EP297" s="116"/>
      <c r="EQ297" s="116"/>
      <c r="ER297" s="116"/>
      <c r="ES297" s="116"/>
      <c r="ET297" s="11"/>
      <c r="EU297" s="11"/>
      <c r="EV297" s="11"/>
      <c r="EW297" s="11"/>
      <c r="EX297" s="11"/>
      <c r="EY297" s="11"/>
      <c r="EZ297" s="11"/>
      <c r="FA297" s="11"/>
      <c r="FB297" s="11"/>
      <c r="FC297" s="11"/>
      <c r="FD297" s="11"/>
      <c r="FE297" s="11"/>
      <c r="FF297" s="11"/>
      <c r="FG297" s="11"/>
      <c r="FH297" s="17">
        <f t="shared" si="100"/>
        <v>1275791.8897853033</v>
      </c>
      <c r="FI297" s="31">
        <f t="shared" si="101"/>
        <v>6</v>
      </c>
      <c r="FJ297" s="68">
        <f t="shared" si="102"/>
        <v>212631.98163088388</v>
      </c>
    </row>
    <row r="298" spans="1:166" ht="38.25" x14ac:dyDescent="0.25">
      <c r="A298" s="248">
        <f>Distribución_Reactivos!A298</f>
        <v>296</v>
      </c>
      <c r="B298" s="248" t="str">
        <f>Distribución_Reactivos!B298</f>
        <v>Mycobacterium - Mycobacterium
avium ssp. Paratuberculosis
(Johne's) fecal sample</v>
      </c>
      <c r="C298" s="248" t="str">
        <f>Distribución_Reactivos!C298</f>
        <v>NVSL. MAP-POS</v>
      </c>
      <c r="D298" s="248">
        <f>Distribución_Reactivos!D298</f>
        <v>0</v>
      </c>
      <c r="E298" s="29">
        <v>1</v>
      </c>
      <c r="F298" s="212">
        <v>0</v>
      </c>
      <c r="G298" s="214">
        <v>0</v>
      </c>
      <c r="H298" s="221">
        <v>0</v>
      </c>
      <c r="I298" s="221">
        <v>0</v>
      </c>
      <c r="J298" s="221">
        <v>0</v>
      </c>
      <c r="K298" s="221">
        <v>0</v>
      </c>
      <c r="L298" s="247"/>
      <c r="M298" s="247"/>
      <c r="N298" s="217"/>
      <c r="O298" s="97"/>
      <c r="P298" s="97"/>
      <c r="Q298" s="44"/>
      <c r="R298" s="44"/>
      <c r="S298" s="5"/>
      <c r="T298" s="97"/>
      <c r="U298" s="97"/>
      <c r="V298" s="97"/>
      <c r="W298" s="11"/>
      <c r="X298" s="11"/>
      <c r="Y298" s="11"/>
      <c r="Z298" s="97"/>
      <c r="AA298" s="97"/>
      <c r="AB298" s="97"/>
      <c r="AC298" s="44"/>
      <c r="AD298" s="44"/>
      <c r="AE298" s="11"/>
      <c r="AF298" s="97"/>
      <c r="AG298" s="125"/>
      <c r="AH298" s="97"/>
      <c r="AI298" s="11"/>
      <c r="AJ298" s="11"/>
      <c r="AK298" s="11"/>
      <c r="AL298" s="97"/>
      <c r="AM298" s="97"/>
      <c r="AN298" s="97"/>
      <c r="AO298" s="248"/>
      <c r="AP298" s="11"/>
      <c r="AQ298" s="11"/>
      <c r="AR298" s="252"/>
      <c r="AS298" s="252"/>
      <c r="AT298" s="252"/>
      <c r="AU298" s="42"/>
      <c r="AV298" s="42"/>
      <c r="AW298" s="11"/>
      <c r="AX298" s="252"/>
      <c r="AY298" s="252"/>
      <c r="AZ298" s="252"/>
      <c r="BA298" s="11"/>
      <c r="BB298" s="11"/>
      <c r="BC298" s="11"/>
      <c r="BD298" s="252"/>
      <c r="BE298" s="124"/>
      <c r="BF298" s="124"/>
      <c r="BG298" s="116"/>
      <c r="BH298" s="11"/>
      <c r="BI298" s="116"/>
      <c r="BJ298" s="124"/>
      <c r="BK298" s="124"/>
      <c r="BL298" s="124"/>
      <c r="BM298" s="116"/>
      <c r="BN298" s="116"/>
      <c r="BO298" s="116"/>
      <c r="BP298" s="124"/>
      <c r="BQ298" s="116"/>
      <c r="BR298" s="116"/>
      <c r="BS298" s="116"/>
      <c r="BT298" s="116"/>
      <c r="BU298" s="116"/>
      <c r="BV298" s="240">
        <v>23000</v>
      </c>
      <c r="BW298" s="125">
        <f t="shared" ref="BW298:BW307" si="118">BV298*19%</f>
        <v>4370</v>
      </c>
      <c r="BX298" s="97">
        <f t="shared" si="116"/>
        <v>27370</v>
      </c>
      <c r="BY298" s="237" t="s">
        <v>373</v>
      </c>
      <c r="BZ298" s="237" t="s">
        <v>374</v>
      </c>
      <c r="CA298" s="116"/>
      <c r="CB298" s="252"/>
      <c r="CC298" s="124"/>
      <c r="CD298" s="252"/>
      <c r="CE298" s="116"/>
      <c r="CF298" s="116"/>
      <c r="CG298" s="34"/>
      <c r="CH298" s="240">
        <v>23690</v>
      </c>
      <c r="CI298" s="238">
        <f t="shared" si="117"/>
        <v>4501.1000000000004</v>
      </c>
      <c r="CJ298" s="236">
        <f>+CH298+CI298</f>
        <v>28191.1</v>
      </c>
      <c r="CK298" s="237" t="s">
        <v>373</v>
      </c>
      <c r="CL298" s="237" t="s">
        <v>374</v>
      </c>
      <c r="CM298" s="116"/>
      <c r="CN298" s="252"/>
      <c r="CO298" s="124"/>
      <c r="CP298" s="252"/>
      <c r="CQ298" s="116"/>
      <c r="CR298" s="116"/>
      <c r="CS298" s="116"/>
      <c r="CT298" s="252"/>
      <c r="CU298" s="124"/>
      <c r="CV298" s="252"/>
      <c r="CW298" s="116"/>
      <c r="CX298" s="116"/>
      <c r="CY298" s="116"/>
      <c r="CZ298" s="97"/>
      <c r="DA298" s="124"/>
      <c r="DB298" s="97"/>
      <c r="DC298" s="31"/>
      <c r="DD298" s="17"/>
      <c r="DE298" s="11"/>
      <c r="DF298" s="116"/>
      <c r="DG298" s="116"/>
      <c r="DH298" s="116"/>
      <c r="DI298" s="116"/>
      <c r="DJ298" s="116"/>
      <c r="DK298" s="116"/>
      <c r="DL298" s="116"/>
      <c r="DM298" s="116"/>
      <c r="DN298" s="116"/>
      <c r="DO298" s="116"/>
      <c r="DP298" s="116"/>
      <c r="DQ298" s="116"/>
      <c r="DR298" s="116"/>
      <c r="DS298" s="116"/>
      <c r="DT298" s="116"/>
      <c r="DU298" s="116"/>
      <c r="DV298" s="116"/>
      <c r="DW298" s="116"/>
      <c r="DX298" s="116"/>
      <c r="DY298" s="116"/>
      <c r="DZ298" s="116"/>
      <c r="EA298" s="116"/>
      <c r="EB298" s="116"/>
      <c r="EC298" s="116"/>
      <c r="ED298" s="116"/>
      <c r="EE298" s="116"/>
      <c r="EF298" s="116"/>
      <c r="EG298" s="116"/>
      <c r="EH298" s="116"/>
      <c r="EI298" s="116"/>
      <c r="EJ298" s="116"/>
      <c r="EK298" s="116"/>
      <c r="EL298" s="116"/>
      <c r="EM298" s="116"/>
      <c r="EN298" s="116"/>
      <c r="EO298" s="116"/>
      <c r="EP298" s="116"/>
      <c r="EQ298" s="116"/>
      <c r="ER298" s="116"/>
      <c r="ES298" s="116"/>
      <c r="ET298" s="11"/>
      <c r="EU298" s="11"/>
      <c r="EV298" s="11"/>
      <c r="EW298" s="11"/>
      <c r="EX298" s="11"/>
      <c r="EY298" s="11"/>
      <c r="EZ298" s="11"/>
      <c r="FA298" s="11"/>
      <c r="FB298" s="11"/>
      <c r="FC298" s="11"/>
      <c r="FD298" s="11"/>
      <c r="FE298" s="11"/>
      <c r="FF298" s="11"/>
      <c r="FG298" s="11"/>
      <c r="FH298" s="17">
        <f t="shared" ref="FH298:FH336" si="119">SUM(M298,P298,V298,AB298,AH298,AN298,AT298,AZ298,BF298,BL298,BR298,BX298,CD298,CJ298,CP298,CV298,DB298,DH298,DN298,DT298,DZ298,EF298,EL298,ER298,EX298,FD298)</f>
        <v>55561.1</v>
      </c>
      <c r="FI298" s="31">
        <f t="shared" ref="FI298:FI336" si="120">COUNTA(M298,N298,T298,Z298,AF298,AL298,AR298,AX298,BD298,BJ298,BP298,BV298,CB298,CH298,CN298,CT298,CZ298,DF298,DL298,DR298,DX298,ED298,EJ298,EP298,EV298,FB298)</f>
        <v>2</v>
      </c>
      <c r="FJ298" s="68">
        <f t="shared" ref="FJ298:FJ336" si="121">IFERROR(FH298/FI298," ")</f>
        <v>27780.55</v>
      </c>
    </row>
    <row r="299" spans="1:166" ht="38.25" x14ac:dyDescent="0.25">
      <c r="A299" s="248">
        <f>Distribución_Reactivos!A299</f>
        <v>297</v>
      </c>
      <c r="B299" s="248" t="str">
        <f>Distribución_Reactivos!B299</f>
        <v>Mycobacterium bovis direct PCR
control, positive, bovine tissue with
BCG</v>
      </c>
      <c r="C299" s="248" t="str">
        <f>Distribución_Reactivos!C299</f>
        <v>NVSL. MBD-POS</v>
      </c>
      <c r="D299" s="248">
        <f>Distribución_Reactivos!D299</f>
        <v>0</v>
      </c>
      <c r="E299" s="29">
        <v>1</v>
      </c>
      <c r="F299" s="212">
        <v>0</v>
      </c>
      <c r="G299" s="214">
        <v>0</v>
      </c>
      <c r="H299" s="221">
        <v>0</v>
      </c>
      <c r="I299" s="221">
        <v>0</v>
      </c>
      <c r="J299" s="221">
        <v>0</v>
      </c>
      <c r="K299" s="221">
        <v>0</v>
      </c>
      <c r="L299" s="247"/>
      <c r="M299" s="247"/>
      <c r="N299" s="217"/>
      <c r="O299" s="97"/>
      <c r="P299" s="97"/>
      <c r="Q299" s="115"/>
      <c r="R299" s="115"/>
      <c r="S299" s="53"/>
      <c r="T299" s="97"/>
      <c r="U299" s="97"/>
      <c r="V299" s="97"/>
      <c r="W299" s="115"/>
      <c r="X299" s="115"/>
      <c r="Y299" s="11"/>
      <c r="Z299" s="97"/>
      <c r="AA299" s="97"/>
      <c r="AB299" s="97"/>
      <c r="AC299" s="44"/>
      <c r="AD299" s="44"/>
      <c r="AE299" s="11"/>
      <c r="AF299" s="97"/>
      <c r="AG299" s="125"/>
      <c r="AH299" s="97"/>
      <c r="AI299" s="11"/>
      <c r="AJ299" s="11"/>
      <c r="AK299" s="17"/>
      <c r="AL299" s="97"/>
      <c r="AM299" s="97"/>
      <c r="AN299" s="103"/>
      <c r="AO299" s="248"/>
      <c r="AP299" s="17"/>
      <c r="AQ299" s="17"/>
      <c r="AR299" s="252"/>
      <c r="AS299" s="252"/>
      <c r="AT299" s="252"/>
      <c r="AU299" s="42"/>
      <c r="AV299" s="52"/>
      <c r="AW299" s="11"/>
      <c r="AX299" s="100"/>
      <c r="AY299" s="172"/>
      <c r="AZ299" s="124"/>
      <c r="BA299" s="169"/>
      <c r="BB299" s="116"/>
      <c r="BC299" s="116"/>
      <c r="BD299" s="252"/>
      <c r="BE299" s="124"/>
      <c r="BF299" s="124"/>
      <c r="BG299" s="116"/>
      <c r="BH299" s="116"/>
      <c r="BI299" s="116"/>
      <c r="BJ299" s="124"/>
      <c r="BK299" s="124"/>
      <c r="BL299" s="124"/>
      <c r="BM299" s="116"/>
      <c r="BN299" s="116"/>
      <c r="BO299" s="116"/>
      <c r="BP299" s="124"/>
      <c r="BQ299" s="116"/>
      <c r="BR299" s="116"/>
      <c r="BS299" s="116"/>
      <c r="BT299" s="116"/>
      <c r="BU299" s="116"/>
      <c r="BV299" s="240">
        <v>644000</v>
      </c>
      <c r="BW299" s="125">
        <f t="shared" si="118"/>
        <v>122360</v>
      </c>
      <c r="BX299" s="97">
        <f t="shared" si="116"/>
        <v>766360</v>
      </c>
      <c r="BY299" s="237" t="s">
        <v>353</v>
      </c>
      <c r="BZ299" s="237" t="s">
        <v>374</v>
      </c>
      <c r="CA299" s="116"/>
      <c r="CB299" s="252"/>
      <c r="CC299" s="124"/>
      <c r="CD299" s="252"/>
      <c r="CE299" s="116"/>
      <c r="CF299" s="116"/>
      <c r="CG299" s="34"/>
      <c r="CH299" s="240">
        <v>656880</v>
      </c>
      <c r="CI299" s="238">
        <f t="shared" si="117"/>
        <v>124807.2</v>
      </c>
      <c r="CJ299" s="236">
        <f t="shared" ref="CJ299:CJ304" si="122">+CH299+CI299</f>
        <v>781687.2</v>
      </c>
      <c r="CK299" s="237" t="s">
        <v>353</v>
      </c>
      <c r="CL299" s="237" t="s">
        <v>374</v>
      </c>
      <c r="CM299" s="116"/>
      <c r="CN299" s="252"/>
      <c r="CO299" s="124"/>
      <c r="CP299" s="252"/>
      <c r="CQ299" s="116"/>
      <c r="CR299" s="116"/>
      <c r="CS299" s="116"/>
      <c r="CT299" s="252"/>
      <c r="CU299" s="124"/>
      <c r="CV299" s="252"/>
      <c r="CW299" s="116"/>
      <c r="CX299" s="116"/>
      <c r="CY299" s="116"/>
      <c r="CZ299" s="97"/>
      <c r="DA299" s="124"/>
      <c r="DB299" s="97"/>
      <c r="DC299" s="31"/>
      <c r="DD299" s="17"/>
      <c r="DE299" s="11"/>
      <c r="DF299" s="116"/>
      <c r="DG299" s="116"/>
      <c r="DH299" s="116"/>
      <c r="DI299" s="116"/>
      <c r="DJ299" s="116"/>
      <c r="DK299" s="116"/>
      <c r="DL299" s="116"/>
      <c r="DM299" s="116"/>
      <c r="DN299" s="116"/>
      <c r="DO299" s="116"/>
      <c r="DP299" s="116"/>
      <c r="DQ299" s="116"/>
      <c r="DR299" s="116"/>
      <c r="DS299" s="116"/>
      <c r="DT299" s="116"/>
      <c r="DU299" s="116"/>
      <c r="DV299" s="116"/>
      <c r="DW299" s="116"/>
      <c r="DX299" s="116"/>
      <c r="DY299" s="116"/>
      <c r="DZ299" s="116"/>
      <c r="EA299" s="116"/>
      <c r="EB299" s="116"/>
      <c r="EC299" s="116"/>
      <c r="ED299" s="116"/>
      <c r="EE299" s="116"/>
      <c r="EF299" s="116"/>
      <c r="EG299" s="116"/>
      <c r="EH299" s="116"/>
      <c r="EI299" s="116"/>
      <c r="EJ299" s="116"/>
      <c r="EK299" s="116"/>
      <c r="EL299" s="116"/>
      <c r="EM299" s="116"/>
      <c r="EN299" s="116"/>
      <c r="EO299" s="116"/>
      <c r="EP299" s="116"/>
      <c r="EQ299" s="116"/>
      <c r="ER299" s="116"/>
      <c r="ES299" s="116"/>
      <c r="ET299" s="11"/>
      <c r="EU299" s="11"/>
      <c r="EV299" s="11"/>
      <c r="EW299" s="11"/>
      <c r="EX299" s="11"/>
      <c r="EY299" s="11"/>
      <c r="EZ299" s="11"/>
      <c r="FA299" s="11"/>
      <c r="FB299" s="11"/>
      <c r="FC299" s="11"/>
      <c r="FD299" s="11"/>
      <c r="FE299" s="11"/>
      <c r="FF299" s="11"/>
      <c r="FG299" s="11"/>
      <c r="FH299" s="17">
        <f t="shared" si="119"/>
        <v>1548047.2</v>
      </c>
      <c r="FI299" s="31">
        <f t="shared" si="120"/>
        <v>2</v>
      </c>
      <c r="FJ299" s="68">
        <f t="shared" si="121"/>
        <v>774023.6</v>
      </c>
    </row>
    <row r="300" spans="1:166" ht="38.25" x14ac:dyDescent="0.25">
      <c r="A300" s="248">
        <f>Distribución_Reactivos!A300</f>
        <v>298</v>
      </c>
      <c r="B300" s="248" t="str">
        <f>Distribución_Reactivos!B300</f>
        <v>Mycobacterium bovis direct PCR
control, positive, bovine tissue with
Mtb H37a</v>
      </c>
      <c r="C300" s="248" t="str">
        <f>Distribución_Reactivos!C300</f>
        <v>NVSL. TBD-POS</v>
      </c>
      <c r="D300" s="248">
        <f>Distribución_Reactivos!D300</f>
        <v>0</v>
      </c>
      <c r="E300" s="29">
        <v>1</v>
      </c>
      <c r="F300" s="212">
        <v>0</v>
      </c>
      <c r="G300" s="214">
        <v>0</v>
      </c>
      <c r="H300" s="221">
        <v>0</v>
      </c>
      <c r="I300" s="221">
        <v>0</v>
      </c>
      <c r="J300" s="221">
        <v>0</v>
      </c>
      <c r="K300" s="221">
        <v>0</v>
      </c>
      <c r="L300" s="247"/>
      <c r="M300" s="247"/>
      <c r="N300" s="218"/>
      <c r="O300" s="102"/>
      <c r="P300" s="102"/>
      <c r="Q300" s="44"/>
      <c r="R300" s="44"/>
      <c r="S300" s="5"/>
      <c r="T300" s="102"/>
      <c r="U300" s="102"/>
      <c r="V300" s="102"/>
      <c r="W300" s="11"/>
      <c r="X300" s="11"/>
      <c r="Y300" s="11"/>
      <c r="Z300" s="102"/>
      <c r="AA300" s="102"/>
      <c r="AB300" s="102"/>
      <c r="AC300" s="44"/>
      <c r="AD300" s="44"/>
      <c r="AE300" s="11"/>
      <c r="AF300" s="97"/>
      <c r="AG300" s="125"/>
      <c r="AH300" s="102"/>
      <c r="AI300" s="11"/>
      <c r="AJ300" s="11"/>
      <c r="AK300" s="11"/>
      <c r="AL300" s="102"/>
      <c r="AM300" s="102"/>
      <c r="AN300" s="102"/>
      <c r="AO300" s="248"/>
      <c r="AP300" s="11"/>
      <c r="AQ300" s="11"/>
      <c r="AR300" s="247"/>
      <c r="AS300" s="247"/>
      <c r="AT300" s="247"/>
      <c r="AU300" s="42"/>
      <c r="AV300" s="42"/>
      <c r="AW300" s="11"/>
      <c r="AX300" s="247"/>
      <c r="AY300" s="247"/>
      <c r="AZ300" s="247"/>
      <c r="BA300" s="11"/>
      <c r="BB300" s="11"/>
      <c r="BC300" s="11"/>
      <c r="BD300" s="252"/>
      <c r="BE300" s="247"/>
      <c r="BF300" s="247"/>
      <c r="BG300" s="11"/>
      <c r="BH300" s="11"/>
      <c r="BI300" s="11"/>
      <c r="BJ300" s="247"/>
      <c r="BK300" s="247"/>
      <c r="BL300" s="247"/>
      <c r="BM300" s="11"/>
      <c r="BN300" s="11"/>
      <c r="BO300" s="11"/>
      <c r="BP300" s="252"/>
      <c r="BQ300" s="11"/>
      <c r="BR300" s="11"/>
      <c r="BS300" s="11"/>
      <c r="BT300" s="11"/>
      <c r="BU300" s="11"/>
      <c r="BV300" s="240">
        <v>644000</v>
      </c>
      <c r="BW300" s="125">
        <f t="shared" si="118"/>
        <v>122360</v>
      </c>
      <c r="BX300" s="97">
        <f t="shared" si="116"/>
        <v>766360</v>
      </c>
      <c r="BY300" s="237" t="s">
        <v>353</v>
      </c>
      <c r="BZ300" s="237" t="s">
        <v>374</v>
      </c>
      <c r="CA300" s="11"/>
      <c r="CB300" s="252"/>
      <c r="CC300" s="124"/>
      <c r="CD300" s="252"/>
      <c r="CE300" s="11"/>
      <c r="CF300" s="11"/>
      <c r="CG300" s="11"/>
      <c r="CH300" s="240">
        <v>682640</v>
      </c>
      <c r="CI300" s="238">
        <f t="shared" si="117"/>
        <v>129701.6</v>
      </c>
      <c r="CJ300" s="236">
        <f t="shared" si="122"/>
        <v>812341.6</v>
      </c>
      <c r="CK300" s="237" t="s">
        <v>353</v>
      </c>
      <c r="CL300" s="237" t="s">
        <v>374</v>
      </c>
      <c r="CM300" s="11"/>
      <c r="CN300" s="252"/>
      <c r="CO300" s="124"/>
      <c r="CP300" s="252"/>
      <c r="CQ300" s="11"/>
      <c r="CR300" s="11"/>
      <c r="CS300" s="11"/>
      <c r="CT300" s="252"/>
      <c r="CU300" s="124"/>
      <c r="CV300" s="252"/>
      <c r="CW300" s="11"/>
      <c r="CX300" s="11"/>
      <c r="CY300" s="11"/>
      <c r="CZ300" s="97"/>
      <c r="DA300" s="124"/>
      <c r="DB300" s="97"/>
      <c r="DC300" s="31"/>
      <c r="DD300" s="17"/>
      <c r="DE300" s="11"/>
      <c r="DF300" s="11"/>
      <c r="DG300" s="11"/>
      <c r="DH300" s="11"/>
      <c r="DI300" s="11"/>
      <c r="DJ300" s="11"/>
      <c r="DK300" s="11"/>
      <c r="DL300" s="11"/>
      <c r="DM300" s="11"/>
      <c r="DN300" s="11"/>
      <c r="DO300" s="11"/>
      <c r="DP300" s="11"/>
      <c r="DQ300" s="11"/>
      <c r="DR300" s="11"/>
      <c r="DS300" s="11"/>
      <c r="DT300" s="11"/>
      <c r="DU300" s="11"/>
      <c r="DV300" s="11"/>
      <c r="DW300" s="11"/>
      <c r="DX300" s="11"/>
      <c r="DY300" s="11"/>
      <c r="DZ300" s="11"/>
      <c r="EA300" s="11"/>
      <c r="EB300" s="17"/>
      <c r="EC300" s="17"/>
      <c r="ED300" s="17"/>
      <c r="EE300" s="11"/>
      <c r="EF300" s="11"/>
      <c r="EG300" s="17"/>
      <c r="EH300" s="17"/>
      <c r="EI300" s="32"/>
      <c r="EJ300" s="11"/>
      <c r="EK300" s="11"/>
      <c r="EL300" s="11"/>
      <c r="EM300" s="11"/>
      <c r="EN300" s="11"/>
      <c r="EO300" s="11"/>
      <c r="EP300" s="11"/>
      <c r="EQ300" s="17"/>
      <c r="ER300" s="17"/>
      <c r="ES300" s="32"/>
      <c r="ET300" s="11"/>
      <c r="EU300" s="11"/>
      <c r="EV300" s="11"/>
      <c r="EW300" s="11"/>
      <c r="EX300" s="11"/>
      <c r="EY300" s="11"/>
      <c r="EZ300" s="11"/>
      <c r="FA300" s="11"/>
      <c r="FB300" s="11"/>
      <c r="FC300" s="11"/>
      <c r="FD300" s="11"/>
      <c r="FE300" s="11"/>
      <c r="FF300" s="11"/>
      <c r="FG300" s="11"/>
      <c r="FH300" s="17">
        <f t="shared" si="119"/>
        <v>1578701.6</v>
      </c>
      <c r="FI300" s="31">
        <f t="shared" si="120"/>
        <v>2</v>
      </c>
      <c r="FJ300" s="68">
        <f t="shared" si="121"/>
        <v>789350.8</v>
      </c>
    </row>
    <row r="301" spans="1:166" ht="13.5" x14ac:dyDescent="0.25">
      <c r="A301" s="248">
        <f>Distribución_Reactivos!A301</f>
        <v>299</v>
      </c>
      <c r="B301" s="248" t="str">
        <f>Distribución_Reactivos!B301</f>
        <v>Mycobacterium species DNA</v>
      </c>
      <c r="C301" s="248" t="str">
        <f>Distribución_Reactivos!C301</f>
        <v>NVSL. MYC-DNA</v>
      </c>
      <c r="D301" s="248">
        <f>Distribución_Reactivos!D301</f>
        <v>0</v>
      </c>
      <c r="E301" s="29">
        <v>1</v>
      </c>
      <c r="F301" s="212">
        <v>0</v>
      </c>
      <c r="G301" s="214">
        <v>0</v>
      </c>
      <c r="H301" s="221">
        <v>0</v>
      </c>
      <c r="I301" s="221">
        <v>0</v>
      </c>
      <c r="J301" s="221">
        <v>0</v>
      </c>
      <c r="K301" s="221">
        <v>0</v>
      </c>
      <c r="L301" s="247"/>
      <c r="M301" s="247"/>
      <c r="N301" s="217"/>
      <c r="O301" s="97"/>
      <c r="P301" s="97"/>
      <c r="Q301" s="115"/>
      <c r="R301" s="115"/>
      <c r="S301" s="53"/>
      <c r="T301" s="97"/>
      <c r="U301" s="101"/>
      <c r="V301" s="97"/>
      <c r="W301" s="115"/>
      <c r="X301" s="115"/>
      <c r="Y301" s="11"/>
      <c r="Z301" s="97"/>
      <c r="AA301" s="97"/>
      <c r="AB301" s="97"/>
      <c r="AC301" s="44"/>
      <c r="AD301" s="44"/>
      <c r="AE301" s="11"/>
      <c r="AF301" s="97"/>
      <c r="AG301" s="125"/>
      <c r="AH301" s="97"/>
      <c r="AI301" s="11"/>
      <c r="AJ301" s="11"/>
      <c r="AK301" s="17"/>
      <c r="AL301" s="97"/>
      <c r="AM301" s="97"/>
      <c r="AN301" s="101"/>
      <c r="AO301" s="248"/>
      <c r="AP301" s="17"/>
      <c r="AQ301" s="17"/>
      <c r="AR301" s="252"/>
      <c r="AS301" s="252"/>
      <c r="AT301" s="252"/>
      <c r="AU301" s="42"/>
      <c r="AV301" s="52"/>
      <c r="AW301" s="11"/>
      <c r="AX301" s="100"/>
      <c r="AY301" s="174"/>
      <c r="AZ301" s="124"/>
      <c r="BA301" s="169"/>
      <c r="BB301" s="116"/>
      <c r="BC301" s="116"/>
      <c r="BD301" s="252"/>
      <c r="BE301" s="124"/>
      <c r="BF301" s="124"/>
      <c r="BG301" s="116"/>
      <c r="BH301" s="116"/>
      <c r="BI301" s="116"/>
      <c r="BJ301" s="124"/>
      <c r="BK301" s="124"/>
      <c r="BL301" s="124"/>
      <c r="BM301" s="116"/>
      <c r="BN301" s="116"/>
      <c r="BO301" s="116"/>
      <c r="BP301" s="124"/>
      <c r="BQ301" s="116"/>
      <c r="BR301" s="116"/>
      <c r="BS301" s="116"/>
      <c r="BT301" s="116"/>
      <c r="BU301" s="116"/>
      <c r="BV301" s="240">
        <v>1610000</v>
      </c>
      <c r="BW301" s="125">
        <f t="shared" si="118"/>
        <v>305900</v>
      </c>
      <c r="BX301" s="97">
        <f t="shared" si="116"/>
        <v>1915900</v>
      </c>
      <c r="BY301" s="237" t="s">
        <v>375</v>
      </c>
      <c r="BZ301" s="237" t="s">
        <v>374</v>
      </c>
      <c r="CA301" s="116"/>
      <c r="CB301" s="252"/>
      <c r="CC301" s="124"/>
      <c r="CD301" s="252"/>
      <c r="CE301" s="116"/>
      <c r="CF301" s="116"/>
      <c r="CG301" s="34"/>
      <c r="CH301" s="240">
        <v>1658300</v>
      </c>
      <c r="CI301" s="238">
        <f t="shared" si="117"/>
        <v>315077</v>
      </c>
      <c r="CJ301" s="236">
        <f t="shared" si="122"/>
        <v>1973377</v>
      </c>
      <c r="CK301" s="237" t="s">
        <v>375</v>
      </c>
      <c r="CL301" s="237" t="s">
        <v>374</v>
      </c>
      <c r="CM301" s="116"/>
      <c r="CN301" s="252"/>
      <c r="CO301" s="124"/>
      <c r="CP301" s="252"/>
      <c r="CQ301" s="116"/>
      <c r="CR301" s="116"/>
      <c r="CS301" s="116"/>
      <c r="CT301" s="252"/>
      <c r="CU301" s="124"/>
      <c r="CV301" s="252"/>
      <c r="CW301" s="116"/>
      <c r="CX301" s="116"/>
      <c r="CY301" s="116"/>
      <c r="CZ301" s="97"/>
      <c r="DA301" s="124"/>
      <c r="DB301" s="97"/>
      <c r="DC301" s="31"/>
      <c r="DD301" s="17"/>
      <c r="DE301" s="11"/>
      <c r="DF301" s="116"/>
      <c r="DG301" s="116"/>
      <c r="DH301" s="116"/>
      <c r="DI301" s="116"/>
      <c r="DJ301" s="116"/>
      <c r="DK301" s="116"/>
      <c r="DL301" s="116"/>
      <c r="DM301" s="116"/>
      <c r="DN301" s="116"/>
      <c r="DO301" s="116"/>
      <c r="DP301" s="116"/>
      <c r="DQ301" s="116"/>
      <c r="DR301" s="116"/>
      <c r="DS301" s="116"/>
      <c r="DT301" s="116"/>
      <c r="DU301" s="116"/>
      <c r="DV301" s="116"/>
      <c r="DW301" s="116"/>
      <c r="DX301" s="116"/>
      <c r="DY301" s="116"/>
      <c r="DZ301" s="116"/>
      <c r="EA301" s="116"/>
      <c r="EB301" s="116"/>
      <c r="EC301" s="116"/>
      <c r="ED301" s="116"/>
      <c r="EE301" s="116"/>
      <c r="EF301" s="116"/>
      <c r="EG301" s="116"/>
      <c r="EH301" s="116"/>
      <c r="EI301" s="116"/>
      <c r="EJ301" s="116"/>
      <c r="EK301" s="116"/>
      <c r="EL301" s="116"/>
      <c r="EM301" s="116"/>
      <c r="EN301" s="116"/>
      <c r="EO301" s="116"/>
      <c r="EP301" s="116"/>
      <c r="EQ301" s="116"/>
      <c r="ER301" s="116"/>
      <c r="ES301" s="116"/>
      <c r="ET301" s="11"/>
      <c r="EU301" s="11"/>
      <c r="EV301" s="11"/>
      <c r="EW301" s="11"/>
      <c r="EX301" s="11"/>
      <c r="EY301" s="11"/>
      <c r="EZ301" s="11"/>
      <c r="FA301" s="11"/>
      <c r="FB301" s="11"/>
      <c r="FC301" s="11"/>
      <c r="FD301" s="11"/>
      <c r="FE301" s="11"/>
      <c r="FF301" s="11"/>
      <c r="FG301" s="11"/>
      <c r="FH301" s="17">
        <f t="shared" si="119"/>
        <v>3889277</v>
      </c>
      <c r="FI301" s="31">
        <f t="shared" si="120"/>
        <v>2</v>
      </c>
      <c r="FJ301" s="68">
        <f t="shared" si="121"/>
        <v>1944638.5</v>
      </c>
    </row>
    <row r="302" spans="1:166" ht="27" x14ac:dyDescent="0.25">
      <c r="A302" s="248">
        <f>Distribución_Reactivos!A302</f>
        <v>300</v>
      </c>
      <c r="B302" s="248" t="str">
        <f>Distribución_Reactivos!B302</f>
        <v>Negro de Clorazol</v>
      </c>
      <c r="C302" s="248" t="str">
        <f>Distribución_Reactivos!C302</f>
        <v>Sigma o equivalentes</v>
      </c>
      <c r="D302" s="248" t="str">
        <f>Distribución_Reactivos!D302</f>
        <v>Frasco de 25 gramos o de 30 ml</v>
      </c>
      <c r="E302" s="29">
        <v>1</v>
      </c>
      <c r="F302" s="212">
        <v>0</v>
      </c>
      <c r="G302" s="214">
        <v>0</v>
      </c>
      <c r="H302" s="221">
        <v>516460</v>
      </c>
      <c r="I302" s="221">
        <v>0</v>
      </c>
      <c r="J302" s="221">
        <v>222768</v>
      </c>
      <c r="K302" s="221">
        <v>0</v>
      </c>
      <c r="L302" s="247">
        <f>AVERAGE(H302,J302)</f>
        <v>369614</v>
      </c>
      <c r="M302" s="247"/>
      <c r="N302" s="218"/>
      <c r="O302" s="102"/>
      <c r="P302" s="102"/>
      <c r="Q302" s="44"/>
      <c r="R302" s="44"/>
      <c r="S302" s="5"/>
      <c r="T302" s="102"/>
      <c r="U302" s="102"/>
      <c r="V302" s="102"/>
      <c r="W302" s="11"/>
      <c r="X302" s="11"/>
      <c r="Y302" s="11"/>
      <c r="Z302" s="102"/>
      <c r="AA302" s="102"/>
      <c r="AB302" s="102"/>
      <c r="AC302" s="44"/>
      <c r="AD302" s="44"/>
      <c r="AE302" s="11"/>
      <c r="AF302" s="102"/>
      <c r="AG302" s="125"/>
      <c r="AH302" s="102"/>
      <c r="AI302" s="11"/>
      <c r="AJ302" s="11"/>
      <c r="AK302" s="11"/>
      <c r="AL302" s="102"/>
      <c r="AM302" s="102"/>
      <c r="AN302" s="102"/>
      <c r="AO302" s="248"/>
      <c r="AP302" s="11"/>
      <c r="AQ302" s="11"/>
      <c r="AR302" s="247">
        <v>187200</v>
      </c>
      <c r="AS302" s="124">
        <f>+AR302*0.19</f>
        <v>35568</v>
      </c>
      <c r="AT302" s="100">
        <f>+AR302+AS302</f>
        <v>222768</v>
      </c>
      <c r="AU302" s="143" t="s">
        <v>157</v>
      </c>
      <c r="AV302" s="34" t="s">
        <v>42</v>
      </c>
      <c r="AW302" s="11"/>
      <c r="AX302" s="247"/>
      <c r="AY302" s="247"/>
      <c r="AZ302" s="247"/>
      <c r="BA302" s="11"/>
      <c r="BB302" s="11"/>
      <c r="BC302" s="11"/>
      <c r="BD302" s="247"/>
      <c r="BE302" s="247"/>
      <c r="BF302" s="247"/>
      <c r="BG302" s="11"/>
      <c r="BH302" s="11"/>
      <c r="BI302" s="11"/>
      <c r="BJ302" s="247"/>
      <c r="BK302" s="247"/>
      <c r="BL302" s="247"/>
      <c r="BM302" s="11"/>
      <c r="BN302" s="11"/>
      <c r="BO302" s="11"/>
      <c r="BP302" s="252"/>
      <c r="BQ302" s="11"/>
      <c r="BR302" s="11"/>
      <c r="BS302" s="11"/>
      <c r="BT302" s="11"/>
      <c r="BU302" s="11"/>
      <c r="BV302" s="236">
        <v>389300</v>
      </c>
      <c r="BW302" s="125">
        <f t="shared" si="118"/>
        <v>73967</v>
      </c>
      <c r="BX302" s="97">
        <f t="shared" si="116"/>
        <v>463267</v>
      </c>
      <c r="BY302" s="237" t="s">
        <v>376</v>
      </c>
      <c r="BZ302" s="237" t="s">
        <v>252</v>
      </c>
      <c r="CA302" s="11"/>
      <c r="CB302" s="247"/>
      <c r="CC302" s="125"/>
      <c r="CD302" s="247"/>
      <c r="CE302" s="11"/>
      <c r="CF302" s="11"/>
      <c r="CG302" s="11"/>
      <c r="CH302" s="236">
        <v>397086</v>
      </c>
      <c r="CI302" s="238">
        <f t="shared" si="117"/>
        <v>75446.34</v>
      </c>
      <c r="CJ302" s="236">
        <f t="shared" si="122"/>
        <v>472532.33999999997</v>
      </c>
      <c r="CK302" s="237" t="s">
        <v>376</v>
      </c>
      <c r="CL302" s="237" t="s">
        <v>252</v>
      </c>
      <c r="CM302" s="11"/>
      <c r="CN302" s="247"/>
      <c r="CO302" s="125"/>
      <c r="CP302" s="247"/>
      <c r="CQ302" s="11"/>
      <c r="CR302" s="11"/>
      <c r="CS302" s="11"/>
      <c r="CT302" s="247"/>
      <c r="CU302" s="125"/>
      <c r="CV302" s="247"/>
      <c r="CW302" s="11"/>
      <c r="CX302" s="11"/>
      <c r="CY302" s="11"/>
      <c r="CZ302" s="102"/>
      <c r="DA302" s="125"/>
      <c r="DB302" s="102"/>
      <c r="DC302" s="31"/>
      <c r="DD302" s="17"/>
      <c r="DE302" s="11"/>
      <c r="DF302" s="11"/>
      <c r="DG302" s="11"/>
      <c r="DH302" s="11"/>
      <c r="DI302" s="11"/>
      <c r="DJ302" s="11"/>
      <c r="DK302" s="11"/>
      <c r="DL302" s="11"/>
      <c r="DM302" s="11"/>
      <c r="DN302" s="11"/>
      <c r="DO302" s="11"/>
      <c r="DP302" s="11"/>
      <c r="DQ302" s="11"/>
      <c r="DR302" s="11"/>
      <c r="DS302" s="11"/>
      <c r="DT302" s="11"/>
      <c r="DU302" s="11"/>
      <c r="DV302" s="11"/>
      <c r="DW302" s="11"/>
      <c r="DX302" s="11"/>
      <c r="DY302" s="11"/>
      <c r="DZ302" s="11"/>
      <c r="EA302" s="11"/>
      <c r="EB302" s="17"/>
      <c r="EC302" s="17"/>
      <c r="ED302" s="17"/>
      <c r="EE302" s="11"/>
      <c r="EF302" s="11"/>
      <c r="EG302" s="17"/>
      <c r="EH302" s="17"/>
      <c r="EI302" s="32"/>
      <c r="EJ302" s="11"/>
      <c r="EK302" s="11"/>
      <c r="EL302" s="11"/>
      <c r="EM302" s="11"/>
      <c r="EN302" s="11"/>
      <c r="EO302" s="11"/>
      <c r="EP302" s="11"/>
      <c r="EQ302" s="17"/>
      <c r="ER302" s="17"/>
      <c r="ES302" s="17"/>
      <c r="ET302" s="11"/>
      <c r="EU302" s="11"/>
      <c r="EV302" s="11"/>
      <c r="EW302" s="11"/>
      <c r="EX302" s="11"/>
      <c r="EY302" s="11"/>
      <c r="EZ302" s="11"/>
      <c r="FA302" s="11"/>
      <c r="FB302" s="11"/>
      <c r="FC302" s="11"/>
      <c r="FD302" s="11"/>
      <c r="FE302" s="11"/>
      <c r="FF302" s="11"/>
      <c r="FG302" s="11"/>
      <c r="FH302" s="17">
        <f t="shared" si="119"/>
        <v>1158567.3399999999</v>
      </c>
      <c r="FI302" s="31">
        <f t="shared" si="120"/>
        <v>3</v>
      </c>
      <c r="FJ302" s="68">
        <f t="shared" si="121"/>
        <v>386189.11333333328</v>
      </c>
    </row>
    <row r="303" spans="1:166" ht="13.5" x14ac:dyDescent="0.25">
      <c r="A303" s="248">
        <f>Distribución_Reactivos!A303</f>
        <v>301</v>
      </c>
      <c r="B303" s="248" t="str">
        <f>Distribución_Reactivos!B303</f>
        <v>Negro de eriocromo T</v>
      </c>
      <c r="C303" s="248" t="str">
        <f>Distribución_Reactivos!C303</f>
        <v>Cualquier marca</v>
      </c>
      <c r="D303" s="248" t="str">
        <f>Distribución_Reactivos!D303</f>
        <v>Frasco X  25 g</v>
      </c>
      <c r="E303" s="29">
        <v>1</v>
      </c>
      <c r="F303" s="212">
        <v>0</v>
      </c>
      <c r="G303" s="214">
        <v>0</v>
      </c>
      <c r="H303" s="221">
        <v>0</v>
      </c>
      <c r="I303" s="221">
        <v>0</v>
      </c>
      <c r="J303" s="221">
        <v>281058.16666666669</v>
      </c>
      <c r="K303" s="221">
        <v>275485</v>
      </c>
      <c r="L303" s="247">
        <f>J303</f>
        <v>281058.16666666669</v>
      </c>
      <c r="M303" s="247">
        <f>K303*E1</f>
        <v>283749.55</v>
      </c>
      <c r="N303" s="217"/>
      <c r="O303" s="97"/>
      <c r="P303" s="97"/>
      <c r="Q303" s="44"/>
      <c r="R303" s="44"/>
      <c r="S303" s="5"/>
      <c r="T303" s="97"/>
      <c r="U303" s="97"/>
      <c r="V303" s="97"/>
      <c r="W303" s="11"/>
      <c r="X303" s="11"/>
      <c r="Y303" s="11"/>
      <c r="Z303" s="97"/>
      <c r="AA303" s="97"/>
      <c r="AB303" s="97"/>
      <c r="AC303" s="44"/>
      <c r="AD303" s="44"/>
      <c r="AE303" s="11"/>
      <c r="AF303" s="102"/>
      <c r="AG303" s="125"/>
      <c r="AH303" s="97"/>
      <c r="AI303" s="11"/>
      <c r="AJ303" s="11"/>
      <c r="AK303" s="11"/>
      <c r="AL303" s="97">
        <v>165000</v>
      </c>
      <c r="AM303" s="97">
        <f>+AL303*0.19</f>
        <v>31350</v>
      </c>
      <c r="AN303" s="103">
        <f>+AL303+AM303</f>
        <v>196350</v>
      </c>
      <c r="AO303" s="248" t="s">
        <v>41</v>
      </c>
      <c r="AP303" s="11" t="s">
        <v>52</v>
      </c>
      <c r="AQ303" s="11"/>
      <c r="AR303" s="252"/>
      <c r="AS303" s="252"/>
      <c r="AT303" s="252"/>
      <c r="AU303" s="52"/>
      <c r="AV303" s="42"/>
      <c r="AW303" s="11"/>
      <c r="AX303" s="156"/>
      <c r="AY303" s="156"/>
      <c r="AZ303" s="173"/>
      <c r="BA303" s="9"/>
      <c r="BB303" s="9"/>
      <c r="BC303" s="9"/>
      <c r="BD303" s="247"/>
      <c r="BE303" s="124"/>
      <c r="BF303" s="124"/>
      <c r="BG303" s="116"/>
      <c r="BH303" s="9"/>
      <c r="BI303" s="116"/>
      <c r="BJ303" s="124"/>
      <c r="BK303" s="124"/>
      <c r="BL303" s="124"/>
      <c r="BM303" s="116"/>
      <c r="BN303" s="116"/>
      <c r="BO303" s="116"/>
      <c r="BP303" s="124"/>
      <c r="BQ303" s="116"/>
      <c r="BR303" s="116"/>
      <c r="BS303" s="116"/>
      <c r="BT303" s="116"/>
      <c r="BU303" s="116"/>
      <c r="BV303" s="236">
        <v>284400</v>
      </c>
      <c r="BW303" s="125">
        <f t="shared" si="118"/>
        <v>54036</v>
      </c>
      <c r="BX303" s="97">
        <f t="shared" si="116"/>
        <v>338436</v>
      </c>
      <c r="BY303" s="237" t="s">
        <v>323</v>
      </c>
      <c r="BZ303" s="237" t="s">
        <v>93</v>
      </c>
      <c r="CA303" s="116"/>
      <c r="CB303" s="247">
        <v>125550</v>
      </c>
      <c r="CC303" s="125">
        <f>+CB303*19%</f>
        <v>23854.5</v>
      </c>
      <c r="CD303" s="247">
        <f>+CB303+CC303</f>
        <v>149404.5</v>
      </c>
      <c r="CE303" s="116"/>
      <c r="CF303" s="116"/>
      <c r="CG303" s="34"/>
      <c r="CH303" s="236">
        <v>287244</v>
      </c>
      <c r="CI303" s="238">
        <f t="shared" si="117"/>
        <v>54576.36</v>
      </c>
      <c r="CJ303" s="236">
        <f t="shared" si="122"/>
        <v>341820.36</v>
      </c>
      <c r="CK303" s="237" t="s">
        <v>323</v>
      </c>
      <c r="CL303" s="237" t="s">
        <v>93</v>
      </c>
      <c r="CM303" s="116"/>
      <c r="CN303" s="247"/>
      <c r="CO303" s="125"/>
      <c r="CP303" s="247"/>
      <c r="CQ303" s="116"/>
      <c r="CR303" s="116"/>
      <c r="CS303" s="116"/>
      <c r="CT303" s="247"/>
      <c r="CU303" s="125"/>
      <c r="CV303" s="247"/>
      <c r="CW303" s="116"/>
      <c r="CX303" s="116"/>
      <c r="CY303" s="116"/>
      <c r="CZ303" s="102"/>
      <c r="DA303" s="125"/>
      <c r="DB303" s="102"/>
      <c r="DC303" s="31"/>
      <c r="DD303" s="17"/>
      <c r="DE303" s="11"/>
      <c r="DF303" s="116"/>
      <c r="DG303" s="116"/>
      <c r="DH303" s="116"/>
      <c r="DI303" s="116"/>
      <c r="DJ303" s="116"/>
      <c r="DK303" s="116"/>
      <c r="DL303" s="116"/>
      <c r="DM303" s="116"/>
      <c r="DN303" s="116"/>
      <c r="DO303" s="116"/>
      <c r="DP303" s="116"/>
      <c r="DQ303" s="116"/>
      <c r="DR303" s="116"/>
      <c r="DS303" s="116"/>
      <c r="DT303" s="116"/>
      <c r="DU303" s="116"/>
      <c r="DV303" s="116"/>
      <c r="DW303" s="116"/>
      <c r="DX303" s="116"/>
      <c r="DY303" s="116"/>
      <c r="DZ303" s="116"/>
      <c r="EA303" s="116"/>
      <c r="EB303" s="116"/>
      <c r="EC303" s="116"/>
      <c r="ED303" s="116"/>
      <c r="EE303" s="116"/>
      <c r="EF303" s="116"/>
      <c r="EG303" s="116"/>
      <c r="EH303" s="116"/>
      <c r="EI303" s="116"/>
      <c r="EJ303" s="116"/>
      <c r="EK303" s="116"/>
      <c r="EL303" s="116"/>
      <c r="EM303" s="116"/>
      <c r="EN303" s="116"/>
      <c r="EO303" s="116"/>
      <c r="EP303" s="116"/>
      <c r="EQ303" s="116"/>
      <c r="ER303" s="116"/>
      <c r="ES303" s="116"/>
      <c r="ET303" s="11"/>
      <c r="EU303" s="11"/>
      <c r="EV303" s="11"/>
      <c r="EW303" s="11"/>
      <c r="EX303" s="11"/>
      <c r="EY303" s="11"/>
      <c r="EZ303" s="11"/>
      <c r="FA303" s="11"/>
      <c r="FB303" s="11"/>
      <c r="FC303" s="11"/>
      <c r="FD303" s="11"/>
      <c r="FE303" s="11"/>
      <c r="FF303" s="11"/>
      <c r="FG303" s="11"/>
      <c r="FH303" s="17">
        <f t="shared" si="119"/>
        <v>1309760.4100000001</v>
      </c>
      <c r="FI303" s="31">
        <f t="shared" si="120"/>
        <v>5</v>
      </c>
      <c r="FJ303" s="68">
        <f t="shared" si="121"/>
        <v>261952.08200000002</v>
      </c>
    </row>
    <row r="304" spans="1:166" ht="27" x14ac:dyDescent="0.25">
      <c r="A304" s="248">
        <f>Distribución_Reactivos!A304</f>
        <v>302</v>
      </c>
      <c r="B304" s="248" t="str">
        <f>Distribución_Reactivos!B304</f>
        <v xml:space="preserve">N-Hexano RA </v>
      </c>
      <c r="C304" s="248" t="str">
        <f>Distribución_Reactivos!C304</f>
        <v>Merck, JT Baker, Mallinckrodt</v>
      </c>
      <c r="D304" s="248" t="str">
        <f>Distribución_Reactivos!D304</f>
        <v>Frasco x 4 litros</v>
      </c>
      <c r="E304" s="29">
        <v>1</v>
      </c>
      <c r="F304" s="212">
        <v>338505.41666666663</v>
      </c>
      <c r="G304" s="214">
        <v>324870</v>
      </c>
      <c r="H304" s="221">
        <v>296154.42857142858</v>
      </c>
      <c r="I304" s="221">
        <v>296072</v>
      </c>
      <c r="J304" s="221">
        <v>371511.47419354838</v>
      </c>
      <c r="K304" s="221">
        <v>362236</v>
      </c>
      <c r="L304" s="247">
        <f>AVERAGE(F304,H304,J304)</f>
        <v>335390.4398105478</v>
      </c>
      <c r="M304" s="247">
        <f>AVERAGE(G304,I304,K304)*E1</f>
        <v>337557.78</v>
      </c>
      <c r="N304" s="217"/>
      <c r="O304" s="97"/>
      <c r="P304" s="97"/>
      <c r="Q304" s="115"/>
      <c r="R304" s="115"/>
      <c r="S304" s="53"/>
      <c r="T304" s="97"/>
      <c r="U304" s="97"/>
      <c r="V304" s="97"/>
      <c r="W304" s="115"/>
      <c r="X304" s="115"/>
      <c r="Y304" s="11"/>
      <c r="Z304" s="97"/>
      <c r="AA304" s="97"/>
      <c r="AB304" s="97"/>
      <c r="AC304" s="44"/>
      <c r="AD304" s="44"/>
      <c r="AE304" s="11"/>
      <c r="AF304" s="102"/>
      <c r="AG304" s="125"/>
      <c r="AH304" s="97"/>
      <c r="AI304" s="11"/>
      <c r="AJ304" s="11"/>
      <c r="AK304" s="17"/>
      <c r="AL304" s="97">
        <v>350000</v>
      </c>
      <c r="AM304" s="97">
        <f>+AL304*0.19</f>
        <v>66500</v>
      </c>
      <c r="AN304" s="103">
        <f>+AL304+AM304</f>
        <v>416500</v>
      </c>
      <c r="AO304" s="248" t="s">
        <v>312</v>
      </c>
      <c r="AP304" s="11" t="s">
        <v>52</v>
      </c>
      <c r="AQ304" s="17"/>
      <c r="AR304" s="252"/>
      <c r="AS304" s="252"/>
      <c r="AT304" s="252"/>
      <c r="AU304" s="52"/>
      <c r="AV304" s="52"/>
      <c r="AW304" s="11"/>
      <c r="AX304" s="100">
        <v>415005.39</v>
      </c>
      <c r="AY304" s="100">
        <f>+AX304*0.19</f>
        <v>78851.02410000001</v>
      </c>
      <c r="AZ304" s="124">
        <f>+AX304+AY304</f>
        <v>493856.41410000005</v>
      </c>
      <c r="BA304" s="169" t="s">
        <v>71</v>
      </c>
      <c r="BB304" s="116" t="s">
        <v>72</v>
      </c>
      <c r="BC304" s="116"/>
      <c r="BD304" s="247"/>
      <c r="BE304" s="124"/>
      <c r="BF304" s="124"/>
      <c r="BG304" s="116"/>
      <c r="BH304" s="116"/>
      <c r="BI304" s="116"/>
      <c r="BJ304" s="124"/>
      <c r="BK304" s="124"/>
      <c r="BL304" s="124"/>
      <c r="BM304" s="116"/>
      <c r="BN304" s="116"/>
      <c r="BO304" s="116"/>
      <c r="BP304" s="124"/>
      <c r="BQ304" s="116"/>
      <c r="BR304" s="116"/>
      <c r="BS304" s="116"/>
      <c r="BT304" s="116"/>
      <c r="BU304" s="116"/>
      <c r="BV304" s="236">
        <v>320900</v>
      </c>
      <c r="BW304" s="125">
        <f t="shared" si="118"/>
        <v>60971</v>
      </c>
      <c r="BX304" s="97">
        <f t="shared" ref="BX304:BX326" si="123">+BV304+BW304</f>
        <v>381871</v>
      </c>
      <c r="BY304" s="237" t="s">
        <v>306</v>
      </c>
      <c r="BZ304" s="237" t="s">
        <v>83</v>
      </c>
      <c r="CA304" s="116"/>
      <c r="CB304" s="247"/>
      <c r="CC304" s="125"/>
      <c r="CD304" s="247"/>
      <c r="CE304" s="116"/>
      <c r="CF304" s="116"/>
      <c r="CG304" s="34"/>
      <c r="CH304" s="236">
        <v>327318</v>
      </c>
      <c r="CI304" s="238">
        <f t="shared" si="117"/>
        <v>62190.42</v>
      </c>
      <c r="CJ304" s="236">
        <f t="shared" si="122"/>
        <v>389508.42</v>
      </c>
      <c r="CK304" s="237" t="s">
        <v>306</v>
      </c>
      <c r="CL304" s="237" t="s">
        <v>83</v>
      </c>
      <c r="CM304" s="116"/>
      <c r="CN304" s="247"/>
      <c r="CO304" s="125"/>
      <c r="CP304" s="247"/>
      <c r="CQ304" s="116"/>
      <c r="CR304" s="116"/>
      <c r="CS304" s="116"/>
      <c r="CT304" s="247"/>
      <c r="CU304" s="125"/>
      <c r="CV304" s="247"/>
      <c r="CW304" s="116"/>
      <c r="CX304" s="116"/>
      <c r="CY304" s="116"/>
      <c r="CZ304" s="102"/>
      <c r="DA304" s="125"/>
      <c r="DB304" s="102"/>
      <c r="DC304" s="31"/>
      <c r="DD304" s="17"/>
      <c r="DE304" s="11"/>
      <c r="DF304" s="116"/>
      <c r="DG304" s="116"/>
      <c r="DH304" s="116"/>
      <c r="DI304" s="116"/>
      <c r="DJ304" s="116"/>
      <c r="DK304" s="116"/>
      <c r="DL304" s="116"/>
      <c r="DM304" s="116"/>
      <c r="DN304" s="116"/>
      <c r="DO304" s="116"/>
      <c r="DP304" s="116"/>
      <c r="DQ304" s="116"/>
      <c r="DR304" s="116"/>
      <c r="DS304" s="116"/>
      <c r="DT304" s="116"/>
      <c r="DU304" s="116"/>
      <c r="DV304" s="116"/>
      <c r="DW304" s="116"/>
      <c r="DX304" s="116"/>
      <c r="DY304" s="116"/>
      <c r="DZ304" s="116"/>
      <c r="EA304" s="116"/>
      <c r="EB304" s="116"/>
      <c r="EC304" s="116"/>
      <c r="ED304" s="116"/>
      <c r="EE304" s="116"/>
      <c r="EF304" s="116"/>
      <c r="EG304" s="116"/>
      <c r="EH304" s="116"/>
      <c r="EI304" s="116"/>
      <c r="EJ304" s="116"/>
      <c r="EK304" s="116"/>
      <c r="EL304" s="116"/>
      <c r="EM304" s="116"/>
      <c r="EN304" s="116"/>
      <c r="EO304" s="116"/>
      <c r="EP304" s="116"/>
      <c r="EQ304" s="116"/>
      <c r="ER304" s="116"/>
      <c r="ES304" s="116"/>
      <c r="ET304" s="11"/>
      <c r="EU304" s="11"/>
      <c r="EV304" s="11"/>
      <c r="EW304" s="11"/>
      <c r="EX304" s="11"/>
      <c r="EY304" s="11"/>
      <c r="EZ304" s="11"/>
      <c r="FA304" s="11"/>
      <c r="FB304" s="11"/>
      <c r="FC304" s="11"/>
      <c r="FD304" s="11"/>
      <c r="FE304" s="11"/>
      <c r="FF304" s="11"/>
      <c r="FG304" s="11"/>
      <c r="FH304" s="17">
        <f t="shared" si="119"/>
        <v>2019293.6140999999</v>
      </c>
      <c r="FI304" s="31">
        <f t="shared" si="120"/>
        <v>5</v>
      </c>
      <c r="FJ304" s="68">
        <f t="shared" si="121"/>
        <v>403858.72281999997</v>
      </c>
    </row>
    <row r="305" spans="1:166" ht="40.5" x14ac:dyDescent="0.25">
      <c r="A305" s="248">
        <f>Distribución_Reactivos!A305</f>
        <v>303</v>
      </c>
      <c r="B305" s="248" t="str">
        <f>Distribución_Reactivos!B305</f>
        <v>Nitrato de Plata</v>
      </c>
      <c r="C305" s="248" t="str">
        <f>Distribución_Reactivos!C305</f>
        <v>Sigma Aldrich / Merck / JT Baker</v>
      </c>
      <c r="D305" s="248" t="str">
        <f>Distribución_Reactivos!D305</f>
        <v>Frasco X 25 g</v>
      </c>
      <c r="E305" s="29">
        <v>1</v>
      </c>
      <c r="F305" s="212">
        <v>0</v>
      </c>
      <c r="G305" s="214">
        <v>0</v>
      </c>
      <c r="H305" s="221">
        <v>611021.25</v>
      </c>
      <c r="I305" s="221">
        <v>610946</v>
      </c>
      <c r="J305" s="221">
        <v>0</v>
      </c>
      <c r="K305" s="221">
        <v>0</v>
      </c>
      <c r="L305" s="247">
        <f>H305</f>
        <v>611021.25</v>
      </c>
      <c r="M305" s="247">
        <f>I305*E1</f>
        <v>629274.38</v>
      </c>
      <c r="N305" s="217"/>
      <c r="O305" s="97"/>
      <c r="P305" s="97"/>
      <c r="Q305" s="115"/>
      <c r="R305" s="115"/>
      <c r="S305" s="53"/>
      <c r="T305" s="97"/>
      <c r="U305" s="97"/>
      <c r="V305" s="97"/>
      <c r="W305" s="115"/>
      <c r="X305" s="115"/>
      <c r="Y305" s="11"/>
      <c r="Z305" s="97"/>
      <c r="AA305" s="97"/>
      <c r="AB305" s="97"/>
      <c r="AC305" s="44"/>
      <c r="AD305" s="44"/>
      <c r="AE305" s="11"/>
      <c r="AF305" s="102"/>
      <c r="AG305" s="125"/>
      <c r="AH305" s="97"/>
      <c r="AI305" s="11"/>
      <c r="AJ305" s="11"/>
      <c r="AK305" s="17"/>
      <c r="AL305" s="97">
        <v>490000</v>
      </c>
      <c r="AM305" s="97">
        <f>+AL305*0.19</f>
        <v>93100</v>
      </c>
      <c r="AN305" s="103">
        <f>+AL305+AM305</f>
        <v>583100</v>
      </c>
      <c r="AO305" s="248" t="s">
        <v>41</v>
      </c>
      <c r="AP305" s="11" t="s">
        <v>52</v>
      </c>
      <c r="AQ305" s="17"/>
      <c r="AR305" s="97">
        <v>471570</v>
      </c>
      <c r="AS305" s="124">
        <f>+AR305*0.19</f>
        <v>89598.3</v>
      </c>
      <c r="AT305" s="100">
        <f>+AR305+AS305</f>
        <v>561168.30000000005</v>
      </c>
      <c r="AU305" s="52" t="s">
        <v>41</v>
      </c>
      <c r="AV305" s="52" t="s">
        <v>52</v>
      </c>
      <c r="AW305" s="11"/>
      <c r="AX305" s="100">
        <f>1761667.556568/4</f>
        <v>440416.889142</v>
      </c>
      <c r="AY305" s="100">
        <f>+AX305*0.19</f>
        <v>83679.208936979994</v>
      </c>
      <c r="AZ305" s="124">
        <f>+AX305+AY305</f>
        <v>524096.09807897999</v>
      </c>
      <c r="BA305" s="169" t="s">
        <v>61</v>
      </c>
      <c r="BB305" s="116" t="s">
        <v>72</v>
      </c>
      <c r="BC305" s="116"/>
      <c r="BD305" s="247"/>
      <c r="BE305" s="124"/>
      <c r="BF305" s="124"/>
      <c r="BG305" s="116"/>
      <c r="BH305" s="116"/>
      <c r="BI305" s="116"/>
      <c r="BJ305" s="124"/>
      <c r="BK305" s="124"/>
      <c r="BL305" s="124"/>
      <c r="BM305" s="116"/>
      <c r="BN305" s="116"/>
      <c r="BO305" s="116"/>
      <c r="BP305" s="124"/>
      <c r="BQ305" s="116"/>
      <c r="BR305" s="116"/>
      <c r="BS305" s="116"/>
      <c r="BT305" s="116"/>
      <c r="BU305" s="116"/>
      <c r="BV305" s="236">
        <v>1372000</v>
      </c>
      <c r="BW305" s="125">
        <f t="shared" si="118"/>
        <v>260680</v>
      </c>
      <c r="BX305" s="97">
        <f t="shared" si="123"/>
        <v>1632680</v>
      </c>
      <c r="BY305" s="237" t="s">
        <v>323</v>
      </c>
      <c r="BZ305" s="237" t="s">
        <v>52</v>
      </c>
      <c r="CA305" s="116"/>
      <c r="CB305" s="247"/>
      <c r="CC305" s="125"/>
      <c r="CD305" s="247"/>
      <c r="CE305" s="116"/>
      <c r="CF305" s="116"/>
      <c r="CG305" s="34"/>
      <c r="CH305" s="241"/>
      <c r="CI305" s="238"/>
      <c r="CJ305" s="236"/>
      <c r="CK305" s="237"/>
      <c r="CL305" s="237"/>
      <c r="CM305" s="116"/>
      <c r="CN305" s="247"/>
      <c r="CO305" s="125"/>
      <c r="CP305" s="247"/>
      <c r="CQ305" s="116"/>
      <c r="CR305" s="116"/>
      <c r="CS305" s="116"/>
      <c r="CT305" s="247"/>
      <c r="CU305" s="125"/>
      <c r="CV305" s="247"/>
      <c r="CW305" s="116"/>
      <c r="CX305" s="116"/>
      <c r="CY305" s="116"/>
      <c r="CZ305" s="102"/>
      <c r="DA305" s="125"/>
      <c r="DB305" s="102"/>
      <c r="DC305" s="31"/>
      <c r="DD305" s="17"/>
      <c r="DE305" s="11"/>
      <c r="DF305" s="116"/>
      <c r="DG305" s="116"/>
      <c r="DH305" s="116"/>
      <c r="DI305" s="116"/>
      <c r="DJ305" s="116"/>
      <c r="DK305" s="116"/>
      <c r="DL305" s="116"/>
      <c r="DM305" s="116"/>
      <c r="DN305" s="116"/>
      <c r="DO305" s="116"/>
      <c r="DP305" s="116"/>
      <c r="DQ305" s="116"/>
      <c r="DR305" s="116"/>
      <c r="DS305" s="116"/>
      <c r="DT305" s="116"/>
      <c r="DU305" s="116"/>
      <c r="DV305" s="116"/>
      <c r="DW305" s="116"/>
      <c r="DX305" s="116"/>
      <c r="DY305" s="116"/>
      <c r="DZ305" s="116"/>
      <c r="EA305" s="116"/>
      <c r="EB305" s="116"/>
      <c r="EC305" s="116"/>
      <c r="ED305" s="116"/>
      <c r="EE305" s="116"/>
      <c r="EF305" s="116"/>
      <c r="EG305" s="116"/>
      <c r="EH305" s="116"/>
      <c r="EI305" s="116"/>
      <c r="EJ305" s="116"/>
      <c r="EK305" s="116"/>
      <c r="EL305" s="116"/>
      <c r="EM305" s="116"/>
      <c r="EN305" s="116"/>
      <c r="EO305" s="116"/>
      <c r="EP305" s="116"/>
      <c r="EQ305" s="116"/>
      <c r="ER305" s="116"/>
      <c r="ES305" s="116"/>
      <c r="ET305" s="11"/>
      <c r="EU305" s="11"/>
      <c r="EV305" s="11"/>
      <c r="EW305" s="11"/>
      <c r="EX305" s="11"/>
      <c r="EY305" s="11"/>
      <c r="EZ305" s="11"/>
      <c r="FA305" s="11"/>
      <c r="FB305" s="11"/>
      <c r="FC305" s="11"/>
      <c r="FD305" s="11"/>
      <c r="FE305" s="11"/>
      <c r="FF305" s="11"/>
      <c r="FG305" s="11"/>
      <c r="FH305" s="17">
        <f t="shared" si="119"/>
        <v>3930318.7780789798</v>
      </c>
      <c r="FI305" s="31">
        <f t="shared" si="120"/>
        <v>5</v>
      </c>
      <c r="FJ305" s="68">
        <f t="shared" si="121"/>
        <v>786063.75561579596</v>
      </c>
    </row>
    <row r="306" spans="1:166" ht="25.5" x14ac:dyDescent="0.25">
      <c r="A306" s="248">
        <f>Distribución_Reactivos!A306</f>
        <v>304</v>
      </c>
      <c r="B306" s="248" t="str">
        <f>Distribución_Reactivos!B306</f>
        <v>Nitrato de Potasio (kNO3)</v>
      </c>
      <c r="C306" s="248" t="str">
        <f>Distribución_Reactivos!C306</f>
        <v>Merck 1050631000</v>
      </c>
      <c r="D306" s="248" t="str">
        <f>Distribución_Reactivos!D306</f>
        <v>Frasco x 1000 g</v>
      </c>
      <c r="E306" s="29">
        <v>1</v>
      </c>
      <c r="F306" s="212">
        <v>509510.40000000002</v>
      </c>
      <c r="G306" s="214">
        <v>496706</v>
      </c>
      <c r="H306" s="221">
        <v>513002.1</v>
      </c>
      <c r="I306" s="221">
        <v>512890</v>
      </c>
      <c r="J306" s="221">
        <v>433906.84399999992</v>
      </c>
      <c r="K306" s="221">
        <v>0</v>
      </c>
      <c r="L306" s="247">
        <f>AVERAGE(F306,H306,J306)</f>
        <v>485473.11466666666</v>
      </c>
      <c r="M306" s="247">
        <f>AVERAGE(G306,I306)*E1</f>
        <v>519941.94</v>
      </c>
      <c r="N306" s="217"/>
      <c r="O306" s="101"/>
      <c r="P306" s="97"/>
      <c r="Q306" s="115"/>
      <c r="R306" s="115"/>
      <c r="S306" s="53"/>
      <c r="T306" s="97"/>
      <c r="U306" s="97"/>
      <c r="V306" s="97"/>
      <c r="W306" s="115"/>
      <c r="X306" s="115"/>
      <c r="Y306" s="11"/>
      <c r="Z306" s="97"/>
      <c r="AA306" s="97"/>
      <c r="AB306" s="97"/>
      <c r="AC306" s="44"/>
      <c r="AD306" s="44"/>
      <c r="AE306" s="11"/>
      <c r="AF306" s="102">
        <v>430000</v>
      </c>
      <c r="AG306" s="125">
        <f>AF306*19%</f>
        <v>81700</v>
      </c>
      <c r="AH306" s="97">
        <f>+AF306+AG306</f>
        <v>511700</v>
      </c>
      <c r="AI306" s="11"/>
      <c r="AJ306" s="11"/>
      <c r="AK306" s="17"/>
      <c r="AL306" s="97">
        <v>350000</v>
      </c>
      <c r="AM306" s="97">
        <f>+AL306*0.19</f>
        <v>66500</v>
      </c>
      <c r="AN306" s="103">
        <f>+AL306+AM306</f>
        <v>416500</v>
      </c>
      <c r="AO306" s="248" t="s">
        <v>377</v>
      </c>
      <c r="AP306" s="11" t="s">
        <v>52</v>
      </c>
      <c r="AQ306" s="17"/>
      <c r="AR306" s="97">
        <v>342868</v>
      </c>
      <c r="AS306" s="124">
        <f>+AR306*0.19</f>
        <v>65144.92</v>
      </c>
      <c r="AT306" s="100">
        <f>+AR306+AS306</f>
        <v>408012.92</v>
      </c>
      <c r="AU306" s="52" t="s">
        <v>99</v>
      </c>
      <c r="AV306" s="52" t="s">
        <v>52</v>
      </c>
      <c r="AW306" s="11"/>
      <c r="AX306" s="100"/>
      <c r="AY306" s="174"/>
      <c r="AZ306" s="124"/>
      <c r="BA306" s="169"/>
      <c r="BB306" s="116"/>
      <c r="BC306" s="116"/>
      <c r="BD306" s="247"/>
      <c r="BE306" s="124"/>
      <c r="BF306" s="124"/>
      <c r="BG306" s="116"/>
      <c r="BH306" s="116"/>
      <c r="BI306" s="116"/>
      <c r="BJ306" s="124"/>
      <c r="BK306" s="124"/>
      <c r="BL306" s="124"/>
      <c r="BM306" s="116"/>
      <c r="BN306" s="116"/>
      <c r="BO306" s="116"/>
      <c r="BP306" s="124"/>
      <c r="BQ306" s="116"/>
      <c r="BR306" s="116"/>
      <c r="BS306" s="116"/>
      <c r="BT306" s="116"/>
      <c r="BU306" s="116"/>
      <c r="BV306" s="236">
        <v>582200</v>
      </c>
      <c r="BW306" s="125">
        <f t="shared" si="118"/>
        <v>110618</v>
      </c>
      <c r="BX306" s="97">
        <f t="shared" si="123"/>
        <v>692818</v>
      </c>
      <c r="BY306" s="237" t="s">
        <v>329</v>
      </c>
      <c r="BZ306" s="237" t="s">
        <v>93</v>
      </c>
      <c r="CA306" s="116"/>
      <c r="CB306" s="247"/>
      <c r="CC306" s="125"/>
      <c r="CD306" s="247"/>
      <c r="CE306" s="116"/>
      <c r="CF306" s="116"/>
      <c r="CG306" s="34"/>
      <c r="CH306" s="236">
        <v>593844</v>
      </c>
      <c r="CI306" s="238">
        <f>+CH306*0.19</f>
        <v>112830.36</v>
      </c>
      <c r="CJ306" s="236">
        <f>+CH306+CI306</f>
        <v>706674.36</v>
      </c>
      <c r="CK306" s="237" t="s">
        <v>329</v>
      </c>
      <c r="CL306" s="237" t="s">
        <v>93</v>
      </c>
      <c r="CM306" s="116"/>
      <c r="CN306" s="247"/>
      <c r="CO306" s="125"/>
      <c r="CP306" s="247"/>
      <c r="CQ306" s="116"/>
      <c r="CR306" s="116"/>
      <c r="CS306" s="116"/>
      <c r="CT306" s="125">
        <v>438000</v>
      </c>
      <c r="CU306" s="125">
        <f>CT306*0.19</f>
        <v>83220</v>
      </c>
      <c r="CV306" s="125">
        <f>CU306+CT306</f>
        <v>521220</v>
      </c>
      <c r="CW306" s="116"/>
      <c r="CX306" s="116"/>
      <c r="CY306" s="116"/>
      <c r="CZ306" s="102">
        <v>241655</v>
      </c>
      <c r="DA306" s="125">
        <f>+CZ306*0.19</f>
        <v>45914.45</v>
      </c>
      <c r="DB306" s="102">
        <f>+CZ306+DA306</f>
        <v>287569.45</v>
      </c>
      <c r="DC306" s="31" t="s">
        <v>100</v>
      </c>
      <c r="DD306" s="17" t="s">
        <v>65</v>
      </c>
      <c r="DE306" s="11" t="s">
        <v>378</v>
      </c>
      <c r="DF306" s="116"/>
      <c r="DG306" s="116"/>
      <c r="DH306" s="116"/>
      <c r="DI306" s="116"/>
      <c r="DJ306" s="116"/>
      <c r="DK306" s="116"/>
      <c r="DL306" s="116"/>
      <c r="DM306" s="116"/>
      <c r="DN306" s="116"/>
      <c r="DO306" s="116"/>
      <c r="DP306" s="116"/>
      <c r="DQ306" s="116"/>
      <c r="DR306" s="116"/>
      <c r="DS306" s="116"/>
      <c r="DT306" s="116"/>
      <c r="DU306" s="116"/>
      <c r="DV306" s="116"/>
      <c r="DW306" s="116"/>
      <c r="DX306" s="116"/>
      <c r="DY306" s="116"/>
      <c r="DZ306" s="116"/>
      <c r="EA306" s="116"/>
      <c r="EB306" s="116"/>
      <c r="EC306" s="116"/>
      <c r="ED306" s="116"/>
      <c r="EE306" s="116"/>
      <c r="EF306" s="116"/>
      <c r="EG306" s="116"/>
      <c r="EH306" s="116"/>
      <c r="EI306" s="116"/>
      <c r="EJ306" s="116"/>
      <c r="EK306" s="116"/>
      <c r="EL306" s="116"/>
      <c r="EM306" s="116"/>
      <c r="EN306" s="116"/>
      <c r="EO306" s="116"/>
      <c r="EP306" s="116"/>
      <c r="EQ306" s="116"/>
      <c r="ER306" s="116"/>
      <c r="ES306" s="116"/>
      <c r="ET306" s="11"/>
      <c r="EU306" s="11"/>
      <c r="EV306" s="11"/>
      <c r="EW306" s="11"/>
      <c r="EX306" s="11"/>
      <c r="EY306" s="11"/>
      <c r="EZ306" s="11"/>
      <c r="FA306" s="11"/>
      <c r="FB306" s="11"/>
      <c r="FC306" s="11"/>
      <c r="FD306" s="11"/>
      <c r="FE306" s="11"/>
      <c r="FF306" s="11"/>
      <c r="FG306" s="11"/>
      <c r="FH306" s="17">
        <f t="shared" si="119"/>
        <v>4064436.67</v>
      </c>
      <c r="FI306" s="31">
        <f t="shared" si="120"/>
        <v>8</v>
      </c>
      <c r="FJ306" s="68">
        <f t="shared" si="121"/>
        <v>508054.58374999999</v>
      </c>
    </row>
    <row r="307" spans="1:166" ht="13.5" x14ac:dyDescent="0.25">
      <c r="A307" s="248">
        <f>Distribución_Reactivos!A307</f>
        <v>305</v>
      </c>
      <c r="B307" s="248" t="str">
        <f>Distribución_Reactivos!B307</f>
        <v>Nitrato de Potasio (KNO3) ultrapuro</v>
      </c>
      <c r="C307" s="248" t="str">
        <f>Distribución_Reactivos!C307</f>
        <v>cualquier marca</v>
      </c>
      <c r="D307" s="248" t="str">
        <f>Distribución_Reactivos!D307</f>
        <v>Frasco x 50 g</v>
      </c>
      <c r="E307" s="29">
        <v>1</v>
      </c>
      <c r="F307" s="212">
        <v>0</v>
      </c>
      <c r="G307" s="214">
        <v>0</v>
      </c>
      <c r="H307" s="221">
        <v>0</v>
      </c>
      <c r="I307" s="221">
        <v>0</v>
      </c>
      <c r="J307" s="221">
        <v>452200</v>
      </c>
      <c r="K307" s="221">
        <v>0</v>
      </c>
      <c r="L307" s="247">
        <f>J307</f>
        <v>452200</v>
      </c>
      <c r="M307" s="247"/>
      <c r="N307" s="217"/>
      <c r="O307" s="101"/>
      <c r="P307" s="97"/>
      <c r="Q307" s="115"/>
      <c r="R307" s="115"/>
      <c r="S307" s="53"/>
      <c r="T307" s="97"/>
      <c r="U307" s="97"/>
      <c r="V307" s="97"/>
      <c r="W307" s="115"/>
      <c r="X307" s="115"/>
      <c r="Y307" s="11"/>
      <c r="Z307" s="97"/>
      <c r="AA307" s="97"/>
      <c r="AB307" s="97"/>
      <c r="AC307" s="44"/>
      <c r="AD307" s="44"/>
      <c r="AE307" s="11"/>
      <c r="AF307" s="102">
        <v>330000</v>
      </c>
      <c r="AG307" s="125">
        <f>AF307*19%</f>
        <v>62700</v>
      </c>
      <c r="AH307" s="97">
        <f>+AF307+AG307</f>
        <v>392700</v>
      </c>
      <c r="AI307" s="11"/>
      <c r="AJ307" s="11"/>
      <c r="AK307" s="17"/>
      <c r="AL307" s="97"/>
      <c r="AM307" s="97"/>
      <c r="AN307" s="101"/>
      <c r="AO307" s="248"/>
      <c r="AP307" s="17"/>
      <c r="AQ307" s="17"/>
      <c r="AR307" s="97">
        <v>314715</v>
      </c>
      <c r="AS307" s="124">
        <f>+AR307*0</f>
        <v>0</v>
      </c>
      <c r="AT307" s="100">
        <f>+AR307+AS307</f>
        <v>314715</v>
      </c>
      <c r="AU307" s="52" t="s">
        <v>77</v>
      </c>
      <c r="AV307" s="52" t="s">
        <v>52</v>
      </c>
      <c r="AW307" s="11"/>
      <c r="AX307" s="100"/>
      <c r="AY307" s="174"/>
      <c r="AZ307" s="124"/>
      <c r="BA307" s="169"/>
      <c r="BB307" s="116"/>
      <c r="BC307" s="116"/>
      <c r="BD307" s="247"/>
      <c r="BE307" s="124"/>
      <c r="BF307" s="124"/>
      <c r="BG307" s="116"/>
      <c r="BH307" s="116"/>
      <c r="BI307" s="116"/>
      <c r="BJ307" s="124"/>
      <c r="BK307" s="124"/>
      <c r="BL307" s="124"/>
      <c r="BM307" s="116"/>
      <c r="BN307" s="116"/>
      <c r="BO307" s="116"/>
      <c r="BP307" s="124"/>
      <c r="BQ307" s="116"/>
      <c r="BR307" s="116"/>
      <c r="BS307" s="116"/>
      <c r="BT307" s="116"/>
      <c r="BU307" s="116"/>
      <c r="BV307" s="236">
        <v>1262700</v>
      </c>
      <c r="BW307" s="125">
        <f t="shared" si="118"/>
        <v>239913</v>
      </c>
      <c r="BX307" s="97">
        <f t="shared" si="123"/>
        <v>1502613</v>
      </c>
      <c r="BY307" s="237" t="s">
        <v>227</v>
      </c>
      <c r="BZ307" s="237" t="s">
        <v>93</v>
      </c>
      <c r="CA307" s="116"/>
      <c r="CB307" s="247"/>
      <c r="CC307" s="125"/>
      <c r="CD307" s="247"/>
      <c r="CE307" s="116"/>
      <c r="CF307" s="116"/>
      <c r="CG307" s="34"/>
      <c r="CH307" s="241"/>
      <c r="CI307" s="238"/>
      <c r="CJ307" s="236"/>
      <c r="CK307" s="237"/>
      <c r="CL307" s="237"/>
      <c r="CM307" s="116"/>
      <c r="CN307" s="247"/>
      <c r="CO307" s="125"/>
      <c r="CP307" s="247"/>
      <c r="CQ307" s="116"/>
      <c r="CR307" s="116"/>
      <c r="CS307" s="116"/>
      <c r="CT307" s="247"/>
      <c r="CU307" s="125"/>
      <c r="CV307" s="247"/>
      <c r="CW307" s="116"/>
      <c r="CX307" s="116"/>
      <c r="CY307" s="116"/>
      <c r="CZ307" s="102"/>
      <c r="DA307" s="125"/>
      <c r="DB307" s="102"/>
      <c r="DC307" s="31"/>
      <c r="DD307" s="17"/>
      <c r="DE307" s="11"/>
      <c r="DF307" s="116"/>
      <c r="DG307" s="116"/>
      <c r="DH307" s="116"/>
      <c r="DI307" s="116"/>
      <c r="DJ307" s="116"/>
      <c r="DK307" s="116"/>
      <c r="DL307" s="116"/>
      <c r="DM307" s="116"/>
      <c r="DN307" s="116"/>
      <c r="DO307" s="116"/>
      <c r="DP307" s="116"/>
      <c r="DQ307" s="116"/>
      <c r="DR307" s="116"/>
      <c r="DS307" s="116"/>
      <c r="DT307" s="116"/>
      <c r="DU307" s="116"/>
      <c r="DV307" s="116"/>
      <c r="DW307" s="116"/>
      <c r="DX307" s="116"/>
      <c r="DY307" s="116"/>
      <c r="DZ307" s="116"/>
      <c r="EA307" s="116"/>
      <c r="EB307" s="116"/>
      <c r="EC307" s="116"/>
      <c r="ED307" s="116"/>
      <c r="EE307" s="116"/>
      <c r="EF307" s="116"/>
      <c r="EG307" s="116"/>
      <c r="EH307" s="116"/>
      <c r="EI307" s="116"/>
      <c r="EJ307" s="116"/>
      <c r="EK307" s="116"/>
      <c r="EL307" s="116"/>
      <c r="EM307" s="116"/>
      <c r="EN307" s="116"/>
      <c r="EO307" s="116"/>
      <c r="EP307" s="116"/>
      <c r="EQ307" s="116"/>
      <c r="ER307" s="116"/>
      <c r="ES307" s="116"/>
      <c r="ET307" s="11"/>
      <c r="EU307" s="11"/>
      <c r="EV307" s="11"/>
      <c r="EW307" s="11"/>
      <c r="EX307" s="11"/>
      <c r="EY307" s="11"/>
      <c r="EZ307" s="11"/>
      <c r="FA307" s="11"/>
      <c r="FB307" s="11"/>
      <c r="FC307" s="11"/>
      <c r="FD307" s="11"/>
      <c r="FE307" s="11"/>
      <c r="FF307" s="11"/>
      <c r="FG307" s="11"/>
      <c r="FH307" s="17">
        <f t="shared" si="119"/>
        <v>2210028</v>
      </c>
      <c r="FI307" s="31">
        <f t="shared" si="120"/>
        <v>3</v>
      </c>
      <c r="FJ307" s="68">
        <f t="shared" si="121"/>
        <v>736676</v>
      </c>
    </row>
    <row r="308" spans="1:166" ht="40.5" x14ac:dyDescent="0.25">
      <c r="A308" s="248">
        <f>Distribución_Reactivos!A308</f>
        <v>306</v>
      </c>
      <c r="B308" s="248" t="str">
        <f>Distribución_Reactivos!B308</f>
        <v>Nitrato de sodio (NaNO3)</v>
      </c>
      <c r="C308" s="248" t="str">
        <f>Distribución_Reactivos!C308</f>
        <v>Panreac, Merck(1065370500) o equivalente</v>
      </c>
      <c r="D308" s="248" t="str">
        <f>Distribución_Reactivos!D308</f>
        <v>Frasco x 500 g</v>
      </c>
      <c r="E308" s="29">
        <v>1</v>
      </c>
      <c r="F308" s="212">
        <v>301236</v>
      </c>
      <c r="G308" s="214">
        <v>72800</v>
      </c>
      <c r="H308" s="221">
        <v>359448.36940000003</v>
      </c>
      <c r="I308" s="221">
        <v>82500</v>
      </c>
      <c r="J308" s="221">
        <v>198785</v>
      </c>
      <c r="K308" s="221">
        <v>0</v>
      </c>
      <c r="L308" s="247">
        <f>AVERAGE(F308,H308,J308)</f>
        <v>286489.78979999997</v>
      </c>
      <c r="M308" s="247">
        <f>AVERAGE(G308,I308)*E1</f>
        <v>79979.5</v>
      </c>
      <c r="N308" s="217"/>
      <c r="O308" s="97"/>
      <c r="P308" s="97"/>
      <c r="Q308" s="115"/>
      <c r="R308" s="115"/>
      <c r="S308" s="53"/>
      <c r="T308" s="97"/>
      <c r="U308" s="97"/>
      <c r="V308" s="97"/>
      <c r="W308" s="115"/>
      <c r="X308" s="115"/>
      <c r="Y308" s="11"/>
      <c r="Z308" s="97"/>
      <c r="AA308" s="97"/>
      <c r="AB308" s="97"/>
      <c r="AC308" s="44"/>
      <c r="AD308" s="44"/>
      <c r="AE308" s="11"/>
      <c r="AF308" s="102">
        <v>330000</v>
      </c>
      <c r="AG308" s="125">
        <f>AF308*19%</f>
        <v>62700</v>
      </c>
      <c r="AH308" s="97">
        <f>+AF308+AG308</f>
        <v>392700</v>
      </c>
      <c r="AI308" s="11"/>
      <c r="AJ308" s="11"/>
      <c r="AK308" s="17"/>
      <c r="AL308" s="97">
        <v>326000</v>
      </c>
      <c r="AM308" s="97">
        <f>+AL308*0</f>
        <v>0</v>
      </c>
      <c r="AN308" s="103">
        <f>+AL308+AM308</f>
        <v>326000</v>
      </c>
      <c r="AO308" s="248" t="s">
        <v>77</v>
      </c>
      <c r="AP308" s="11" t="s">
        <v>52</v>
      </c>
      <c r="AQ308" s="17"/>
      <c r="AR308" s="252"/>
      <c r="AS308" s="252"/>
      <c r="AT308" s="252"/>
      <c r="AU308" s="52"/>
      <c r="AV308" s="52"/>
      <c r="AW308" s="11"/>
      <c r="AX308" s="100"/>
      <c r="AY308" s="174"/>
      <c r="AZ308" s="124"/>
      <c r="BA308" s="169"/>
      <c r="BB308" s="116"/>
      <c r="BC308" s="116"/>
      <c r="BD308" s="247"/>
      <c r="BE308" s="124"/>
      <c r="BF308" s="124"/>
      <c r="BG308" s="116"/>
      <c r="BH308" s="116"/>
      <c r="BI308" s="116"/>
      <c r="BJ308" s="124"/>
      <c r="BK308" s="124"/>
      <c r="BL308" s="124"/>
      <c r="BM308" s="116"/>
      <c r="BN308" s="116"/>
      <c r="BO308" s="116"/>
      <c r="BP308" s="124"/>
      <c r="BQ308" s="116"/>
      <c r="BR308" s="116"/>
      <c r="BS308" s="116"/>
      <c r="BT308" s="116"/>
      <c r="BU308" s="116"/>
      <c r="BV308" s="236">
        <v>912800</v>
      </c>
      <c r="BW308" s="125">
        <f>BV308*0</f>
        <v>0</v>
      </c>
      <c r="BX308" s="97">
        <f t="shared" si="123"/>
        <v>912800</v>
      </c>
      <c r="BY308" s="237" t="s">
        <v>319</v>
      </c>
      <c r="BZ308" s="237" t="s">
        <v>52</v>
      </c>
      <c r="CA308" s="116"/>
      <c r="CB308" s="247"/>
      <c r="CC308" s="125"/>
      <c r="CD308" s="247"/>
      <c r="CE308" s="116"/>
      <c r="CF308" s="116"/>
      <c r="CG308" s="34"/>
      <c r="CH308" s="236">
        <v>921928</v>
      </c>
      <c r="CI308" s="238">
        <f>+CH308*0.19</f>
        <v>175166.32</v>
      </c>
      <c r="CJ308" s="236">
        <f>+CH308+CI308</f>
        <v>1097094.32</v>
      </c>
      <c r="CK308" s="237" t="s">
        <v>319</v>
      </c>
      <c r="CL308" s="237" t="s">
        <v>52</v>
      </c>
      <c r="CM308" s="116"/>
      <c r="CN308" s="247"/>
      <c r="CO308" s="125"/>
      <c r="CP308" s="247"/>
      <c r="CQ308" s="116"/>
      <c r="CR308" s="116"/>
      <c r="CS308" s="116"/>
      <c r="CT308" s="125">
        <v>408000</v>
      </c>
      <c r="CU308" s="125">
        <f>+CT308*0</f>
        <v>0</v>
      </c>
      <c r="CV308" s="125">
        <f>CT308</f>
        <v>408000</v>
      </c>
      <c r="CW308" s="116"/>
      <c r="CX308" s="116"/>
      <c r="CY308" s="116"/>
      <c r="CZ308" s="102">
        <v>225103</v>
      </c>
      <c r="DA308" s="125">
        <f>+CZ308*0.19</f>
        <v>42769.57</v>
      </c>
      <c r="DB308" s="102">
        <f>+CZ308+DA308</f>
        <v>267872.57</v>
      </c>
      <c r="DC308" s="31" t="s">
        <v>379</v>
      </c>
      <c r="DD308" s="17" t="s">
        <v>65</v>
      </c>
      <c r="DE308" s="11" t="s">
        <v>380</v>
      </c>
      <c r="DF308" s="116"/>
      <c r="DG308" s="116"/>
      <c r="DH308" s="116"/>
      <c r="DI308" s="116"/>
      <c r="DJ308" s="116"/>
      <c r="DK308" s="116"/>
      <c r="DL308" s="116"/>
      <c r="DM308" s="116"/>
      <c r="DN308" s="116"/>
      <c r="DO308" s="116"/>
      <c r="DP308" s="116"/>
      <c r="DQ308" s="116"/>
      <c r="DR308" s="116"/>
      <c r="DS308" s="116"/>
      <c r="DT308" s="116"/>
      <c r="DU308" s="116"/>
      <c r="DV308" s="116"/>
      <c r="DW308" s="116"/>
      <c r="DX308" s="116"/>
      <c r="DY308" s="116"/>
      <c r="DZ308" s="116"/>
      <c r="EA308" s="116"/>
      <c r="EB308" s="116"/>
      <c r="EC308" s="116"/>
      <c r="ED308" s="116"/>
      <c r="EE308" s="116"/>
      <c r="EF308" s="116"/>
      <c r="EG308" s="116"/>
      <c r="EH308" s="116"/>
      <c r="EI308" s="116"/>
      <c r="EJ308" s="116"/>
      <c r="EK308" s="116"/>
      <c r="EL308" s="116"/>
      <c r="EM308" s="116"/>
      <c r="EN308" s="116"/>
      <c r="EO308" s="116"/>
      <c r="EP308" s="116"/>
      <c r="EQ308" s="116"/>
      <c r="ER308" s="116"/>
      <c r="ES308" s="116"/>
      <c r="ET308" s="11"/>
      <c r="EU308" s="11"/>
      <c r="EV308" s="11"/>
      <c r="EW308" s="11"/>
      <c r="EX308" s="11"/>
      <c r="EY308" s="11"/>
      <c r="EZ308" s="11"/>
      <c r="FA308" s="11"/>
      <c r="FB308" s="11"/>
      <c r="FC308" s="11"/>
      <c r="FD308" s="11"/>
      <c r="FE308" s="11"/>
      <c r="FF308" s="11"/>
      <c r="FG308" s="11"/>
      <c r="FH308" s="17">
        <f t="shared" si="119"/>
        <v>3484446.39</v>
      </c>
      <c r="FI308" s="31">
        <f t="shared" si="120"/>
        <v>7</v>
      </c>
      <c r="FJ308" s="68">
        <f t="shared" si="121"/>
        <v>497778.05571428576</v>
      </c>
    </row>
    <row r="309" spans="1:166" ht="27" x14ac:dyDescent="0.25">
      <c r="A309" s="248">
        <f>Distribución_Reactivos!A309</f>
        <v>307</v>
      </c>
      <c r="B309" s="248" t="str">
        <f>Distribución_Reactivos!B309</f>
        <v>Nitro blue tretrazolium (NBT) Tabletas</v>
      </c>
      <c r="C309" s="248" t="str">
        <f>Distribución_Reactivos!C309</f>
        <v>Sigma N5514</v>
      </c>
      <c r="D309" s="248" t="str">
        <f>Distribución_Reactivos!D309</f>
        <v>frasco x 25 u</v>
      </c>
      <c r="E309" s="29">
        <v>1</v>
      </c>
      <c r="F309" s="212">
        <v>0</v>
      </c>
      <c r="G309" s="214">
        <v>0</v>
      </c>
      <c r="H309" s="221">
        <v>0</v>
      </c>
      <c r="I309" s="221">
        <v>0</v>
      </c>
      <c r="J309" s="221">
        <v>659736</v>
      </c>
      <c r="K309" s="221">
        <v>0</v>
      </c>
      <c r="L309" s="247">
        <f>J309</f>
        <v>659736</v>
      </c>
      <c r="M309" s="247"/>
      <c r="N309" s="217"/>
      <c r="O309" s="97"/>
      <c r="P309" s="97"/>
      <c r="Q309" s="115"/>
      <c r="R309" s="115"/>
      <c r="S309" s="53"/>
      <c r="T309" s="97"/>
      <c r="U309" s="97"/>
      <c r="V309" s="97"/>
      <c r="W309" s="115"/>
      <c r="X309" s="115"/>
      <c r="Y309" s="11"/>
      <c r="Z309" s="97"/>
      <c r="AA309" s="97"/>
      <c r="AB309" s="97"/>
      <c r="AC309" s="44"/>
      <c r="AD309" s="44"/>
      <c r="AE309" s="11"/>
      <c r="AF309" s="102"/>
      <c r="AG309" s="125"/>
      <c r="AH309" s="97"/>
      <c r="AI309" s="11"/>
      <c r="AJ309" s="11"/>
      <c r="AK309" s="17"/>
      <c r="AL309" s="97"/>
      <c r="AM309" s="97"/>
      <c r="AN309" s="101"/>
      <c r="AO309" s="248"/>
      <c r="AP309" s="17"/>
      <c r="AQ309" s="17"/>
      <c r="AR309" s="97"/>
      <c r="AS309" s="124"/>
      <c r="AT309" s="100"/>
      <c r="AU309" s="52"/>
      <c r="AV309" s="34"/>
      <c r="AW309" s="11"/>
      <c r="AX309" s="100"/>
      <c r="AY309" s="174"/>
      <c r="AZ309" s="124"/>
      <c r="BA309" s="169"/>
      <c r="BB309" s="116"/>
      <c r="BC309" s="116"/>
      <c r="BD309" s="247"/>
      <c r="BE309" s="124"/>
      <c r="BF309" s="124"/>
      <c r="BG309" s="116"/>
      <c r="BH309" s="116"/>
      <c r="BI309" s="116"/>
      <c r="BJ309" s="124"/>
      <c r="BK309" s="124"/>
      <c r="BL309" s="124"/>
      <c r="BM309" s="116"/>
      <c r="BN309" s="116"/>
      <c r="BO309" s="116"/>
      <c r="BP309" s="124"/>
      <c r="BQ309" s="116"/>
      <c r="BR309" s="116"/>
      <c r="BS309" s="116"/>
      <c r="BT309" s="116"/>
      <c r="BU309" s="116"/>
      <c r="BV309" s="236">
        <v>1120000</v>
      </c>
      <c r="BW309" s="125">
        <f>BV309*19%</f>
        <v>212800</v>
      </c>
      <c r="BX309" s="97">
        <f t="shared" si="123"/>
        <v>1332800</v>
      </c>
      <c r="BY309" s="237" t="s">
        <v>381</v>
      </c>
      <c r="BZ309" s="237" t="s">
        <v>252</v>
      </c>
      <c r="CA309" s="116"/>
      <c r="CB309" s="247"/>
      <c r="CC309" s="125"/>
      <c r="CD309" s="247"/>
      <c r="CE309" s="116"/>
      <c r="CF309" s="116"/>
      <c r="CG309" s="34"/>
      <c r="CH309" s="236">
        <v>1187200</v>
      </c>
      <c r="CI309" s="238">
        <f>+CH309*0.19</f>
        <v>225568</v>
      </c>
      <c r="CJ309" s="236">
        <f>+CH309+CI309</f>
        <v>1412768</v>
      </c>
      <c r="CK309" s="237" t="s">
        <v>381</v>
      </c>
      <c r="CL309" s="237" t="s">
        <v>252</v>
      </c>
      <c r="CM309" s="116"/>
      <c r="CN309" s="247"/>
      <c r="CO309" s="125"/>
      <c r="CP309" s="247"/>
      <c r="CQ309" s="116"/>
      <c r="CR309" s="116"/>
      <c r="CS309" s="116"/>
      <c r="CT309" s="125">
        <v>600000</v>
      </c>
      <c r="CU309" s="125">
        <f>CT309*0.19</f>
        <v>114000</v>
      </c>
      <c r="CV309" s="125">
        <f>CU309+CT309</f>
        <v>714000</v>
      </c>
      <c r="CW309" s="116"/>
      <c r="CX309" s="116"/>
      <c r="CY309" s="116"/>
      <c r="CZ309" s="102"/>
      <c r="DA309" s="125"/>
      <c r="DB309" s="102"/>
      <c r="DC309" s="31"/>
      <c r="DD309" s="17"/>
      <c r="DE309" s="11"/>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
      <c r="EU309" s="11"/>
      <c r="EV309" s="11"/>
      <c r="EW309" s="11"/>
      <c r="EX309" s="11"/>
      <c r="EY309" s="11"/>
      <c r="EZ309" s="11"/>
      <c r="FA309" s="11"/>
      <c r="FB309" s="11"/>
      <c r="FC309" s="11"/>
      <c r="FD309" s="11"/>
      <c r="FE309" s="11"/>
      <c r="FF309" s="11"/>
      <c r="FG309" s="11"/>
      <c r="FH309" s="17">
        <f t="shared" si="119"/>
        <v>3459568</v>
      </c>
      <c r="FI309" s="31">
        <f t="shared" si="120"/>
        <v>3</v>
      </c>
      <c r="FJ309" s="68">
        <f t="shared" si="121"/>
        <v>1153189.3333333333</v>
      </c>
    </row>
    <row r="310" spans="1:166" ht="13.5" x14ac:dyDescent="0.25">
      <c r="A310" s="248">
        <f>Distribución_Reactivos!A310</f>
        <v>308</v>
      </c>
      <c r="B310" s="248" t="str">
        <f>Distribución_Reactivos!B310</f>
        <v xml:space="preserve">N-lauroyl sarcosin sal sódica </v>
      </c>
      <c r="C310" s="248" t="str">
        <f>Distribución_Reactivos!C310</f>
        <v>Merck</v>
      </c>
      <c r="D310" s="248" t="str">
        <f>Distribución_Reactivos!D310</f>
        <v>Frasco x 50 g</v>
      </c>
      <c r="E310" s="29">
        <v>1</v>
      </c>
      <c r="F310" s="212">
        <v>629688.5</v>
      </c>
      <c r="G310" s="214">
        <v>604401</v>
      </c>
      <c r="H310" s="221">
        <v>647875.60518333327</v>
      </c>
      <c r="I310" s="221">
        <v>0</v>
      </c>
      <c r="J310" s="221">
        <v>352753.68333333335</v>
      </c>
      <c r="K310" s="221">
        <v>0</v>
      </c>
      <c r="L310" s="247">
        <f>AVERAGE(F310,H310,J310)</f>
        <v>543439.2628388888</v>
      </c>
      <c r="M310" s="247">
        <f>G310*E1</f>
        <v>622533.03</v>
      </c>
      <c r="N310" s="217"/>
      <c r="O310" s="97"/>
      <c r="P310" s="97"/>
      <c r="Q310" s="115"/>
      <c r="R310" s="115"/>
      <c r="S310" s="53"/>
      <c r="T310" s="97"/>
      <c r="U310" s="97"/>
      <c r="V310" s="97"/>
      <c r="W310" s="115"/>
      <c r="X310" s="115"/>
      <c r="Y310" s="11"/>
      <c r="Z310" s="97"/>
      <c r="AA310" s="97"/>
      <c r="AB310" s="97"/>
      <c r="AC310" s="44"/>
      <c r="AD310" s="44"/>
      <c r="AE310" s="11"/>
      <c r="AF310" s="102">
        <v>220000</v>
      </c>
      <c r="AG310" s="125">
        <f>AF310*19%</f>
        <v>41800</v>
      </c>
      <c r="AH310" s="97">
        <f>+AF310+AG310</f>
        <v>261800</v>
      </c>
      <c r="AI310" s="11"/>
      <c r="AJ310" s="11"/>
      <c r="AK310" s="17"/>
      <c r="AL310" s="97"/>
      <c r="AM310" s="97"/>
      <c r="AN310" s="103"/>
      <c r="AO310" s="248"/>
      <c r="AP310" s="17"/>
      <c r="AQ310" s="17"/>
      <c r="AR310" s="252"/>
      <c r="AS310" s="252"/>
      <c r="AT310" s="252"/>
      <c r="AU310" s="52"/>
      <c r="AV310" s="52"/>
      <c r="AW310" s="11"/>
      <c r="AX310" s="100"/>
      <c r="AY310" s="172"/>
      <c r="AZ310" s="124"/>
      <c r="BA310" s="169"/>
      <c r="BB310" s="116"/>
      <c r="BC310" s="116"/>
      <c r="BD310" s="247"/>
      <c r="BE310" s="124"/>
      <c r="BF310" s="124"/>
      <c r="BG310" s="116"/>
      <c r="BH310" s="116"/>
      <c r="BI310" s="116"/>
      <c r="BJ310" s="124"/>
      <c r="BK310" s="124"/>
      <c r="BL310" s="124"/>
      <c r="BM310" s="116"/>
      <c r="BN310" s="116"/>
      <c r="BO310" s="116"/>
      <c r="BP310" s="124"/>
      <c r="BQ310" s="116"/>
      <c r="BR310" s="116"/>
      <c r="BS310" s="116"/>
      <c r="BT310" s="116"/>
      <c r="BU310" s="116"/>
      <c r="BV310" s="236">
        <v>318500</v>
      </c>
      <c r="BW310" s="125">
        <f>BV310*19%</f>
        <v>60515</v>
      </c>
      <c r="BX310" s="97">
        <f t="shared" si="123"/>
        <v>379015</v>
      </c>
      <c r="BY310" s="237" t="s">
        <v>317</v>
      </c>
      <c r="BZ310" s="237" t="s">
        <v>93</v>
      </c>
      <c r="CA310" s="116"/>
      <c r="CB310" s="247"/>
      <c r="CC310" s="125"/>
      <c r="CD310" s="247"/>
      <c r="CE310" s="116"/>
      <c r="CF310" s="116"/>
      <c r="CG310" s="34"/>
      <c r="CH310" s="236">
        <v>334425</v>
      </c>
      <c r="CI310" s="238">
        <f>+CH310*0.19</f>
        <v>63540.75</v>
      </c>
      <c r="CJ310" s="236">
        <f>+CH310+CI310</f>
        <v>397965.75</v>
      </c>
      <c r="CK310" s="237" t="s">
        <v>317</v>
      </c>
      <c r="CL310" s="237" t="s">
        <v>93</v>
      </c>
      <c r="CM310" s="116"/>
      <c r="CN310" s="247"/>
      <c r="CO310" s="125"/>
      <c r="CP310" s="247"/>
      <c r="CQ310" s="116"/>
      <c r="CR310" s="116"/>
      <c r="CS310" s="116"/>
      <c r="CT310" s="247"/>
      <c r="CU310" s="125"/>
      <c r="CV310" s="247"/>
      <c r="CW310" s="116"/>
      <c r="CX310" s="116"/>
      <c r="CY310" s="116"/>
      <c r="CZ310" s="102"/>
      <c r="DA310" s="125"/>
      <c r="DB310" s="102"/>
      <c r="DC310" s="31"/>
      <c r="DD310" s="17"/>
      <c r="DE310" s="11"/>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
      <c r="EU310" s="11"/>
      <c r="EV310" s="11"/>
      <c r="EW310" s="11"/>
      <c r="EX310" s="11"/>
      <c r="EY310" s="11"/>
      <c r="EZ310" s="11"/>
      <c r="FA310" s="11"/>
      <c r="FB310" s="11"/>
      <c r="FC310" s="11"/>
      <c r="FD310" s="11"/>
      <c r="FE310" s="11"/>
      <c r="FF310" s="11"/>
      <c r="FG310" s="11"/>
      <c r="FH310" s="17">
        <f t="shared" si="119"/>
        <v>1661313.78</v>
      </c>
      <c r="FI310" s="31">
        <f t="shared" si="120"/>
        <v>4</v>
      </c>
      <c r="FJ310" s="68">
        <f t="shared" si="121"/>
        <v>415328.44500000001</v>
      </c>
    </row>
    <row r="311" spans="1:166" ht="38.25" x14ac:dyDescent="0.25">
      <c r="A311" s="248">
        <f>Distribución_Reactivos!A311</f>
        <v>309</v>
      </c>
      <c r="B311" s="248" t="str">
        <f>Distribución_Reactivos!B311</f>
        <v>Nystatin suspensión 10,000 units/ml nystatin en DPBS, aseptically processed, BioReagent, para cultivo celular</v>
      </c>
      <c r="C311" s="248" t="str">
        <f>Distribución_Reactivos!C311</f>
        <v>Sigma, Merck</v>
      </c>
      <c r="D311" s="248" t="str">
        <f>Distribución_Reactivos!D311</f>
        <v>Frasco x 100 ml</v>
      </c>
      <c r="E311" s="29">
        <v>1</v>
      </c>
      <c r="F311" s="212">
        <v>0</v>
      </c>
      <c r="G311" s="214">
        <v>0</v>
      </c>
      <c r="H311" s="221">
        <v>429983.33333333331</v>
      </c>
      <c r="I311" s="221">
        <v>0</v>
      </c>
      <c r="J311" s="221">
        <v>263618</v>
      </c>
      <c r="K311" s="221">
        <v>219000</v>
      </c>
      <c r="L311" s="247">
        <f>AVERAGE(H311,J311)</f>
        <v>346800.66666666663</v>
      </c>
      <c r="M311" s="247">
        <f>K311*E1</f>
        <v>225570</v>
      </c>
      <c r="N311" s="217"/>
      <c r="O311" s="97"/>
      <c r="P311" s="97"/>
      <c r="Q311" s="115"/>
      <c r="R311" s="115"/>
      <c r="S311" s="53"/>
      <c r="T311" s="97"/>
      <c r="U311" s="97"/>
      <c r="V311" s="97"/>
      <c r="W311" s="115"/>
      <c r="X311" s="115"/>
      <c r="Y311" s="11"/>
      <c r="Z311" s="97"/>
      <c r="AA311" s="97"/>
      <c r="AB311" s="97"/>
      <c r="AC311" s="44"/>
      <c r="AD311" s="44"/>
      <c r="AE311" s="11"/>
      <c r="AF311" s="102"/>
      <c r="AG311" s="125"/>
      <c r="AH311" s="97"/>
      <c r="AI311" s="11"/>
      <c r="AJ311" s="11"/>
      <c r="AK311" s="17"/>
      <c r="AL311" s="97"/>
      <c r="AM311" s="97"/>
      <c r="AN311" s="101"/>
      <c r="AO311" s="248"/>
      <c r="AP311" s="17"/>
      <c r="AQ311" s="17"/>
      <c r="AR311" s="97"/>
      <c r="AS311" s="124"/>
      <c r="AT311" s="100"/>
      <c r="AU311" s="53"/>
      <c r="AV311" s="34"/>
      <c r="AW311" s="11"/>
      <c r="AX311" s="100"/>
      <c r="AY311" s="100"/>
      <c r="AZ311" s="124"/>
      <c r="BA311" s="169"/>
      <c r="BB311" s="116"/>
      <c r="BC311" s="116"/>
      <c r="BD311" s="247"/>
      <c r="BE311" s="124"/>
      <c r="BF311" s="124"/>
      <c r="BG311" s="116"/>
      <c r="BH311" s="116"/>
      <c r="BI311" s="116"/>
      <c r="BJ311" s="124"/>
      <c r="BK311" s="124"/>
      <c r="BL311" s="124"/>
      <c r="BM311" s="116"/>
      <c r="BN311" s="116"/>
      <c r="BO311" s="116"/>
      <c r="BP311" s="124"/>
      <c r="BQ311" s="116"/>
      <c r="BR311" s="116"/>
      <c r="BS311" s="116"/>
      <c r="BT311" s="116"/>
      <c r="BU311" s="116"/>
      <c r="BV311" s="236">
        <v>429400</v>
      </c>
      <c r="BW311" s="125">
        <f>BV311*0</f>
        <v>0</v>
      </c>
      <c r="BX311" s="97">
        <f t="shared" si="123"/>
        <v>429400</v>
      </c>
      <c r="BY311" s="237" t="s">
        <v>291</v>
      </c>
      <c r="BZ311" s="237" t="s">
        <v>252</v>
      </c>
      <c r="CA311" s="116"/>
      <c r="CB311" s="247"/>
      <c r="CC311" s="125"/>
      <c r="CD311" s="247"/>
      <c r="CE311" s="116"/>
      <c r="CF311" s="116"/>
      <c r="CG311" s="34"/>
      <c r="CH311" s="236">
        <v>433694</v>
      </c>
      <c r="CI311" s="238">
        <f>+CH311*0</f>
        <v>0</v>
      </c>
      <c r="CJ311" s="236">
        <f>+CH311+CI311</f>
        <v>433694</v>
      </c>
      <c r="CK311" s="237" t="s">
        <v>291</v>
      </c>
      <c r="CL311" s="237" t="s">
        <v>252</v>
      </c>
      <c r="CM311" s="116"/>
      <c r="CN311" s="247"/>
      <c r="CO311" s="125"/>
      <c r="CP311" s="247"/>
      <c r="CQ311" s="116"/>
      <c r="CR311" s="116"/>
      <c r="CS311" s="116"/>
      <c r="CT311" s="247"/>
      <c r="CU311" s="125"/>
      <c r="CV311" s="247"/>
      <c r="CW311" s="116"/>
      <c r="CX311" s="116"/>
      <c r="CY311" s="116"/>
      <c r="CZ311" s="102"/>
      <c r="DA311" s="125"/>
      <c r="DB311" s="102"/>
      <c r="DC311" s="31"/>
      <c r="DD311" s="17"/>
      <c r="DE311" s="11"/>
      <c r="DF311" s="116"/>
      <c r="DG311" s="116"/>
      <c r="DH311" s="116"/>
      <c r="DI311" s="116"/>
      <c r="DJ311" s="116"/>
      <c r="DK311" s="116"/>
      <c r="DL311" s="116"/>
      <c r="DM311" s="116"/>
      <c r="DN311" s="116"/>
      <c r="DO311" s="116"/>
      <c r="DP311" s="116"/>
      <c r="DQ311" s="116"/>
      <c r="DR311" s="116"/>
      <c r="DS311" s="116"/>
      <c r="DT311" s="116"/>
      <c r="DU311" s="116"/>
      <c r="DV311" s="116"/>
      <c r="DW311" s="116"/>
      <c r="DX311" s="116"/>
      <c r="DY311" s="116"/>
      <c r="DZ311" s="116"/>
      <c r="EA311" s="116"/>
      <c r="EB311" s="116"/>
      <c r="EC311" s="116"/>
      <c r="ED311" s="116"/>
      <c r="EE311" s="116"/>
      <c r="EF311" s="116"/>
      <c r="EG311" s="116"/>
      <c r="EH311" s="116"/>
      <c r="EI311" s="116"/>
      <c r="EJ311" s="116"/>
      <c r="EK311" s="116"/>
      <c r="EL311" s="116"/>
      <c r="EM311" s="116"/>
      <c r="EN311" s="116"/>
      <c r="EO311" s="116"/>
      <c r="EP311" s="116"/>
      <c r="EQ311" s="116"/>
      <c r="ER311" s="116"/>
      <c r="ES311" s="116"/>
      <c r="ET311" s="11"/>
      <c r="EU311" s="11"/>
      <c r="EV311" s="11"/>
      <c r="EW311" s="11"/>
      <c r="EX311" s="11"/>
      <c r="EY311" s="11"/>
      <c r="EZ311" s="11"/>
      <c r="FA311" s="11"/>
      <c r="FB311" s="11"/>
      <c r="FC311" s="11"/>
      <c r="FD311" s="11"/>
      <c r="FE311" s="11"/>
      <c r="FF311" s="11"/>
      <c r="FG311" s="11"/>
      <c r="FH311" s="17">
        <f t="shared" si="119"/>
        <v>1088664</v>
      </c>
      <c r="FI311" s="31">
        <f t="shared" si="120"/>
        <v>3</v>
      </c>
      <c r="FJ311" s="68">
        <f t="shared" si="121"/>
        <v>362888</v>
      </c>
    </row>
    <row r="312" spans="1:166" ht="38.25" x14ac:dyDescent="0.25">
      <c r="A312" s="248">
        <f>Distribución_Reactivos!A312</f>
        <v>310</v>
      </c>
      <c r="B312" s="248" t="str">
        <f>Distribución_Reactivos!B312</f>
        <v>O Antiserum Salmonella Poly A-I and VI</v>
      </c>
      <c r="C312" s="248" t="str">
        <f>Distribución_Reactivos!C312</f>
        <v>Bacto 2264-47-2, Difco 222641 o equivalente</v>
      </c>
      <c r="D312" s="248" t="str">
        <f>Distribución_Reactivos!D312</f>
        <v>Frasco x 3 ml</v>
      </c>
      <c r="E312" s="29">
        <v>1</v>
      </c>
      <c r="F312" s="212">
        <v>510800</v>
      </c>
      <c r="G312" s="214">
        <v>0</v>
      </c>
      <c r="H312" s="221">
        <v>799204</v>
      </c>
      <c r="I312" s="221">
        <v>0</v>
      </c>
      <c r="J312" s="221">
        <v>3200000</v>
      </c>
      <c r="K312" s="221">
        <v>2650000</v>
      </c>
      <c r="L312" s="247">
        <f>AVERAGE(F312,H312,J312)</f>
        <v>1503334.6666666667</v>
      </c>
      <c r="M312" s="247">
        <f>K312*E1</f>
        <v>2729500</v>
      </c>
      <c r="N312" s="219">
        <v>2230000</v>
      </c>
      <c r="O312" s="97">
        <f>+N312*0</f>
        <v>0</v>
      </c>
      <c r="P312" s="97">
        <f>+O312+N312</f>
        <v>2230000</v>
      </c>
      <c r="Q312" s="34" t="s">
        <v>382</v>
      </c>
      <c r="R312" s="116" t="s">
        <v>193</v>
      </c>
      <c r="S312" s="53"/>
      <c r="T312" s="97"/>
      <c r="U312" s="97"/>
      <c r="V312" s="97"/>
      <c r="W312" s="115"/>
      <c r="X312" s="115"/>
      <c r="Y312" s="11"/>
      <c r="Z312" s="97"/>
      <c r="AA312" s="97"/>
      <c r="AB312" s="97"/>
      <c r="AC312" s="44"/>
      <c r="AD312" s="44"/>
      <c r="AE312" s="11"/>
      <c r="AF312" s="102"/>
      <c r="AG312" s="125"/>
      <c r="AH312" s="97"/>
      <c r="AI312" s="11"/>
      <c r="AJ312" s="11"/>
      <c r="AK312" s="17"/>
      <c r="AL312" s="97"/>
      <c r="AM312" s="97"/>
      <c r="AN312" s="103"/>
      <c r="AO312" s="248"/>
      <c r="AP312" s="17"/>
      <c r="AQ312" s="17"/>
      <c r="AR312" s="252"/>
      <c r="AS312" s="252"/>
      <c r="AT312" s="252"/>
      <c r="AU312" s="52"/>
      <c r="AV312" s="52"/>
      <c r="AW312" s="11"/>
      <c r="AX312" s="100"/>
      <c r="AY312" s="172"/>
      <c r="AZ312" s="124"/>
      <c r="BA312" s="169"/>
      <c r="BB312" s="116"/>
      <c r="BC312" s="116"/>
      <c r="BD312" s="247"/>
      <c r="BE312" s="124"/>
      <c r="BF312" s="124"/>
      <c r="BG312" s="116"/>
      <c r="BH312" s="116"/>
      <c r="BI312" s="116"/>
      <c r="BJ312" s="124"/>
      <c r="BK312" s="124"/>
      <c r="BL312" s="124"/>
      <c r="BM312" s="116"/>
      <c r="BN312" s="116"/>
      <c r="BO312" s="116"/>
      <c r="BP312" s="124"/>
      <c r="BQ312" s="116"/>
      <c r="BR312" s="116"/>
      <c r="BS312" s="116"/>
      <c r="BT312" s="116"/>
      <c r="BU312" s="116"/>
      <c r="BV312" s="236">
        <v>3144000</v>
      </c>
      <c r="BW312" s="125">
        <f>BV312*0</f>
        <v>0</v>
      </c>
      <c r="BX312" s="97">
        <f t="shared" si="123"/>
        <v>3144000</v>
      </c>
      <c r="BY312" s="237" t="s">
        <v>383</v>
      </c>
      <c r="BZ312" s="237" t="s">
        <v>27</v>
      </c>
      <c r="CA312" s="116"/>
      <c r="CB312" s="247"/>
      <c r="CC312" s="125"/>
      <c r="CD312" s="247"/>
      <c r="CE312" s="116"/>
      <c r="CF312" s="116"/>
      <c r="CG312" s="34"/>
      <c r="CH312" s="241"/>
      <c r="CI312" s="238"/>
      <c r="CJ312" s="236"/>
      <c r="CK312" s="237"/>
      <c r="CL312" s="237"/>
      <c r="CM312" s="116"/>
      <c r="CN312" s="247"/>
      <c r="CO312" s="125"/>
      <c r="CP312" s="247"/>
      <c r="CQ312" s="116"/>
      <c r="CR312" s="116"/>
      <c r="CS312" s="116"/>
      <c r="CT312" s="247"/>
      <c r="CU312" s="125"/>
      <c r="CV312" s="247"/>
      <c r="CW312" s="116"/>
      <c r="CX312" s="116"/>
      <c r="CY312" s="116"/>
      <c r="CZ312" s="102"/>
      <c r="DA312" s="125"/>
      <c r="DB312" s="102"/>
      <c r="DC312" s="31"/>
      <c r="DD312" s="17"/>
      <c r="DE312" s="11"/>
      <c r="DF312" s="116"/>
      <c r="DG312" s="116"/>
      <c r="DH312" s="116"/>
      <c r="DI312" s="116"/>
      <c r="DJ312" s="116"/>
      <c r="DK312" s="116"/>
      <c r="DL312" s="116"/>
      <c r="DM312" s="116"/>
      <c r="DN312" s="116"/>
      <c r="DO312" s="116"/>
      <c r="DP312" s="116"/>
      <c r="DQ312" s="116"/>
      <c r="DR312" s="116"/>
      <c r="DS312" s="116"/>
      <c r="DT312" s="116"/>
      <c r="DU312" s="116"/>
      <c r="DV312" s="116"/>
      <c r="DW312" s="116"/>
      <c r="DX312" s="116"/>
      <c r="DY312" s="116"/>
      <c r="DZ312" s="116"/>
      <c r="EA312" s="116"/>
      <c r="EB312" s="116"/>
      <c r="EC312" s="116"/>
      <c r="ED312" s="116"/>
      <c r="EE312" s="116"/>
      <c r="EF312" s="116"/>
      <c r="EG312" s="116"/>
      <c r="EH312" s="116"/>
      <c r="EI312" s="116"/>
      <c r="EJ312" s="116"/>
      <c r="EK312" s="116"/>
      <c r="EL312" s="116"/>
      <c r="EM312" s="116"/>
      <c r="EN312" s="116"/>
      <c r="EO312" s="116"/>
      <c r="EP312" s="116"/>
      <c r="EQ312" s="116"/>
      <c r="ER312" s="116"/>
      <c r="ES312" s="116"/>
      <c r="ET312" s="11"/>
      <c r="EU312" s="11"/>
      <c r="EV312" s="11"/>
      <c r="EW312" s="11"/>
      <c r="EX312" s="11"/>
      <c r="EY312" s="11"/>
      <c r="EZ312" s="11"/>
      <c r="FA312" s="11"/>
      <c r="FB312" s="11"/>
      <c r="FC312" s="11"/>
      <c r="FD312" s="11"/>
      <c r="FE312" s="11"/>
      <c r="FF312" s="11"/>
      <c r="FG312" s="11"/>
      <c r="FH312" s="17">
        <f t="shared" si="119"/>
        <v>8103500</v>
      </c>
      <c r="FI312" s="31">
        <f t="shared" si="120"/>
        <v>3</v>
      </c>
      <c r="FJ312" s="68">
        <f t="shared" si="121"/>
        <v>2701166.6666666665</v>
      </c>
    </row>
    <row r="313" spans="1:166" ht="25.5" x14ac:dyDescent="0.25">
      <c r="A313" s="248">
        <f>Distribución_Reactivos!A313</f>
        <v>311</v>
      </c>
      <c r="B313" s="248" t="str">
        <f>Distribución_Reactivos!B313</f>
        <v xml:space="preserve">O Antisuero Salmonella somático Factor 5 </v>
      </c>
      <c r="C313" s="248">
        <f>Distribución_Reactivos!C313</f>
        <v>0</v>
      </c>
      <c r="D313" s="248" t="str">
        <f>Distribución_Reactivos!D313</f>
        <v>Frasco x 3 ml</v>
      </c>
      <c r="E313" s="29">
        <v>1</v>
      </c>
      <c r="F313" s="212">
        <v>2130345</v>
      </c>
      <c r="G313" s="214">
        <v>2077000</v>
      </c>
      <c r="H313" s="221">
        <v>896850.625</v>
      </c>
      <c r="I313" s="221">
        <v>0</v>
      </c>
      <c r="J313" s="221">
        <v>1865425</v>
      </c>
      <c r="K313" s="221">
        <v>1560000</v>
      </c>
      <c r="L313" s="247">
        <f>AVERAGE(F313,H313,J313)</f>
        <v>1630873.5416666667</v>
      </c>
      <c r="M313" s="247">
        <f>AVERAGE(G313,K313)*E1</f>
        <v>1873055</v>
      </c>
      <c r="N313" s="217"/>
      <c r="O313" s="97"/>
      <c r="P313" s="97"/>
      <c r="Q313" s="115"/>
      <c r="R313" s="115"/>
      <c r="S313" s="53"/>
      <c r="T313" s="97"/>
      <c r="U313" s="97"/>
      <c r="V313" s="97"/>
      <c r="W313" s="115"/>
      <c r="X313" s="115"/>
      <c r="Y313" s="11"/>
      <c r="Z313" s="97"/>
      <c r="AA313" s="97"/>
      <c r="AB313" s="97"/>
      <c r="AC313" s="44"/>
      <c r="AD313" s="44"/>
      <c r="AE313" s="11"/>
      <c r="AF313" s="102"/>
      <c r="AG313" s="125"/>
      <c r="AH313" s="97"/>
      <c r="AI313" s="11"/>
      <c r="AJ313" s="11"/>
      <c r="AK313" s="17"/>
      <c r="AL313" s="97"/>
      <c r="AM313" s="97"/>
      <c r="AN313" s="101"/>
      <c r="AO313" s="248"/>
      <c r="AP313" s="17"/>
      <c r="AQ313" s="17"/>
      <c r="AR313" s="252"/>
      <c r="AS313" s="252"/>
      <c r="AT313" s="252"/>
      <c r="AU313" s="52"/>
      <c r="AV313" s="52"/>
      <c r="AW313" s="11"/>
      <c r="AX313" s="100"/>
      <c r="AY313" s="172"/>
      <c r="AZ313" s="124"/>
      <c r="BA313" s="169"/>
      <c r="BB313" s="116"/>
      <c r="BC313" s="116"/>
      <c r="BD313" s="247"/>
      <c r="BE313" s="124"/>
      <c r="BF313" s="124"/>
      <c r="BG313" s="116"/>
      <c r="BH313" s="116"/>
      <c r="BI313" s="116"/>
      <c r="BJ313" s="124"/>
      <c r="BK313" s="124"/>
      <c r="BL313" s="124"/>
      <c r="BM313" s="116"/>
      <c r="BN313" s="116"/>
      <c r="BO313" s="116"/>
      <c r="BP313" s="124"/>
      <c r="BQ313" s="116"/>
      <c r="BR313" s="116"/>
      <c r="BS313" s="116"/>
      <c r="BT313" s="116"/>
      <c r="BU313" s="116"/>
      <c r="BV313" s="236">
        <v>2230000</v>
      </c>
      <c r="BW313" s="125">
        <f>BV313*0</f>
        <v>0</v>
      </c>
      <c r="BX313" s="97">
        <f t="shared" si="123"/>
        <v>2230000</v>
      </c>
      <c r="BY313" s="237" t="s">
        <v>384</v>
      </c>
      <c r="BZ313" s="237" t="s">
        <v>193</v>
      </c>
      <c r="CA313" s="116"/>
      <c r="CB313" s="247"/>
      <c r="CC313" s="125"/>
      <c r="CD313" s="247"/>
      <c r="CE313" s="116"/>
      <c r="CF313" s="116"/>
      <c r="CG313" s="34"/>
      <c r="CH313" s="241">
        <v>2274600</v>
      </c>
      <c r="CI313" s="238">
        <f>+CH313*0.19</f>
        <v>432174</v>
      </c>
      <c r="CJ313" s="236">
        <f>+CH313+CI313</f>
        <v>2706774</v>
      </c>
      <c r="CK313" s="237" t="s">
        <v>384</v>
      </c>
      <c r="CL313" s="237" t="s">
        <v>193</v>
      </c>
      <c r="CM313" s="116"/>
      <c r="CN313" s="247"/>
      <c r="CO313" s="125"/>
      <c r="CP313" s="247"/>
      <c r="CQ313" s="116"/>
      <c r="CR313" s="116"/>
      <c r="CS313" s="116"/>
      <c r="CT313" s="247"/>
      <c r="CU313" s="125"/>
      <c r="CV313" s="247"/>
      <c r="CW313" s="116"/>
      <c r="CX313" s="116"/>
      <c r="CY313" s="116"/>
      <c r="CZ313" s="102"/>
      <c r="DA313" s="125"/>
      <c r="DB313" s="102"/>
      <c r="DC313" s="31"/>
      <c r="DD313" s="17"/>
      <c r="DE313" s="11"/>
      <c r="DF313" s="116"/>
      <c r="DG313" s="116"/>
      <c r="DH313" s="116"/>
      <c r="DI313" s="116"/>
      <c r="DJ313" s="116"/>
      <c r="DK313" s="116"/>
      <c r="DL313" s="116"/>
      <c r="DM313" s="116"/>
      <c r="DN313" s="116"/>
      <c r="DO313" s="116"/>
      <c r="DP313" s="116"/>
      <c r="DQ313" s="116"/>
      <c r="DR313" s="116"/>
      <c r="DS313" s="116"/>
      <c r="DT313" s="116"/>
      <c r="DU313" s="116"/>
      <c r="DV313" s="116"/>
      <c r="DW313" s="116"/>
      <c r="DX313" s="116"/>
      <c r="DY313" s="116"/>
      <c r="DZ313" s="116"/>
      <c r="EA313" s="116"/>
      <c r="EB313" s="116"/>
      <c r="EC313" s="116"/>
      <c r="ED313" s="116"/>
      <c r="EE313" s="116"/>
      <c r="EF313" s="116"/>
      <c r="EG313" s="116"/>
      <c r="EH313" s="116"/>
      <c r="EI313" s="116"/>
      <c r="EJ313" s="116"/>
      <c r="EK313" s="116"/>
      <c r="EL313" s="116"/>
      <c r="EM313" s="116"/>
      <c r="EN313" s="116"/>
      <c r="EO313" s="116"/>
      <c r="EP313" s="116"/>
      <c r="EQ313" s="116"/>
      <c r="ER313" s="116"/>
      <c r="ES313" s="116"/>
      <c r="ET313" s="11"/>
      <c r="EU313" s="11"/>
      <c r="EV313" s="11"/>
      <c r="EW313" s="11"/>
      <c r="EX313" s="11"/>
      <c r="EY313" s="11"/>
      <c r="EZ313" s="11"/>
      <c r="FA313" s="11"/>
      <c r="FB313" s="11"/>
      <c r="FC313" s="11"/>
      <c r="FD313" s="11"/>
      <c r="FE313" s="11"/>
      <c r="FF313" s="11"/>
      <c r="FG313" s="11"/>
      <c r="FH313" s="17">
        <f t="shared" si="119"/>
        <v>6809829</v>
      </c>
      <c r="FI313" s="31">
        <f t="shared" si="120"/>
        <v>3</v>
      </c>
      <c r="FJ313" s="68">
        <f t="shared" si="121"/>
        <v>2269943</v>
      </c>
    </row>
    <row r="314" spans="1:166" ht="27" x14ac:dyDescent="0.25">
      <c r="A314" s="248">
        <f>Distribución_Reactivos!A314</f>
        <v>312</v>
      </c>
      <c r="B314" s="248" t="str">
        <f>Distribución_Reactivos!B314</f>
        <v>O-Phenylene diamine 5 mg (Peligroso)</v>
      </c>
      <c r="C314" s="248" t="str">
        <f>Distribución_Reactivos!C314</f>
        <v>Sigma P3804-100</v>
      </c>
      <c r="D314" s="248" t="str">
        <f>Distribución_Reactivos!D314</f>
        <v>Caja x 100 tabletas</v>
      </c>
      <c r="E314" s="29">
        <v>1</v>
      </c>
      <c r="F314" s="212">
        <v>0</v>
      </c>
      <c r="G314" s="214">
        <v>0</v>
      </c>
      <c r="H314" s="221">
        <v>1456956.6666666667</v>
      </c>
      <c r="I314" s="221">
        <v>0</v>
      </c>
      <c r="J314" s="221">
        <v>0</v>
      </c>
      <c r="K314" s="221">
        <v>0</v>
      </c>
      <c r="L314" s="247">
        <f>H314</f>
        <v>1456956.6666666667</v>
      </c>
      <c r="M314" s="247"/>
      <c r="N314" s="217"/>
      <c r="O314" s="97"/>
      <c r="P314" s="97"/>
      <c r="Q314" s="115"/>
      <c r="R314" s="115"/>
      <c r="S314" s="53"/>
      <c r="T314" s="97"/>
      <c r="U314" s="97"/>
      <c r="V314" s="97"/>
      <c r="W314" s="115"/>
      <c r="X314" s="115"/>
      <c r="Y314" s="11"/>
      <c r="Z314" s="97"/>
      <c r="AA314" s="97"/>
      <c r="AB314" s="97"/>
      <c r="AC314" s="44"/>
      <c r="AD314" s="44"/>
      <c r="AE314" s="11"/>
      <c r="AF314" s="102"/>
      <c r="AG314" s="125"/>
      <c r="AH314" s="97"/>
      <c r="AI314" s="11"/>
      <c r="AJ314" s="11"/>
      <c r="AK314" s="17"/>
      <c r="AL314" s="97"/>
      <c r="AM314" s="97"/>
      <c r="AN314" s="101"/>
      <c r="AO314" s="248"/>
      <c r="AP314" s="17"/>
      <c r="AQ314" s="17"/>
      <c r="AR314" s="252"/>
      <c r="AS314" s="252"/>
      <c r="AT314" s="252"/>
      <c r="AU314" s="52"/>
      <c r="AV314" s="52"/>
      <c r="AW314" s="11"/>
      <c r="AX314" s="100"/>
      <c r="AY314" s="174"/>
      <c r="AZ314" s="124"/>
      <c r="BA314" s="169"/>
      <c r="BB314" s="116"/>
      <c r="BC314" s="116"/>
      <c r="BD314" s="247"/>
      <c r="BE314" s="124"/>
      <c r="BF314" s="124"/>
      <c r="BG314" s="116"/>
      <c r="BH314" s="116"/>
      <c r="BI314" s="116"/>
      <c r="BJ314" s="124"/>
      <c r="BK314" s="124"/>
      <c r="BL314" s="124"/>
      <c r="BM314" s="116"/>
      <c r="BN314" s="116"/>
      <c r="BO314" s="116"/>
      <c r="BP314" s="124"/>
      <c r="BQ314" s="116"/>
      <c r="BR314" s="116"/>
      <c r="BS314" s="116"/>
      <c r="BT314" s="116"/>
      <c r="BU314" s="116"/>
      <c r="BV314" s="236">
        <v>2345000</v>
      </c>
      <c r="BW314" s="125">
        <f t="shared" ref="BW314:BW321" si="124">BV314*19%</f>
        <v>445550</v>
      </c>
      <c r="BX314" s="97">
        <f t="shared" si="123"/>
        <v>2790550</v>
      </c>
      <c r="BY314" s="237" t="s">
        <v>385</v>
      </c>
      <c r="BZ314" s="237" t="s">
        <v>252</v>
      </c>
      <c r="CA314" s="116"/>
      <c r="CB314" s="247"/>
      <c r="CC314" s="125"/>
      <c r="CD314" s="247"/>
      <c r="CE314" s="116"/>
      <c r="CF314" s="116"/>
      <c r="CG314" s="34"/>
      <c r="CH314" s="241">
        <v>2462250</v>
      </c>
      <c r="CI314" s="238">
        <f>+CH314*0.19</f>
        <v>467827.5</v>
      </c>
      <c r="CJ314" s="236">
        <f>+CH314+CI314</f>
        <v>2930077.5</v>
      </c>
      <c r="CK314" s="237" t="s">
        <v>385</v>
      </c>
      <c r="CL314" s="237" t="s">
        <v>252</v>
      </c>
      <c r="CM314" s="116"/>
      <c r="CN314" s="247"/>
      <c r="CO314" s="125"/>
      <c r="CP314" s="247"/>
      <c r="CQ314" s="116"/>
      <c r="CR314" s="116"/>
      <c r="CS314" s="116"/>
      <c r="CT314" s="125">
        <v>1256250</v>
      </c>
      <c r="CU314" s="125">
        <f>CT314*0.19</f>
        <v>238687.5</v>
      </c>
      <c r="CV314" s="125">
        <f>CU314+CT314</f>
        <v>1494937.5</v>
      </c>
      <c r="CW314" s="116"/>
      <c r="CX314" s="116"/>
      <c r="CY314" s="116"/>
      <c r="CZ314" s="102"/>
      <c r="DA314" s="125"/>
      <c r="DB314" s="102"/>
      <c r="DC314" s="31"/>
      <c r="DD314" s="17"/>
      <c r="DE314" s="11"/>
      <c r="DF314" s="116"/>
      <c r="DG314" s="116"/>
      <c r="DH314" s="116"/>
      <c r="DI314" s="116"/>
      <c r="DJ314" s="116"/>
      <c r="DK314" s="116"/>
      <c r="DL314" s="116"/>
      <c r="DM314" s="116"/>
      <c r="DN314" s="116"/>
      <c r="DO314" s="116"/>
      <c r="DP314" s="116"/>
      <c r="DQ314" s="116"/>
      <c r="DR314" s="116"/>
      <c r="DS314" s="116"/>
      <c r="DT314" s="116"/>
      <c r="DU314" s="116"/>
      <c r="DV314" s="116"/>
      <c r="DW314" s="116"/>
      <c r="DX314" s="116"/>
      <c r="DY314" s="116"/>
      <c r="DZ314" s="116"/>
      <c r="EA314" s="116"/>
      <c r="EB314" s="116"/>
      <c r="EC314" s="116"/>
      <c r="ED314" s="116"/>
      <c r="EE314" s="116"/>
      <c r="EF314" s="116"/>
      <c r="EG314" s="116"/>
      <c r="EH314" s="116"/>
      <c r="EI314" s="116"/>
      <c r="EJ314" s="116"/>
      <c r="EK314" s="116"/>
      <c r="EL314" s="116"/>
      <c r="EM314" s="116"/>
      <c r="EN314" s="116"/>
      <c r="EO314" s="116"/>
      <c r="EP314" s="116"/>
      <c r="EQ314" s="116"/>
      <c r="ER314" s="116"/>
      <c r="ES314" s="116"/>
      <c r="ET314" s="11"/>
      <c r="EU314" s="11"/>
      <c r="EV314" s="11"/>
      <c r="EW314" s="11"/>
      <c r="EX314" s="11"/>
      <c r="EY314" s="11"/>
      <c r="EZ314" s="11"/>
      <c r="FA314" s="11"/>
      <c r="FB314" s="11"/>
      <c r="FC314" s="11"/>
      <c r="FD314" s="11"/>
      <c r="FE314" s="11"/>
      <c r="FF314" s="11"/>
      <c r="FG314" s="11"/>
      <c r="FH314" s="17">
        <f t="shared" si="119"/>
        <v>7215565</v>
      </c>
      <c r="FI314" s="31">
        <f t="shared" si="120"/>
        <v>3</v>
      </c>
      <c r="FJ314" s="68">
        <f t="shared" si="121"/>
        <v>2405188.3333333335</v>
      </c>
    </row>
    <row r="315" spans="1:166" ht="27" x14ac:dyDescent="0.25">
      <c r="A315" s="248">
        <f>Distribución_Reactivos!A315</f>
        <v>313</v>
      </c>
      <c r="B315" s="248" t="str">
        <f>Distribución_Reactivos!B315</f>
        <v>O-Phenylene diaminehydrochloride 10 mg (Peligroso)</v>
      </c>
      <c r="C315" s="248" t="str">
        <f>Distribución_Reactivos!C315</f>
        <v>Sigma P8287-100</v>
      </c>
      <c r="D315" s="248" t="str">
        <f>Distribución_Reactivos!D315</f>
        <v>Caja x 100 tabletas</v>
      </c>
      <c r="E315" s="29">
        <v>1</v>
      </c>
      <c r="F315" s="212">
        <v>1764175</v>
      </c>
      <c r="G315" s="214">
        <v>1737638</v>
      </c>
      <c r="H315" s="221">
        <v>1704154.3006249999</v>
      </c>
      <c r="I315" s="221">
        <v>0</v>
      </c>
      <c r="J315" s="221">
        <v>1565147.5</v>
      </c>
      <c r="K315" s="221">
        <v>1549380</v>
      </c>
      <c r="L315" s="247">
        <f>AVERAGE(F315,H315,J315)</f>
        <v>1677825.6002083335</v>
      </c>
      <c r="M315" s="247">
        <f>AVERAGE(G315,K315)*E1</f>
        <v>1692814.27</v>
      </c>
      <c r="N315" s="217"/>
      <c r="O315" s="97"/>
      <c r="P315" s="97"/>
      <c r="Q315" s="115"/>
      <c r="R315" s="115"/>
      <c r="S315" s="53"/>
      <c r="T315" s="97"/>
      <c r="U315" s="97"/>
      <c r="V315" s="97"/>
      <c r="W315" s="115"/>
      <c r="X315" s="115"/>
      <c r="Y315" s="11"/>
      <c r="Z315" s="97"/>
      <c r="AA315" s="97"/>
      <c r="AB315" s="97"/>
      <c r="AC315" s="44"/>
      <c r="AD315" s="44"/>
      <c r="AE315" s="11"/>
      <c r="AF315" s="102"/>
      <c r="AG315" s="125"/>
      <c r="AH315" s="97"/>
      <c r="AI315" s="11"/>
      <c r="AJ315" s="11"/>
      <c r="AK315" s="17"/>
      <c r="AL315" s="97"/>
      <c r="AM315" s="97"/>
      <c r="AN315" s="101"/>
      <c r="AO315" s="248"/>
      <c r="AP315" s="17"/>
      <c r="AQ315" s="17"/>
      <c r="AR315" s="252"/>
      <c r="AS315" s="252"/>
      <c r="AT315" s="252"/>
      <c r="AU315" s="52"/>
      <c r="AV315" s="52"/>
      <c r="AW315" s="11"/>
      <c r="AX315" s="100"/>
      <c r="AY315" s="174"/>
      <c r="AZ315" s="124"/>
      <c r="BA315" s="169"/>
      <c r="BB315" s="116"/>
      <c r="BC315" s="116"/>
      <c r="BD315" s="247"/>
      <c r="BE315" s="247"/>
      <c r="BF315" s="247"/>
      <c r="BG315" s="247"/>
      <c r="BH315" s="116"/>
      <c r="BI315" s="116"/>
      <c r="BJ315" s="124"/>
      <c r="BK315" s="124"/>
      <c r="BL315" s="124"/>
      <c r="BM315" s="116"/>
      <c r="BN315" s="116"/>
      <c r="BO315" s="116"/>
      <c r="BP315" s="124"/>
      <c r="BQ315" s="116"/>
      <c r="BR315" s="116"/>
      <c r="BS315" s="116"/>
      <c r="BT315" s="116"/>
      <c r="BU315" s="116"/>
      <c r="BV315" s="236">
        <v>2699700</v>
      </c>
      <c r="BW315" s="125">
        <f t="shared" si="124"/>
        <v>512943</v>
      </c>
      <c r="BX315" s="97">
        <f t="shared" si="123"/>
        <v>3212643</v>
      </c>
      <c r="BY315" s="237" t="s">
        <v>385</v>
      </c>
      <c r="BZ315" s="237" t="s">
        <v>252</v>
      </c>
      <c r="CA315" s="116"/>
      <c r="CB315" s="247"/>
      <c r="CC315" s="125"/>
      <c r="CD315" s="247"/>
      <c r="CE315" s="116"/>
      <c r="CF315" s="116"/>
      <c r="CG315" s="34"/>
      <c r="CH315" s="241"/>
      <c r="CI315" s="238"/>
      <c r="CJ315" s="236"/>
      <c r="CK315" s="237"/>
      <c r="CL315" s="237"/>
      <c r="CM315" s="116"/>
      <c r="CN315" s="247"/>
      <c r="CO315" s="125"/>
      <c r="CP315" s="247"/>
      <c r="CQ315" s="116"/>
      <c r="CR315" s="116"/>
      <c r="CS315" s="116"/>
      <c r="CT315" s="125">
        <v>1446250</v>
      </c>
      <c r="CU315" s="125">
        <f>CT315*0.19</f>
        <v>274787.5</v>
      </c>
      <c r="CV315" s="125">
        <f>CU315+CT315</f>
        <v>1721037.5</v>
      </c>
      <c r="CW315" s="116"/>
      <c r="CX315" s="116"/>
      <c r="CY315" s="116"/>
      <c r="CZ315" s="102"/>
      <c r="DA315" s="125"/>
      <c r="DB315" s="102"/>
      <c r="DC315" s="31"/>
      <c r="DD315" s="17"/>
      <c r="DE315" s="11"/>
      <c r="DF315" s="116"/>
      <c r="DG315" s="116"/>
      <c r="DH315" s="116"/>
      <c r="DI315" s="116"/>
      <c r="DJ315" s="116"/>
      <c r="DK315" s="116"/>
      <c r="DL315" s="116"/>
      <c r="DM315" s="116"/>
      <c r="DN315" s="116"/>
      <c r="DO315" s="116"/>
      <c r="DP315" s="116"/>
      <c r="DQ315" s="116"/>
      <c r="DR315" s="116"/>
      <c r="DS315" s="116"/>
      <c r="DT315" s="116"/>
      <c r="DU315" s="116"/>
      <c r="DV315" s="116"/>
      <c r="DW315" s="116"/>
      <c r="DX315" s="116"/>
      <c r="DY315" s="116"/>
      <c r="DZ315" s="116"/>
      <c r="EA315" s="116"/>
      <c r="EB315" s="116"/>
      <c r="EC315" s="116"/>
      <c r="ED315" s="116"/>
      <c r="EE315" s="116"/>
      <c r="EF315" s="116"/>
      <c r="EG315" s="116"/>
      <c r="EH315" s="116"/>
      <c r="EI315" s="116"/>
      <c r="EJ315" s="116"/>
      <c r="EK315" s="116"/>
      <c r="EL315" s="116"/>
      <c r="EM315" s="116"/>
      <c r="EN315" s="116"/>
      <c r="EO315" s="116"/>
      <c r="EP315" s="116"/>
      <c r="EQ315" s="116"/>
      <c r="ER315" s="116"/>
      <c r="ES315" s="116"/>
      <c r="ET315" s="11"/>
      <c r="EU315" s="11"/>
      <c r="EV315" s="11"/>
      <c r="EW315" s="11"/>
      <c r="EX315" s="11"/>
      <c r="EY315" s="11"/>
      <c r="EZ315" s="11"/>
      <c r="FA315" s="11"/>
      <c r="FB315" s="11"/>
      <c r="FC315" s="11"/>
      <c r="FD315" s="11"/>
      <c r="FE315" s="11"/>
      <c r="FF315" s="11"/>
      <c r="FG315" s="11"/>
      <c r="FH315" s="17">
        <f t="shared" si="119"/>
        <v>6626494.7699999996</v>
      </c>
      <c r="FI315" s="31">
        <f t="shared" si="120"/>
        <v>3</v>
      </c>
      <c r="FJ315" s="68">
        <f t="shared" si="121"/>
        <v>2208831.59</v>
      </c>
    </row>
    <row r="316" spans="1:166" ht="27" x14ac:dyDescent="0.25">
      <c r="A316" s="248">
        <f>Distribución_Reactivos!A316</f>
        <v>314</v>
      </c>
      <c r="B316" s="248" t="str">
        <f>Distribución_Reactivos!B316</f>
        <v>O-Phenylene diaminehydrochloride 5 mg (Peligroso)</v>
      </c>
      <c r="C316" s="248" t="str">
        <f>Distribución_Reactivos!C316</f>
        <v>Sigma P3804-100</v>
      </c>
      <c r="D316" s="248" t="str">
        <f>Distribución_Reactivos!D316</f>
        <v>Caja x 100 tabletas</v>
      </c>
      <c r="E316" s="29">
        <v>1</v>
      </c>
      <c r="F316" s="212">
        <v>932960</v>
      </c>
      <c r="G316" s="214">
        <v>0</v>
      </c>
      <c r="H316" s="221">
        <v>1333957.632</v>
      </c>
      <c r="I316" s="221">
        <v>0</v>
      </c>
      <c r="J316" s="221">
        <v>1283415</v>
      </c>
      <c r="K316" s="221">
        <v>1270920</v>
      </c>
      <c r="L316" s="247">
        <f>AVERAGE(F316,H316,J316)</f>
        <v>1183444.2106666667</v>
      </c>
      <c r="M316" s="247">
        <f>K316*E1</f>
        <v>1309047.6000000001</v>
      </c>
      <c r="N316" s="217"/>
      <c r="O316" s="97"/>
      <c r="P316" s="97"/>
      <c r="Q316" s="115"/>
      <c r="R316" s="115"/>
      <c r="S316" s="53"/>
      <c r="T316" s="97"/>
      <c r="U316" s="101"/>
      <c r="V316" s="97"/>
      <c r="W316" s="115"/>
      <c r="X316" s="115"/>
      <c r="Y316" s="11"/>
      <c r="Z316" s="97"/>
      <c r="AA316" s="97"/>
      <c r="AB316" s="97"/>
      <c r="AC316" s="44"/>
      <c r="AD316" s="44"/>
      <c r="AE316" s="11"/>
      <c r="AF316" s="102"/>
      <c r="AG316" s="125"/>
      <c r="AH316" s="97"/>
      <c r="AI316" s="11"/>
      <c r="AJ316" s="11"/>
      <c r="AK316" s="17"/>
      <c r="AL316" s="97"/>
      <c r="AM316" s="97"/>
      <c r="AN316" s="101"/>
      <c r="AO316" s="248"/>
      <c r="AP316" s="17"/>
      <c r="AQ316" s="17"/>
      <c r="AR316" s="252"/>
      <c r="AS316" s="252"/>
      <c r="AT316" s="252"/>
      <c r="AU316" s="52"/>
      <c r="AV316" s="52"/>
      <c r="AW316" s="11"/>
      <c r="AX316" s="100"/>
      <c r="AY316" s="172"/>
      <c r="AZ316" s="124"/>
      <c r="BA316" s="169"/>
      <c r="BB316" s="116"/>
      <c r="BC316" s="116"/>
      <c r="BD316" s="247"/>
      <c r="BE316" s="124"/>
      <c r="BF316" s="124"/>
      <c r="BG316" s="116"/>
      <c r="BH316" s="116"/>
      <c r="BI316" s="116"/>
      <c r="BJ316" s="124"/>
      <c r="BK316" s="124"/>
      <c r="BL316" s="124"/>
      <c r="BM316" s="116"/>
      <c r="BN316" s="116"/>
      <c r="BO316" s="116"/>
      <c r="BP316" s="124"/>
      <c r="BQ316" s="116"/>
      <c r="BR316" s="116"/>
      <c r="BS316" s="116"/>
      <c r="BT316" s="116"/>
      <c r="BU316" s="116"/>
      <c r="BV316" s="236">
        <v>2345000</v>
      </c>
      <c r="BW316" s="125">
        <f t="shared" si="124"/>
        <v>445550</v>
      </c>
      <c r="BX316" s="97">
        <f t="shared" si="123"/>
        <v>2790550</v>
      </c>
      <c r="BY316" s="237" t="s">
        <v>385</v>
      </c>
      <c r="BZ316" s="237" t="s">
        <v>252</v>
      </c>
      <c r="CA316" s="116"/>
      <c r="CB316" s="247"/>
      <c r="CC316" s="125"/>
      <c r="CD316" s="247"/>
      <c r="CE316" s="116"/>
      <c r="CF316" s="116"/>
      <c r="CG316" s="34"/>
      <c r="CH316" s="241"/>
      <c r="CI316" s="238"/>
      <c r="CJ316" s="236"/>
      <c r="CK316" s="237"/>
      <c r="CL316" s="237"/>
      <c r="CM316" s="116"/>
      <c r="CN316" s="247"/>
      <c r="CO316" s="125"/>
      <c r="CP316" s="247"/>
      <c r="CQ316" s="116"/>
      <c r="CR316" s="116"/>
      <c r="CS316" s="116"/>
      <c r="CT316" s="125">
        <v>1256250</v>
      </c>
      <c r="CU316" s="125">
        <f>CT316*0.19</f>
        <v>238687.5</v>
      </c>
      <c r="CV316" s="125">
        <f>CU316+CT316</f>
        <v>1494937.5</v>
      </c>
      <c r="CW316" s="116"/>
      <c r="CX316" s="116"/>
      <c r="CY316" s="116"/>
      <c r="CZ316" s="102"/>
      <c r="DA316" s="125"/>
      <c r="DB316" s="102"/>
      <c r="DC316" s="31"/>
      <c r="DD316" s="17"/>
      <c r="DE316" s="11"/>
      <c r="DF316" s="116"/>
      <c r="DG316" s="116"/>
      <c r="DH316" s="116"/>
      <c r="DI316" s="116"/>
      <c r="DJ316" s="116"/>
      <c r="DK316" s="116"/>
      <c r="DL316" s="116"/>
      <c r="DM316" s="116"/>
      <c r="DN316" s="116"/>
      <c r="DO316" s="116"/>
      <c r="DP316" s="116"/>
      <c r="DQ316" s="116"/>
      <c r="DR316" s="116"/>
      <c r="DS316" s="116"/>
      <c r="DT316" s="116"/>
      <c r="DU316" s="116"/>
      <c r="DV316" s="116"/>
      <c r="DW316" s="116"/>
      <c r="DX316" s="116"/>
      <c r="DY316" s="116"/>
      <c r="DZ316" s="116"/>
      <c r="EA316" s="116"/>
      <c r="EB316" s="116"/>
      <c r="EC316" s="116"/>
      <c r="ED316" s="116"/>
      <c r="EE316" s="116"/>
      <c r="EF316" s="116"/>
      <c r="EG316" s="116"/>
      <c r="EH316" s="116"/>
      <c r="EI316" s="116"/>
      <c r="EJ316" s="116"/>
      <c r="EK316" s="116"/>
      <c r="EL316" s="116"/>
      <c r="EM316" s="116"/>
      <c r="EN316" s="116"/>
      <c r="EO316" s="116"/>
      <c r="EP316" s="116"/>
      <c r="EQ316" s="116"/>
      <c r="ER316" s="116"/>
      <c r="ES316" s="116"/>
      <c r="ET316" s="11"/>
      <c r="EU316" s="11"/>
      <c r="EV316" s="11"/>
      <c r="EW316" s="11"/>
      <c r="EX316" s="11"/>
      <c r="EY316" s="11"/>
      <c r="EZ316" s="11"/>
      <c r="FA316" s="11"/>
      <c r="FB316" s="11"/>
      <c r="FC316" s="11"/>
      <c r="FD316" s="11"/>
      <c r="FE316" s="11"/>
      <c r="FF316" s="11"/>
      <c r="FG316" s="11"/>
      <c r="FH316" s="17">
        <f t="shared" si="119"/>
        <v>5594535.0999999996</v>
      </c>
      <c r="FI316" s="31">
        <f t="shared" si="120"/>
        <v>3</v>
      </c>
      <c r="FJ316" s="68">
        <f t="shared" si="121"/>
        <v>1864845.0333333332</v>
      </c>
    </row>
    <row r="317" spans="1:166" ht="25.5" x14ac:dyDescent="0.25">
      <c r="A317" s="248">
        <f>Distribución_Reactivos!A317</f>
        <v>315</v>
      </c>
      <c r="B317" s="248" t="str">
        <f>Distribución_Reactivos!B317</f>
        <v>Orseina CAS 1400-62-0</v>
      </c>
      <c r="C317" s="248" t="str">
        <f>Distribución_Reactivos!C317</f>
        <v>Merck</v>
      </c>
      <c r="D317" s="248" t="str">
        <f>Distribución_Reactivos!D317</f>
        <v>Frasco x 25 g</v>
      </c>
      <c r="E317" s="29">
        <v>1</v>
      </c>
      <c r="F317" s="212">
        <v>0</v>
      </c>
      <c r="G317" s="214">
        <v>0</v>
      </c>
      <c r="H317" s="221">
        <v>1578712.5</v>
      </c>
      <c r="I317" s="221">
        <v>0</v>
      </c>
      <c r="J317" s="221">
        <v>0</v>
      </c>
      <c r="K317" s="221">
        <v>0</v>
      </c>
      <c r="L317" s="247">
        <f>H317</f>
        <v>1578712.5</v>
      </c>
      <c r="M317" s="247"/>
      <c r="N317" s="217"/>
      <c r="O317" s="97"/>
      <c r="P317" s="97"/>
      <c r="Q317" s="115"/>
      <c r="R317" s="115"/>
      <c r="S317" s="53"/>
      <c r="T317" s="97"/>
      <c r="U317" s="101"/>
      <c r="V317" s="97"/>
      <c r="W317" s="115"/>
      <c r="X317" s="115"/>
      <c r="Y317" s="11"/>
      <c r="Z317" s="97"/>
      <c r="AA317" s="97"/>
      <c r="AB317" s="97"/>
      <c r="AC317" s="44"/>
      <c r="AD317" s="44"/>
      <c r="AE317" s="11"/>
      <c r="AF317" s="102">
        <v>1590000</v>
      </c>
      <c r="AG317" s="125">
        <f>AF317*19%</f>
        <v>302100</v>
      </c>
      <c r="AH317" s="97">
        <f>+AF317+AG317</f>
        <v>1892100</v>
      </c>
      <c r="AI317" s="11"/>
      <c r="AJ317" s="11"/>
      <c r="AK317" s="17"/>
      <c r="AL317" s="97"/>
      <c r="AM317" s="97"/>
      <c r="AN317" s="101"/>
      <c r="AO317" s="248"/>
      <c r="AP317" s="17"/>
      <c r="AQ317" s="17"/>
      <c r="AR317" s="252">
        <f>+(835200/10)*25</f>
        <v>2088000</v>
      </c>
      <c r="AS317" s="124">
        <f>+AR317*0.19</f>
        <v>396720</v>
      </c>
      <c r="AT317" s="100">
        <f>+AR317+AS317</f>
        <v>2484720</v>
      </c>
      <c r="AU317" s="52" t="s">
        <v>299</v>
      </c>
      <c r="AV317" s="34" t="s">
        <v>42</v>
      </c>
      <c r="AW317" s="11"/>
      <c r="AX317" s="100"/>
      <c r="AY317" s="174"/>
      <c r="AZ317" s="124"/>
      <c r="BA317" s="169"/>
      <c r="BB317" s="116"/>
      <c r="BC317" s="116"/>
      <c r="BD317" s="247"/>
      <c r="BE317" s="124"/>
      <c r="BF317" s="124"/>
      <c r="BG317" s="116"/>
      <c r="BH317" s="116"/>
      <c r="BI317" s="116"/>
      <c r="BJ317" s="124"/>
      <c r="BK317" s="124"/>
      <c r="BL317" s="124"/>
      <c r="BM317" s="116"/>
      <c r="BN317" s="116"/>
      <c r="BO317" s="116"/>
      <c r="BP317" s="124"/>
      <c r="BQ317" s="116"/>
      <c r="BR317" s="116"/>
      <c r="BS317" s="116"/>
      <c r="BT317" s="116"/>
      <c r="BU317" s="116"/>
      <c r="BV317" s="236">
        <v>2194400</v>
      </c>
      <c r="BW317" s="125">
        <f t="shared" si="124"/>
        <v>416936</v>
      </c>
      <c r="BX317" s="97">
        <f t="shared" si="123"/>
        <v>2611336</v>
      </c>
      <c r="BY317" s="237" t="s">
        <v>323</v>
      </c>
      <c r="BZ317" s="237" t="s">
        <v>93</v>
      </c>
      <c r="CA317" s="116"/>
      <c r="CB317" s="247"/>
      <c r="CC317" s="125"/>
      <c r="CD317" s="247"/>
      <c r="CE317" s="116"/>
      <c r="CF317" s="116"/>
      <c r="CG317" s="34"/>
      <c r="CH317" s="241"/>
      <c r="CI317" s="238"/>
      <c r="CJ317" s="236"/>
      <c r="CK317" s="237"/>
      <c r="CL317" s="237"/>
      <c r="CM317" s="116"/>
      <c r="CN317" s="247"/>
      <c r="CO317" s="125"/>
      <c r="CP317" s="247"/>
      <c r="CQ317" s="116"/>
      <c r="CR317" s="116"/>
      <c r="CS317" s="116"/>
      <c r="CT317" s="247"/>
      <c r="CU317" s="125"/>
      <c r="CV317" s="247"/>
      <c r="CW317" s="116"/>
      <c r="CX317" s="116"/>
      <c r="CY317" s="116"/>
      <c r="CZ317" s="102"/>
      <c r="DA317" s="125"/>
      <c r="DB317" s="102"/>
      <c r="DC317" s="31"/>
      <c r="DD317" s="17"/>
      <c r="DE317" s="11"/>
      <c r="DF317" s="116"/>
      <c r="DG317" s="116"/>
      <c r="DH317" s="116"/>
      <c r="DI317" s="116"/>
      <c r="DJ317" s="116"/>
      <c r="DK317" s="116"/>
      <c r="DL317" s="116"/>
      <c r="DM317" s="116"/>
      <c r="DN317" s="116"/>
      <c r="DO317" s="116"/>
      <c r="DP317" s="116"/>
      <c r="DQ317" s="116"/>
      <c r="DR317" s="116"/>
      <c r="DS317" s="116"/>
      <c r="DT317" s="116"/>
      <c r="DU317" s="116"/>
      <c r="DV317" s="116"/>
      <c r="DW317" s="116"/>
      <c r="DX317" s="116"/>
      <c r="DY317" s="116"/>
      <c r="DZ317" s="116"/>
      <c r="EA317" s="116"/>
      <c r="EB317" s="116"/>
      <c r="EC317" s="116"/>
      <c r="ED317" s="116"/>
      <c r="EE317" s="116"/>
      <c r="EF317" s="116"/>
      <c r="EG317" s="116"/>
      <c r="EH317" s="116"/>
      <c r="EI317" s="116"/>
      <c r="EJ317" s="116"/>
      <c r="EK317" s="116"/>
      <c r="EL317" s="116"/>
      <c r="EM317" s="116"/>
      <c r="EN317" s="116"/>
      <c r="EO317" s="116"/>
      <c r="EP317" s="116"/>
      <c r="EQ317" s="116"/>
      <c r="ER317" s="116"/>
      <c r="ES317" s="116"/>
      <c r="ET317" s="11"/>
      <c r="EU317" s="11"/>
      <c r="EV317" s="11"/>
      <c r="EW317" s="11"/>
      <c r="EX317" s="11"/>
      <c r="EY317" s="11"/>
      <c r="EZ317" s="11"/>
      <c r="FA317" s="11"/>
      <c r="FB317" s="11"/>
      <c r="FC317" s="11"/>
      <c r="FD317" s="11"/>
      <c r="FE317" s="11"/>
      <c r="FF317" s="11"/>
      <c r="FG317" s="11"/>
      <c r="FH317" s="17">
        <f t="shared" si="119"/>
        <v>6988156</v>
      </c>
      <c r="FI317" s="31">
        <f t="shared" si="120"/>
        <v>3</v>
      </c>
      <c r="FJ317" s="68">
        <f t="shared" si="121"/>
        <v>2329385.3333333335</v>
      </c>
    </row>
    <row r="318" spans="1:166" ht="27" x14ac:dyDescent="0.25">
      <c r="A318" s="248">
        <f>Distribución_Reactivos!A318</f>
        <v>316</v>
      </c>
      <c r="B318" s="248" t="str">
        <f>Distribución_Reactivos!B318</f>
        <v>Ovoalbúmina Grado II</v>
      </c>
      <c r="C318" s="248" t="str">
        <f>Distribución_Reactivos!C318</f>
        <v>Sigma  A5253</v>
      </c>
      <c r="D318" s="248" t="str">
        <f>Distribución_Reactivos!D318</f>
        <v>Frasco x 500 g</v>
      </c>
      <c r="E318" s="29">
        <v>1</v>
      </c>
      <c r="F318" s="212">
        <v>493342.26666666666</v>
      </c>
      <c r="G318" s="214">
        <v>485877</v>
      </c>
      <c r="H318" s="221">
        <v>823418.47660333337</v>
      </c>
      <c r="I318" s="221">
        <v>0</v>
      </c>
      <c r="J318" s="221">
        <v>510170.85000000003</v>
      </c>
      <c r="K318" s="221">
        <v>504560</v>
      </c>
      <c r="L318" s="247">
        <f>AVERAGE(F318,H318,J318)</f>
        <v>608977.19775666669</v>
      </c>
      <c r="M318" s="247">
        <f>AVERAGE(G318,K318)*E1</f>
        <v>510075.05499999999</v>
      </c>
      <c r="N318" s="217"/>
      <c r="O318" s="97"/>
      <c r="P318" s="97"/>
      <c r="Q318" s="115"/>
      <c r="R318" s="115"/>
      <c r="S318" s="53"/>
      <c r="T318" s="97"/>
      <c r="U318" s="97"/>
      <c r="V318" s="97"/>
      <c r="W318" s="115"/>
      <c r="X318" s="115"/>
      <c r="Y318" s="11"/>
      <c r="Z318" s="97"/>
      <c r="AA318" s="97"/>
      <c r="AB318" s="97"/>
      <c r="AC318" s="44"/>
      <c r="AD318" s="44"/>
      <c r="AE318" s="11"/>
      <c r="AF318" s="102"/>
      <c r="AG318" s="125"/>
      <c r="AH318" s="97"/>
      <c r="AI318" s="11"/>
      <c r="AJ318" s="11"/>
      <c r="AK318" s="17"/>
      <c r="AL318" s="97"/>
      <c r="AM318" s="97"/>
      <c r="AN318" s="101"/>
      <c r="AO318" s="248"/>
      <c r="AP318" s="17"/>
      <c r="AQ318" s="17"/>
      <c r="AR318" s="252"/>
      <c r="AS318" s="252"/>
      <c r="AT318" s="252"/>
      <c r="AU318" s="52"/>
      <c r="AV318" s="52"/>
      <c r="AW318" s="11"/>
      <c r="AX318" s="100"/>
      <c r="AY318" s="100"/>
      <c r="AZ318" s="124"/>
      <c r="BA318" s="169"/>
      <c r="BB318" s="116"/>
      <c r="BC318" s="116"/>
      <c r="BD318" s="247"/>
      <c r="BE318" s="124"/>
      <c r="BF318" s="124"/>
      <c r="BG318" s="116"/>
      <c r="BH318" s="116"/>
      <c r="BI318" s="116"/>
      <c r="BJ318" s="124"/>
      <c r="BK318" s="124"/>
      <c r="BL318" s="124"/>
      <c r="BM318" s="116"/>
      <c r="BN318" s="116"/>
      <c r="BO318" s="116"/>
      <c r="BP318" s="124"/>
      <c r="BQ318" s="116"/>
      <c r="BR318" s="116"/>
      <c r="BS318" s="116"/>
      <c r="BT318" s="116"/>
      <c r="BU318" s="116"/>
      <c r="BV318" s="236">
        <v>1258800</v>
      </c>
      <c r="BW318" s="125">
        <f t="shared" si="124"/>
        <v>239172</v>
      </c>
      <c r="BX318" s="97">
        <f t="shared" si="123"/>
        <v>1497972</v>
      </c>
      <c r="BY318" s="237" t="s">
        <v>319</v>
      </c>
      <c r="BZ318" s="237" t="s">
        <v>252</v>
      </c>
      <c r="CA318" s="116"/>
      <c r="CB318" s="247"/>
      <c r="CC318" s="125"/>
      <c r="CD318" s="247"/>
      <c r="CE318" s="116"/>
      <c r="CF318" s="116"/>
      <c r="CG318" s="34"/>
      <c r="CH318" s="241">
        <v>1346916</v>
      </c>
      <c r="CI318" s="238">
        <f>+CH318*0.19</f>
        <v>255914.04</v>
      </c>
      <c r="CJ318" s="236">
        <f>+CH318+CI318</f>
        <v>1602830.04</v>
      </c>
      <c r="CK318" s="237" t="s">
        <v>319</v>
      </c>
      <c r="CL318" s="237" t="s">
        <v>252</v>
      </c>
      <c r="CM318" s="116"/>
      <c r="CN318" s="247"/>
      <c r="CO318" s="125"/>
      <c r="CP318" s="247"/>
      <c r="CQ318" s="116"/>
      <c r="CR318" s="116"/>
      <c r="CS318" s="116"/>
      <c r="CT318" s="247"/>
      <c r="CU318" s="125"/>
      <c r="CV318" s="247"/>
      <c r="CW318" s="116"/>
      <c r="CX318" s="116"/>
      <c r="CY318" s="116"/>
      <c r="CZ318" s="102"/>
      <c r="DA318" s="125"/>
      <c r="DB318" s="102"/>
      <c r="DC318" s="31"/>
      <c r="DD318" s="17"/>
      <c r="DE318" s="11"/>
      <c r="DF318" s="116"/>
      <c r="DG318" s="116"/>
      <c r="DH318" s="116"/>
      <c r="DI318" s="116"/>
      <c r="DJ318" s="116"/>
      <c r="DK318" s="116"/>
      <c r="DL318" s="116"/>
      <c r="DM318" s="116"/>
      <c r="DN318" s="116"/>
      <c r="DO318" s="116"/>
      <c r="DP318" s="116"/>
      <c r="DQ318" s="116"/>
      <c r="DR318" s="116"/>
      <c r="DS318" s="116"/>
      <c r="DT318" s="116"/>
      <c r="DU318" s="116"/>
      <c r="DV318" s="116"/>
      <c r="DW318" s="116"/>
      <c r="DX318" s="116"/>
      <c r="DY318" s="116"/>
      <c r="DZ318" s="116"/>
      <c r="EA318" s="116"/>
      <c r="EB318" s="116"/>
      <c r="EC318" s="116"/>
      <c r="ED318" s="116"/>
      <c r="EE318" s="116"/>
      <c r="EF318" s="116"/>
      <c r="EG318" s="116"/>
      <c r="EH318" s="116"/>
      <c r="EI318" s="116"/>
      <c r="EJ318" s="116"/>
      <c r="EK318" s="116"/>
      <c r="EL318" s="116"/>
      <c r="EM318" s="116"/>
      <c r="EN318" s="116"/>
      <c r="EO318" s="116"/>
      <c r="EP318" s="116"/>
      <c r="EQ318" s="116"/>
      <c r="ER318" s="116"/>
      <c r="ES318" s="116"/>
      <c r="ET318" s="11"/>
      <c r="EU318" s="11"/>
      <c r="EV318" s="11"/>
      <c r="EW318" s="11"/>
      <c r="EX318" s="11"/>
      <c r="EY318" s="11"/>
      <c r="EZ318" s="11"/>
      <c r="FA318" s="11"/>
      <c r="FB318" s="11"/>
      <c r="FC318" s="11"/>
      <c r="FD318" s="11"/>
      <c r="FE318" s="11"/>
      <c r="FF318" s="11"/>
      <c r="FG318" s="11"/>
      <c r="FH318" s="17">
        <f t="shared" si="119"/>
        <v>3610877.0949999997</v>
      </c>
      <c r="FI318" s="31">
        <f t="shared" si="120"/>
        <v>3</v>
      </c>
      <c r="FJ318" s="68">
        <f t="shared" si="121"/>
        <v>1203625.6983333332</v>
      </c>
    </row>
    <row r="319" spans="1:166" ht="27" x14ac:dyDescent="0.25">
      <c r="A319" s="248">
        <f>Distribución_Reactivos!A319</f>
        <v>317</v>
      </c>
      <c r="B319" s="248" t="str">
        <f>Distribución_Reactivos!B319</f>
        <v>Ovoalbúmina Grado V</v>
      </c>
      <c r="C319" s="248" t="str">
        <f>Distribución_Reactivos!C319</f>
        <v>Sigma  A5503</v>
      </c>
      <c r="D319" s="248" t="str">
        <f>Distribución_Reactivos!D319</f>
        <v>Frasco x 50 g</v>
      </c>
      <c r="E319" s="29">
        <v>1</v>
      </c>
      <c r="F319" s="212">
        <v>6280869.583333334</v>
      </c>
      <c r="G319" s="214">
        <v>6280820</v>
      </c>
      <c r="H319" s="221">
        <v>6267443.8033472225</v>
      </c>
      <c r="I319" s="221">
        <v>6267373</v>
      </c>
      <c r="J319" s="221">
        <v>6594861</v>
      </c>
      <c r="K319" s="221">
        <v>6528340</v>
      </c>
      <c r="L319" s="247">
        <f>AVERAGE(F319,H319,J319)</f>
        <v>6381058.1288935198</v>
      </c>
      <c r="M319" s="247">
        <f>AVERAGE(G319,I319,K319)*E1</f>
        <v>6549609.6633333331</v>
      </c>
      <c r="N319" s="218"/>
      <c r="O319" s="102"/>
      <c r="P319" s="102"/>
      <c r="Q319" s="44"/>
      <c r="R319" s="44"/>
      <c r="S319" s="5"/>
      <c r="T319" s="102"/>
      <c r="U319" s="102"/>
      <c r="V319" s="102"/>
      <c r="W319" s="11"/>
      <c r="X319" s="11"/>
      <c r="Y319" s="11"/>
      <c r="Z319" s="102"/>
      <c r="AA319" s="102"/>
      <c r="AB319" s="102"/>
      <c r="AC319" s="44"/>
      <c r="AD319" s="44"/>
      <c r="AE319" s="11"/>
      <c r="AF319" s="102"/>
      <c r="AG319" s="125"/>
      <c r="AH319" s="102"/>
      <c r="AI319" s="11"/>
      <c r="AJ319" s="11"/>
      <c r="AK319" s="11"/>
      <c r="AL319" s="102"/>
      <c r="AM319" s="102"/>
      <c r="AN319" s="102"/>
      <c r="AO319" s="248"/>
      <c r="AP319" s="11"/>
      <c r="AQ319" s="11"/>
      <c r="AR319" s="247"/>
      <c r="AS319" s="247"/>
      <c r="AT319" s="247"/>
      <c r="AU319" s="52"/>
      <c r="AV319" s="42"/>
      <c r="AW319" s="11"/>
      <c r="AX319" s="247"/>
      <c r="AY319" s="247"/>
      <c r="AZ319" s="247"/>
      <c r="BA319" s="11"/>
      <c r="BB319" s="11"/>
      <c r="BC319" s="11"/>
      <c r="BD319" s="247"/>
      <c r="BE319" s="247"/>
      <c r="BF319" s="247"/>
      <c r="BG319" s="11"/>
      <c r="BH319" s="11"/>
      <c r="BI319" s="11"/>
      <c r="BJ319" s="247"/>
      <c r="BK319" s="247"/>
      <c r="BL319" s="247"/>
      <c r="BM319" s="11"/>
      <c r="BN319" s="11"/>
      <c r="BO319" s="11"/>
      <c r="BP319" s="252"/>
      <c r="BQ319" s="11"/>
      <c r="BR319" s="11"/>
      <c r="BS319" s="11"/>
      <c r="BT319" s="11"/>
      <c r="BU319" s="11"/>
      <c r="BV319" s="236">
        <v>8353400</v>
      </c>
      <c r="BW319" s="125">
        <f t="shared" si="124"/>
        <v>1587146</v>
      </c>
      <c r="BX319" s="97">
        <f t="shared" si="123"/>
        <v>9940546</v>
      </c>
      <c r="BY319" s="237" t="s">
        <v>227</v>
      </c>
      <c r="BZ319" s="237" t="s">
        <v>252</v>
      </c>
      <c r="CA319" s="11"/>
      <c r="CB319" s="247"/>
      <c r="CC319" s="125"/>
      <c r="CD319" s="247"/>
      <c r="CE319" s="11"/>
      <c r="CF319" s="11"/>
      <c r="CG319" s="11"/>
      <c r="CH319" s="241"/>
      <c r="CI319" s="238"/>
      <c r="CJ319" s="236"/>
      <c r="CK319" s="237"/>
      <c r="CL319" s="237"/>
      <c r="CM319" s="11"/>
      <c r="CN319" s="247"/>
      <c r="CO319" s="125"/>
      <c r="CP319" s="247"/>
      <c r="CQ319" s="11"/>
      <c r="CR319" s="11"/>
      <c r="CS319" s="11"/>
      <c r="CT319" s="125">
        <v>5540000</v>
      </c>
      <c r="CU319" s="125">
        <f>CT319*0.19</f>
        <v>1052600</v>
      </c>
      <c r="CV319" s="125">
        <f>CU319+CT319</f>
        <v>6592600</v>
      </c>
      <c r="CW319" s="11"/>
      <c r="CX319" s="11"/>
      <c r="CY319" s="11"/>
      <c r="CZ319" s="102"/>
      <c r="DA319" s="125"/>
      <c r="DB319" s="102"/>
      <c r="DC319" s="31"/>
      <c r="DD319" s="17"/>
      <c r="DE319" s="11"/>
      <c r="DF319" s="11"/>
      <c r="DG319" s="11"/>
      <c r="DH319" s="17"/>
      <c r="DI319" s="17"/>
      <c r="DJ319" s="32"/>
      <c r="DK319" s="11"/>
      <c r="DL319" s="11"/>
      <c r="DM319" s="11"/>
      <c r="DN319" s="11"/>
      <c r="DO319" s="11"/>
      <c r="DP319" s="11"/>
      <c r="DQ319" s="11"/>
      <c r="DR319" s="11"/>
      <c r="DS319" s="11"/>
      <c r="DT319" s="11"/>
      <c r="DU319" s="11"/>
      <c r="DV319" s="11"/>
      <c r="DW319" s="11"/>
      <c r="DX319" s="11"/>
      <c r="DY319" s="11"/>
      <c r="DZ319" s="11"/>
      <c r="EA319" s="11"/>
      <c r="EB319" s="11"/>
      <c r="EC319" s="11"/>
      <c r="ED319" s="11"/>
      <c r="EE319" s="11"/>
      <c r="EF319" s="11"/>
      <c r="EG319" s="11"/>
      <c r="EH319" s="11"/>
      <c r="EI319" s="11"/>
      <c r="EJ319" s="11"/>
      <c r="EK319" s="11"/>
      <c r="EL319" s="11"/>
      <c r="EM319" s="11"/>
      <c r="EN319" s="11"/>
      <c r="EO319" s="11"/>
      <c r="EP319" s="11"/>
      <c r="EQ319" s="11"/>
      <c r="ER319" s="11"/>
      <c r="ES319" s="11"/>
      <c r="ET319" s="11"/>
      <c r="EU319" s="11"/>
      <c r="EV319" s="11"/>
      <c r="EW319" s="11"/>
      <c r="EX319" s="11"/>
      <c r="EY319" s="11"/>
      <c r="EZ319" s="11"/>
      <c r="FA319" s="11"/>
      <c r="FB319" s="11"/>
      <c r="FC319" s="11"/>
      <c r="FD319" s="11"/>
      <c r="FE319" s="11"/>
      <c r="FF319" s="11"/>
      <c r="FG319" s="11"/>
      <c r="FH319" s="17">
        <f t="shared" si="119"/>
        <v>23082755.663333334</v>
      </c>
      <c r="FI319" s="31">
        <f t="shared" si="120"/>
        <v>3</v>
      </c>
      <c r="FJ319" s="68">
        <f t="shared" si="121"/>
        <v>7694251.8877777783</v>
      </c>
    </row>
    <row r="320" spans="1:166" ht="40.5" x14ac:dyDescent="0.25">
      <c r="A320" s="248">
        <f>Distribución_Reactivos!A320</f>
        <v>318</v>
      </c>
      <c r="B320" s="248" t="str">
        <f>Distribución_Reactivos!B320</f>
        <v>diamonio oxalato monohidrato, reactivo analítico</v>
      </c>
      <c r="C320" s="248" t="str">
        <f>Distribución_Reactivos!C320</f>
        <v>JTBaker, merck o similares</v>
      </c>
      <c r="D320" s="248" t="str">
        <f>Distribución_Reactivos!D320</f>
        <v>Frasco x 1 Kg</v>
      </c>
      <c r="E320" s="29">
        <v>1</v>
      </c>
      <c r="F320" s="212">
        <v>0</v>
      </c>
      <c r="G320" s="214">
        <v>0</v>
      </c>
      <c r="H320" s="221">
        <v>0</v>
      </c>
      <c r="I320" s="221">
        <v>0</v>
      </c>
      <c r="J320" s="221">
        <v>0</v>
      </c>
      <c r="K320" s="221">
        <v>0</v>
      </c>
      <c r="L320" s="247"/>
      <c r="M320" s="247"/>
      <c r="N320" s="218"/>
      <c r="O320" s="102"/>
      <c r="P320" s="102"/>
      <c r="Q320" s="44"/>
      <c r="R320" s="44"/>
      <c r="S320" s="5"/>
      <c r="T320" s="102"/>
      <c r="U320" s="102"/>
      <c r="V320" s="102"/>
      <c r="W320" s="11"/>
      <c r="X320" s="11"/>
      <c r="Y320" s="11"/>
      <c r="Z320" s="102"/>
      <c r="AA320" s="102"/>
      <c r="AB320" s="102"/>
      <c r="AC320" s="44"/>
      <c r="AD320" s="44"/>
      <c r="AE320" s="11"/>
      <c r="AF320" s="102"/>
      <c r="AG320" s="125"/>
      <c r="AH320" s="102"/>
      <c r="AI320" s="11"/>
      <c r="AJ320" s="11"/>
      <c r="AK320" s="11"/>
      <c r="AL320" s="102"/>
      <c r="AM320" s="102"/>
      <c r="AN320" s="102"/>
      <c r="AO320" s="248"/>
      <c r="AP320" s="11"/>
      <c r="AQ320" s="11"/>
      <c r="AR320" s="247">
        <v>627419</v>
      </c>
      <c r="AS320" s="124">
        <f>+AR320*0.19</f>
        <v>119209.61</v>
      </c>
      <c r="AT320" s="100">
        <f>+AR320+AS320</f>
        <v>746628.61</v>
      </c>
      <c r="AU320" s="52" t="s">
        <v>99</v>
      </c>
      <c r="AV320" s="42" t="s">
        <v>52</v>
      </c>
      <c r="AW320" s="11"/>
      <c r="AX320" s="247"/>
      <c r="AY320" s="247"/>
      <c r="AZ320" s="247"/>
      <c r="BA320" s="11"/>
      <c r="BB320" s="11"/>
      <c r="BC320" s="11"/>
      <c r="BD320" s="247"/>
      <c r="BE320" s="247"/>
      <c r="BF320" s="247"/>
      <c r="BG320" s="11"/>
      <c r="BH320" s="11"/>
      <c r="BI320" s="11"/>
      <c r="BJ320" s="247"/>
      <c r="BK320" s="247"/>
      <c r="BL320" s="247"/>
      <c r="BM320" s="11"/>
      <c r="BN320" s="11"/>
      <c r="BO320" s="11"/>
      <c r="BP320" s="252"/>
      <c r="BQ320" s="11"/>
      <c r="BR320" s="11"/>
      <c r="BS320" s="11"/>
      <c r="BT320" s="11"/>
      <c r="BU320" s="11"/>
      <c r="BV320" s="236">
        <v>548000</v>
      </c>
      <c r="BW320" s="125">
        <f t="shared" si="124"/>
        <v>104120</v>
      </c>
      <c r="BX320" s="97">
        <f t="shared" si="123"/>
        <v>652120</v>
      </c>
      <c r="BY320" s="237" t="s">
        <v>386</v>
      </c>
      <c r="BZ320" s="237" t="s">
        <v>117</v>
      </c>
      <c r="CA320" s="11"/>
      <c r="CB320" s="247"/>
      <c r="CC320" s="125"/>
      <c r="CD320" s="247"/>
      <c r="CE320" s="11"/>
      <c r="CF320" s="11"/>
      <c r="CG320" s="11"/>
      <c r="CH320" s="236">
        <v>586360</v>
      </c>
      <c r="CI320" s="238">
        <f t="shared" ref="CI320:CI326" si="125">+CH320*0.19</f>
        <v>111408.4</v>
      </c>
      <c r="CJ320" s="236">
        <f t="shared" ref="CJ320:CJ326" si="126">+CH320+CI320</f>
        <v>697768.4</v>
      </c>
      <c r="CK320" s="237" t="s">
        <v>386</v>
      </c>
      <c r="CL320" s="237" t="s">
        <v>117</v>
      </c>
      <c r="CM320" s="11"/>
      <c r="CN320" s="247"/>
      <c r="CO320" s="125"/>
      <c r="CP320" s="247"/>
      <c r="CQ320" s="11"/>
      <c r="CR320" s="11"/>
      <c r="CS320" s="11"/>
      <c r="CT320" s="247"/>
      <c r="CU320" s="125"/>
      <c r="CV320" s="247"/>
      <c r="CW320" s="11"/>
      <c r="CX320" s="11"/>
      <c r="CY320" s="11"/>
      <c r="CZ320" s="102"/>
      <c r="DA320" s="125"/>
      <c r="DB320" s="102"/>
      <c r="DC320" s="31"/>
      <c r="DD320" s="17"/>
      <c r="DE320" s="11"/>
      <c r="DF320" s="11"/>
      <c r="DG320" s="11"/>
      <c r="DH320" s="17"/>
      <c r="DI320" s="17"/>
      <c r="DJ320" s="32"/>
      <c r="DK320" s="11"/>
      <c r="DL320" s="11"/>
      <c r="DM320" s="11"/>
      <c r="DN320" s="11"/>
      <c r="DO320" s="11"/>
      <c r="DP320" s="11"/>
      <c r="DQ320" s="11"/>
      <c r="DR320" s="17"/>
      <c r="DS320" s="17"/>
      <c r="DT320" s="39"/>
      <c r="DU320" s="11"/>
      <c r="DV320" s="11"/>
      <c r="DW320" s="11"/>
      <c r="DX320" s="11"/>
      <c r="DY320" s="11"/>
      <c r="DZ320" s="11"/>
      <c r="EA320" s="11"/>
      <c r="EB320" s="11"/>
      <c r="EC320" s="11"/>
      <c r="ED320" s="11"/>
      <c r="EE320" s="11"/>
      <c r="EF320" s="11"/>
      <c r="EG320" s="11"/>
      <c r="EH320" s="11"/>
      <c r="EI320" s="11"/>
      <c r="EJ320" s="11"/>
      <c r="EK320" s="11"/>
      <c r="EL320" s="11"/>
      <c r="EM320" s="11"/>
      <c r="EN320" s="11"/>
      <c r="EO320" s="11"/>
      <c r="EP320" s="11"/>
      <c r="EQ320" s="11"/>
      <c r="ER320" s="11"/>
      <c r="ES320" s="11"/>
      <c r="ET320" s="11"/>
      <c r="EU320" s="11"/>
      <c r="EV320" s="11"/>
      <c r="EW320" s="11"/>
      <c r="EX320" s="11"/>
      <c r="EY320" s="11"/>
      <c r="EZ320" s="11"/>
      <c r="FA320" s="11"/>
      <c r="FB320" s="11"/>
      <c r="FC320" s="11"/>
      <c r="FD320" s="11"/>
      <c r="FE320" s="11"/>
      <c r="FF320" s="11"/>
      <c r="FG320" s="11"/>
      <c r="FH320" s="17">
        <f t="shared" si="119"/>
        <v>2096517.0099999998</v>
      </c>
      <c r="FI320" s="31">
        <f t="shared" si="120"/>
        <v>3</v>
      </c>
      <c r="FJ320" s="68">
        <f t="shared" si="121"/>
        <v>698839.0033333333</v>
      </c>
    </row>
    <row r="321" spans="1:166" ht="13.5" x14ac:dyDescent="0.25">
      <c r="A321" s="248">
        <f>Distribución_Reactivos!A321</f>
        <v>319</v>
      </c>
      <c r="B321" s="248" t="str">
        <f>Distribución_Reactivos!B321</f>
        <v>Oxgall referencia 212820</v>
      </c>
      <c r="C321" s="248" t="str">
        <f>Distribución_Reactivos!C321</f>
        <v>Difco</v>
      </c>
      <c r="D321" s="248" t="str">
        <f>Distribución_Reactivos!D321</f>
        <v>Frasco x 500 g</v>
      </c>
      <c r="E321" s="29">
        <v>1</v>
      </c>
      <c r="F321" s="212">
        <v>0</v>
      </c>
      <c r="G321" s="214">
        <v>0</v>
      </c>
      <c r="H321" s="221">
        <v>0</v>
      </c>
      <c r="I321" s="221">
        <v>0</v>
      </c>
      <c r="J321" s="221">
        <v>0</v>
      </c>
      <c r="K321" s="221">
        <v>0</v>
      </c>
      <c r="L321" s="247"/>
      <c r="M321" s="247"/>
      <c r="N321" s="217"/>
      <c r="O321" s="97"/>
      <c r="P321" s="97"/>
      <c r="Q321" s="115"/>
      <c r="R321" s="115"/>
      <c r="S321" s="53"/>
      <c r="T321" s="97"/>
      <c r="U321" s="97"/>
      <c r="V321" s="97"/>
      <c r="W321" s="115"/>
      <c r="X321" s="115"/>
      <c r="Y321" s="11"/>
      <c r="Z321" s="97"/>
      <c r="AA321" s="97"/>
      <c r="AB321" s="97"/>
      <c r="AC321" s="44"/>
      <c r="AD321" s="44"/>
      <c r="AE321" s="11"/>
      <c r="AF321" s="102"/>
      <c r="AG321" s="125"/>
      <c r="AH321" s="97"/>
      <c r="AI321" s="11"/>
      <c r="AJ321" s="11"/>
      <c r="AK321" s="17"/>
      <c r="AL321" s="97"/>
      <c r="AM321" s="97"/>
      <c r="AN321" s="101"/>
      <c r="AO321" s="248"/>
      <c r="AP321" s="17"/>
      <c r="AQ321" s="17"/>
      <c r="AR321" s="252"/>
      <c r="AS321" s="252"/>
      <c r="AT321" s="252"/>
      <c r="AU321" s="52"/>
      <c r="AV321" s="52"/>
      <c r="AW321" s="11"/>
      <c r="AX321" s="100"/>
      <c r="AY321" s="174"/>
      <c r="AZ321" s="124"/>
      <c r="BA321" s="169"/>
      <c r="BB321" s="116"/>
      <c r="BC321" s="116"/>
      <c r="BD321" s="247"/>
      <c r="BE321" s="124"/>
      <c r="BF321" s="124"/>
      <c r="BG321" s="116"/>
      <c r="BH321" s="116"/>
      <c r="BI321" s="116"/>
      <c r="BJ321" s="124"/>
      <c r="BK321" s="124"/>
      <c r="BL321" s="124"/>
      <c r="BM321" s="116"/>
      <c r="BN321" s="116"/>
      <c r="BO321" s="116"/>
      <c r="BP321" s="124"/>
      <c r="BQ321" s="116"/>
      <c r="BR321" s="116"/>
      <c r="BS321" s="116"/>
      <c r="BT321" s="116"/>
      <c r="BU321" s="116"/>
      <c r="BV321" s="236">
        <v>4360300</v>
      </c>
      <c r="BW321" s="125">
        <f t="shared" si="124"/>
        <v>828457</v>
      </c>
      <c r="BX321" s="97">
        <f t="shared" si="123"/>
        <v>5188757</v>
      </c>
      <c r="BY321" s="237" t="s">
        <v>319</v>
      </c>
      <c r="BZ321" s="237" t="s">
        <v>27</v>
      </c>
      <c r="CA321" s="116"/>
      <c r="CB321" s="247"/>
      <c r="CC321" s="125"/>
      <c r="CD321" s="247"/>
      <c r="CE321" s="116"/>
      <c r="CF321" s="116"/>
      <c r="CG321" s="34"/>
      <c r="CH321" s="241">
        <v>4403903</v>
      </c>
      <c r="CI321" s="238">
        <f t="shared" si="125"/>
        <v>836741.57000000007</v>
      </c>
      <c r="CJ321" s="236">
        <f t="shared" si="126"/>
        <v>5240644.57</v>
      </c>
      <c r="CK321" s="237" t="s">
        <v>319</v>
      </c>
      <c r="CL321" s="237" t="s">
        <v>27</v>
      </c>
      <c r="CM321" s="116"/>
      <c r="CN321" s="247"/>
      <c r="CO321" s="125"/>
      <c r="CP321" s="247"/>
      <c r="CQ321" s="116"/>
      <c r="CR321" s="116"/>
      <c r="CS321" s="116"/>
      <c r="CT321" s="247"/>
      <c r="CU321" s="125"/>
      <c r="CV321" s="247"/>
      <c r="CW321" s="116"/>
      <c r="CX321" s="116"/>
      <c r="CY321" s="116"/>
      <c r="CZ321" s="102"/>
      <c r="DA321" s="125"/>
      <c r="DB321" s="102"/>
      <c r="DC321" s="31"/>
      <c r="DD321" s="17"/>
      <c r="DE321" s="11"/>
      <c r="DF321" s="116"/>
      <c r="DG321" s="116"/>
      <c r="DH321" s="116"/>
      <c r="DI321" s="116"/>
      <c r="DJ321" s="116"/>
      <c r="DK321" s="116"/>
      <c r="DL321" s="116"/>
      <c r="DM321" s="116"/>
      <c r="DN321" s="116"/>
      <c r="DO321" s="116"/>
      <c r="DP321" s="116"/>
      <c r="DQ321" s="116"/>
      <c r="DR321" s="116"/>
      <c r="DS321" s="116"/>
      <c r="DT321" s="116"/>
      <c r="DU321" s="116"/>
      <c r="DV321" s="116"/>
      <c r="DW321" s="116"/>
      <c r="DX321" s="116"/>
      <c r="DY321" s="116"/>
      <c r="DZ321" s="116"/>
      <c r="EA321" s="116"/>
      <c r="EB321" s="116"/>
      <c r="EC321" s="116"/>
      <c r="ED321" s="116"/>
      <c r="EE321" s="116"/>
      <c r="EF321" s="116"/>
      <c r="EG321" s="116"/>
      <c r="EH321" s="116"/>
      <c r="EI321" s="116"/>
      <c r="EJ321" s="116"/>
      <c r="EK321" s="116"/>
      <c r="EL321" s="116"/>
      <c r="EM321" s="116"/>
      <c r="EN321" s="116"/>
      <c r="EO321" s="116"/>
      <c r="EP321" s="116"/>
      <c r="EQ321" s="116"/>
      <c r="ER321" s="116"/>
      <c r="ES321" s="116"/>
      <c r="ET321" s="11"/>
      <c r="EU321" s="11"/>
      <c r="EV321" s="11"/>
      <c r="EW321" s="11"/>
      <c r="EX321" s="11"/>
      <c r="EY321" s="11"/>
      <c r="EZ321" s="11"/>
      <c r="FA321" s="11"/>
      <c r="FB321" s="11"/>
      <c r="FC321" s="11"/>
      <c r="FD321" s="11"/>
      <c r="FE321" s="11"/>
      <c r="FF321" s="11"/>
      <c r="FG321" s="11"/>
      <c r="FH321" s="17">
        <f t="shared" si="119"/>
        <v>10429401.57</v>
      </c>
      <c r="FI321" s="31">
        <f t="shared" si="120"/>
        <v>2</v>
      </c>
      <c r="FJ321" s="68">
        <f t="shared" si="121"/>
        <v>5214700.7850000001</v>
      </c>
    </row>
    <row r="322" spans="1:166" ht="40.5" x14ac:dyDescent="0.25">
      <c r="A322" s="248">
        <f>Distribución_Reactivos!A322</f>
        <v>320</v>
      </c>
      <c r="B322" s="248" t="str">
        <f>Distribución_Reactivos!B322</f>
        <v>Parafina</v>
      </c>
      <c r="C322" s="248" t="str">
        <f>Distribución_Reactivos!C322</f>
        <v>Cualquier marca</v>
      </c>
      <c r="D322" s="248" t="str">
        <f>Distribución_Reactivos!D322</f>
        <v>Frasco x 1 Kg</v>
      </c>
      <c r="E322" s="29">
        <v>1</v>
      </c>
      <c r="F322" s="212">
        <v>172550</v>
      </c>
      <c r="G322" s="214">
        <v>166481</v>
      </c>
      <c r="H322" s="221">
        <v>135949.61624999999</v>
      </c>
      <c r="I322" s="221">
        <v>0</v>
      </c>
      <c r="J322" s="221">
        <v>204648.76250000001</v>
      </c>
      <c r="K322" s="221">
        <v>202300</v>
      </c>
      <c r="L322" s="247">
        <f>AVERAGE(F322,H322,J322)</f>
        <v>171049.45958333332</v>
      </c>
      <c r="M322" s="247">
        <f>AVERAGE(G322,K322)*E1</f>
        <v>189922.215</v>
      </c>
      <c r="N322" s="217"/>
      <c r="O322" s="101"/>
      <c r="P322" s="97"/>
      <c r="Q322" s="115"/>
      <c r="R322" s="115"/>
      <c r="S322" s="53"/>
      <c r="T322" s="97"/>
      <c r="U322" s="97"/>
      <c r="V322" s="97"/>
      <c r="W322" s="115"/>
      <c r="X322" s="115"/>
      <c r="Y322" s="11"/>
      <c r="Z322" s="97"/>
      <c r="AA322" s="97"/>
      <c r="AB322" s="97"/>
      <c r="AC322" s="44"/>
      <c r="AD322" s="44"/>
      <c r="AE322" s="11"/>
      <c r="AF322" s="102"/>
      <c r="AG322" s="125"/>
      <c r="AH322" s="97"/>
      <c r="AI322" s="11"/>
      <c r="AJ322" s="11"/>
      <c r="AK322" s="17"/>
      <c r="AL322" s="97">
        <v>280000</v>
      </c>
      <c r="AM322" s="97">
        <f>+AL322*0.19</f>
        <v>53200</v>
      </c>
      <c r="AN322" s="103">
        <f>+AL322+AM322</f>
        <v>333200</v>
      </c>
      <c r="AO322" s="248" t="s">
        <v>99</v>
      </c>
      <c r="AP322" s="17" t="s">
        <v>52</v>
      </c>
      <c r="AQ322" s="17"/>
      <c r="AR322" s="252">
        <f>216000*2</f>
        <v>432000</v>
      </c>
      <c r="AS322" s="124">
        <f>+AR322*0.19</f>
        <v>82080</v>
      </c>
      <c r="AT322" s="100">
        <f>+AR322+AS322</f>
        <v>514080</v>
      </c>
      <c r="AU322" s="52" t="s">
        <v>77</v>
      </c>
      <c r="AV322" s="34" t="s">
        <v>42</v>
      </c>
      <c r="AW322" s="11"/>
      <c r="AX322" s="100"/>
      <c r="AY322" s="100"/>
      <c r="AZ322" s="124"/>
      <c r="BA322" s="169"/>
      <c r="BB322" s="116"/>
      <c r="BC322" s="116"/>
      <c r="BD322" s="247"/>
      <c r="BE322" s="124"/>
      <c r="BF322" s="124"/>
      <c r="BG322" s="116"/>
      <c r="BH322" s="116"/>
      <c r="BI322" s="116"/>
      <c r="BJ322" s="124"/>
      <c r="BK322" s="124"/>
      <c r="BL322" s="124"/>
      <c r="BM322" s="116"/>
      <c r="BN322" s="116"/>
      <c r="BO322" s="116"/>
      <c r="BP322" s="124"/>
      <c r="BQ322" s="116"/>
      <c r="BR322" s="116"/>
      <c r="BS322" s="116"/>
      <c r="BT322" s="116"/>
      <c r="BU322" s="116"/>
      <c r="BV322" s="236">
        <v>208000</v>
      </c>
      <c r="BW322" s="125">
        <f>BV322*19%</f>
        <v>39520</v>
      </c>
      <c r="BX322" s="97">
        <f t="shared" si="123"/>
        <v>247520</v>
      </c>
      <c r="BY322" s="237" t="s">
        <v>329</v>
      </c>
      <c r="BZ322" s="237" t="s">
        <v>387</v>
      </c>
      <c r="CA322" s="116"/>
      <c r="CB322" s="247">
        <v>98500</v>
      </c>
      <c r="CC322" s="125">
        <f>+CB322*19%</f>
        <v>18715</v>
      </c>
      <c r="CD322" s="247">
        <f>+CB322+CC322</f>
        <v>117215</v>
      </c>
      <c r="CE322" s="116"/>
      <c r="CF322" s="116"/>
      <c r="CG322" s="34"/>
      <c r="CH322" s="236">
        <v>222560</v>
      </c>
      <c r="CI322" s="238">
        <f t="shared" si="125"/>
        <v>42286.400000000001</v>
      </c>
      <c r="CJ322" s="236">
        <f t="shared" si="126"/>
        <v>264846.40000000002</v>
      </c>
      <c r="CK322" s="237" t="s">
        <v>329</v>
      </c>
      <c r="CL322" s="237" t="s">
        <v>387</v>
      </c>
      <c r="CM322" s="116"/>
      <c r="CN322" s="247"/>
      <c r="CO322" s="125"/>
      <c r="CP322" s="247"/>
      <c r="CQ322" s="116"/>
      <c r="CR322" s="116"/>
      <c r="CS322" s="116"/>
      <c r="CT322" s="247"/>
      <c r="CU322" s="125"/>
      <c r="CV322" s="247"/>
      <c r="CW322" s="116"/>
      <c r="CX322" s="116"/>
      <c r="CY322" s="116"/>
      <c r="CZ322" s="102"/>
      <c r="DA322" s="125"/>
      <c r="DB322" s="102"/>
      <c r="DC322" s="31"/>
      <c r="DD322" s="17"/>
      <c r="DE322" s="11"/>
      <c r="DF322" s="116"/>
      <c r="DG322" s="116"/>
      <c r="DH322" s="116"/>
      <c r="DI322" s="116"/>
      <c r="DJ322" s="116"/>
      <c r="DK322" s="116"/>
      <c r="DL322" s="116"/>
      <c r="DM322" s="116"/>
      <c r="DN322" s="116"/>
      <c r="DO322" s="116"/>
      <c r="DP322" s="116"/>
      <c r="DQ322" s="116"/>
      <c r="DR322" s="116"/>
      <c r="DS322" s="116"/>
      <c r="DT322" s="116"/>
      <c r="DU322" s="116"/>
      <c r="DV322" s="116"/>
      <c r="DW322" s="116"/>
      <c r="DX322" s="116"/>
      <c r="DY322" s="116"/>
      <c r="DZ322" s="116"/>
      <c r="EA322" s="116"/>
      <c r="EB322" s="116"/>
      <c r="EC322" s="116"/>
      <c r="ED322" s="116"/>
      <c r="EE322" s="116"/>
      <c r="EF322" s="116"/>
      <c r="EG322" s="116"/>
      <c r="EH322" s="116"/>
      <c r="EI322" s="116"/>
      <c r="EJ322" s="116"/>
      <c r="EK322" s="116"/>
      <c r="EL322" s="116"/>
      <c r="EM322" s="116"/>
      <c r="EN322" s="116"/>
      <c r="EO322" s="116"/>
      <c r="EP322" s="116"/>
      <c r="EQ322" s="116"/>
      <c r="ER322" s="116"/>
      <c r="ES322" s="116"/>
      <c r="ET322" s="11"/>
      <c r="EU322" s="11"/>
      <c r="EV322" s="11"/>
      <c r="EW322" s="11"/>
      <c r="EX322" s="11"/>
      <c r="EY322" s="11"/>
      <c r="EZ322" s="11"/>
      <c r="FA322" s="11"/>
      <c r="FB322" s="11"/>
      <c r="FC322" s="11"/>
      <c r="FD322" s="11"/>
      <c r="FE322" s="11"/>
      <c r="FF322" s="11"/>
      <c r="FG322" s="11"/>
      <c r="FH322" s="17">
        <f t="shared" si="119"/>
        <v>1666783.6149999998</v>
      </c>
      <c r="FI322" s="31">
        <f t="shared" si="120"/>
        <v>6</v>
      </c>
      <c r="FJ322" s="68">
        <f t="shared" si="121"/>
        <v>277797.26916666661</v>
      </c>
    </row>
    <row r="323" spans="1:166" ht="27" x14ac:dyDescent="0.25">
      <c r="A323" s="248">
        <f>Distribución_Reactivos!A323</f>
        <v>321</v>
      </c>
      <c r="B323" s="248" t="str">
        <f>Distribución_Reactivos!B323</f>
        <v>PBS pH 7,4 1x líquido</v>
      </c>
      <c r="C323" s="248" t="str">
        <f>Distribución_Reactivos!C323</f>
        <v>Gibco, Sigma-Aldrich</v>
      </c>
      <c r="D323" s="248" t="str">
        <f>Distribución_Reactivos!D323</f>
        <v>Caja x 10 (500 ml)</v>
      </c>
      <c r="E323" s="29">
        <v>1</v>
      </c>
      <c r="F323" s="212">
        <v>387821</v>
      </c>
      <c r="G323" s="214">
        <v>376159</v>
      </c>
      <c r="H323" s="221">
        <v>1693416.6301500001</v>
      </c>
      <c r="I323" s="221">
        <v>0</v>
      </c>
      <c r="J323" s="221">
        <v>776192.66666666663</v>
      </c>
      <c r="K323" s="221">
        <v>0</v>
      </c>
      <c r="L323" s="247">
        <f>AVERAGE(F323,H323,J323)</f>
        <v>952476.7656055555</v>
      </c>
      <c r="M323" s="247">
        <f>G323*E1</f>
        <v>387443.77</v>
      </c>
      <c r="N323" s="217"/>
      <c r="O323" s="97"/>
      <c r="P323" s="97"/>
      <c r="Q323" s="115"/>
      <c r="R323" s="115"/>
      <c r="S323" s="53"/>
      <c r="T323" s="97">
        <v>2059000</v>
      </c>
      <c r="U323" s="97">
        <f>+T323*0.19</f>
        <v>391210</v>
      </c>
      <c r="V323" s="97">
        <f>+T323+U323</f>
        <v>2450210</v>
      </c>
      <c r="W323" s="115" t="s">
        <v>388</v>
      </c>
      <c r="X323" s="115" t="s">
        <v>365</v>
      </c>
      <c r="Y323" s="11"/>
      <c r="Z323" s="97"/>
      <c r="AA323" s="97"/>
      <c r="AB323" s="97"/>
      <c r="AC323" s="44"/>
      <c r="AD323" s="44"/>
      <c r="AE323" s="11"/>
      <c r="AF323" s="102"/>
      <c r="AG323" s="125"/>
      <c r="AH323" s="97"/>
      <c r="AI323" s="11"/>
      <c r="AJ323" s="11"/>
      <c r="AK323" s="17"/>
      <c r="AL323" s="97"/>
      <c r="AM323" s="97"/>
      <c r="AN323" s="101"/>
      <c r="AO323" s="248"/>
      <c r="AP323" s="17"/>
      <c r="AQ323" s="17"/>
      <c r="AR323" s="252">
        <f>259200*5</f>
        <v>1296000</v>
      </c>
      <c r="AS323" s="124">
        <f>+AR323*0.19</f>
        <v>246240</v>
      </c>
      <c r="AT323" s="100">
        <f>+AR323+AS323</f>
        <v>1542240</v>
      </c>
      <c r="AU323" s="52" t="s">
        <v>56</v>
      </c>
      <c r="AV323" s="34" t="s">
        <v>42</v>
      </c>
      <c r="AW323" s="11"/>
      <c r="AX323" s="100"/>
      <c r="AY323" s="100"/>
      <c r="AZ323" s="124"/>
      <c r="BA323" s="169"/>
      <c r="BB323" s="116"/>
      <c r="BC323" s="116"/>
      <c r="BD323" s="247"/>
      <c r="BE323" s="124"/>
      <c r="BF323" s="124"/>
      <c r="BG323" s="116"/>
      <c r="BH323" s="116"/>
      <c r="BI323" s="116"/>
      <c r="BJ323" s="124"/>
      <c r="BK323" s="124"/>
      <c r="BL323" s="124"/>
      <c r="BM323" s="116"/>
      <c r="BN323" s="116"/>
      <c r="BO323" s="116"/>
      <c r="BP323" s="124"/>
      <c r="BQ323" s="116"/>
      <c r="BR323" s="116"/>
      <c r="BS323" s="116"/>
      <c r="BT323" s="116"/>
      <c r="BU323" s="116"/>
      <c r="BV323" s="236">
        <v>365600</v>
      </c>
      <c r="BW323" s="125">
        <f>BV323*19%</f>
        <v>69464</v>
      </c>
      <c r="BX323" s="97">
        <f t="shared" si="123"/>
        <v>435064</v>
      </c>
      <c r="BY323" s="237" t="s">
        <v>389</v>
      </c>
      <c r="BZ323" s="237" t="s">
        <v>252</v>
      </c>
      <c r="CA323" s="116"/>
      <c r="CB323" s="247"/>
      <c r="CC323" s="125"/>
      <c r="CD323" s="247"/>
      <c r="CE323" s="116"/>
      <c r="CF323" s="116"/>
      <c r="CG323" s="34"/>
      <c r="CH323" s="236">
        <v>376568</v>
      </c>
      <c r="CI323" s="238">
        <f t="shared" si="125"/>
        <v>71547.92</v>
      </c>
      <c r="CJ323" s="236">
        <f t="shared" si="126"/>
        <v>448115.92</v>
      </c>
      <c r="CK323" s="237" t="s">
        <v>389</v>
      </c>
      <c r="CL323" s="237" t="s">
        <v>252</v>
      </c>
      <c r="CM323" s="116"/>
      <c r="CN323" s="247"/>
      <c r="CO323" s="125"/>
      <c r="CP323" s="247"/>
      <c r="CQ323" s="116"/>
      <c r="CR323" s="116"/>
      <c r="CS323" s="116"/>
      <c r="CT323" s="247"/>
      <c r="CU323" s="125"/>
      <c r="CV323" s="247"/>
      <c r="CW323" s="116"/>
      <c r="CX323" s="116"/>
      <c r="CY323" s="116"/>
      <c r="CZ323" s="102"/>
      <c r="DA323" s="125"/>
      <c r="DB323" s="102"/>
      <c r="DC323" s="31"/>
      <c r="DD323" s="17"/>
      <c r="DE323" s="11"/>
      <c r="DF323" s="116"/>
      <c r="DG323" s="116"/>
      <c r="DH323" s="116"/>
      <c r="DI323" s="116"/>
      <c r="DJ323" s="116"/>
      <c r="DK323" s="116"/>
      <c r="DL323" s="116"/>
      <c r="DM323" s="116"/>
      <c r="DN323" s="116"/>
      <c r="DO323" s="116"/>
      <c r="DP323" s="116"/>
      <c r="DQ323" s="116"/>
      <c r="DR323" s="116"/>
      <c r="DS323" s="116"/>
      <c r="DT323" s="116"/>
      <c r="DU323" s="116"/>
      <c r="DV323" s="116"/>
      <c r="DW323" s="116"/>
      <c r="DX323" s="116"/>
      <c r="DY323" s="116"/>
      <c r="DZ323" s="116"/>
      <c r="EA323" s="116"/>
      <c r="EB323" s="116"/>
      <c r="EC323" s="116"/>
      <c r="ED323" s="116"/>
      <c r="EE323" s="116"/>
      <c r="EF323" s="116"/>
      <c r="EG323" s="116"/>
      <c r="EH323" s="116"/>
      <c r="EI323" s="116"/>
      <c r="EJ323" s="116"/>
      <c r="EK323" s="116"/>
      <c r="EL323" s="116"/>
      <c r="EM323" s="116"/>
      <c r="EN323" s="116"/>
      <c r="EO323" s="116"/>
      <c r="EP323" s="116"/>
      <c r="EQ323" s="116"/>
      <c r="ER323" s="116"/>
      <c r="ES323" s="116"/>
      <c r="ET323" s="11"/>
      <c r="EU323" s="11"/>
      <c r="EV323" s="11"/>
      <c r="EW323" s="11"/>
      <c r="EX323" s="11"/>
      <c r="EY323" s="11"/>
      <c r="EZ323" s="11"/>
      <c r="FA323" s="11"/>
      <c r="FB323" s="11"/>
      <c r="FC323" s="11"/>
      <c r="FD323" s="11"/>
      <c r="FE323" s="11"/>
      <c r="FF323" s="11"/>
      <c r="FG323" s="11"/>
      <c r="FH323" s="17">
        <f t="shared" si="119"/>
        <v>5263073.6899999995</v>
      </c>
      <c r="FI323" s="31">
        <f t="shared" si="120"/>
        <v>5</v>
      </c>
      <c r="FJ323" s="68">
        <f t="shared" si="121"/>
        <v>1052614.7379999999</v>
      </c>
    </row>
    <row r="324" spans="1:166" ht="40.5" x14ac:dyDescent="0.25">
      <c r="A324" s="248">
        <f>Distribución_Reactivos!A324</f>
        <v>322</v>
      </c>
      <c r="B324" s="248" t="str">
        <f>Distribución_Reactivos!B324</f>
        <v>PCB 103</v>
      </c>
      <c r="C324" s="248" t="str">
        <f>Distribución_Reactivos!C324</f>
        <v>Dr. Ehrenstorfer o equivalente</v>
      </c>
      <c r="D324" s="248" t="str">
        <f>Distribución_Reactivos!D324</f>
        <v>Frasco x 10 mg</v>
      </c>
      <c r="E324" s="29">
        <v>1</v>
      </c>
      <c r="F324" s="212">
        <v>0</v>
      </c>
      <c r="G324" s="214">
        <v>0</v>
      </c>
      <c r="H324" s="221">
        <v>0</v>
      </c>
      <c r="I324" s="221">
        <v>0</v>
      </c>
      <c r="J324" s="221">
        <v>1332800</v>
      </c>
      <c r="K324" s="221">
        <v>0</v>
      </c>
      <c r="L324" s="247">
        <f>J324</f>
        <v>1332800</v>
      </c>
      <c r="M324" s="247"/>
      <c r="N324" s="217"/>
      <c r="O324" s="97"/>
      <c r="P324" s="97"/>
      <c r="Q324" s="115"/>
      <c r="R324" s="115"/>
      <c r="S324" s="53"/>
      <c r="T324" s="97"/>
      <c r="U324" s="97"/>
      <c r="V324" s="97"/>
      <c r="W324" s="115"/>
      <c r="X324" s="115"/>
      <c r="Y324" s="11"/>
      <c r="Z324" s="97"/>
      <c r="AA324" s="97"/>
      <c r="AB324" s="97"/>
      <c r="AC324" s="44"/>
      <c r="AD324" s="44"/>
      <c r="AE324" s="11"/>
      <c r="AF324" s="102"/>
      <c r="AG324" s="125"/>
      <c r="AH324" s="97"/>
      <c r="AI324" s="11"/>
      <c r="AJ324" s="11"/>
      <c r="AK324" s="17"/>
      <c r="AL324" s="97"/>
      <c r="AM324" s="97"/>
      <c r="AN324" s="127"/>
      <c r="AO324" s="248"/>
      <c r="AP324" s="17"/>
      <c r="AQ324" s="17"/>
      <c r="AR324" s="252"/>
      <c r="AS324" s="252"/>
      <c r="AT324" s="252"/>
      <c r="AU324" s="52"/>
      <c r="AV324" s="52"/>
      <c r="AW324" s="11"/>
      <c r="AX324" s="100"/>
      <c r="AY324" s="100"/>
      <c r="AZ324" s="124"/>
      <c r="BA324" s="169"/>
      <c r="BB324" s="116"/>
      <c r="BC324" s="116"/>
      <c r="BD324" s="247"/>
      <c r="BE324" s="124"/>
      <c r="BF324" s="124"/>
      <c r="BG324" s="116"/>
      <c r="BH324" s="116"/>
      <c r="BI324" s="116"/>
      <c r="BJ324" s="124"/>
      <c r="BK324" s="124"/>
      <c r="BL324" s="124"/>
      <c r="BM324" s="116"/>
      <c r="BN324" s="116"/>
      <c r="BO324" s="116"/>
      <c r="BP324" s="124"/>
      <c r="BQ324" s="116"/>
      <c r="BR324" s="116"/>
      <c r="BS324" s="116"/>
      <c r="BT324" s="116"/>
      <c r="BU324" s="116"/>
      <c r="BV324" s="236">
        <v>1973400</v>
      </c>
      <c r="BW324" s="125">
        <f>BV324*19%</f>
        <v>374946</v>
      </c>
      <c r="BX324" s="97">
        <f t="shared" si="123"/>
        <v>2348346</v>
      </c>
      <c r="BY324" s="237" t="s">
        <v>298</v>
      </c>
      <c r="BZ324" s="237" t="s">
        <v>390</v>
      </c>
      <c r="CA324" s="116"/>
      <c r="CB324" s="247"/>
      <c r="CC324" s="125"/>
      <c r="CD324" s="247"/>
      <c r="CE324" s="116"/>
      <c r="CF324" s="116"/>
      <c r="CG324" s="34"/>
      <c r="CH324" s="241">
        <v>1993134</v>
      </c>
      <c r="CI324" s="238">
        <f t="shared" si="125"/>
        <v>378695.46</v>
      </c>
      <c r="CJ324" s="236">
        <f t="shared" si="126"/>
        <v>2371829.46</v>
      </c>
      <c r="CK324" s="237" t="s">
        <v>298</v>
      </c>
      <c r="CL324" s="237" t="s">
        <v>390</v>
      </c>
      <c r="CM324" s="116"/>
      <c r="CN324" s="247">
        <v>142434</v>
      </c>
      <c r="CO324" s="125">
        <f>+CN324*0.19</f>
        <v>27062.46</v>
      </c>
      <c r="CP324" s="247">
        <f>+CO324+CN324</f>
        <v>169496.46</v>
      </c>
      <c r="CQ324" s="116"/>
      <c r="CR324" s="116"/>
      <c r="CS324" s="116"/>
      <c r="CT324" s="247"/>
      <c r="CU324" s="125"/>
      <c r="CV324" s="247"/>
      <c r="CW324" s="116"/>
      <c r="CX324" s="116"/>
      <c r="CY324" s="116"/>
      <c r="CZ324" s="102"/>
      <c r="DA324" s="125"/>
      <c r="DB324" s="102"/>
      <c r="DC324" s="31"/>
      <c r="DD324" s="17"/>
      <c r="DE324" s="11"/>
      <c r="DF324" s="116"/>
      <c r="DG324" s="116"/>
      <c r="DH324" s="116"/>
      <c r="DI324" s="116"/>
      <c r="DJ324" s="116"/>
      <c r="DK324" s="116"/>
      <c r="DL324" s="116"/>
      <c r="DM324" s="116"/>
      <c r="DN324" s="116"/>
      <c r="DO324" s="116"/>
      <c r="DP324" s="116"/>
      <c r="DQ324" s="116"/>
      <c r="DR324" s="116"/>
      <c r="DS324" s="116"/>
      <c r="DT324" s="116"/>
      <c r="DU324" s="116"/>
      <c r="DV324" s="116"/>
      <c r="DW324" s="116"/>
      <c r="DX324" s="116"/>
      <c r="DY324" s="116"/>
      <c r="DZ324" s="116"/>
      <c r="EA324" s="116"/>
      <c r="EB324" s="116"/>
      <c r="EC324" s="116"/>
      <c r="ED324" s="116"/>
      <c r="EE324" s="116"/>
      <c r="EF324" s="116"/>
      <c r="EG324" s="116"/>
      <c r="EH324" s="116"/>
      <c r="EI324" s="116"/>
      <c r="EJ324" s="116"/>
      <c r="EK324" s="116"/>
      <c r="EL324" s="116"/>
      <c r="EM324" s="116"/>
      <c r="EN324" s="116"/>
      <c r="EO324" s="116"/>
      <c r="EP324" s="116"/>
      <c r="EQ324" s="116"/>
      <c r="ER324" s="116"/>
      <c r="ES324" s="116"/>
      <c r="ET324" s="11"/>
      <c r="EU324" s="11"/>
      <c r="EV324" s="11"/>
      <c r="EW324" s="11"/>
      <c r="EX324" s="11"/>
      <c r="EY324" s="11"/>
      <c r="EZ324" s="11"/>
      <c r="FA324" s="11"/>
      <c r="FB324" s="11"/>
      <c r="FC324" s="11"/>
      <c r="FD324" s="11"/>
      <c r="FE324" s="11"/>
      <c r="FF324" s="11"/>
      <c r="FG324" s="11"/>
      <c r="FH324" s="17">
        <f t="shared" si="119"/>
        <v>4889671.92</v>
      </c>
      <c r="FI324" s="31">
        <f t="shared" si="120"/>
        <v>3</v>
      </c>
      <c r="FJ324" s="68">
        <f t="shared" si="121"/>
        <v>1629890.64</v>
      </c>
    </row>
    <row r="325" spans="1:166" ht="40.5" x14ac:dyDescent="0.25">
      <c r="A325" s="248">
        <f>Distribución_Reactivos!A325</f>
        <v>323</v>
      </c>
      <c r="B325" s="248" t="str">
        <f>Distribución_Reactivos!B325</f>
        <v>PCB 52</v>
      </c>
      <c r="C325" s="248" t="str">
        <f>Distribución_Reactivos!C325</f>
        <v>Dr. Ehrenstorfer o equivalente</v>
      </c>
      <c r="D325" s="248" t="str">
        <f>Distribución_Reactivos!D325</f>
        <v>Frasco x 10 mg</v>
      </c>
      <c r="E325" s="29">
        <v>1</v>
      </c>
      <c r="F325" s="212">
        <v>0</v>
      </c>
      <c r="G325" s="214">
        <v>0</v>
      </c>
      <c r="H325" s="221">
        <v>0</v>
      </c>
      <c r="I325" s="221">
        <v>0</v>
      </c>
      <c r="J325" s="221">
        <v>1594600</v>
      </c>
      <c r="K325" s="221">
        <v>0</v>
      </c>
      <c r="L325" s="247">
        <f>J325</f>
        <v>1594600</v>
      </c>
      <c r="M325" s="247"/>
      <c r="N325" s="217"/>
      <c r="O325" s="97"/>
      <c r="P325" s="97"/>
      <c r="Q325" s="115"/>
      <c r="R325" s="115"/>
      <c r="S325" s="53"/>
      <c r="T325" s="97"/>
      <c r="U325" s="97"/>
      <c r="V325" s="97"/>
      <c r="W325" s="115"/>
      <c r="X325" s="115"/>
      <c r="Y325" s="11"/>
      <c r="Z325" s="97"/>
      <c r="AA325" s="97"/>
      <c r="AB325" s="97"/>
      <c r="AC325" s="44"/>
      <c r="AD325" s="44"/>
      <c r="AE325" s="11"/>
      <c r="AF325" s="102"/>
      <c r="AG325" s="125"/>
      <c r="AH325" s="97"/>
      <c r="AI325" s="11"/>
      <c r="AJ325" s="11"/>
      <c r="AK325" s="17"/>
      <c r="AL325" s="97"/>
      <c r="AM325" s="97"/>
      <c r="AN325" s="127"/>
      <c r="AO325" s="248"/>
      <c r="AP325" s="17"/>
      <c r="AQ325" s="17"/>
      <c r="AR325" s="252"/>
      <c r="AS325" s="252"/>
      <c r="AT325" s="252"/>
      <c r="AU325" s="52"/>
      <c r="AV325" s="52"/>
      <c r="AW325" s="11"/>
      <c r="AX325" s="100"/>
      <c r="AY325" s="100"/>
      <c r="AZ325" s="124"/>
      <c r="BA325" s="169"/>
      <c r="BB325" s="116"/>
      <c r="BC325" s="116"/>
      <c r="BD325" s="247"/>
      <c r="BE325" s="124"/>
      <c r="BF325" s="124"/>
      <c r="BG325" s="116"/>
      <c r="BH325" s="116"/>
      <c r="BI325" s="116"/>
      <c r="BJ325" s="124"/>
      <c r="BK325" s="124"/>
      <c r="BL325" s="124"/>
      <c r="BM325" s="116"/>
      <c r="BN325" s="116"/>
      <c r="BO325" s="116"/>
      <c r="BP325" s="124"/>
      <c r="BQ325" s="116"/>
      <c r="BR325" s="116"/>
      <c r="BS325" s="116"/>
      <c r="BT325" s="116"/>
      <c r="BU325" s="116"/>
      <c r="BV325" s="236">
        <v>1297200</v>
      </c>
      <c r="BW325" s="125">
        <f>BV325*19%</f>
        <v>246468</v>
      </c>
      <c r="BX325" s="97">
        <f t="shared" si="123"/>
        <v>1543668</v>
      </c>
      <c r="BY325" s="237" t="s">
        <v>298</v>
      </c>
      <c r="BZ325" s="237" t="s">
        <v>390</v>
      </c>
      <c r="CA325" s="116"/>
      <c r="CB325" s="247"/>
      <c r="CC325" s="125"/>
      <c r="CD325" s="247"/>
      <c r="CE325" s="116"/>
      <c r="CF325" s="116"/>
      <c r="CG325" s="34"/>
      <c r="CH325" s="241">
        <v>1336116</v>
      </c>
      <c r="CI325" s="238">
        <f t="shared" si="125"/>
        <v>253862.04</v>
      </c>
      <c r="CJ325" s="236">
        <f t="shared" si="126"/>
        <v>1589978.04</v>
      </c>
      <c r="CK325" s="237" t="s">
        <v>298</v>
      </c>
      <c r="CL325" s="237" t="s">
        <v>390</v>
      </c>
      <c r="CM325" s="116"/>
      <c r="CN325" s="247">
        <v>609276</v>
      </c>
      <c r="CO325" s="125">
        <f>+CN325*0.19</f>
        <v>115762.44</v>
      </c>
      <c r="CP325" s="247">
        <f>+CO325+CN325</f>
        <v>725038.44</v>
      </c>
      <c r="CQ325" s="116"/>
      <c r="CR325" s="116"/>
      <c r="CS325" s="116"/>
      <c r="CT325" s="247"/>
      <c r="CU325" s="125"/>
      <c r="CV325" s="247"/>
      <c r="CW325" s="116"/>
      <c r="CX325" s="116"/>
      <c r="CY325" s="116"/>
      <c r="CZ325" s="102"/>
      <c r="DA325" s="125"/>
      <c r="DB325" s="102"/>
      <c r="DC325" s="31"/>
      <c r="DD325" s="17"/>
      <c r="DE325" s="11"/>
      <c r="DF325" s="116"/>
      <c r="DG325" s="116"/>
      <c r="DH325" s="116"/>
      <c r="DI325" s="116"/>
      <c r="DJ325" s="116"/>
      <c r="DK325" s="116"/>
      <c r="DL325" s="116"/>
      <c r="DM325" s="116"/>
      <c r="DN325" s="116"/>
      <c r="DO325" s="116"/>
      <c r="DP325" s="116"/>
      <c r="DQ325" s="116"/>
      <c r="DR325" s="116"/>
      <c r="DS325" s="116"/>
      <c r="DT325" s="116"/>
      <c r="DU325" s="116"/>
      <c r="DV325" s="116"/>
      <c r="DW325" s="116"/>
      <c r="DX325" s="116"/>
      <c r="DY325" s="116"/>
      <c r="DZ325" s="116"/>
      <c r="EA325" s="116"/>
      <c r="EB325" s="116"/>
      <c r="EC325" s="116"/>
      <c r="ED325" s="116"/>
      <c r="EE325" s="116"/>
      <c r="EF325" s="116"/>
      <c r="EG325" s="116"/>
      <c r="EH325" s="116"/>
      <c r="EI325" s="116"/>
      <c r="EJ325" s="116"/>
      <c r="EK325" s="116"/>
      <c r="EL325" s="116"/>
      <c r="EM325" s="116"/>
      <c r="EN325" s="116"/>
      <c r="EO325" s="116"/>
      <c r="EP325" s="116"/>
      <c r="EQ325" s="116"/>
      <c r="ER325" s="116"/>
      <c r="ES325" s="116"/>
      <c r="ET325" s="11"/>
      <c r="EU325" s="11"/>
      <c r="EV325" s="11"/>
      <c r="EW325" s="11"/>
      <c r="EX325" s="11"/>
      <c r="EY325" s="11"/>
      <c r="EZ325" s="11"/>
      <c r="FA325" s="11"/>
      <c r="FB325" s="11"/>
      <c r="FC325" s="11"/>
      <c r="FD325" s="11"/>
      <c r="FE325" s="11"/>
      <c r="FF325" s="11"/>
      <c r="FG325" s="11"/>
      <c r="FH325" s="17">
        <f t="shared" si="119"/>
        <v>3858684.48</v>
      </c>
      <c r="FI325" s="31">
        <f t="shared" si="120"/>
        <v>3</v>
      </c>
      <c r="FJ325" s="68">
        <f t="shared" si="121"/>
        <v>1286228.1599999999</v>
      </c>
    </row>
    <row r="326" spans="1:166" ht="27" x14ac:dyDescent="0.25">
      <c r="A326" s="248">
        <f>Distribución_Reactivos!A326</f>
        <v>324</v>
      </c>
      <c r="B326" s="248" t="str">
        <f>Distribución_Reactivos!B326</f>
        <v>PCNB AL 94 %</v>
      </c>
      <c r="C326" s="248" t="str">
        <f>Distribución_Reactivos!C326</f>
        <v>Sigma Aldrich</v>
      </c>
      <c r="D326" s="248" t="str">
        <f>Distribución_Reactivos!D326</f>
        <v>Frasco x 100 g</v>
      </c>
      <c r="E326" s="29">
        <v>1</v>
      </c>
      <c r="F326" s="212">
        <v>276817.8</v>
      </c>
      <c r="G326" s="214">
        <v>272629</v>
      </c>
      <c r="H326" s="221">
        <v>312969.66263500002</v>
      </c>
      <c r="I326" s="221">
        <v>0</v>
      </c>
      <c r="J326" s="221">
        <v>315945</v>
      </c>
      <c r="K326" s="221">
        <v>312970</v>
      </c>
      <c r="L326" s="247">
        <f>AVERAGE(F326,H326,J326)</f>
        <v>301910.82087833335</v>
      </c>
      <c r="M326" s="247">
        <f>AVERAGE(G326,K326)*E1</f>
        <v>301583.48499999999</v>
      </c>
      <c r="N326" s="217"/>
      <c r="O326" s="97"/>
      <c r="P326" s="97"/>
      <c r="Q326" s="115"/>
      <c r="R326" s="115"/>
      <c r="S326" s="53"/>
      <c r="T326" s="97"/>
      <c r="U326" s="97"/>
      <c r="V326" s="97"/>
      <c r="W326" s="115"/>
      <c r="X326" s="115"/>
      <c r="Y326" s="11"/>
      <c r="Z326" s="97"/>
      <c r="AA326" s="97"/>
      <c r="AB326" s="97"/>
      <c r="AC326" s="44"/>
      <c r="AD326" s="44"/>
      <c r="AE326" s="11"/>
      <c r="AF326" s="102"/>
      <c r="AG326" s="125"/>
      <c r="AH326" s="97"/>
      <c r="AI326" s="11"/>
      <c r="AJ326" s="11"/>
      <c r="AK326" s="17"/>
      <c r="AL326" s="97"/>
      <c r="AM326" s="97"/>
      <c r="AN326" s="101"/>
      <c r="AO326" s="248"/>
      <c r="AP326" s="17"/>
      <c r="AQ326" s="17"/>
      <c r="AR326" s="252"/>
      <c r="AS326" s="252"/>
      <c r="AT326" s="252"/>
      <c r="AU326" s="52"/>
      <c r="AV326" s="52"/>
      <c r="AW326" s="11"/>
      <c r="AX326" s="100"/>
      <c r="AY326" s="174"/>
      <c r="AZ326" s="124"/>
      <c r="BA326" s="169"/>
      <c r="BB326" s="116"/>
      <c r="BC326" s="116"/>
      <c r="BD326" s="247"/>
      <c r="BE326" s="247"/>
      <c r="BF326" s="247"/>
      <c r="BG326" s="247"/>
      <c r="BH326" s="116"/>
      <c r="BI326" s="116"/>
      <c r="BJ326" s="124"/>
      <c r="BK326" s="124"/>
      <c r="BL326" s="124"/>
      <c r="BM326" s="116"/>
      <c r="BN326" s="116"/>
      <c r="BO326" s="116"/>
      <c r="BP326" s="124"/>
      <c r="BQ326" s="116"/>
      <c r="BR326" s="116"/>
      <c r="BS326" s="116"/>
      <c r="BT326" s="116"/>
      <c r="BU326" s="116"/>
      <c r="BV326" s="236">
        <v>320300</v>
      </c>
      <c r="BW326" s="125">
        <f>BV326*19%</f>
        <v>60857</v>
      </c>
      <c r="BX326" s="97">
        <f t="shared" si="123"/>
        <v>381157</v>
      </c>
      <c r="BY326" s="237" t="s">
        <v>317</v>
      </c>
      <c r="BZ326" s="237" t="s">
        <v>252</v>
      </c>
      <c r="CA326" s="116"/>
      <c r="CB326" s="247"/>
      <c r="CC326" s="125"/>
      <c r="CD326" s="247"/>
      <c r="CE326" s="116"/>
      <c r="CF326" s="116"/>
      <c r="CG326" s="34"/>
      <c r="CH326" s="236">
        <v>323503</v>
      </c>
      <c r="CI326" s="238">
        <f t="shared" si="125"/>
        <v>61465.57</v>
      </c>
      <c r="CJ326" s="236">
        <f t="shared" si="126"/>
        <v>384968.57</v>
      </c>
      <c r="CK326" s="237" t="s">
        <v>317</v>
      </c>
      <c r="CL326" s="237" t="s">
        <v>252</v>
      </c>
      <c r="CM326" s="116"/>
      <c r="CN326" s="247"/>
      <c r="CO326" s="125"/>
      <c r="CP326" s="247"/>
      <c r="CQ326" s="116"/>
      <c r="CR326" s="116"/>
      <c r="CS326" s="116"/>
      <c r="CT326" s="247"/>
      <c r="CU326" s="125"/>
      <c r="CV326" s="247"/>
      <c r="CW326" s="116"/>
      <c r="CX326" s="116"/>
      <c r="CY326" s="116"/>
      <c r="CZ326" s="102">
        <v>256065</v>
      </c>
      <c r="DA326" s="125">
        <f>+CZ326*0.19</f>
        <v>48652.35</v>
      </c>
      <c r="DB326" s="102">
        <f>+CZ326+DA326</f>
        <v>304717.34999999998</v>
      </c>
      <c r="DC326" s="31" t="s">
        <v>391</v>
      </c>
      <c r="DD326" s="17" t="s">
        <v>392</v>
      </c>
      <c r="DE326" s="11" t="s">
        <v>65</v>
      </c>
      <c r="DF326" s="116"/>
      <c r="DG326" s="116"/>
      <c r="DH326" s="116"/>
      <c r="DI326" s="116"/>
      <c r="DJ326" s="116"/>
      <c r="DK326" s="116"/>
      <c r="DL326" s="116"/>
      <c r="DM326" s="116"/>
      <c r="DN326" s="116"/>
      <c r="DO326" s="116"/>
      <c r="DP326" s="116"/>
      <c r="DQ326" s="116"/>
      <c r="DR326" s="116"/>
      <c r="DS326" s="116"/>
      <c r="DT326" s="116"/>
      <c r="DU326" s="116"/>
      <c r="DV326" s="116"/>
      <c r="DW326" s="116"/>
      <c r="DX326" s="116"/>
      <c r="DY326" s="116"/>
      <c r="DZ326" s="116"/>
      <c r="EA326" s="116"/>
      <c r="EB326" s="116"/>
      <c r="EC326" s="116"/>
      <c r="ED326" s="116"/>
      <c r="EE326" s="116"/>
      <c r="EF326" s="116"/>
      <c r="EG326" s="116"/>
      <c r="EH326" s="116"/>
      <c r="EI326" s="116"/>
      <c r="EJ326" s="116"/>
      <c r="EK326" s="116"/>
      <c r="EL326" s="116"/>
      <c r="EM326" s="116"/>
      <c r="EN326" s="116"/>
      <c r="EO326" s="116"/>
      <c r="EP326" s="116"/>
      <c r="EQ326" s="116"/>
      <c r="ER326" s="116"/>
      <c r="ES326" s="116"/>
      <c r="ET326" s="11"/>
      <c r="EU326" s="11"/>
      <c r="EV326" s="11"/>
      <c r="EW326" s="11"/>
      <c r="EX326" s="11"/>
      <c r="EY326" s="11"/>
      <c r="EZ326" s="11"/>
      <c r="FA326" s="11"/>
      <c r="FB326" s="11"/>
      <c r="FC326" s="11"/>
      <c r="FD326" s="11"/>
      <c r="FE326" s="11"/>
      <c r="FF326" s="11"/>
      <c r="FG326" s="11"/>
      <c r="FH326" s="17">
        <f t="shared" si="119"/>
        <v>1372426.4049999998</v>
      </c>
      <c r="FI326" s="31">
        <f t="shared" si="120"/>
        <v>4</v>
      </c>
      <c r="FJ326" s="68">
        <f t="shared" si="121"/>
        <v>343106.60124999995</v>
      </c>
    </row>
    <row r="327" spans="1:166" ht="25.5" x14ac:dyDescent="0.25">
      <c r="A327" s="248">
        <f>Distribución_Reactivos!A327</f>
        <v>325</v>
      </c>
      <c r="B327" s="248" t="str">
        <f>Distribución_Reactivos!B327</f>
        <v>Penicilina cristalina 1.000.000 U</v>
      </c>
      <c r="C327" s="248" t="str">
        <f>Distribución_Reactivos!C327</f>
        <v>Sigma o equivalente</v>
      </c>
      <c r="D327" s="248" t="str">
        <f>Distribución_Reactivos!D327</f>
        <v xml:space="preserve">Frasco x 5 ml </v>
      </c>
      <c r="E327" s="29">
        <v>1</v>
      </c>
      <c r="F327" s="212">
        <v>0</v>
      </c>
      <c r="G327" s="214">
        <v>0</v>
      </c>
      <c r="H327" s="221">
        <v>0</v>
      </c>
      <c r="I327" s="221">
        <v>0</v>
      </c>
      <c r="J327" s="221">
        <v>5950</v>
      </c>
      <c r="K327" s="221">
        <v>0</v>
      </c>
      <c r="L327" s="247">
        <f>J327</f>
        <v>5950</v>
      </c>
      <c r="M327" s="247"/>
      <c r="N327" s="217"/>
      <c r="O327" s="97"/>
      <c r="P327" s="97"/>
      <c r="Q327" s="115"/>
      <c r="R327" s="115"/>
      <c r="S327" s="53"/>
      <c r="T327" s="97"/>
      <c r="U327" s="97"/>
      <c r="V327" s="97"/>
      <c r="W327" s="115"/>
      <c r="X327" s="115"/>
      <c r="Y327" s="11"/>
      <c r="Z327" s="97"/>
      <c r="AA327" s="97"/>
      <c r="AB327" s="97"/>
      <c r="AC327" s="44"/>
      <c r="AD327" s="44"/>
      <c r="AE327" s="11"/>
      <c r="AF327" s="102">
        <v>15000</v>
      </c>
      <c r="AG327" s="125">
        <v>0</v>
      </c>
      <c r="AH327" s="97">
        <f>+AF327+AG327</f>
        <v>15000</v>
      </c>
      <c r="AI327" s="11"/>
      <c r="AJ327" s="11"/>
      <c r="AK327" s="17"/>
      <c r="AL327" s="97"/>
      <c r="AM327" s="97"/>
      <c r="AN327" s="101"/>
      <c r="AO327" s="248"/>
      <c r="AP327" s="17"/>
      <c r="AQ327" s="17"/>
      <c r="AR327" s="252">
        <v>122400</v>
      </c>
      <c r="AS327" s="124">
        <f>+AR327*0.19</f>
        <v>23256</v>
      </c>
      <c r="AT327" s="100">
        <f>+AR327+AS327</f>
        <v>145656</v>
      </c>
      <c r="AU327" s="52" t="s">
        <v>393</v>
      </c>
      <c r="AV327" s="34" t="s">
        <v>42</v>
      </c>
      <c r="AW327" s="11"/>
      <c r="AX327" s="100"/>
      <c r="AY327" s="172"/>
      <c r="AZ327" s="124"/>
      <c r="BA327" s="169"/>
      <c r="BB327" s="116"/>
      <c r="BC327" s="116"/>
      <c r="BD327" s="247"/>
      <c r="BE327" s="124"/>
      <c r="BF327" s="124"/>
      <c r="BG327" s="116"/>
      <c r="BH327" s="116"/>
      <c r="BI327" s="116"/>
      <c r="BJ327" s="124"/>
      <c r="BK327" s="124"/>
      <c r="BL327" s="124"/>
      <c r="BM327" s="116"/>
      <c r="BN327" s="116"/>
      <c r="BO327" s="116"/>
      <c r="BP327" s="124"/>
      <c r="BQ327" s="116"/>
      <c r="BR327" s="116"/>
      <c r="BS327" s="116"/>
      <c r="BT327" s="116"/>
      <c r="BU327" s="116"/>
      <c r="BV327" s="187"/>
      <c r="BW327" s="125"/>
      <c r="BX327" s="97"/>
      <c r="BY327" s="246"/>
      <c r="BZ327" s="246"/>
      <c r="CA327" s="116"/>
      <c r="CB327" s="247"/>
      <c r="CC327" s="125"/>
      <c r="CD327" s="247"/>
      <c r="CE327" s="116"/>
      <c r="CF327" s="116"/>
      <c r="CG327" s="34"/>
      <c r="CH327" s="187"/>
      <c r="CI327" s="195"/>
      <c r="CJ327" s="187"/>
      <c r="CK327" s="246"/>
      <c r="CL327" s="246"/>
      <c r="CM327" s="116"/>
      <c r="CN327" s="247"/>
      <c r="CO327" s="125"/>
      <c r="CP327" s="247"/>
      <c r="CQ327" s="116"/>
      <c r="CR327" s="116"/>
      <c r="CS327" s="116"/>
      <c r="CT327" s="247"/>
      <c r="CU327" s="125"/>
      <c r="CV327" s="247"/>
      <c r="CW327" s="116"/>
      <c r="CX327" s="116"/>
      <c r="CY327" s="116"/>
      <c r="CZ327" s="102"/>
      <c r="DA327" s="125"/>
      <c r="DB327" s="102"/>
      <c r="DC327" s="31"/>
      <c r="DD327" s="17"/>
      <c r="DE327" s="11"/>
      <c r="DF327" s="116"/>
      <c r="DG327" s="116"/>
      <c r="DH327" s="116"/>
      <c r="DI327" s="116"/>
      <c r="DJ327" s="116"/>
      <c r="DK327" s="116"/>
      <c r="DL327" s="116"/>
      <c r="DM327" s="116"/>
      <c r="DN327" s="116"/>
      <c r="DO327" s="116"/>
      <c r="DP327" s="116"/>
      <c r="DQ327" s="116"/>
      <c r="DR327" s="116"/>
      <c r="DS327" s="116"/>
      <c r="DT327" s="116"/>
      <c r="DU327" s="116"/>
      <c r="DV327" s="116"/>
      <c r="DW327" s="116"/>
      <c r="DX327" s="116"/>
      <c r="DY327" s="116"/>
      <c r="DZ327" s="116"/>
      <c r="EA327" s="116"/>
      <c r="EB327" s="116"/>
      <c r="EC327" s="116"/>
      <c r="ED327" s="116"/>
      <c r="EE327" s="116"/>
      <c r="EF327" s="116"/>
      <c r="EG327" s="116"/>
      <c r="EH327" s="116"/>
      <c r="EI327" s="116"/>
      <c r="EJ327" s="116"/>
      <c r="EK327" s="116"/>
      <c r="EL327" s="116"/>
      <c r="EM327" s="116"/>
      <c r="EN327" s="116"/>
      <c r="EO327" s="116"/>
      <c r="EP327" s="116"/>
      <c r="EQ327" s="116"/>
      <c r="ER327" s="116"/>
      <c r="ES327" s="116"/>
      <c r="ET327" s="11"/>
      <c r="EU327" s="11"/>
      <c r="EV327" s="11"/>
      <c r="EW327" s="11"/>
      <c r="EX327" s="11"/>
      <c r="EY327" s="11"/>
      <c r="EZ327" s="11"/>
      <c r="FA327" s="11"/>
      <c r="FB327" s="11"/>
      <c r="FC327" s="11"/>
      <c r="FD327" s="11"/>
      <c r="FE327" s="11"/>
      <c r="FF327" s="11"/>
      <c r="FG327" s="11"/>
      <c r="FH327" s="17">
        <f t="shared" si="119"/>
        <v>160656</v>
      </c>
      <c r="FI327" s="31">
        <f t="shared" si="120"/>
        <v>2</v>
      </c>
      <c r="FJ327" s="68">
        <f t="shared" si="121"/>
        <v>80328</v>
      </c>
    </row>
    <row r="328" spans="1:166" ht="27" x14ac:dyDescent="0.25">
      <c r="A328" s="248">
        <f>Distribución_Reactivos!A328</f>
        <v>326</v>
      </c>
      <c r="B328" s="248" t="str">
        <f>Distribución_Reactivos!B328</f>
        <v>Peróxido de hidrógeno 30%</v>
      </c>
      <c r="C328" s="248" t="str">
        <f>Distribución_Reactivos!C328</f>
        <v>Merck o equivalente</v>
      </c>
      <c r="D328" s="248" t="str">
        <f>Distribución_Reactivos!D328</f>
        <v>Frasco x 1 litro</v>
      </c>
      <c r="E328" s="29">
        <v>1</v>
      </c>
      <c r="F328" s="212">
        <v>163993.9</v>
      </c>
      <c r="G328" s="214">
        <v>157318</v>
      </c>
      <c r="H328" s="221">
        <v>0</v>
      </c>
      <c r="I328" s="221">
        <v>0</v>
      </c>
      <c r="J328" s="221">
        <v>268643.69</v>
      </c>
      <c r="K328" s="221">
        <v>261919</v>
      </c>
      <c r="L328" s="247">
        <f>AVERAGE(F328,J328)</f>
        <v>216318.79499999998</v>
      </c>
      <c r="M328" s="247">
        <f>AVERAGE(G328,K328)*E1</f>
        <v>215907.05499999999</v>
      </c>
      <c r="N328" s="217"/>
      <c r="O328" s="101"/>
      <c r="P328" s="97"/>
      <c r="Q328" s="115"/>
      <c r="R328" s="115"/>
      <c r="S328" s="53"/>
      <c r="T328" s="97"/>
      <c r="U328" s="97"/>
      <c r="V328" s="97"/>
      <c r="W328" s="115"/>
      <c r="X328" s="115"/>
      <c r="Y328" s="11"/>
      <c r="Z328" s="97"/>
      <c r="AA328" s="97"/>
      <c r="AB328" s="97"/>
      <c r="AC328" s="44"/>
      <c r="AD328" s="44"/>
      <c r="AE328" s="11"/>
      <c r="AF328" s="102"/>
      <c r="AG328" s="125"/>
      <c r="AH328" s="97"/>
      <c r="AI328" s="11"/>
      <c r="AJ328" s="11"/>
      <c r="AK328" s="17"/>
      <c r="AL328" s="97">
        <v>218000</v>
      </c>
      <c r="AM328" s="97">
        <f>+AL328*0.19</f>
        <v>41420</v>
      </c>
      <c r="AN328" s="103">
        <f>+AL328+AM328</f>
        <v>259420</v>
      </c>
      <c r="AO328" s="248" t="s">
        <v>56</v>
      </c>
      <c r="AP328" s="17" t="s">
        <v>52</v>
      </c>
      <c r="AQ328" s="17"/>
      <c r="AR328" s="252">
        <v>219194</v>
      </c>
      <c r="AS328" s="124">
        <f>+AR328*0.19</f>
        <v>41646.86</v>
      </c>
      <c r="AT328" s="100">
        <f>+AR328+AS328</f>
        <v>260840.86</v>
      </c>
      <c r="AU328" s="52" t="s">
        <v>56</v>
      </c>
      <c r="AV328" s="52" t="s">
        <v>52</v>
      </c>
      <c r="AW328" s="11"/>
      <c r="AX328" s="100"/>
      <c r="AY328" s="174"/>
      <c r="AZ328" s="124"/>
      <c r="BA328" s="169"/>
      <c r="BB328" s="116"/>
      <c r="BC328" s="116"/>
      <c r="BD328" s="247"/>
      <c r="BE328" s="124"/>
      <c r="BF328" s="124"/>
      <c r="BG328" s="116"/>
      <c r="BH328" s="116"/>
      <c r="BI328" s="116"/>
      <c r="BJ328" s="124"/>
      <c r="BK328" s="124"/>
      <c r="BL328" s="124"/>
      <c r="BM328" s="116"/>
      <c r="BN328" s="116"/>
      <c r="BO328" s="116"/>
      <c r="BP328" s="124"/>
      <c r="BQ328" s="116"/>
      <c r="BR328" s="116"/>
      <c r="BS328" s="116"/>
      <c r="BT328" s="116"/>
      <c r="BU328" s="116"/>
      <c r="BV328" s="236">
        <v>107700</v>
      </c>
      <c r="BW328" s="125">
        <f>BV328*19%</f>
        <v>20463</v>
      </c>
      <c r="BX328" s="97">
        <f>+BV328+BW328</f>
        <v>128163</v>
      </c>
      <c r="BY328" s="237" t="s">
        <v>339</v>
      </c>
      <c r="BZ328" s="237" t="s">
        <v>83</v>
      </c>
      <c r="CA328" s="116"/>
      <c r="CB328" s="247"/>
      <c r="CC328" s="125"/>
      <c r="CD328" s="247"/>
      <c r="CE328" s="116"/>
      <c r="CF328" s="116"/>
      <c r="CG328" s="34"/>
      <c r="CH328" s="236">
        <v>109854</v>
      </c>
      <c r="CI328" s="238">
        <f t="shared" ref="CI328:CI333" si="127">+CH328*0.19</f>
        <v>20872.260000000002</v>
      </c>
      <c r="CJ328" s="236">
        <f t="shared" ref="CJ328:CJ333" si="128">+CH328+CI328</f>
        <v>130726.26000000001</v>
      </c>
      <c r="CK328" s="237" t="s">
        <v>339</v>
      </c>
      <c r="CL328" s="237" t="s">
        <v>83</v>
      </c>
      <c r="CM328" s="116"/>
      <c r="CN328" s="247"/>
      <c r="CO328" s="125"/>
      <c r="CP328" s="247"/>
      <c r="CQ328" s="116"/>
      <c r="CR328" s="116"/>
      <c r="CS328" s="116"/>
      <c r="CT328" s="247"/>
      <c r="CU328" s="125"/>
      <c r="CV328" s="247"/>
      <c r="CW328" s="116"/>
      <c r="CX328" s="116"/>
      <c r="CY328" s="116"/>
      <c r="CZ328" s="102">
        <v>301793</v>
      </c>
      <c r="DA328" s="125">
        <f>+CZ328*0.19</f>
        <v>57340.67</v>
      </c>
      <c r="DB328" s="102">
        <f>+CZ328+DA328</f>
        <v>359133.67</v>
      </c>
      <c r="DC328" s="31" t="s">
        <v>394</v>
      </c>
      <c r="DD328" s="17" t="s">
        <v>65</v>
      </c>
      <c r="DE328" s="11">
        <v>1072091000</v>
      </c>
      <c r="DF328" s="116"/>
      <c r="DG328" s="116"/>
      <c r="DH328" s="116"/>
      <c r="DI328" s="116"/>
      <c r="DJ328" s="116"/>
      <c r="DK328" s="116"/>
      <c r="DL328" s="116"/>
      <c r="DM328" s="116"/>
      <c r="DN328" s="116"/>
      <c r="DO328" s="116"/>
      <c r="DP328" s="116"/>
      <c r="DQ328" s="116"/>
      <c r="DR328" s="116"/>
      <c r="DS328" s="116"/>
      <c r="DT328" s="116"/>
      <c r="DU328" s="116"/>
      <c r="DV328" s="116"/>
      <c r="DW328" s="116"/>
      <c r="DX328" s="116"/>
      <c r="DY328" s="116"/>
      <c r="DZ328" s="116"/>
      <c r="EA328" s="116"/>
      <c r="EB328" s="116"/>
      <c r="EC328" s="116"/>
      <c r="ED328" s="116"/>
      <c r="EE328" s="116"/>
      <c r="EF328" s="116"/>
      <c r="EG328" s="116"/>
      <c r="EH328" s="116"/>
      <c r="EI328" s="116"/>
      <c r="EJ328" s="116"/>
      <c r="EK328" s="116"/>
      <c r="EL328" s="116"/>
      <c r="EM328" s="116"/>
      <c r="EN328" s="116"/>
      <c r="EO328" s="116"/>
      <c r="EP328" s="116"/>
      <c r="EQ328" s="116"/>
      <c r="ER328" s="116"/>
      <c r="ES328" s="116"/>
      <c r="ET328" s="11"/>
      <c r="EU328" s="11"/>
      <c r="EV328" s="11"/>
      <c r="EW328" s="11"/>
      <c r="EX328" s="11"/>
      <c r="EY328" s="11"/>
      <c r="EZ328" s="11"/>
      <c r="FA328" s="11"/>
      <c r="FB328" s="11"/>
      <c r="FC328" s="11"/>
      <c r="FD328" s="11"/>
      <c r="FE328" s="11"/>
      <c r="FF328" s="11"/>
      <c r="FG328" s="11"/>
      <c r="FH328" s="17">
        <f t="shared" si="119"/>
        <v>1354190.845</v>
      </c>
      <c r="FI328" s="31">
        <f t="shared" si="120"/>
        <v>6</v>
      </c>
      <c r="FJ328" s="68">
        <f t="shared" si="121"/>
        <v>225698.47416666665</v>
      </c>
    </row>
    <row r="329" spans="1:166" ht="25.5" x14ac:dyDescent="0.25">
      <c r="A329" s="248">
        <f>Distribución_Reactivos!A329</f>
        <v>327</v>
      </c>
      <c r="B329" s="248" t="str">
        <f>Distribución_Reactivos!B329</f>
        <v>Fenol Cristal</v>
      </c>
      <c r="C329" s="248" t="str">
        <f>Distribución_Reactivos!C329</f>
        <v>Sigma Aldrich / Merck / JT Baker</v>
      </c>
      <c r="D329" s="248">
        <f>Distribución_Reactivos!D329</f>
        <v>0</v>
      </c>
      <c r="E329" s="29">
        <v>1</v>
      </c>
      <c r="F329" s="212">
        <v>0</v>
      </c>
      <c r="G329" s="214">
        <v>0</v>
      </c>
      <c r="H329" s="221">
        <v>0</v>
      </c>
      <c r="I329" s="221">
        <v>0</v>
      </c>
      <c r="J329" s="221">
        <v>0</v>
      </c>
      <c r="K329" s="221">
        <v>0</v>
      </c>
      <c r="L329" s="247"/>
      <c r="M329" s="247"/>
      <c r="N329" s="218"/>
      <c r="O329" s="102"/>
      <c r="P329" s="102"/>
      <c r="Q329" s="44"/>
      <c r="R329" s="44"/>
      <c r="S329" s="5"/>
      <c r="T329" s="102"/>
      <c r="U329" s="102"/>
      <c r="V329" s="102"/>
      <c r="W329" s="11"/>
      <c r="X329" s="11"/>
      <c r="Y329" s="11"/>
      <c r="Z329" s="102"/>
      <c r="AA329" s="102"/>
      <c r="AB329" s="102"/>
      <c r="AC329" s="44"/>
      <c r="AD329" s="44"/>
      <c r="AE329" s="11"/>
      <c r="AF329" s="102"/>
      <c r="AG329" s="125"/>
      <c r="AH329" s="102"/>
      <c r="AI329" s="11"/>
      <c r="AJ329" s="11"/>
      <c r="AK329" s="11"/>
      <c r="AL329" s="102">
        <v>365000</v>
      </c>
      <c r="AM329" s="97">
        <f>+AL329*0.19</f>
        <v>69350</v>
      </c>
      <c r="AN329" s="103">
        <f>+AL329+AM329</f>
        <v>434350</v>
      </c>
      <c r="AO329" s="248" t="s">
        <v>56</v>
      </c>
      <c r="AP329" s="17" t="s">
        <v>52</v>
      </c>
      <c r="AQ329" s="11"/>
      <c r="AR329" s="247">
        <v>260419</v>
      </c>
      <c r="AS329" s="124">
        <f>+AR329*0.19</f>
        <v>49479.61</v>
      </c>
      <c r="AT329" s="100">
        <f>+AR329+AS329</f>
        <v>309898.61</v>
      </c>
      <c r="AU329" s="42" t="s">
        <v>77</v>
      </c>
      <c r="AV329" s="42" t="s">
        <v>52</v>
      </c>
      <c r="AW329" s="11"/>
      <c r="AX329" s="247"/>
      <c r="AY329" s="247"/>
      <c r="AZ329" s="247"/>
      <c r="BA329" s="11"/>
      <c r="BB329" s="11"/>
      <c r="BC329" s="11"/>
      <c r="BD329" s="247"/>
      <c r="BE329" s="247"/>
      <c r="BF329" s="247"/>
      <c r="BG329" s="11"/>
      <c r="BH329" s="11"/>
      <c r="BI329" s="11"/>
      <c r="BJ329" s="247"/>
      <c r="BK329" s="247"/>
      <c r="BL329" s="247"/>
      <c r="BM329" s="11"/>
      <c r="BN329" s="11"/>
      <c r="BO329" s="11"/>
      <c r="BP329" s="252"/>
      <c r="BQ329" s="11"/>
      <c r="BR329" s="11"/>
      <c r="BS329" s="11"/>
      <c r="BT329" s="11"/>
      <c r="BU329" s="11"/>
      <c r="BV329" s="236">
        <v>439900</v>
      </c>
      <c r="BW329" s="125">
        <f>BV329*19%</f>
        <v>83581</v>
      </c>
      <c r="BX329" s="97">
        <f>+BV329+BW329</f>
        <v>523481</v>
      </c>
      <c r="BY329" s="237" t="s">
        <v>305</v>
      </c>
      <c r="BZ329" s="237" t="s">
        <v>93</v>
      </c>
      <c r="CA329" s="11"/>
      <c r="CB329" s="247"/>
      <c r="CC329" s="125"/>
      <c r="CD329" s="247"/>
      <c r="CE329" s="11"/>
      <c r="CF329" s="11"/>
      <c r="CG329" s="11"/>
      <c r="CH329" s="236">
        <v>444299</v>
      </c>
      <c r="CI329" s="238">
        <f t="shared" si="127"/>
        <v>84416.81</v>
      </c>
      <c r="CJ329" s="236">
        <f t="shared" si="128"/>
        <v>528715.81000000006</v>
      </c>
      <c r="CK329" s="237" t="s">
        <v>305</v>
      </c>
      <c r="CL329" s="237" t="s">
        <v>93</v>
      </c>
      <c r="CM329" s="11"/>
      <c r="CN329" s="247"/>
      <c r="CO329" s="125"/>
      <c r="CP329" s="247"/>
      <c r="CQ329" s="11"/>
      <c r="CR329" s="11"/>
      <c r="CS329" s="11"/>
      <c r="CT329" s="247"/>
      <c r="CU329" s="125"/>
      <c r="CV329" s="247"/>
      <c r="CW329" s="11"/>
      <c r="CX329" s="11"/>
      <c r="CY329" s="11"/>
      <c r="CZ329" s="102"/>
      <c r="DA329" s="125"/>
      <c r="DB329" s="102"/>
      <c r="DC329" s="31"/>
      <c r="DD329" s="17"/>
      <c r="DE329" s="11"/>
      <c r="DF329" s="11"/>
      <c r="DG329" s="11"/>
      <c r="DH329" s="11"/>
      <c r="DI329" s="11"/>
      <c r="DJ329" s="11"/>
      <c r="DK329" s="11"/>
      <c r="DL329" s="11"/>
      <c r="DM329" s="11"/>
      <c r="DN329" s="11"/>
      <c r="DO329" s="11"/>
      <c r="DP329" s="11"/>
      <c r="DQ329" s="11"/>
      <c r="DR329" s="11"/>
      <c r="DS329" s="11"/>
      <c r="DT329" s="11"/>
      <c r="DU329" s="11"/>
      <c r="DV329" s="11"/>
      <c r="DW329" s="11"/>
      <c r="DX329" s="11"/>
      <c r="DY329" s="11"/>
      <c r="DZ329" s="11"/>
      <c r="EA329" s="11"/>
      <c r="EB329" s="17"/>
      <c r="EC329" s="17"/>
      <c r="ED329" s="17"/>
      <c r="EE329" s="11"/>
      <c r="EF329" s="11"/>
      <c r="EG329" s="17"/>
      <c r="EH329" s="17"/>
      <c r="EI329" s="32"/>
      <c r="EJ329" s="11"/>
      <c r="EK329" s="11"/>
      <c r="EL329" s="11"/>
      <c r="EM329" s="11"/>
      <c r="EN329" s="11"/>
      <c r="EO329" s="11"/>
      <c r="EP329" s="11"/>
      <c r="EQ329" s="17"/>
      <c r="ER329" s="17"/>
      <c r="ES329" s="17"/>
      <c r="ET329" s="11"/>
      <c r="EU329" s="11"/>
      <c r="EV329" s="17"/>
      <c r="EW329" s="17"/>
      <c r="EX329" s="37"/>
      <c r="EY329" s="37"/>
      <c r="EZ329" s="37"/>
      <c r="FA329" s="37"/>
      <c r="FB329" s="37"/>
      <c r="FC329" s="37"/>
      <c r="FD329" s="37"/>
      <c r="FE329" s="37"/>
      <c r="FF329" s="37"/>
      <c r="FG329" s="37"/>
      <c r="FH329" s="17">
        <f t="shared" si="119"/>
        <v>1796445.42</v>
      </c>
      <c r="FI329" s="31">
        <f t="shared" si="120"/>
        <v>4</v>
      </c>
      <c r="FJ329" s="68">
        <f t="shared" si="121"/>
        <v>449111.35499999998</v>
      </c>
    </row>
    <row r="330" spans="1:166" ht="27" x14ac:dyDescent="0.25">
      <c r="A330" s="248">
        <f>Distribución_Reactivos!A330</f>
        <v>328</v>
      </c>
      <c r="B330" s="248" t="str">
        <f>Distribución_Reactivos!B330</f>
        <v>Piruvato de sodio (C3H3NaO3) para microbiología</v>
      </c>
      <c r="C330" s="248" t="str">
        <f>Distribución_Reactivos!C330</f>
        <v>Sigma, o cualquier marca</v>
      </c>
      <c r="D330" s="248" t="str">
        <f>Distribución_Reactivos!D330</f>
        <v>Frasco</v>
      </c>
      <c r="E330" s="29">
        <v>1</v>
      </c>
      <c r="F330" s="212">
        <v>1163106</v>
      </c>
      <c r="G330" s="214">
        <v>232432</v>
      </c>
      <c r="H330" s="221">
        <v>1235006.8513888</v>
      </c>
      <c r="I330" s="221">
        <v>0</v>
      </c>
      <c r="J330" s="221">
        <v>733456.5</v>
      </c>
      <c r="K330" s="221">
        <v>0</v>
      </c>
      <c r="L330" s="247">
        <f>AVERAGE(F330,H330,J330)</f>
        <v>1043856.4504629333</v>
      </c>
      <c r="M330" s="247">
        <f>G330*E1</f>
        <v>239404.96</v>
      </c>
      <c r="N330" s="217"/>
      <c r="O330" s="97"/>
      <c r="P330" s="97"/>
      <c r="Q330" s="115"/>
      <c r="R330" s="115"/>
      <c r="S330" s="53"/>
      <c r="T330" s="97"/>
      <c r="U330" s="101"/>
      <c r="V330" s="97"/>
      <c r="W330" s="115"/>
      <c r="X330" s="115"/>
      <c r="Y330" s="11"/>
      <c r="Z330" s="97"/>
      <c r="AA330" s="97"/>
      <c r="AB330" s="97"/>
      <c r="AC330" s="44"/>
      <c r="AD330" s="44"/>
      <c r="AE330" s="11"/>
      <c r="AF330" s="102"/>
      <c r="AG330" s="125"/>
      <c r="AH330" s="97"/>
      <c r="AI330" s="11"/>
      <c r="AJ330" s="11"/>
      <c r="AK330" s="17"/>
      <c r="AL330" s="97"/>
      <c r="AM330" s="97"/>
      <c r="AN330" s="103"/>
      <c r="AO330" s="248"/>
      <c r="AP330" s="17"/>
      <c r="AQ330" s="17"/>
      <c r="AR330" s="252">
        <v>151200</v>
      </c>
      <c r="AS330" s="124">
        <f>+AR330*0.19</f>
        <v>28728</v>
      </c>
      <c r="AT330" s="100">
        <f>+AR330+AS330</f>
        <v>179928</v>
      </c>
      <c r="AU330" s="42" t="s">
        <v>157</v>
      </c>
      <c r="AV330" s="34" t="s">
        <v>42</v>
      </c>
      <c r="AW330" s="11"/>
      <c r="AX330" s="100"/>
      <c r="AY330" s="100"/>
      <c r="AZ330" s="124"/>
      <c r="BA330" s="169"/>
      <c r="BB330" s="116"/>
      <c r="BC330" s="116"/>
      <c r="BD330" s="247"/>
      <c r="BE330" s="124"/>
      <c r="BF330" s="124"/>
      <c r="BG330" s="116"/>
      <c r="BH330" s="116"/>
      <c r="BI330" s="116"/>
      <c r="BJ330" s="124"/>
      <c r="BK330" s="124"/>
      <c r="BL330" s="124"/>
      <c r="BM330" s="116"/>
      <c r="BN330" s="116"/>
      <c r="BO330" s="116"/>
      <c r="BP330" s="124"/>
      <c r="BQ330" s="116"/>
      <c r="BR330" s="116"/>
      <c r="BS330" s="116"/>
      <c r="BT330" s="116"/>
      <c r="BU330" s="116"/>
      <c r="BV330" s="236">
        <v>1095000</v>
      </c>
      <c r="BW330" s="125">
        <f>BV330*19%</f>
        <v>208050</v>
      </c>
      <c r="BX330" s="97">
        <f t="shared" ref="BX330:BX336" si="129">+BV330+BW330</f>
        <v>1303050</v>
      </c>
      <c r="BY330" s="237" t="s">
        <v>323</v>
      </c>
      <c r="BZ330" s="237" t="s">
        <v>252</v>
      </c>
      <c r="CA330" s="116"/>
      <c r="CB330" s="247"/>
      <c r="CC330" s="125"/>
      <c r="CD330" s="247"/>
      <c r="CE330" s="116"/>
      <c r="CF330" s="116"/>
      <c r="CG330" s="34"/>
      <c r="CH330" s="236">
        <v>1171650</v>
      </c>
      <c r="CI330" s="238">
        <f t="shared" si="127"/>
        <v>222613.5</v>
      </c>
      <c r="CJ330" s="236">
        <f t="shared" si="128"/>
        <v>1394263.5</v>
      </c>
      <c r="CK330" s="237" t="s">
        <v>323</v>
      </c>
      <c r="CL330" s="237" t="s">
        <v>252</v>
      </c>
      <c r="CM330" s="116"/>
      <c r="CN330" s="247"/>
      <c r="CO330" s="125"/>
      <c r="CP330" s="247"/>
      <c r="CQ330" s="116"/>
      <c r="CR330" s="116"/>
      <c r="CS330" s="116"/>
      <c r="CT330" s="247"/>
      <c r="CU330" s="125"/>
      <c r="CV330" s="247"/>
      <c r="CW330" s="116"/>
      <c r="CX330" s="116"/>
      <c r="CY330" s="116"/>
      <c r="CZ330" s="102"/>
      <c r="DA330" s="125"/>
      <c r="DB330" s="102"/>
      <c r="DC330" s="31"/>
      <c r="DD330" s="17"/>
      <c r="DE330" s="11"/>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
      <c r="EU330" s="11"/>
      <c r="EV330" s="11"/>
      <c r="EW330" s="11"/>
      <c r="EX330" s="11"/>
      <c r="EY330" s="11"/>
      <c r="EZ330" s="11"/>
      <c r="FA330" s="11"/>
      <c r="FB330" s="11"/>
      <c r="FC330" s="11"/>
      <c r="FD330" s="11"/>
      <c r="FE330" s="11"/>
      <c r="FF330" s="11"/>
      <c r="FG330" s="11"/>
      <c r="FH330" s="17">
        <f t="shared" si="119"/>
        <v>3116646.46</v>
      </c>
      <c r="FI330" s="31">
        <f t="shared" si="120"/>
        <v>4</v>
      </c>
      <c r="FJ330" s="68">
        <f t="shared" si="121"/>
        <v>779161.61499999999</v>
      </c>
    </row>
    <row r="331" spans="1:166" ht="27" x14ac:dyDescent="0.25">
      <c r="A331" s="248">
        <f>Distribución_Reactivos!A331</f>
        <v>329</v>
      </c>
      <c r="B331" s="248" t="str">
        <f>Distribución_Reactivos!B331</f>
        <v>PolimixinaB-sulfato</v>
      </c>
      <c r="C331" s="248" t="str">
        <f>Distribución_Reactivos!C331</f>
        <v>Sigma P-1004</v>
      </c>
      <c r="D331" s="248" t="str">
        <f>Distribución_Reactivos!D331</f>
        <v>Frascox 1000000Units</v>
      </c>
      <c r="E331" s="29">
        <v>1</v>
      </c>
      <c r="F331" s="212">
        <v>0</v>
      </c>
      <c r="G331" s="214">
        <v>0</v>
      </c>
      <c r="H331" s="221">
        <v>0</v>
      </c>
      <c r="I331" s="221">
        <v>0</v>
      </c>
      <c r="J331" s="221">
        <v>479808</v>
      </c>
      <c r="K331" s="221">
        <v>399000</v>
      </c>
      <c r="L331" s="247">
        <f>J331</f>
        <v>479808</v>
      </c>
      <c r="M331" s="247">
        <f>K331*E1</f>
        <v>410970</v>
      </c>
      <c r="N331" s="217"/>
      <c r="O331" s="101"/>
      <c r="P331" s="97"/>
      <c r="Q331" s="115"/>
      <c r="R331" s="115"/>
      <c r="S331" s="53"/>
      <c r="T331" s="97"/>
      <c r="U331" s="97"/>
      <c r="V331" s="97"/>
      <c r="W331" s="115"/>
      <c r="X331" s="115"/>
      <c r="Y331" s="11"/>
      <c r="Z331" s="97"/>
      <c r="AA331" s="97"/>
      <c r="AB331" s="97"/>
      <c r="AC331" s="44"/>
      <c r="AD331" s="44"/>
      <c r="AE331" s="11"/>
      <c r="AF331" s="102"/>
      <c r="AG331" s="125"/>
      <c r="AH331" s="97"/>
      <c r="AI331" s="11"/>
      <c r="AJ331" s="11"/>
      <c r="AK331" s="17"/>
      <c r="AL331" s="97"/>
      <c r="AM331" s="97"/>
      <c r="AN331" s="127"/>
      <c r="AO331" s="248"/>
      <c r="AP331" s="17"/>
      <c r="AQ331" s="17"/>
      <c r="AR331" s="252"/>
      <c r="AS331" s="124"/>
      <c r="AT331" s="100"/>
      <c r="AU331" s="52"/>
      <c r="AV331" s="34"/>
      <c r="AW331" s="11"/>
      <c r="AX331" s="100"/>
      <c r="AY331" s="174"/>
      <c r="AZ331" s="124"/>
      <c r="BA331" s="169"/>
      <c r="BB331" s="116"/>
      <c r="BC331" s="116"/>
      <c r="BD331" s="247"/>
      <c r="BE331" s="124"/>
      <c r="BF331" s="124"/>
      <c r="BG331" s="116"/>
      <c r="BH331" s="116"/>
      <c r="BI331" s="116"/>
      <c r="BJ331" s="124"/>
      <c r="BK331" s="124"/>
      <c r="BL331" s="124"/>
      <c r="BM331" s="116"/>
      <c r="BN331" s="116"/>
      <c r="BO331" s="116"/>
      <c r="BP331" s="124"/>
      <c r="BQ331" s="116"/>
      <c r="BR331" s="116"/>
      <c r="BS331" s="116"/>
      <c r="BT331" s="116"/>
      <c r="BU331" s="116"/>
      <c r="BV331" s="236">
        <v>409200</v>
      </c>
      <c r="BW331" s="125">
        <f>BV331*0</f>
        <v>0</v>
      </c>
      <c r="BX331" s="97">
        <f t="shared" si="129"/>
        <v>409200</v>
      </c>
      <c r="BY331" s="237" t="s">
        <v>395</v>
      </c>
      <c r="BZ331" s="237" t="s">
        <v>252</v>
      </c>
      <c r="CA331" s="116"/>
      <c r="CB331" s="247"/>
      <c r="CC331" s="125"/>
      <c r="CD331" s="247"/>
      <c r="CE331" s="116"/>
      <c r="CF331" s="116"/>
      <c r="CG331" s="34"/>
      <c r="CH331" s="236">
        <v>429660</v>
      </c>
      <c r="CI331" s="238">
        <f t="shared" si="127"/>
        <v>81635.399999999994</v>
      </c>
      <c r="CJ331" s="236">
        <f t="shared" si="128"/>
        <v>511295.4</v>
      </c>
      <c r="CK331" s="237" t="s">
        <v>395</v>
      </c>
      <c r="CL331" s="237" t="s">
        <v>252</v>
      </c>
      <c r="CM331" s="116"/>
      <c r="CN331" s="247"/>
      <c r="CO331" s="125"/>
      <c r="CP331" s="247"/>
      <c r="CQ331" s="116"/>
      <c r="CR331" s="116"/>
      <c r="CS331" s="116"/>
      <c r="CT331" s="247"/>
      <c r="CU331" s="125"/>
      <c r="CV331" s="247"/>
      <c r="CW331" s="116"/>
      <c r="CX331" s="116"/>
      <c r="CY331" s="116"/>
      <c r="CZ331" s="102"/>
      <c r="DA331" s="125"/>
      <c r="DB331" s="102"/>
      <c r="DC331" s="31"/>
      <c r="DD331" s="17"/>
      <c r="DE331" s="11"/>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
      <c r="EU331" s="11"/>
      <c r="EV331" s="11"/>
      <c r="EW331" s="11"/>
      <c r="EX331" s="11"/>
      <c r="EY331" s="11"/>
      <c r="EZ331" s="11"/>
      <c r="FA331" s="11"/>
      <c r="FB331" s="11"/>
      <c r="FC331" s="11"/>
      <c r="FD331" s="11"/>
      <c r="FE331" s="11"/>
      <c r="FF331" s="11"/>
      <c r="FG331" s="11"/>
      <c r="FH331" s="17">
        <f t="shared" si="119"/>
        <v>1331465.3999999999</v>
      </c>
      <c r="FI331" s="31">
        <f t="shared" si="120"/>
        <v>3</v>
      </c>
      <c r="FJ331" s="68">
        <f t="shared" si="121"/>
        <v>443821.8</v>
      </c>
    </row>
    <row r="332" spans="1:166" ht="27" x14ac:dyDescent="0.25">
      <c r="A332" s="248">
        <f>Distribución_Reactivos!A332</f>
        <v>330</v>
      </c>
      <c r="B332" s="248" t="str">
        <f>Distribución_Reactivos!B332</f>
        <v>Polipectato de sodio (sal sódica del ácido poligalacturónico)</v>
      </c>
      <c r="C332" s="248" t="str">
        <f>Distribución_Reactivos!C332</f>
        <v>Cualquier marca</v>
      </c>
      <c r="D332" s="248" t="str">
        <f>Distribución_Reactivos!D332</f>
        <v>Frasco x 100 g</v>
      </c>
      <c r="E332" s="29">
        <v>1</v>
      </c>
      <c r="F332" s="212">
        <v>0</v>
      </c>
      <c r="G332" s="214">
        <v>0</v>
      </c>
      <c r="H332" s="221">
        <v>0</v>
      </c>
      <c r="I332" s="221">
        <v>0</v>
      </c>
      <c r="J332" s="221">
        <v>1813560</v>
      </c>
      <c r="K332" s="221">
        <v>0</v>
      </c>
      <c r="L332" s="247">
        <f>J332</f>
        <v>1813560</v>
      </c>
      <c r="M332" s="247"/>
      <c r="N332" s="217"/>
      <c r="O332" s="97"/>
      <c r="P332" s="97"/>
      <c r="Q332" s="115"/>
      <c r="R332" s="115"/>
      <c r="S332" s="53"/>
      <c r="T332" s="97"/>
      <c r="U332" s="97"/>
      <c r="V332" s="97"/>
      <c r="W332" s="115"/>
      <c r="X332" s="115"/>
      <c r="Y332" s="11"/>
      <c r="Z332" s="97"/>
      <c r="AA332" s="97"/>
      <c r="AB332" s="97"/>
      <c r="AC332" s="44"/>
      <c r="AD332" s="44"/>
      <c r="AE332" s="11"/>
      <c r="AF332" s="102"/>
      <c r="AG332" s="125"/>
      <c r="AH332" s="97"/>
      <c r="AI332" s="11"/>
      <c r="AJ332" s="11"/>
      <c r="AK332" s="17"/>
      <c r="AL332" s="97"/>
      <c r="AM332" s="97"/>
      <c r="AN332" s="101"/>
      <c r="AO332" s="248"/>
      <c r="AP332" s="17"/>
      <c r="AQ332" s="17"/>
      <c r="AR332" s="252">
        <f>1728000</f>
        <v>1728000</v>
      </c>
      <c r="AS332" s="124">
        <f>+AR332*0.19</f>
        <v>328320</v>
      </c>
      <c r="AT332" s="100">
        <f>+AR332+AS332</f>
        <v>2056320</v>
      </c>
      <c r="AU332" s="52" t="s">
        <v>41</v>
      </c>
      <c r="AV332" s="34" t="s">
        <v>42</v>
      </c>
      <c r="AW332" s="17"/>
      <c r="AX332" s="100"/>
      <c r="AY332" s="100"/>
      <c r="AZ332" s="124"/>
      <c r="BA332" s="169"/>
      <c r="BB332" s="116"/>
      <c r="BC332" s="116"/>
      <c r="BD332" s="247"/>
      <c r="BE332" s="124"/>
      <c r="BF332" s="124"/>
      <c r="BG332" s="116"/>
      <c r="BH332" s="116"/>
      <c r="BI332" s="116"/>
      <c r="BJ332" s="124"/>
      <c r="BK332" s="124"/>
      <c r="BL332" s="124"/>
      <c r="BM332" s="116"/>
      <c r="BN332" s="116"/>
      <c r="BO332" s="116"/>
      <c r="BP332" s="124"/>
      <c r="BQ332" s="116"/>
      <c r="BR332" s="116"/>
      <c r="BS332" s="116"/>
      <c r="BT332" s="116"/>
      <c r="BU332" s="116"/>
      <c r="BV332" s="236">
        <v>5715500</v>
      </c>
      <c r="BW332" s="125">
        <f t="shared" ref="BW332:BW339" si="130">BV332*19%</f>
        <v>1085945</v>
      </c>
      <c r="BX332" s="97">
        <f t="shared" si="129"/>
        <v>6801445</v>
      </c>
      <c r="BY332" s="237" t="s">
        <v>317</v>
      </c>
      <c r="BZ332" s="237" t="s">
        <v>252</v>
      </c>
      <c r="CA332" s="116"/>
      <c r="CB332" s="247"/>
      <c r="CC332" s="125"/>
      <c r="CD332" s="247"/>
      <c r="CE332" s="116"/>
      <c r="CF332" s="116"/>
      <c r="CG332" s="34"/>
      <c r="CH332" s="236">
        <v>6001275</v>
      </c>
      <c r="CI332" s="238">
        <f t="shared" si="127"/>
        <v>1140242.25</v>
      </c>
      <c r="CJ332" s="236">
        <f t="shared" si="128"/>
        <v>7141517.25</v>
      </c>
      <c r="CK332" s="237" t="s">
        <v>317</v>
      </c>
      <c r="CL332" s="237" t="s">
        <v>252</v>
      </c>
      <c r="CM332" s="116"/>
      <c r="CN332" s="247"/>
      <c r="CO332" s="125"/>
      <c r="CP332" s="247"/>
      <c r="CQ332" s="116"/>
      <c r="CR332" s="116"/>
      <c r="CS332" s="116"/>
      <c r="CT332" s="247"/>
      <c r="CU332" s="125"/>
      <c r="CV332" s="247"/>
      <c r="CW332" s="116"/>
      <c r="CX332" s="116"/>
      <c r="CY332" s="116"/>
      <c r="CZ332" s="102"/>
      <c r="DA332" s="125"/>
      <c r="DB332" s="102"/>
      <c r="DC332" s="31"/>
      <c r="DD332" s="17"/>
      <c r="DE332" s="11"/>
      <c r="DF332" s="116"/>
      <c r="DG332" s="116"/>
      <c r="DH332" s="116"/>
      <c r="DI332" s="116"/>
      <c r="DJ332" s="116"/>
      <c r="DK332" s="116"/>
      <c r="DL332" s="116"/>
      <c r="DM332" s="116"/>
      <c r="DN332" s="116"/>
      <c r="DO332" s="116"/>
      <c r="DP332" s="116"/>
      <c r="DQ332" s="116"/>
      <c r="DR332" s="116"/>
      <c r="DS332" s="116"/>
      <c r="DT332" s="116"/>
      <c r="DU332" s="116"/>
      <c r="DV332" s="116"/>
      <c r="DW332" s="116"/>
      <c r="DX332" s="116"/>
      <c r="DY332" s="116"/>
      <c r="DZ332" s="116"/>
      <c r="EA332" s="116"/>
      <c r="EB332" s="116"/>
      <c r="EC332" s="116"/>
      <c r="ED332" s="116"/>
      <c r="EE332" s="116"/>
      <c r="EF332" s="116"/>
      <c r="EG332" s="116"/>
      <c r="EH332" s="116"/>
      <c r="EI332" s="116"/>
      <c r="EJ332" s="116"/>
      <c r="EK332" s="116"/>
      <c r="EL332" s="116"/>
      <c r="EM332" s="116"/>
      <c r="EN332" s="116"/>
      <c r="EO332" s="116"/>
      <c r="EP332" s="116"/>
      <c r="EQ332" s="116"/>
      <c r="ER332" s="116"/>
      <c r="ES332" s="116"/>
      <c r="ET332" s="11"/>
      <c r="EU332" s="11"/>
      <c r="EV332" s="11"/>
      <c r="EW332" s="11"/>
      <c r="EX332" s="11"/>
      <c r="EY332" s="11"/>
      <c r="EZ332" s="11"/>
      <c r="FA332" s="11"/>
      <c r="FB332" s="11"/>
      <c r="FC332" s="11"/>
      <c r="FD332" s="11"/>
      <c r="FE332" s="11"/>
      <c r="FF332" s="11"/>
      <c r="FG332" s="11"/>
      <c r="FH332" s="17">
        <f t="shared" si="119"/>
        <v>15999282.25</v>
      </c>
      <c r="FI332" s="31">
        <f t="shared" si="120"/>
        <v>3</v>
      </c>
      <c r="FJ332" s="68">
        <f t="shared" si="121"/>
        <v>5333094.083333333</v>
      </c>
    </row>
    <row r="333" spans="1:166" ht="27" x14ac:dyDescent="0.25">
      <c r="A333" s="248">
        <f>Distribución_Reactivos!A333</f>
        <v>331</v>
      </c>
      <c r="B333" s="248" t="str">
        <f>Distribución_Reactivos!B333</f>
        <v>Polivinilpirrolidona (PVP) 40</v>
      </c>
      <c r="C333" s="248" t="str">
        <f>Distribución_Reactivos!C333</f>
        <v>Cualquier marca</v>
      </c>
      <c r="D333" s="248" t="str">
        <f>Distribución_Reactivos!D333</f>
        <v>Frasco x 100 g</v>
      </c>
      <c r="E333" s="29">
        <v>1</v>
      </c>
      <c r="F333" s="212">
        <v>283101</v>
      </c>
      <c r="G333" s="214">
        <v>275961</v>
      </c>
      <c r="H333" s="221">
        <v>354655.68215000001</v>
      </c>
      <c r="I333" s="221">
        <v>0</v>
      </c>
      <c r="J333" s="221">
        <v>291144.21000000002</v>
      </c>
      <c r="K333" s="221">
        <v>0</v>
      </c>
      <c r="L333" s="247">
        <f>AVERAGE(F333,H333,J333)</f>
        <v>309633.63071666664</v>
      </c>
      <c r="M333" s="247">
        <f>G333*E1</f>
        <v>284239.83</v>
      </c>
      <c r="N333" s="217"/>
      <c r="O333" s="97"/>
      <c r="P333" s="97"/>
      <c r="Q333" s="115"/>
      <c r="R333" s="115"/>
      <c r="S333" s="53"/>
      <c r="T333" s="97"/>
      <c r="U333" s="97"/>
      <c r="V333" s="97"/>
      <c r="W333" s="115"/>
      <c r="X333" s="115"/>
      <c r="Y333" s="11"/>
      <c r="Z333" s="97"/>
      <c r="AA333" s="97"/>
      <c r="AB333" s="97"/>
      <c r="AC333" s="44"/>
      <c r="AD333" s="44"/>
      <c r="AE333" s="11"/>
      <c r="AF333" s="102">
        <v>350000</v>
      </c>
      <c r="AG333" s="125">
        <f>AF333*19%</f>
        <v>66500</v>
      </c>
      <c r="AH333" s="97">
        <f>+AF333+AG333</f>
        <v>416500</v>
      </c>
      <c r="AI333" s="11"/>
      <c r="AJ333" s="11"/>
      <c r="AK333" s="17"/>
      <c r="AL333" s="97">
        <v>370000</v>
      </c>
      <c r="AM333" s="97">
        <f>+AL333*0.19</f>
        <v>70300</v>
      </c>
      <c r="AN333" s="103">
        <f>+AL333+AM333</f>
        <v>440300</v>
      </c>
      <c r="AO333" s="248" t="s">
        <v>82</v>
      </c>
      <c r="AP333" s="17" t="s">
        <v>52</v>
      </c>
      <c r="AQ333" s="17"/>
      <c r="AR333" s="252">
        <v>280800</v>
      </c>
      <c r="AS333" s="124">
        <f>+AR333*0.19</f>
        <v>53352</v>
      </c>
      <c r="AT333" s="100">
        <f>+AR333+AS333</f>
        <v>334152</v>
      </c>
      <c r="AU333" s="52" t="s">
        <v>61</v>
      </c>
      <c r="AV333" s="34" t="s">
        <v>42</v>
      </c>
      <c r="AW333" s="11"/>
      <c r="AX333" s="100"/>
      <c r="AY333" s="174"/>
      <c r="AZ333" s="124"/>
      <c r="BA333" s="169"/>
      <c r="BB333" s="116"/>
      <c r="BC333" s="116"/>
      <c r="BD333" s="247"/>
      <c r="BE333" s="247"/>
      <c r="BF333" s="247"/>
      <c r="BG333" s="247"/>
      <c r="BH333" s="116"/>
      <c r="BI333" s="116"/>
      <c r="BJ333" s="124"/>
      <c r="BK333" s="124"/>
      <c r="BL333" s="124"/>
      <c r="BM333" s="116"/>
      <c r="BN333" s="116"/>
      <c r="BO333" s="116"/>
      <c r="BP333" s="124"/>
      <c r="BQ333" s="116"/>
      <c r="BR333" s="116"/>
      <c r="BS333" s="116"/>
      <c r="BT333" s="116"/>
      <c r="BU333" s="116"/>
      <c r="BV333" s="236">
        <v>326000</v>
      </c>
      <c r="BW333" s="125">
        <f t="shared" si="130"/>
        <v>61940</v>
      </c>
      <c r="BX333" s="97">
        <f t="shared" si="129"/>
        <v>387940</v>
      </c>
      <c r="BY333" s="237" t="s">
        <v>317</v>
      </c>
      <c r="BZ333" s="237" t="s">
        <v>252</v>
      </c>
      <c r="CA333" s="116"/>
      <c r="CB333" s="247">
        <v>310000</v>
      </c>
      <c r="CC333" s="125">
        <f>+CB333*19%</f>
        <v>58900</v>
      </c>
      <c r="CD333" s="247">
        <f>+CC333+CB333</f>
        <v>368900</v>
      </c>
      <c r="CE333" s="116"/>
      <c r="CF333" s="116"/>
      <c r="CG333" s="34"/>
      <c r="CH333" s="236">
        <v>335780</v>
      </c>
      <c r="CI333" s="238">
        <f t="shared" si="127"/>
        <v>63798.200000000004</v>
      </c>
      <c r="CJ333" s="236">
        <f t="shared" si="128"/>
        <v>399578.2</v>
      </c>
      <c r="CK333" s="237" t="s">
        <v>317</v>
      </c>
      <c r="CL333" s="237" t="s">
        <v>252</v>
      </c>
      <c r="CM333" s="116"/>
      <c r="CN333" s="247"/>
      <c r="CO333" s="125"/>
      <c r="CP333" s="247"/>
      <c r="CQ333" s="116"/>
      <c r="CR333" s="116"/>
      <c r="CS333" s="116"/>
      <c r="CT333" s="247"/>
      <c r="CU333" s="125"/>
      <c r="CV333" s="247"/>
      <c r="CW333" s="116"/>
      <c r="CX333" s="116"/>
      <c r="CY333" s="116"/>
      <c r="CZ333" s="102"/>
      <c r="DA333" s="125"/>
      <c r="DB333" s="102"/>
      <c r="DC333" s="31"/>
      <c r="DD333" s="17"/>
      <c r="DE333" s="11"/>
      <c r="DF333" s="116"/>
      <c r="DG333" s="116"/>
      <c r="DH333" s="116"/>
      <c r="DI333" s="116"/>
      <c r="DJ333" s="116"/>
      <c r="DK333" s="116"/>
      <c r="DL333" s="116"/>
      <c r="DM333" s="116"/>
      <c r="DN333" s="116"/>
      <c r="DO333" s="116"/>
      <c r="DP333" s="116"/>
      <c r="DQ333" s="116"/>
      <c r="DR333" s="116"/>
      <c r="DS333" s="116"/>
      <c r="DT333" s="116"/>
      <c r="DU333" s="116"/>
      <c r="DV333" s="116"/>
      <c r="DW333" s="116"/>
      <c r="DX333" s="116"/>
      <c r="DY333" s="116"/>
      <c r="DZ333" s="116"/>
      <c r="EA333" s="116"/>
      <c r="EB333" s="116"/>
      <c r="EC333" s="116"/>
      <c r="ED333" s="116"/>
      <c r="EE333" s="116"/>
      <c r="EF333" s="116"/>
      <c r="EG333" s="116"/>
      <c r="EH333" s="116"/>
      <c r="EI333" s="116"/>
      <c r="EJ333" s="116"/>
      <c r="EK333" s="116"/>
      <c r="EL333" s="116"/>
      <c r="EM333" s="116"/>
      <c r="EN333" s="116"/>
      <c r="EO333" s="116"/>
      <c r="EP333" s="116"/>
      <c r="EQ333" s="116"/>
      <c r="ER333" s="116"/>
      <c r="ES333" s="116"/>
      <c r="ET333" s="11"/>
      <c r="EU333" s="11"/>
      <c r="EV333" s="11"/>
      <c r="EW333" s="11"/>
      <c r="EX333" s="11"/>
      <c r="EY333" s="11"/>
      <c r="EZ333" s="11"/>
      <c r="FA333" s="11"/>
      <c r="FB333" s="11"/>
      <c r="FC333" s="11"/>
      <c r="FD333" s="11"/>
      <c r="FE333" s="11"/>
      <c r="FF333" s="252"/>
      <c r="FG333" s="61"/>
      <c r="FH333" s="17">
        <f t="shared" si="119"/>
        <v>2631610.0300000003</v>
      </c>
      <c r="FI333" s="31">
        <f t="shared" si="120"/>
        <v>7</v>
      </c>
      <c r="FJ333" s="68">
        <f t="shared" si="121"/>
        <v>375944.29000000004</v>
      </c>
    </row>
    <row r="334" spans="1:166" ht="13.5" x14ac:dyDescent="0.25">
      <c r="A334" s="248">
        <f>Distribución_Reactivos!A334</f>
        <v>332</v>
      </c>
      <c r="B334" s="248" t="str">
        <f>Distribución_Reactivos!B334</f>
        <v>Polvo Extracto de Carne 1039790500</v>
      </c>
      <c r="C334" s="248" t="str">
        <f>Distribución_Reactivos!C334</f>
        <v>Merck</v>
      </c>
      <c r="D334" s="248" t="str">
        <f>Distribución_Reactivos!D334</f>
        <v>500 gr</v>
      </c>
      <c r="E334" s="29">
        <v>1</v>
      </c>
      <c r="F334" s="212">
        <v>0</v>
      </c>
      <c r="G334" s="214">
        <v>0</v>
      </c>
      <c r="H334" s="221">
        <v>0</v>
      </c>
      <c r="I334" s="221">
        <v>0</v>
      </c>
      <c r="J334" s="221">
        <v>0</v>
      </c>
      <c r="K334" s="221">
        <v>0</v>
      </c>
      <c r="L334" s="247"/>
      <c r="M334" s="247"/>
      <c r="N334" s="219">
        <v>1110000</v>
      </c>
      <c r="O334" s="97">
        <f>+N334*0.19</f>
        <v>210900</v>
      </c>
      <c r="P334" s="97">
        <f>+O334+N334</f>
        <v>1320900</v>
      </c>
      <c r="Q334" s="34" t="s">
        <v>118</v>
      </c>
      <c r="R334" s="116" t="s">
        <v>119</v>
      </c>
      <c r="S334" s="53" t="s">
        <v>209</v>
      </c>
      <c r="T334" s="97"/>
      <c r="U334" s="97"/>
      <c r="V334" s="97"/>
      <c r="W334" s="115"/>
      <c r="X334" s="115"/>
      <c r="Y334" s="11"/>
      <c r="Z334" s="97"/>
      <c r="AA334" s="97"/>
      <c r="AB334" s="97"/>
      <c r="AC334" s="44"/>
      <c r="AD334" s="44"/>
      <c r="AE334" s="11"/>
      <c r="AF334" s="102"/>
      <c r="AG334" s="125"/>
      <c r="AH334" s="97"/>
      <c r="AI334" s="11"/>
      <c r="AJ334" s="11"/>
      <c r="AK334" s="17"/>
      <c r="AL334" s="97"/>
      <c r="AM334" s="97"/>
      <c r="AN334" s="103"/>
      <c r="AO334" s="248"/>
      <c r="AP334" s="17"/>
      <c r="AQ334" s="17"/>
      <c r="AR334" s="252"/>
      <c r="AS334" s="252"/>
      <c r="AT334" s="252"/>
      <c r="AU334" s="42"/>
      <c r="AV334" s="52"/>
      <c r="AW334" s="11"/>
      <c r="AX334" s="100"/>
      <c r="AY334" s="172"/>
      <c r="AZ334" s="124"/>
      <c r="BA334" s="169"/>
      <c r="BB334" s="116"/>
      <c r="BC334" s="116"/>
      <c r="BD334" s="247"/>
      <c r="BE334" s="124"/>
      <c r="BF334" s="124"/>
      <c r="BG334" s="116"/>
      <c r="BH334" s="116"/>
      <c r="BI334" s="116"/>
      <c r="BJ334" s="124"/>
      <c r="BK334" s="124"/>
      <c r="BL334" s="124"/>
      <c r="BM334" s="116"/>
      <c r="BN334" s="116"/>
      <c r="BO334" s="116"/>
      <c r="BP334" s="124"/>
      <c r="BQ334" s="116"/>
      <c r="BR334" s="116"/>
      <c r="BS334" s="116"/>
      <c r="BT334" s="116"/>
      <c r="BU334" s="116"/>
      <c r="BV334" s="236">
        <v>2507800</v>
      </c>
      <c r="BW334" s="125">
        <f t="shared" si="130"/>
        <v>476482</v>
      </c>
      <c r="BX334" s="97">
        <f t="shared" si="129"/>
        <v>2984282</v>
      </c>
      <c r="BY334" s="237" t="s">
        <v>319</v>
      </c>
      <c r="BZ334" s="237" t="s">
        <v>93</v>
      </c>
      <c r="CA334" s="116"/>
      <c r="CB334" s="247"/>
      <c r="CC334" s="125"/>
      <c r="CD334" s="247"/>
      <c r="CE334" s="116"/>
      <c r="CF334" s="116"/>
      <c r="CG334" s="34"/>
      <c r="CH334" s="236"/>
      <c r="CI334" s="238"/>
      <c r="CJ334" s="236"/>
      <c r="CK334" s="237"/>
      <c r="CL334" s="237"/>
      <c r="CM334" s="116"/>
      <c r="CN334" s="247"/>
      <c r="CO334" s="125"/>
      <c r="CP334" s="247"/>
      <c r="CQ334" s="116"/>
      <c r="CR334" s="116"/>
      <c r="CS334" s="116"/>
      <c r="CT334" s="247"/>
      <c r="CU334" s="125"/>
      <c r="CV334" s="247"/>
      <c r="CW334" s="116"/>
      <c r="CX334" s="116"/>
      <c r="CY334" s="116"/>
      <c r="CZ334" s="102">
        <v>1504944</v>
      </c>
      <c r="DA334" s="125">
        <f>+CZ334*0.19</f>
        <v>285939.36</v>
      </c>
      <c r="DB334" s="102">
        <f>+CZ334+DA334</f>
        <v>1790883.3599999999</v>
      </c>
      <c r="DC334" s="31" t="s">
        <v>396</v>
      </c>
      <c r="DD334" s="17" t="s">
        <v>65</v>
      </c>
      <c r="DE334" s="11">
        <v>1039790500</v>
      </c>
      <c r="DF334" s="116"/>
      <c r="DG334" s="116"/>
      <c r="DH334" s="116"/>
      <c r="DI334" s="116"/>
      <c r="DJ334" s="116"/>
      <c r="DK334" s="116"/>
      <c r="DL334" s="116"/>
      <c r="DM334" s="116"/>
      <c r="DN334" s="116"/>
      <c r="DO334" s="116"/>
      <c r="DP334" s="116"/>
      <c r="DQ334" s="116"/>
      <c r="DR334" s="116"/>
      <c r="DS334" s="116"/>
      <c r="DT334" s="116"/>
      <c r="DU334" s="116"/>
      <c r="DV334" s="116"/>
      <c r="DW334" s="116"/>
      <c r="DX334" s="116"/>
      <c r="DY334" s="116"/>
      <c r="DZ334" s="116"/>
      <c r="EA334" s="116"/>
      <c r="EB334" s="116"/>
      <c r="EC334" s="116"/>
      <c r="ED334" s="116"/>
      <c r="EE334" s="116"/>
      <c r="EF334" s="116"/>
      <c r="EG334" s="116"/>
      <c r="EH334" s="116"/>
      <c r="EI334" s="116"/>
      <c r="EJ334" s="116"/>
      <c r="EK334" s="116"/>
      <c r="EL334" s="116"/>
      <c r="EM334" s="116"/>
      <c r="EN334" s="116"/>
      <c r="EO334" s="116"/>
      <c r="EP334" s="116"/>
      <c r="EQ334" s="116"/>
      <c r="ER334" s="116"/>
      <c r="ES334" s="116"/>
      <c r="ET334" s="11"/>
      <c r="EU334" s="11"/>
      <c r="EV334" s="11"/>
      <c r="EW334" s="11"/>
      <c r="EX334" s="11"/>
      <c r="EY334" s="11"/>
      <c r="EZ334" s="11"/>
      <c r="FA334" s="11"/>
      <c r="FB334" s="11"/>
      <c r="FC334" s="11"/>
      <c r="FD334" s="11"/>
      <c r="FE334" s="11"/>
      <c r="FF334" s="11"/>
      <c r="FG334" s="11"/>
      <c r="FH334" s="17">
        <f t="shared" si="119"/>
        <v>6096065.3599999994</v>
      </c>
      <c r="FI334" s="31">
        <f t="shared" si="120"/>
        <v>3</v>
      </c>
      <c r="FJ334" s="68">
        <f t="shared" si="121"/>
        <v>2032021.7866666664</v>
      </c>
    </row>
    <row r="335" spans="1:166" ht="25.5" x14ac:dyDescent="0.25">
      <c r="A335" s="248">
        <f>Distribución_Reactivos!A335</f>
        <v>333</v>
      </c>
      <c r="B335" s="248" t="str">
        <f>Distribución_Reactivos!B335</f>
        <v>Potasio cloruro en solución (nominal 111 mS/cm)</v>
      </c>
      <c r="C335" s="248" t="str">
        <f>Distribución_Reactivos!C335</f>
        <v>Cualquier marca</v>
      </c>
      <c r="D335" s="248" t="str">
        <f>Distribución_Reactivos!D335</f>
        <v>Frasco x 500 ml</v>
      </c>
      <c r="E335" s="29">
        <v>1</v>
      </c>
      <c r="F335" s="212">
        <v>0</v>
      </c>
      <c r="G335" s="214">
        <v>0</v>
      </c>
      <c r="H335" s="221">
        <v>0</v>
      </c>
      <c r="I335" s="221">
        <v>0</v>
      </c>
      <c r="J335" s="221">
        <v>718232.43333333323</v>
      </c>
      <c r="K335" s="221">
        <v>0</v>
      </c>
      <c r="L335" s="247">
        <f>J335</f>
        <v>718232.43333333323</v>
      </c>
      <c r="M335" s="247"/>
      <c r="N335" s="217"/>
      <c r="O335" s="97"/>
      <c r="P335" s="97"/>
      <c r="Q335" s="115"/>
      <c r="R335" s="115"/>
      <c r="S335" s="53"/>
      <c r="T335" s="97"/>
      <c r="U335" s="97"/>
      <c r="V335" s="97"/>
      <c r="W335" s="115"/>
      <c r="X335" s="115"/>
      <c r="Y335" s="11"/>
      <c r="Z335" s="97"/>
      <c r="AA335" s="97"/>
      <c r="AB335" s="97"/>
      <c r="AC335" s="44"/>
      <c r="AD335" s="44"/>
      <c r="AE335" s="11"/>
      <c r="AF335" s="102"/>
      <c r="AG335" s="125"/>
      <c r="AH335" s="97"/>
      <c r="AI335" s="11"/>
      <c r="AJ335" s="11"/>
      <c r="AK335" s="17"/>
      <c r="AL335" s="97"/>
      <c r="AM335" s="97"/>
      <c r="AN335" s="101"/>
      <c r="AO335" s="248"/>
      <c r="AP335" s="17"/>
      <c r="AQ335" s="17"/>
      <c r="AR335" s="252"/>
      <c r="AS335" s="252"/>
      <c r="AT335" s="252"/>
      <c r="AU335" s="52"/>
      <c r="AV335" s="52"/>
      <c r="AW335" s="11"/>
      <c r="AX335" s="100"/>
      <c r="AY335" s="100"/>
      <c r="AZ335" s="124"/>
      <c r="BA335" s="169"/>
      <c r="BB335" s="116"/>
      <c r="BC335" s="116"/>
      <c r="BD335" s="247"/>
      <c r="BE335" s="124"/>
      <c r="BF335" s="124"/>
      <c r="BG335" s="116"/>
      <c r="BH335" s="116"/>
      <c r="BI335" s="116"/>
      <c r="BJ335" s="124"/>
      <c r="BK335" s="124"/>
      <c r="BL335" s="124"/>
      <c r="BM335" s="116"/>
      <c r="BN335" s="116"/>
      <c r="BO335" s="116"/>
      <c r="BP335" s="124"/>
      <c r="BQ335" s="116"/>
      <c r="BR335" s="116"/>
      <c r="BS335" s="116"/>
      <c r="BT335" s="116"/>
      <c r="BU335" s="116"/>
      <c r="BV335" s="236">
        <v>1104500</v>
      </c>
      <c r="BW335" s="125">
        <f t="shared" si="130"/>
        <v>209855</v>
      </c>
      <c r="BX335" s="97">
        <f t="shared" si="129"/>
        <v>1314355</v>
      </c>
      <c r="BY335" s="237" t="s">
        <v>339</v>
      </c>
      <c r="BZ335" s="237" t="s">
        <v>93</v>
      </c>
      <c r="CA335" s="116"/>
      <c r="CB335" s="247"/>
      <c r="CC335" s="125"/>
      <c r="CD335" s="247"/>
      <c r="CE335" s="116"/>
      <c r="CF335" s="116"/>
      <c r="CG335" s="34"/>
      <c r="CH335" s="236">
        <v>1170770</v>
      </c>
      <c r="CI335" s="238">
        <f>+CH335*0.19</f>
        <v>222446.3</v>
      </c>
      <c r="CJ335" s="236">
        <f>+CH335+CI335</f>
        <v>1393216.3</v>
      </c>
      <c r="CK335" s="237" t="s">
        <v>339</v>
      </c>
      <c r="CL335" s="237" t="s">
        <v>93</v>
      </c>
      <c r="CM335" s="116"/>
      <c r="CN335" s="247"/>
      <c r="CO335" s="125"/>
      <c r="CP335" s="247"/>
      <c r="CQ335" s="116"/>
      <c r="CR335" s="116"/>
      <c r="CS335" s="116"/>
      <c r="CT335" s="247"/>
      <c r="CU335" s="125"/>
      <c r="CV335" s="247"/>
      <c r="CW335" s="116"/>
      <c r="CX335" s="116"/>
      <c r="CY335" s="116"/>
      <c r="CZ335" s="102"/>
      <c r="DA335" s="125"/>
      <c r="DB335" s="102"/>
      <c r="DC335" s="31"/>
      <c r="DD335" s="17"/>
      <c r="DE335" s="11"/>
      <c r="DF335" s="116"/>
      <c r="DG335" s="116"/>
      <c r="DH335" s="116"/>
      <c r="DI335" s="116"/>
      <c r="DJ335" s="116"/>
      <c r="DK335" s="116"/>
      <c r="DL335" s="116"/>
      <c r="DM335" s="116"/>
      <c r="DN335" s="116"/>
      <c r="DO335" s="116"/>
      <c r="DP335" s="116"/>
      <c r="DQ335" s="116"/>
      <c r="DR335" s="116"/>
      <c r="DS335" s="116"/>
      <c r="DT335" s="116"/>
      <c r="DU335" s="116"/>
      <c r="DV335" s="116"/>
      <c r="DW335" s="116"/>
      <c r="DX335" s="116"/>
      <c r="DY335" s="116"/>
      <c r="DZ335" s="116"/>
      <c r="EA335" s="116"/>
      <c r="EB335" s="116"/>
      <c r="EC335" s="116"/>
      <c r="ED335" s="116"/>
      <c r="EE335" s="116"/>
      <c r="EF335" s="116"/>
      <c r="EG335" s="116"/>
      <c r="EH335" s="116"/>
      <c r="EI335" s="116"/>
      <c r="EJ335" s="116"/>
      <c r="EK335" s="116"/>
      <c r="EL335" s="116"/>
      <c r="EM335" s="116"/>
      <c r="EN335" s="116"/>
      <c r="EO335" s="116"/>
      <c r="EP335" s="116"/>
      <c r="EQ335" s="116"/>
      <c r="ER335" s="116"/>
      <c r="ES335" s="116"/>
      <c r="ET335" s="11"/>
      <c r="EU335" s="11"/>
      <c r="EV335" s="11"/>
      <c r="EW335" s="11"/>
      <c r="EX335" s="11"/>
      <c r="EY335" s="11"/>
      <c r="EZ335" s="11"/>
      <c r="FA335" s="11"/>
      <c r="FB335" s="11"/>
      <c r="FC335" s="11"/>
      <c r="FD335" s="11"/>
      <c r="FE335" s="11"/>
      <c r="FF335" s="11"/>
      <c r="FG335" s="11"/>
      <c r="FH335" s="17">
        <f t="shared" si="119"/>
        <v>2707571.3</v>
      </c>
      <c r="FI335" s="31">
        <f t="shared" si="120"/>
        <v>2</v>
      </c>
      <c r="FJ335" s="68">
        <f t="shared" si="121"/>
        <v>1353785.65</v>
      </c>
    </row>
    <row r="336" spans="1:166" ht="25.5" x14ac:dyDescent="0.25">
      <c r="A336" s="248">
        <f>Distribución_Reactivos!A336</f>
        <v>334</v>
      </c>
      <c r="B336" s="248" t="str">
        <f>Distribución_Reactivos!B336</f>
        <v>Potasio cloruro en solución (nominal 12,8 mS/cm)</v>
      </c>
      <c r="C336" s="248" t="str">
        <f>Distribución_Reactivos!C336</f>
        <v>Cualquier marca</v>
      </c>
      <c r="D336" s="248" t="str">
        <f>Distribución_Reactivos!D336</f>
        <v>Frasco x 500 ml</v>
      </c>
      <c r="E336" s="29">
        <v>1</v>
      </c>
      <c r="F336" s="212">
        <v>0</v>
      </c>
      <c r="G336" s="214">
        <v>0</v>
      </c>
      <c r="H336" s="221">
        <v>0</v>
      </c>
      <c r="I336" s="221">
        <v>0</v>
      </c>
      <c r="J336" s="221">
        <v>1444001.5333333332</v>
      </c>
      <c r="K336" s="221">
        <v>0</v>
      </c>
      <c r="L336" s="247">
        <f>J336</f>
        <v>1444001.5333333332</v>
      </c>
      <c r="M336" s="247"/>
      <c r="N336" s="217"/>
      <c r="O336" s="97"/>
      <c r="P336" s="97"/>
      <c r="Q336" s="98"/>
      <c r="R336" s="98"/>
      <c r="S336" s="110"/>
      <c r="T336" s="97"/>
      <c r="U336" s="97"/>
      <c r="V336" s="97"/>
      <c r="W336" s="9"/>
      <c r="X336" s="9"/>
      <c r="Y336" s="11"/>
      <c r="Z336" s="97"/>
      <c r="AA336" s="97"/>
      <c r="AB336" s="97"/>
      <c r="AC336" s="44"/>
      <c r="AD336" s="44"/>
      <c r="AE336" s="11"/>
      <c r="AF336" s="102"/>
      <c r="AG336" s="125"/>
      <c r="AH336" s="97"/>
      <c r="AI336" s="11"/>
      <c r="AJ336" s="11"/>
      <c r="AK336" s="11"/>
      <c r="AL336" s="97"/>
      <c r="AM336" s="97"/>
      <c r="AN336" s="97"/>
      <c r="AO336" s="248"/>
      <c r="AP336" s="11"/>
      <c r="AQ336" s="11"/>
      <c r="AR336" s="252"/>
      <c r="AS336" s="252"/>
      <c r="AT336" s="252"/>
      <c r="AU336" s="52"/>
      <c r="AV336" s="42"/>
      <c r="AW336" s="11"/>
      <c r="AX336" s="252"/>
      <c r="AY336" s="252"/>
      <c r="AZ336" s="252"/>
      <c r="BA336" s="11"/>
      <c r="BB336" s="11"/>
      <c r="BC336" s="11"/>
      <c r="BD336" s="247"/>
      <c r="BE336" s="124"/>
      <c r="BF336" s="124"/>
      <c r="BG336" s="116"/>
      <c r="BH336" s="11"/>
      <c r="BI336" s="116"/>
      <c r="BJ336" s="124"/>
      <c r="BK336" s="124"/>
      <c r="BL336" s="124"/>
      <c r="BM336" s="116"/>
      <c r="BN336" s="116"/>
      <c r="BO336" s="116"/>
      <c r="BP336" s="124"/>
      <c r="BQ336" s="116"/>
      <c r="BR336" s="116"/>
      <c r="BS336" s="116"/>
      <c r="BT336" s="116"/>
      <c r="BU336" s="116"/>
      <c r="BV336" s="236">
        <v>2209000</v>
      </c>
      <c r="BW336" s="125">
        <f t="shared" si="130"/>
        <v>419710</v>
      </c>
      <c r="BX336" s="97">
        <f t="shared" si="129"/>
        <v>2628710</v>
      </c>
      <c r="BY336" s="237" t="s">
        <v>339</v>
      </c>
      <c r="BZ336" s="237" t="s">
        <v>93</v>
      </c>
      <c r="CA336" s="116"/>
      <c r="CB336" s="247"/>
      <c r="CC336" s="125"/>
      <c r="CD336" s="247"/>
      <c r="CE336" s="116"/>
      <c r="CF336" s="116"/>
      <c r="CG336" s="34"/>
      <c r="CH336" s="236">
        <v>2231090</v>
      </c>
      <c r="CI336" s="238">
        <f>+CH336*0.19</f>
        <v>423907.1</v>
      </c>
      <c r="CJ336" s="236">
        <f>+CH336+CI336</f>
        <v>2654997.1</v>
      </c>
      <c r="CK336" s="237" t="s">
        <v>339</v>
      </c>
      <c r="CL336" s="237" t="s">
        <v>93</v>
      </c>
      <c r="CM336" s="11"/>
      <c r="CN336" s="247"/>
      <c r="CO336" s="125"/>
      <c r="CP336" s="247"/>
      <c r="CQ336" s="9"/>
      <c r="CR336" s="9"/>
      <c r="CS336" s="13"/>
      <c r="CT336" s="247"/>
      <c r="CU336" s="125"/>
      <c r="CV336" s="247"/>
      <c r="CW336" s="116"/>
      <c r="CX336" s="116"/>
      <c r="CY336" s="116"/>
      <c r="CZ336" s="102"/>
      <c r="DA336" s="125"/>
      <c r="DB336" s="102"/>
      <c r="DC336" s="31"/>
      <c r="DD336" s="17"/>
      <c r="DE336" s="11"/>
      <c r="DF336" s="116"/>
      <c r="DG336" s="116"/>
      <c r="DH336" s="116"/>
      <c r="DI336" s="116"/>
      <c r="DJ336" s="116"/>
      <c r="DK336" s="116"/>
      <c r="DL336" s="116"/>
      <c r="DM336" s="116"/>
      <c r="DN336" s="116"/>
      <c r="DO336" s="116"/>
      <c r="DP336" s="116"/>
      <c r="DQ336" s="116"/>
      <c r="DR336" s="116"/>
      <c r="DS336" s="116"/>
      <c r="DT336" s="116"/>
      <c r="DU336" s="116"/>
      <c r="DV336" s="116"/>
      <c r="DW336" s="116"/>
      <c r="DX336" s="116"/>
      <c r="DY336" s="116"/>
      <c r="DZ336" s="116"/>
      <c r="EA336" s="116"/>
      <c r="EB336" s="116"/>
      <c r="EC336" s="116"/>
      <c r="ED336" s="116"/>
      <c r="EE336" s="116"/>
      <c r="EF336" s="116"/>
      <c r="EG336" s="116"/>
      <c r="EH336" s="116"/>
      <c r="EI336" s="116"/>
      <c r="EJ336" s="116"/>
      <c r="EK336" s="116"/>
      <c r="EL336" s="116"/>
      <c r="EM336" s="116"/>
      <c r="EN336" s="116"/>
      <c r="EO336" s="116"/>
      <c r="EP336" s="116"/>
      <c r="EQ336" s="116"/>
      <c r="ER336" s="116"/>
      <c r="ES336" s="116"/>
      <c r="ET336" s="11"/>
      <c r="EU336" s="11"/>
      <c r="EV336" s="11"/>
      <c r="EW336" s="11"/>
      <c r="EX336" s="11"/>
      <c r="EY336" s="11"/>
      <c r="EZ336" s="11"/>
      <c r="FA336" s="11"/>
      <c r="FB336" s="11"/>
      <c r="FC336" s="11"/>
      <c r="FD336" s="11"/>
      <c r="FE336" s="11"/>
      <c r="FF336" s="11"/>
      <c r="FG336" s="11"/>
      <c r="FH336" s="17">
        <f t="shared" si="119"/>
        <v>5283707.0999999996</v>
      </c>
      <c r="FI336" s="31">
        <f t="shared" si="120"/>
        <v>2</v>
      </c>
      <c r="FJ336" s="68">
        <f t="shared" si="121"/>
        <v>2641853.5499999998</v>
      </c>
    </row>
    <row r="337" spans="1:166" ht="25.5" x14ac:dyDescent="0.25">
      <c r="A337" s="248">
        <f>Distribución_Reactivos!A337</f>
        <v>335</v>
      </c>
      <c r="B337" s="248" t="str">
        <f>Distribución_Reactivos!B337</f>
        <v>Propilenglicol grado industrial USP</v>
      </c>
      <c r="C337" s="248" t="str">
        <f>Distribución_Reactivos!C337</f>
        <v>Merck o  equivalentes</v>
      </c>
      <c r="D337" s="248" t="str">
        <f>Distribución_Reactivos!D337</f>
        <v>Garrafa 2 gl</v>
      </c>
      <c r="E337" s="29">
        <v>1</v>
      </c>
      <c r="F337" s="212">
        <v>0</v>
      </c>
      <c r="G337" s="214">
        <v>0</v>
      </c>
      <c r="H337" s="221">
        <v>1305850.6666666667</v>
      </c>
      <c r="I337" s="221">
        <v>0</v>
      </c>
      <c r="J337" s="221">
        <v>0</v>
      </c>
      <c r="K337" s="221">
        <v>0</v>
      </c>
      <c r="L337" s="247">
        <f>H337</f>
        <v>1305850.6666666667</v>
      </c>
      <c r="M337" s="247"/>
      <c r="N337" s="217"/>
      <c r="O337" s="97"/>
      <c r="P337" s="97"/>
      <c r="Q337" s="115"/>
      <c r="R337" s="115"/>
      <c r="S337" s="53"/>
      <c r="T337" s="97"/>
      <c r="U337" s="101"/>
      <c r="V337" s="97"/>
      <c r="W337" s="115"/>
      <c r="X337" s="115"/>
      <c r="Y337" s="11"/>
      <c r="Z337" s="97"/>
      <c r="AA337" s="97"/>
      <c r="AB337" s="97"/>
      <c r="AC337" s="44"/>
      <c r="AD337" s="44"/>
      <c r="AE337" s="11"/>
      <c r="AF337" s="102"/>
      <c r="AG337" s="125"/>
      <c r="AH337" s="97"/>
      <c r="AI337" s="11"/>
      <c r="AJ337" s="11"/>
      <c r="AK337" s="17"/>
      <c r="AL337" s="97">
        <v>998000</v>
      </c>
      <c r="AM337" s="97">
        <f>+AL337*0.19</f>
        <v>189620</v>
      </c>
      <c r="AN337" s="103">
        <f>+AL337+AM337</f>
        <v>1187620</v>
      </c>
      <c r="AO337" s="248" t="s">
        <v>312</v>
      </c>
      <c r="AP337" s="17" t="s">
        <v>52</v>
      </c>
      <c r="AQ337" s="17"/>
      <c r="AR337" s="252">
        <v>231260</v>
      </c>
      <c r="AS337" s="124">
        <f>+AR337*0.19</f>
        <v>43939.4</v>
      </c>
      <c r="AT337" s="100">
        <f>+AR337+AS337</f>
        <v>275199.40000000002</v>
      </c>
      <c r="AU337" s="52" t="s">
        <v>397</v>
      </c>
      <c r="AV337" s="42" t="s">
        <v>52</v>
      </c>
      <c r="AW337" s="11"/>
      <c r="AX337" s="100"/>
      <c r="AY337" s="100"/>
      <c r="AZ337" s="124"/>
      <c r="BA337" s="169"/>
      <c r="BB337" s="116"/>
      <c r="BC337" s="116"/>
      <c r="BD337" s="247"/>
      <c r="BE337" s="124"/>
      <c r="BF337" s="124"/>
      <c r="BG337" s="116"/>
      <c r="BH337" s="116"/>
      <c r="BI337" s="116"/>
      <c r="BJ337" s="124"/>
      <c r="BK337" s="124"/>
      <c r="BL337" s="124"/>
      <c r="BM337" s="116"/>
      <c r="BN337" s="116"/>
      <c r="BO337" s="116"/>
      <c r="BP337" s="124"/>
      <c r="BQ337" s="116"/>
      <c r="BR337" s="116"/>
      <c r="BS337" s="116"/>
      <c r="BT337" s="116"/>
      <c r="BU337" s="116"/>
      <c r="BV337" s="236">
        <v>446600</v>
      </c>
      <c r="BW337" s="125">
        <f t="shared" si="130"/>
        <v>84854</v>
      </c>
      <c r="BX337" s="97">
        <f>+BV337+BW337</f>
        <v>531454</v>
      </c>
      <c r="BY337" s="237" t="s">
        <v>308</v>
      </c>
      <c r="BZ337" s="237" t="s">
        <v>93</v>
      </c>
      <c r="CA337" s="116"/>
      <c r="CB337" s="247"/>
      <c r="CC337" s="125"/>
      <c r="CD337" s="247"/>
      <c r="CE337" s="116"/>
      <c r="CF337" s="116"/>
      <c r="CG337" s="34"/>
      <c r="CH337" s="236">
        <v>477862</v>
      </c>
      <c r="CI337" s="238">
        <f>+CH337*0.19</f>
        <v>90793.78</v>
      </c>
      <c r="CJ337" s="236">
        <f>+CH337+CI337</f>
        <v>568655.78</v>
      </c>
      <c r="CK337" s="237" t="s">
        <v>308</v>
      </c>
      <c r="CL337" s="237" t="s">
        <v>93</v>
      </c>
      <c r="CM337" s="116"/>
      <c r="CN337" s="247"/>
      <c r="CO337" s="125"/>
      <c r="CP337" s="247"/>
      <c r="CQ337" s="116"/>
      <c r="CR337" s="116"/>
      <c r="CS337" s="116"/>
      <c r="CT337" s="247"/>
      <c r="CU337" s="125"/>
      <c r="CV337" s="247"/>
      <c r="CW337" s="116"/>
      <c r="CX337" s="116"/>
      <c r="CY337" s="116"/>
      <c r="CZ337" s="102"/>
      <c r="DA337" s="125"/>
      <c r="DB337" s="102"/>
      <c r="DC337" s="31"/>
      <c r="DD337" s="17"/>
      <c r="DE337" s="11"/>
      <c r="DF337" s="116"/>
      <c r="DG337" s="116"/>
      <c r="DH337" s="116"/>
      <c r="DI337" s="116"/>
      <c r="DJ337" s="116"/>
      <c r="DK337" s="116"/>
      <c r="DL337" s="116"/>
      <c r="DM337" s="116"/>
      <c r="DN337" s="116"/>
      <c r="DO337" s="116"/>
      <c r="DP337" s="116"/>
      <c r="DQ337" s="116"/>
      <c r="DR337" s="116"/>
      <c r="DS337" s="116"/>
      <c r="DT337" s="116"/>
      <c r="DU337" s="116"/>
      <c r="DV337" s="116"/>
      <c r="DW337" s="116"/>
      <c r="DX337" s="116"/>
      <c r="DY337" s="116"/>
      <c r="DZ337" s="116"/>
      <c r="EA337" s="116"/>
      <c r="EB337" s="116"/>
      <c r="EC337" s="116"/>
      <c r="ED337" s="116"/>
      <c r="EE337" s="116"/>
      <c r="EF337" s="116"/>
      <c r="EG337" s="116"/>
      <c r="EH337" s="116"/>
      <c r="EI337" s="116"/>
      <c r="EJ337" s="116"/>
      <c r="EK337" s="116"/>
      <c r="EL337" s="116"/>
      <c r="EM337" s="116"/>
      <c r="EN337" s="116"/>
      <c r="EO337" s="116"/>
      <c r="EP337" s="116"/>
      <c r="EQ337" s="116"/>
      <c r="ER337" s="116"/>
      <c r="ES337" s="116"/>
      <c r="ET337" s="11"/>
      <c r="EU337" s="11"/>
      <c r="EV337" s="11"/>
      <c r="EW337" s="11"/>
      <c r="EX337" s="11"/>
      <c r="EY337" s="11"/>
      <c r="EZ337" s="11"/>
      <c r="FA337" s="11"/>
      <c r="FB337" s="11"/>
      <c r="FC337" s="11"/>
      <c r="FD337" s="11"/>
      <c r="FE337" s="11"/>
      <c r="FF337" s="11"/>
      <c r="FG337" s="11"/>
      <c r="FH337" s="17">
        <f t="shared" ref="FH337:FH377" si="131">SUM(M337,P337,V337,AB337,AH337,AN337,AT337,AZ337,BF337,BL337,BR337,BX337,CD337,CJ337,CP337,CV337,DB337,DH337,DN337,DT337,DZ337,EF337,EL337,ER337,EX337,FD337)</f>
        <v>2562929.1799999997</v>
      </c>
      <c r="FI337" s="31">
        <f t="shared" ref="FI337:FI377" si="132">COUNTA(M337,N337,T337,Z337,AF337,AL337,AR337,AX337,BD337,BJ337,BP337,BV337,CB337,CH337,CN337,CT337,CZ337,DF337,DL337,DR337,DX337,ED337,EJ337,EP337,EV337,FB337)</f>
        <v>4</v>
      </c>
      <c r="FJ337" s="68">
        <f t="shared" ref="FJ337:FJ377" si="133">IFERROR(FH337/FI337," ")</f>
        <v>640732.29499999993</v>
      </c>
    </row>
    <row r="338" spans="1:166" ht="63.75" x14ac:dyDescent="0.25">
      <c r="A338" s="248">
        <f>Distribución_Reactivos!A338</f>
        <v>336</v>
      </c>
      <c r="B338" s="248" t="str">
        <f>Distribución_Reactivos!B338</f>
        <v>Proteinase K, lista para usar</v>
      </c>
      <c r="C338" s="248" t="str">
        <f>Distribución_Reactivos!C338</f>
        <v>S3020 Merck (124568) o equivalentes</v>
      </c>
      <c r="D338" s="248" t="str">
        <f>Distribución_Reactivos!D338</f>
        <v>unidad o 100 mg</v>
      </c>
      <c r="E338" s="29">
        <v>1</v>
      </c>
      <c r="F338" s="212">
        <v>0</v>
      </c>
      <c r="G338" s="214">
        <v>0</v>
      </c>
      <c r="H338" s="221">
        <v>1607690</v>
      </c>
      <c r="I338" s="221">
        <v>0</v>
      </c>
      <c r="J338" s="221">
        <v>0</v>
      </c>
      <c r="K338" s="221">
        <v>0</v>
      </c>
      <c r="L338" s="247">
        <f>H338</f>
        <v>1607690</v>
      </c>
      <c r="M338" s="247"/>
      <c r="N338" s="217"/>
      <c r="O338" s="97"/>
      <c r="P338" s="97"/>
      <c r="Q338" s="44"/>
      <c r="R338" s="44"/>
      <c r="S338" s="5"/>
      <c r="T338" s="97"/>
      <c r="U338" s="97"/>
      <c r="V338" s="97"/>
      <c r="W338" s="11"/>
      <c r="X338" s="11"/>
      <c r="Y338" s="11"/>
      <c r="Z338" s="97"/>
      <c r="AA338" s="97"/>
      <c r="AB338" s="97"/>
      <c r="AC338" s="44"/>
      <c r="AD338" s="44"/>
      <c r="AE338" s="11"/>
      <c r="AF338" s="102"/>
      <c r="AG338" s="125"/>
      <c r="AH338" s="97"/>
      <c r="AI338" s="11"/>
      <c r="AJ338" s="11"/>
      <c r="AK338" s="11"/>
      <c r="AL338" s="97"/>
      <c r="AM338" s="97"/>
      <c r="AN338" s="97"/>
      <c r="AO338" s="248"/>
      <c r="AP338" s="11"/>
      <c r="AQ338" s="11"/>
      <c r="AR338" s="252">
        <v>451785</v>
      </c>
      <c r="AS338" s="124">
        <f>+AR338*0.19</f>
        <v>85839.15</v>
      </c>
      <c r="AT338" s="100">
        <f>+AR338+AS338</f>
        <v>537624.15</v>
      </c>
      <c r="AU338" s="42" t="s">
        <v>398</v>
      </c>
      <c r="AV338" s="42" t="s">
        <v>399</v>
      </c>
      <c r="AW338" s="11"/>
      <c r="AX338" s="176"/>
      <c r="AY338" s="176"/>
      <c r="AZ338" s="177"/>
      <c r="BA338" s="6"/>
      <c r="BB338" s="6"/>
      <c r="BC338" s="11"/>
      <c r="BD338" s="247"/>
      <c r="BE338" s="124"/>
      <c r="BF338" s="124"/>
      <c r="BG338" s="116"/>
      <c r="BH338" s="11"/>
      <c r="BI338" s="116"/>
      <c r="BJ338" s="124"/>
      <c r="BK338" s="124"/>
      <c r="BL338" s="124"/>
      <c r="BM338" s="116"/>
      <c r="BN338" s="116"/>
      <c r="BO338" s="116"/>
      <c r="BP338" s="124">
        <v>350200</v>
      </c>
      <c r="BQ338" s="125">
        <f>BP338*19%</f>
        <v>66538</v>
      </c>
      <c r="BR338" s="97">
        <f>+BP338+BQ338</f>
        <v>416738</v>
      </c>
      <c r="BS338" s="183" t="s">
        <v>140</v>
      </c>
      <c r="BT338" s="34" t="s">
        <v>400</v>
      </c>
      <c r="BU338" s="5" t="s">
        <v>401</v>
      </c>
      <c r="BV338" s="236">
        <v>1111000</v>
      </c>
      <c r="BW338" s="125">
        <f t="shared" si="130"/>
        <v>211090</v>
      </c>
      <c r="BX338" s="97">
        <f>+BV338+BW338</f>
        <v>1322090</v>
      </c>
      <c r="BY338" s="237" t="s">
        <v>288</v>
      </c>
      <c r="BZ338" s="237" t="s">
        <v>93</v>
      </c>
      <c r="CA338" s="116"/>
      <c r="CB338" s="247"/>
      <c r="CC338" s="125"/>
      <c r="CD338" s="247"/>
      <c r="CE338" s="116"/>
      <c r="CF338" s="116"/>
      <c r="CG338" s="34"/>
      <c r="CH338" s="236">
        <v>1177660</v>
      </c>
      <c r="CI338" s="238">
        <f>+CH338*0.19</f>
        <v>223755.4</v>
      </c>
      <c r="CJ338" s="236">
        <f>+CH338+CI338</f>
        <v>1401415.4</v>
      </c>
      <c r="CK338" s="237" t="s">
        <v>288</v>
      </c>
      <c r="CL338" s="237" t="s">
        <v>93</v>
      </c>
      <c r="CM338" s="116"/>
      <c r="CN338" s="247"/>
      <c r="CO338" s="125"/>
      <c r="CP338" s="247"/>
      <c r="CQ338" s="116"/>
      <c r="CR338" s="116"/>
      <c r="CS338" s="116"/>
      <c r="CT338" s="247"/>
      <c r="CU338" s="125"/>
      <c r="CV338" s="247"/>
      <c r="CW338" s="116"/>
      <c r="CX338" s="116"/>
      <c r="CY338" s="116"/>
      <c r="CZ338" s="102"/>
      <c r="DA338" s="125"/>
      <c r="DB338" s="102"/>
      <c r="DC338" s="31"/>
      <c r="DD338" s="17"/>
      <c r="DE338" s="11"/>
      <c r="DF338" s="116"/>
      <c r="DG338" s="116"/>
      <c r="DH338" s="116"/>
      <c r="DI338" s="116"/>
      <c r="DJ338" s="116"/>
      <c r="DK338" s="116"/>
      <c r="DL338" s="116"/>
      <c r="DM338" s="116"/>
      <c r="DN338" s="116"/>
      <c r="DO338" s="116"/>
      <c r="DP338" s="116"/>
      <c r="DQ338" s="116"/>
      <c r="DR338" s="116"/>
      <c r="DS338" s="116"/>
      <c r="DT338" s="116"/>
      <c r="DU338" s="116"/>
      <c r="DV338" s="116"/>
      <c r="DW338" s="116"/>
      <c r="DX338" s="116"/>
      <c r="DY338" s="116"/>
      <c r="DZ338" s="116"/>
      <c r="EA338" s="116"/>
      <c r="EB338" s="116"/>
      <c r="EC338" s="116"/>
      <c r="ED338" s="116"/>
      <c r="EE338" s="116"/>
      <c r="EF338" s="116"/>
      <c r="EG338" s="116"/>
      <c r="EH338" s="116"/>
      <c r="EI338" s="116"/>
      <c r="EJ338" s="116"/>
      <c r="EK338" s="116"/>
      <c r="EL338" s="116"/>
      <c r="EM338" s="116"/>
      <c r="EN338" s="116"/>
      <c r="EO338" s="116"/>
      <c r="EP338" s="116"/>
      <c r="EQ338" s="116"/>
      <c r="ER338" s="116"/>
      <c r="ES338" s="116"/>
      <c r="ET338" s="11"/>
      <c r="EU338" s="11"/>
      <c r="EV338" s="11"/>
      <c r="EW338" s="11"/>
      <c r="EX338" s="11"/>
      <c r="EY338" s="11"/>
      <c r="EZ338" s="11"/>
      <c r="FA338" s="11"/>
      <c r="FB338" s="11"/>
      <c r="FC338" s="11"/>
      <c r="FD338" s="11"/>
      <c r="FE338" s="11"/>
      <c r="FF338" s="11"/>
      <c r="FG338" s="11"/>
      <c r="FH338" s="17">
        <f t="shared" si="131"/>
        <v>3677867.55</v>
      </c>
      <c r="FI338" s="31">
        <f t="shared" si="132"/>
        <v>4</v>
      </c>
      <c r="FJ338" s="68">
        <f t="shared" si="133"/>
        <v>919466.88749999995</v>
      </c>
    </row>
    <row r="339" spans="1:166" ht="81" x14ac:dyDescent="0.25">
      <c r="A339" s="248">
        <f>Distribución_Reactivos!A339</f>
        <v>337</v>
      </c>
      <c r="B339" s="248" t="str">
        <f>Distribución_Reactivos!B339</f>
        <v>Puretaq ready to go PCR beads. Premezcla para optimizar amplificaciones de PCR</v>
      </c>
      <c r="C339" s="248" t="str">
        <f>Distribución_Reactivos!C339</f>
        <v xml:space="preserve">General Electric  27-9559-01 </v>
      </c>
      <c r="D339" s="248" t="str">
        <f>Distribución_Reactivos!D339</f>
        <v>Kit x 96</v>
      </c>
      <c r="E339" s="29">
        <v>1</v>
      </c>
      <c r="F339" s="212">
        <v>0</v>
      </c>
      <c r="G339" s="214">
        <v>0</v>
      </c>
      <c r="H339" s="221">
        <v>1406580</v>
      </c>
      <c r="I339" s="221">
        <v>1404200</v>
      </c>
      <c r="J339" s="221">
        <v>1093985.3663243002</v>
      </c>
      <c r="K339" s="221">
        <v>1088850</v>
      </c>
      <c r="L339" s="247">
        <f>AVERAGE(H339,J339)</f>
        <v>1250282.68316215</v>
      </c>
      <c r="M339" s="247">
        <f>AVERAGE(I339,K339)*E1</f>
        <v>1283920.75</v>
      </c>
      <c r="N339" s="217"/>
      <c r="O339" s="97"/>
      <c r="P339" s="97"/>
      <c r="Q339" s="115"/>
      <c r="R339" s="115"/>
      <c r="S339" s="53"/>
      <c r="T339" s="97"/>
      <c r="U339" s="97"/>
      <c r="V339" s="97"/>
      <c r="W339" s="115"/>
      <c r="X339" s="115"/>
      <c r="Y339" s="11"/>
      <c r="Z339" s="97"/>
      <c r="AA339" s="97"/>
      <c r="AB339" s="97"/>
      <c r="AC339" s="44"/>
      <c r="AD339" s="44"/>
      <c r="AE339" s="11"/>
      <c r="AF339" s="102"/>
      <c r="AG339" s="125"/>
      <c r="AH339" s="97"/>
      <c r="AI339" s="11"/>
      <c r="AJ339" s="11"/>
      <c r="AK339" s="17"/>
      <c r="AL339" s="97"/>
      <c r="AM339" s="97"/>
      <c r="AN339" s="101"/>
      <c r="AO339" s="248"/>
      <c r="AP339" s="17"/>
      <c r="AQ339" s="17"/>
      <c r="AR339" s="252"/>
      <c r="AS339" s="252"/>
      <c r="AT339" s="252"/>
      <c r="AU339" s="42"/>
      <c r="AV339" s="52"/>
      <c r="AW339" s="11"/>
      <c r="AX339" s="100"/>
      <c r="AY339" s="100"/>
      <c r="AZ339" s="124"/>
      <c r="BA339" s="169"/>
      <c r="BB339" s="116"/>
      <c r="BC339" s="116"/>
      <c r="BD339" s="247"/>
      <c r="BE339" s="124"/>
      <c r="BF339" s="124"/>
      <c r="BG339" s="116"/>
      <c r="BH339" s="116"/>
      <c r="BI339" s="116"/>
      <c r="BJ339" s="124"/>
      <c r="BK339" s="124"/>
      <c r="BL339" s="124"/>
      <c r="BM339" s="116"/>
      <c r="BN339" s="116"/>
      <c r="BO339" s="116"/>
      <c r="BP339" s="124">
        <v>996428</v>
      </c>
      <c r="BQ339" s="125">
        <f>BP339*19%</f>
        <v>189321.32</v>
      </c>
      <c r="BR339" s="97">
        <f>+BP339+BQ339</f>
        <v>1185749.32</v>
      </c>
      <c r="BS339" s="31" t="s">
        <v>344</v>
      </c>
      <c r="BT339" s="34" t="s">
        <v>402</v>
      </c>
      <c r="BU339" s="5" t="s">
        <v>403</v>
      </c>
      <c r="BV339" s="236">
        <v>1615000</v>
      </c>
      <c r="BW339" s="125">
        <f t="shared" si="130"/>
        <v>306850</v>
      </c>
      <c r="BX339" s="97">
        <f>+BV339+BW339</f>
        <v>1921850</v>
      </c>
      <c r="BY339" s="237" t="s">
        <v>207</v>
      </c>
      <c r="BZ339" s="237" t="s">
        <v>404</v>
      </c>
      <c r="CA339" s="116"/>
      <c r="CB339" s="247"/>
      <c r="CC339" s="125"/>
      <c r="CD339" s="247"/>
      <c r="CE339" s="116"/>
      <c r="CF339" s="116"/>
      <c r="CG339" s="34"/>
      <c r="CH339" s="236"/>
      <c r="CI339" s="238"/>
      <c r="CJ339" s="236"/>
      <c r="CK339" s="237"/>
      <c r="CL339" s="237"/>
      <c r="CM339" s="116"/>
      <c r="CN339" s="247"/>
      <c r="CO339" s="125"/>
      <c r="CP339" s="247"/>
      <c r="CQ339" s="116"/>
      <c r="CR339" s="116"/>
      <c r="CS339" s="116"/>
      <c r="CT339" s="247"/>
      <c r="CU339" s="125"/>
      <c r="CV339" s="247"/>
      <c r="CW339" s="116"/>
      <c r="CX339" s="116"/>
      <c r="CY339" s="116"/>
      <c r="CZ339" s="102"/>
      <c r="DA339" s="125"/>
      <c r="DB339" s="102"/>
      <c r="DC339" s="31"/>
      <c r="DD339" s="17"/>
      <c r="DE339" s="11"/>
      <c r="DF339" s="116"/>
      <c r="DG339" s="116"/>
      <c r="DH339" s="116"/>
      <c r="DI339" s="116"/>
      <c r="DJ339" s="116"/>
      <c r="DK339" s="116"/>
      <c r="DL339" s="116"/>
      <c r="DM339" s="116"/>
      <c r="DN339" s="116"/>
      <c r="DO339" s="116"/>
      <c r="DP339" s="116"/>
      <c r="DQ339" s="116"/>
      <c r="DR339" s="116"/>
      <c r="DS339" s="116"/>
      <c r="DT339" s="116"/>
      <c r="DU339" s="116"/>
      <c r="DV339" s="116"/>
      <c r="DW339" s="116"/>
      <c r="DX339" s="116"/>
      <c r="DY339" s="116"/>
      <c r="DZ339" s="116"/>
      <c r="EA339" s="116"/>
      <c r="EB339" s="116"/>
      <c r="EC339" s="116"/>
      <c r="ED339" s="116"/>
      <c r="EE339" s="116"/>
      <c r="EF339" s="116"/>
      <c r="EG339" s="116"/>
      <c r="EH339" s="116"/>
      <c r="EI339" s="116"/>
      <c r="EJ339" s="116"/>
      <c r="EK339" s="116"/>
      <c r="EL339" s="116"/>
      <c r="EM339" s="116"/>
      <c r="EN339" s="116"/>
      <c r="EO339" s="116"/>
      <c r="EP339" s="116"/>
      <c r="EQ339" s="116"/>
      <c r="ER339" s="116"/>
      <c r="ES339" s="116"/>
      <c r="ET339" s="11"/>
      <c r="EU339" s="11"/>
      <c r="EV339" s="11"/>
      <c r="EW339" s="11"/>
      <c r="EX339" s="11"/>
      <c r="EY339" s="11"/>
      <c r="EZ339" s="11"/>
      <c r="FA339" s="11"/>
      <c r="FB339" s="11"/>
      <c r="FC339" s="11"/>
      <c r="FD339" s="11"/>
      <c r="FE339" s="11"/>
      <c r="FF339" s="11"/>
      <c r="FG339" s="11"/>
      <c r="FH339" s="17">
        <f t="shared" si="131"/>
        <v>4391520.07</v>
      </c>
      <c r="FI339" s="31">
        <f t="shared" si="132"/>
        <v>3</v>
      </c>
      <c r="FJ339" s="68">
        <f t="shared" si="133"/>
        <v>1463840.0233333334</v>
      </c>
    </row>
    <row r="340" spans="1:166" ht="25.5" x14ac:dyDescent="0.25">
      <c r="A340" s="248">
        <f>Distribución_Reactivos!A340</f>
        <v>338</v>
      </c>
      <c r="B340" s="248" t="str">
        <f>Distribución_Reactivos!B340</f>
        <v>Rafinosa</v>
      </c>
      <c r="C340" s="248" t="str">
        <f>Distribución_Reactivos!C340</f>
        <v>Cualquier marca</v>
      </c>
      <c r="D340" s="248" t="str">
        <f>Distribución_Reactivos!D340</f>
        <v>Frasco x 100 g</v>
      </c>
      <c r="E340" s="29">
        <v>1</v>
      </c>
      <c r="F340" s="212">
        <v>1086192.3333333333</v>
      </c>
      <c r="G340" s="214">
        <v>744940</v>
      </c>
      <c r="H340" s="221">
        <v>1078107.7039950001</v>
      </c>
      <c r="I340" s="221">
        <v>621775</v>
      </c>
      <c r="J340" s="221">
        <v>0</v>
      </c>
      <c r="K340" s="221">
        <v>0</v>
      </c>
      <c r="L340" s="247">
        <f>AVERAGE(F340,H340)</f>
        <v>1082150.0186641668</v>
      </c>
      <c r="M340" s="247">
        <f>AVERAGE(G340,I340)*E1</f>
        <v>703858.22499999998</v>
      </c>
      <c r="N340" s="217"/>
      <c r="O340" s="97"/>
      <c r="P340" s="97"/>
      <c r="Q340" s="115"/>
      <c r="R340" s="115"/>
      <c r="S340" s="53"/>
      <c r="T340" s="97"/>
      <c r="U340" s="97"/>
      <c r="V340" s="97"/>
      <c r="W340" s="115"/>
      <c r="X340" s="115"/>
      <c r="Y340" s="11"/>
      <c r="Z340" s="97"/>
      <c r="AA340" s="97"/>
      <c r="AB340" s="97"/>
      <c r="AC340" s="44"/>
      <c r="AD340" s="44"/>
      <c r="AE340" s="11"/>
      <c r="AF340" s="102">
        <v>825000</v>
      </c>
      <c r="AG340" s="125">
        <f>AF340*19%</f>
        <v>156750</v>
      </c>
      <c r="AH340" s="97">
        <f>+AF340+AG340</f>
        <v>981750</v>
      </c>
      <c r="AI340" s="11"/>
      <c r="AJ340" s="11"/>
      <c r="AK340" s="17"/>
      <c r="AL340" s="97"/>
      <c r="AM340" s="97"/>
      <c r="AN340" s="127"/>
      <c r="AO340" s="248"/>
      <c r="AP340" s="17"/>
      <c r="AQ340" s="17"/>
      <c r="AR340" s="252">
        <v>2685600</v>
      </c>
      <c r="AS340" s="124">
        <f>+AR340*0.19</f>
        <v>510264</v>
      </c>
      <c r="AT340" s="100">
        <f>+AR340+AS340</f>
        <v>3195864</v>
      </c>
      <c r="AU340" s="52" t="s">
        <v>61</v>
      </c>
      <c r="AV340" s="34" t="s">
        <v>42</v>
      </c>
      <c r="AW340" s="11"/>
      <c r="AX340" s="100"/>
      <c r="AY340" s="100"/>
      <c r="AZ340" s="124"/>
      <c r="BA340" s="169"/>
      <c r="BB340" s="116"/>
      <c r="BC340" s="116"/>
      <c r="BD340" s="247"/>
      <c r="BE340" s="124"/>
      <c r="BF340" s="124"/>
      <c r="BG340" s="116"/>
      <c r="BH340" s="116"/>
      <c r="BI340" s="116"/>
      <c r="BJ340" s="124"/>
      <c r="BK340" s="124"/>
      <c r="BL340" s="124"/>
      <c r="BM340" s="116"/>
      <c r="BN340" s="116"/>
      <c r="BO340" s="116"/>
      <c r="BP340" s="124"/>
      <c r="BQ340" s="116"/>
      <c r="BR340" s="116"/>
      <c r="BS340" s="116"/>
      <c r="BT340" s="116"/>
      <c r="BU340" s="116"/>
      <c r="BV340" s="187"/>
      <c r="BW340" s="125"/>
      <c r="BX340" s="97"/>
      <c r="BY340" s="246"/>
      <c r="BZ340" s="246"/>
      <c r="CA340" s="116"/>
      <c r="CB340" s="247"/>
      <c r="CC340" s="125"/>
      <c r="CD340" s="247"/>
      <c r="CE340" s="116"/>
      <c r="CF340" s="116"/>
      <c r="CG340" s="34"/>
      <c r="CH340" s="187"/>
      <c r="CI340" s="195"/>
      <c r="CJ340" s="187"/>
      <c r="CK340" s="246"/>
      <c r="CL340" s="246"/>
      <c r="CM340" s="116"/>
      <c r="CN340" s="247"/>
      <c r="CO340" s="125"/>
      <c r="CP340" s="247"/>
      <c r="CQ340" s="116"/>
      <c r="CR340" s="116"/>
      <c r="CS340" s="116"/>
      <c r="CT340" s="247"/>
      <c r="CU340" s="125"/>
      <c r="CV340" s="247"/>
      <c r="CW340" s="116"/>
      <c r="CX340" s="116"/>
      <c r="CY340" s="116"/>
      <c r="CZ340" s="102"/>
      <c r="DA340" s="125"/>
      <c r="DB340" s="102"/>
      <c r="DC340" s="31"/>
      <c r="DD340" s="17"/>
      <c r="DE340" s="11"/>
      <c r="DF340" s="116"/>
      <c r="DG340" s="116"/>
      <c r="DH340" s="116"/>
      <c r="DI340" s="116"/>
      <c r="DJ340" s="116"/>
      <c r="DK340" s="116"/>
      <c r="DL340" s="116"/>
      <c r="DM340" s="116"/>
      <c r="DN340" s="116"/>
      <c r="DO340" s="116"/>
      <c r="DP340" s="116"/>
      <c r="DQ340" s="116"/>
      <c r="DR340" s="116"/>
      <c r="DS340" s="116"/>
      <c r="DT340" s="116"/>
      <c r="DU340" s="116"/>
      <c r="DV340" s="116"/>
      <c r="DW340" s="116"/>
      <c r="DX340" s="116"/>
      <c r="DY340" s="116"/>
      <c r="DZ340" s="116"/>
      <c r="EA340" s="116"/>
      <c r="EB340" s="116"/>
      <c r="EC340" s="116"/>
      <c r="ED340" s="116"/>
      <c r="EE340" s="116"/>
      <c r="EF340" s="116"/>
      <c r="EG340" s="116"/>
      <c r="EH340" s="116"/>
      <c r="EI340" s="116"/>
      <c r="EJ340" s="116"/>
      <c r="EK340" s="116"/>
      <c r="EL340" s="116"/>
      <c r="EM340" s="116"/>
      <c r="EN340" s="116"/>
      <c r="EO340" s="116"/>
      <c r="EP340" s="116"/>
      <c r="EQ340" s="116"/>
      <c r="ER340" s="116"/>
      <c r="ES340" s="116"/>
      <c r="ET340" s="11"/>
      <c r="EU340" s="11"/>
      <c r="EV340" s="11"/>
      <c r="EW340" s="11"/>
      <c r="EX340" s="11"/>
      <c r="EY340" s="11"/>
      <c r="EZ340" s="11"/>
      <c r="FA340" s="11"/>
      <c r="FB340" s="11"/>
      <c r="FC340" s="11"/>
      <c r="FD340" s="11"/>
      <c r="FE340" s="11"/>
      <c r="FF340" s="11"/>
      <c r="FG340" s="11"/>
      <c r="FH340" s="17">
        <f t="shared" si="131"/>
        <v>4881472.2249999996</v>
      </c>
      <c r="FI340" s="31">
        <f t="shared" si="132"/>
        <v>3</v>
      </c>
      <c r="FJ340" s="68">
        <f t="shared" si="133"/>
        <v>1627157.4083333332</v>
      </c>
    </row>
    <row r="341" spans="1:166" ht="25.5" x14ac:dyDescent="0.25">
      <c r="A341" s="248">
        <f>Distribución_Reactivos!A341</f>
        <v>339</v>
      </c>
      <c r="B341" s="248" t="str">
        <f>Distribución_Reactivos!B341</f>
        <v>Reactivo alfa-naftol para  prueba de VP</v>
      </c>
      <c r="C341" s="248" t="str">
        <f>Distribución_Reactivos!C341</f>
        <v>Merck o  equivalente</v>
      </c>
      <c r="D341" s="248" t="str">
        <f>Distribución_Reactivos!D341</f>
        <v>Frasco x 250 ml</v>
      </c>
      <c r="E341" s="29">
        <v>1</v>
      </c>
      <c r="F341" s="212">
        <v>249900</v>
      </c>
      <c r="G341" s="214">
        <v>0</v>
      </c>
      <c r="H341" s="221">
        <v>0</v>
      </c>
      <c r="I341" s="221">
        <v>0</v>
      </c>
      <c r="J341" s="221">
        <v>354636.66</v>
      </c>
      <c r="K341" s="221">
        <v>0</v>
      </c>
      <c r="L341" s="247">
        <f>AVERAGE(F341,J341)</f>
        <v>302268.32999999996</v>
      </c>
      <c r="M341" s="247"/>
      <c r="N341" s="217"/>
      <c r="O341" s="97"/>
      <c r="P341" s="97"/>
      <c r="Q341" s="115"/>
      <c r="R341" s="115"/>
      <c r="S341" s="53"/>
      <c r="T341" s="97"/>
      <c r="U341" s="101"/>
      <c r="V341" s="97"/>
      <c r="W341" s="115"/>
      <c r="X341" s="115"/>
      <c r="Y341" s="11"/>
      <c r="Z341" s="97"/>
      <c r="AA341" s="97"/>
      <c r="AB341" s="97"/>
      <c r="AC341" s="44"/>
      <c r="AD341" s="44"/>
      <c r="AE341" s="11"/>
      <c r="AF341" s="102"/>
      <c r="AG341" s="125"/>
      <c r="AH341" s="97"/>
      <c r="AI341" s="11"/>
      <c r="AJ341" s="11"/>
      <c r="AK341" s="17"/>
      <c r="AL341" s="97"/>
      <c r="AM341" s="97"/>
      <c r="AN341" s="101"/>
      <c r="AO341" s="248"/>
      <c r="AP341" s="17"/>
      <c r="AQ341" s="17"/>
      <c r="AR341" s="252">
        <v>180986</v>
      </c>
      <c r="AS341" s="124">
        <f>+AR341*0.19</f>
        <v>34387.340000000004</v>
      </c>
      <c r="AT341" s="100">
        <f>+AR341+AS341</f>
        <v>215373.34</v>
      </c>
      <c r="AU341" s="52" t="s">
        <v>61</v>
      </c>
      <c r="AV341" s="52" t="s">
        <v>351</v>
      </c>
      <c r="AW341" s="11"/>
      <c r="AX341" s="100"/>
      <c r="AY341" s="172"/>
      <c r="AZ341" s="124"/>
      <c r="BA341" s="169"/>
      <c r="BB341" s="116"/>
      <c r="BC341" s="116"/>
      <c r="BD341" s="247"/>
      <c r="BE341" s="124"/>
      <c r="BF341" s="124"/>
      <c r="BG341" s="116"/>
      <c r="BH341" s="116"/>
      <c r="BI341" s="116"/>
      <c r="BJ341" s="124"/>
      <c r="BK341" s="124"/>
      <c r="BL341" s="124"/>
      <c r="BM341" s="116"/>
      <c r="BN341" s="116"/>
      <c r="BO341" s="116"/>
      <c r="BP341" s="124"/>
      <c r="BQ341" s="116"/>
      <c r="BR341" s="116"/>
      <c r="BS341" s="116"/>
      <c r="BT341" s="116"/>
      <c r="BU341" s="116"/>
      <c r="BV341" s="187"/>
      <c r="BW341" s="125"/>
      <c r="BX341" s="97"/>
      <c r="BY341" s="246"/>
      <c r="BZ341" s="246"/>
      <c r="CA341" s="116"/>
      <c r="CB341" s="247"/>
      <c r="CC341" s="125"/>
      <c r="CD341" s="247"/>
      <c r="CE341" s="116"/>
      <c r="CF341" s="116"/>
      <c r="CG341" s="34"/>
      <c r="CH341" s="187"/>
      <c r="CI341" s="195"/>
      <c r="CJ341" s="187"/>
      <c r="CK341" s="246"/>
      <c r="CL341" s="246"/>
      <c r="CM341" s="116"/>
      <c r="CN341" s="247"/>
      <c r="CO341" s="125"/>
      <c r="CP341" s="247"/>
      <c r="CQ341" s="116"/>
      <c r="CR341" s="116"/>
      <c r="CS341" s="116"/>
      <c r="CT341" s="247"/>
      <c r="CU341" s="125"/>
      <c r="CV341" s="247"/>
      <c r="CW341" s="116"/>
      <c r="CX341" s="116"/>
      <c r="CY341" s="116"/>
      <c r="CZ341" s="102"/>
      <c r="DA341" s="125"/>
      <c r="DB341" s="102"/>
      <c r="DC341" s="31"/>
      <c r="DD341" s="17"/>
      <c r="DE341" s="11"/>
      <c r="DF341" s="116"/>
      <c r="DG341" s="116"/>
      <c r="DH341" s="116"/>
      <c r="DI341" s="116"/>
      <c r="DJ341" s="116"/>
      <c r="DK341" s="116"/>
      <c r="DL341" s="116"/>
      <c r="DM341" s="116"/>
      <c r="DN341" s="116"/>
      <c r="DO341" s="116"/>
      <c r="DP341" s="116"/>
      <c r="DQ341" s="116"/>
      <c r="DR341" s="116"/>
      <c r="DS341" s="116"/>
      <c r="DT341" s="116"/>
      <c r="DU341" s="116"/>
      <c r="DV341" s="116"/>
      <c r="DW341" s="116"/>
      <c r="DX341" s="116"/>
      <c r="DY341" s="116"/>
      <c r="DZ341" s="116"/>
      <c r="EA341" s="116"/>
      <c r="EB341" s="116"/>
      <c r="EC341" s="116"/>
      <c r="ED341" s="116"/>
      <c r="EE341" s="116"/>
      <c r="EF341" s="116"/>
      <c r="EG341" s="116"/>
      <c r="EH341" s="116"/>
      <c r="EI341" s="116"/>
      <c r="EJ341" s="116"/>
      <c r="EK341" s="116"/>
      <c r="EL341" s="116"/>
      <c r="EM341" s="116"/>
      <c r="EN341" s="116"/>
      <c r="EO341" s="116"/>
      <c r="EP341" s="116"/>
      <c r="EQ341" s="116"/>
      <c r="ER341" s="116"/>
      <c r="ES341" s="116"/>
      <c r="ET341" s="11"/>
      <c r="EU341" s="11"/>
      <c r="EV341" s="11"/>
      <c r="EW341" s="11"/>
      <c r="EX341" s="11"/>
      <c r="EY341" s="11"/>
      <c r="EZ341" s="11"/>
      <c r="FA341" s="11"/>
      <c r="FB341" s="11"/>
      <c r="FC341" s="11"/>
      <c r="FD341" s="11"/>
      <c r="FE341" s="11"/>
      <c r="FF341" s="11"/>
      <c r="FG341" s="11"/>
      <c r="FH341" s="17">
        <f t="shared" si="131"/>
        <v>215373.34</v>
      </c>
      <c r="FI341" s="31">
        <f t="shared" si="132"/>
        <v>1</v>
      </c>
      <c r="FJ341" s="68">
        <f t="shared" si="133"/>
        <v>215373.34</v>
      </c>
    </row>
    <row r="342" spans="1:166" ht="51" x14ac:dyDescent="0.25">
      <c r="A342" s="248">
        <f>Distribución_Reactivos!A342</f>
        <v>340</v>
      </c>
      <c r="B342" s="248" t="str">
        <f>Distribución_Reactivos!B342</f>
        <v>Reactivo de kovacs para revelación de indol</v>
      </c>
      <c r="C342" s="248" t="str">
        <f>Distribución_Reactivos!C342</f>
        <v>Merck 1092930100, Sigma-Aldrich o equivalente</v>
      </c>
      <c r="D342" s="248" t="str">
        <f>Distribución_Reactivos!D342</f>
        <v>Frasco x 100 ml</v>
      </c>
      <c r="E342" s="29">
        <v>1</v>
      </c>
      <c r="F342" s="212">
        <v>162673</v>
      </c>
      <c r="G342" s="214">
        <v>160174</v>
      </c>
      <c r="H342" s="221">
        <v>146331.78065</v>
      </c>
      <c r="I342" s="221">
        <v>146251</v>
      </c>
      <c r="J342" s="221">
        <v>169244.894</v>
      </c>
      <c r="K342" s="221">
        <v>0</v>
      </c>
      <c r="L342" s="247">
        <f>AVERAGE(F342,H342,J342)</f>
        <v>159416.55821666666</v>
      </c>
      <c r="M342" s="247">
        <f>AVERAGE(G342,I342)*E1</f>
        <v>157808.875</v>
      </c>
      <c r="N342" s="217"/>
      <c r="O342" s="97"/>
      <c r="P342" s="97"/>
      <c r="Q342" s="115"/>
      <c r="R342" s="115"/>
      <c r="S342" s="53"/>
      <c r="T342" s="97"/>
      <c r="U342" s="97"/>
      <c r="V342" s="97"/>
      <c r="W342" s="115"/>
      <c r="X342" s="115"/>
      <c r="Y342" s="11"/>
      <c r="Z342" s="97"/>
      <c r="AA342" s="97"/>
      <c r="AB342" s="97"/>
      <c r="AC342" s="44"/>
      <c r="AD342" s="44"/>
      <c r="AE342" s="11"/>
      <c r="AF342" s="102">
        <v>170000</v>
      </c>
      <c r="AG342" s="125">
        <f>AF342*19%</f>
        <v>32300</v>
      </c>
      <c r="AH342" s="97">
        <f>+AF342+AG342</f>
        <v>202300</v>
      </c>
      <c r="AI342" s="11"/>
      <c r="AJ342" s="11"/>
      <c r="AK342" s="17"/>
      <c r="AL342" s="97">
        <v>139000</v>
      </c>
      <c r="AM342" s="97">
        <f>+AL342*0.19</f>
        <v>26410</v>
      </c>
      <c r="AN342" s="103">
        <f>+AL342+AM342</f>
        <v>165410</v>
      </c>
      <c r="AO342" s="248" t="s">
        <v>51</v>
      </c>
      <c r="AP342" s="17" t="s">
        <v>52</v>
      </c>
      <c r="AQ342" s="17"/>
      <c r="AR342" s="252">
        <v>143783</v>
      </c>
      <c r="AS342" s="124">
        <f>+AR342*0.19</f>
        <v>27318.77</v>
      </c>
      <c r="AT342" s="100">
        <f>+AR342+AS342</f>
        <v>171101.77</v>
      </c>
      <c r="AU342" s="52" t="s">
        <v>51</v>
      </c>
      <c r="AV342" s="52" t="s">
        <v>52</v>
      </c>
      <c r="AW342" s="11"/>
      <c r="AX342" s="100"/>
      <c r="AY342" s="100"/>
      <c r="AZ342" s="124"/>
      <c r="BA342" s="169"/>
      <c r="BB342" s="116"/>
      <c r="BC342" s="116"/>
      <c r="BD342" s="247"/>
      <c r="BE342" s="124"/>
      <c r="BF342" s="124"/>
      <c r="BG342" s="116"/>
      <c r="BH342" s="116"/>
      <c r="BI342" s="116"/>
      <c r="BJ342" s="124"/>
      <c r="BK342" s="124"/>
      <c r="BL342" s="124"/>
      <c r="BM342" s="116"/>
      <c r="BN342" s="116"/>
      <c r="BO342" s="116"/>
      <c r="BP342" s="124"/>
      <c r="BQ342" s="116"/>
      <c r="BR342" s="116"/>
      <c r="BS342" s="116"/>
      <c r="BT342" s="116"/>
      <c r="BU342" s="116"/>
      <c r="BV342" s="236">
        <v>233900</v>
      </c>
      <c r="BW342" s="125">
        <f t="shared" ref="BW342:BW350" si="134">BV342*19%</f>
        <v>44441</v>
      </c>
      <c r="BX342" s="97">
        <f t="shared" ref="BX342:BX350" si="135">+BV342+BW342</f>
        <v>278341</v>
      </c>
      <c r="BY342" s="237" t="s">
        <v>291</v>
      </c>
      <c r="BZ342" s="237" t="s">
        <v>93</v>
      </c>
      <c r="CA342" s="116"/>
      <c r="CB342" s="247"/>
      <c r="CC342" s="125"/>
      <c r="CD342" s="247"/>
      <c r="CE342" s="116"/>
      <c r="CF342" s="116"/>
      <c r="CG342" s="34"/>
      <c r="CH342" s="236">
        <v>238578</v>
      </c>
      <c r="CI342" s="238">
        <f>+CH342*0.19</f>
        <v>45329.82</v>
      </c>
      <c r="CJ342" s="236">
        <f>+CH342+CI342</f>
        <v>283907.82</v>
      </c>
      <c r="CK342" s="237" t="s">
        <v>291</v>
      </c>
      <c r="CL342" s="237" t="s">
        <v>93</v>
      </c>
      <c r="CM342" s="116"/>
      <c r="CN342" s="247"/>
      <c r="CO342" s="125"/>
      <c r="CP342" s="247"/>
      <c r="CQ342" s="116"/>
      <c r="CR342" s="116"/>
      <c r="CS342" s="116"/>
      <c r="CT342" s="247"/>
      <c r="CU342" s="125"/>
      <c r="CV342" s="247"/>
      <c r="CW342" s="116"/>
      <c r="CX342" s="116"/>
      <c r="CY342" s="116"/>
      <c r="CZ342" s="102">
        <v>134587</v>
      </c>
      <c r="DA342" s="125">
        <f>+CZ342*0.19</f>
        <v>25571.53</v>
      </c>
      <c r="DB342" s="102">
        <f>+CZ342+DA342</f>
        <v>160158.53</v>
      </c>
      <c r="DC342" s="31" t="s">
        <v>180</v>
      </c>
      <c r="DD342" s="17"/>
      <c r="DE342" s="11">
        <v>1092930100</v>
      </c>
      <c r="DF342" s="116"/>
      <c r="DG342" s="116"/>
      <c r="DH342" s="116"/>
      <c r="DI342" s="116"/>
      <c r="DJ342" s="116"/>
      <c r="DK342" s="116"/>
      <c r="DL342" s="116"/>
      <c r="DM342" s="116"/>
      <c r="DN342" s="116"/>
      <c r="DO342" s="116"/>
      <c r="DP342" s="116"/>
      <c r="DQ342" s="116"/>
      <c r="DR342" s="116"/>
      <c r="DS342" s="116"/>
      <c r="DT342" s="116"/>
      <c r="DU342" s="116"/>
      <c r="DV342" s="116"/>
      <c r="DW342" s="116"/>
      <c r="DX342" s="116"/>
      <c r="DY342" s="116"/>
      <c r="DZ342" s="116"/>
      <c r="EA342" s="116"/>
      <c r="EB342" s="116"/>
      <c r="EC342" s="116"/>
      <c r="ED342" s="116"/>
      <c r="EE342" s="116"/>
      <c r="EF342" s="116"/>
      <c r="EG342" s="116"/>
      <c r="EH342" s="116"/>
      <c r="EI342" s="116"/>
      <c r="EJ342" s="116"/>
      <c r="EK342" s="116"/>
      <c r="EL342" s="116"/>
      <c r="EM342" s="116"/>
      <c r="EN342" s="116"/>
      <c r="EO342" s="116"/>
      <c r="EP342" s="116"/>
      <c r="EQ342" s="116"/>
      <c r="ER342" s="116"/>
      <c r="ES342" s="116"/>
      <c r="ET342" s="11"/>
      <c r="EU342" s="11"/>
      <c r="EV342" s="11"/>
      <c r="EW342" s="11"/>
      <c r="EX342" s="11"/>
      <c r="EY342" s="11"/>
      <c r="EZ342" s="11"/>
      <c r="FA342" s="11"/>
      <c r="FB342" s="11"/>
      <c r="FC342" s="11"/>
      <c r="FD342" s="11"/>
      <c r="FE342" s="11"/>
      <c r="FF342" s="11"/>
      <c r="FG342" s="11"/>
      <c r="FH342" s="17">
        <f t="shared" si="131"/>
        <v>1419027.9950000001</v>
      </c>
      <c r="FI342" s="31">
        <f t="shared" si="132"/>
        <v>7</v>
      </c>
      <c r="FJ342" s="68">
        <f t="shared" si="133"/>
        <v>202718.285</v>
      </c>
    </row>
    <row r="343" spans="1:166" ht="27" x14ac:dyDescent="0.25">
      <c r="A343" s="248">
        <f>Distribución_Reactivos!A343</f>
        <v>341</v>
      </c>
      <c r="B343" s="248" t="str">
        <f>Distribución_Reactivos!B343</f>
        <v>Rifamycin SV sodium salt</v>
      </c>
      <c r="C343" s="248" t="str">
        <f>Distribución_Reactivos!C343</f>
        <v>Sigma</v>
      </c>
      <c r="D343" s="248" t="str">
        <f>Distribución_Reactivos!D343</f>
        <v>Frasco X 1 g</v>
      </c>
      <c r="E343" s="29">
        <v>1</v>
      </c>
      <c r="F343" s="212">
        <v>603829.80000000005</v>
      </c>
      <c r="G343" s="214">
        <v>594762</v>
      </c>
      <c r="H343" s="221">
        <v>607574.33333333337</v>
      </c>
      <c r="I343" s="221">
        <v>0</v>
      </c>
      <c r="J343" s="221">
        <v>573706.66666666663</v>
      </c>
      <c r="K343" s="221">
        <v>567630</v>
      </c>
      <c r="L343" s="247">
        <f>AVERAGE(F343,H343,J343)</f>
        <v>595036.93333333323</v>
      </c>
      <c r="M343" s="247">
        <f>AVERAGE(G343,K343)*E1</f>
        <v>598631.88</v>
      </c>
      <c r="N343" s="217"/>
      <c r="O343" s="97"/>
      <c r="P343" s="97"/>
      <c r="Q343" s="44"/>
      <c r="R343" s="44"/>
      <c r="S343" s="5"/>
      <c r="T343" s="97"/>
      <c r="U343" s="97"/>
      <c r="V343" s="97"/>
      <c r="W343" s="11"/>
      <c r="X343" s="11"/>
      <c r="Y343" s="11"/>
      <c r="Z343" s="97"/>
      <c r="AA343" s="97"/>
      <c r="AB343" s="97"/>
      <c r="AC343" s="44"/>
      <c r="AD343" s="44"/>
      <c r="AE343" s="11"/>
      <c r="AF343" s="102"/>
      <c r="AG343" s="125"/>
      <c r="AH343" s="97"/>
      <c r="AI343" s="11"/>
      <c r="AJ343" s="11"/>
      <c r="AK343" s="11"/>
      <c r="AL343" s="97"/>
      <c r="AM343" s="97"/>
      <c r="AN343" s="97"/>
      <c r="AO343" s="248"/>
      <c r="AP343" s="11"/>
      <c r="AQ343" s="11"/>
      <c r="AR343" s="252">
        <v>648000</v>
      </c>
      <c r="AS343" s="124">
        <f t="shared" ref="AS343:AS350" si="136">+AR343*0.19</f>
        <v>123120</v>
      </c>
      <c r="AT343" s="100">
        <f t="shared" ref="AT343:AT350" si="137">+AR343+AS343</f>
        <v>771120</v>
      </c>
      <c r="AU343" s="52" t="s">
        <v>253</v>
      </c>
      <c r="AV343" s="34" t="s">
        <v>42</v>
      </c>
      <c r="AW343" s="11"/>
      <c r="AX343" s="252"/>
      <c r="AY343" s="252"/>
      <c r="AZ343" s="252"/>
      <c r="BA343" s="11"/>
      <c r="BB343" s="11"/>
      <c r="BC343" s="11"/>
      <c r="BD343" s="247"/>
      <c r="BE343" s="124"/>
      <c r="BF343" s="124"/>
      <c r="BG343" s="116"/>
      <c r="BH343" s="11"/>
      <c r="BI343" s="116"/>
      <c r="BJ343" s="124"/>
      <c r="BK343" s="124"/>
      <c r="BL343" s="124"/>
      <c r="BM343" s="116"/>
      <c r="BN343" s="116"/>
      <c r="BO343" s="116"/>
      <c r="BP343" s="124"/>
      <c r="BQ343" s="116"/>
      <c r="BR343" s="116"/>
      <c r="BS343" s="116"/>
      <c r="BT343" s="116"/>
      <c r="BU343" s="116"/>
      <c r="BV343" s="236">
        <v>715800</v>
      </c>
      <c r="BW343" s="125">
        <f t="shared" si="134"/>
        <v>136002</v>
      </c>
      <c r="BX343" s="97">
        <f t="shared" si="135"/>
        <v>851802</v>
      </c>
      <c r="BY343" s="237" t="s">
        <v>405</v>
      </c>
      <c r="BZ343" s="237" t="s">
        <v>252</v>
      </c>
      <c r="CA343" s="116"/>
      <c r="CB343" s="247"/>
      <c r="CC343" s="125"/>
      <c r="CD343" s="247"/>
      <c r="CE343" s="116"/>
      <c r="CF343" s="116"/>
      <c r="CG343" s="34"/>
      <c r="CH343" s="236">
        <v>730116</v>
      </c>
      <c r="CI343" s="238">
        <f>+CH343*0.19</f>
        <v>138722.04</v>
      </c>
      <c r="CJ343" s="236">
        <f>+CH343+CI343</f>
        <v>868838.04</v>
      </c>
      <c r="CK343" s="237" t="s">
        <v>405</v>
      </c>
      <c r="CL343" s="237" t="s">
        <v>252</v>
      </c>
      <c r="CM343" s="116"/>
      <c r="CN343" s="247"/>
      <c r="CO343" s="125"/>
      <c r="CP343" s="247"/>
      <c r="CQ343" s="116"/>
      <c r="CR343" s="116"/>
      <c r="CS343" s="116"/>
      <c r="CT343" s="247"/>
      <c r="CU343" s="125"/>
      <c r="CV343" s="247"/>
      <c r="CW343" s="116"/>
      <c r="CX343" s="116"/>
      <c r="CY343" s="116"/>
      <c r="CZ343" s="102"/>
      <c r="DA343" s="125"/>
      <c r="DB343" s="102"/>
      <c r="DC343" s="31"/>
      <c r="DD343" s="17"/>
      <c r="DE343" s="11"/>
      <c r="DF343" s="116"/>
      <c r="DG343" s="116"/>
      <c r="DH343" s="116"/>
      <c r="DI343" s="116"/>
      <c r="DJ343" s="116"/>
      <c r="DK343" s="116"/>
      <c r="DL343" s="116"/>
      <c r="DM343" s="116"/>
      <c r="DN343" s="116"/>
      <c r="DO343" s="116"/>
      <c r="DP343" s="116"/>
      <c r="DQ343" s="116"/>
      <c r="DR343" s="116"/>
      <c r="DS343" s="116"/>
      <c r="DT343" s="116"/>
      <c r="DU343" s="116"/>
      <c r="DV343" s="116"/>
      <c r="DW343" s="116"/>
      <c r="DX343" s="116"/>
      <c r="DY343" s="116"/>
      <c r="DZ343" s="116"/>
      <c r="EA343" s="116"/>
      <c r="EB343" s="116"/>
      <c r="EC343" s="116"/>
      <c r="ED343" s="116"/>
      <c r="EE343" s="116"/>
      <c r="EF343" s="116"/>
      <c r="EG343" s="116"/>
      <c r="EH343" s="116"/>
      <c r="EI343" s="116"/>
      <c r="EJ343" s="116"/>
      <c r="EK343" s="116"/>
      <c r="EL343" s="116"/>
      <c r="EM343" s="116"/>
      <c r="EN343" s="116"/>
      <c r="EO343" s="116"/>
      <c r="EP343" s="116"/>
      <c r="EQ343" s="116"/>
      <c r="ER343" s="116"/>
      <c r="ES343" s="116"/>
      <c r="ET343" s="11"/>
      <c r="EU343" s="11"/>
      <c r="EV343" s="11"/>
      <c r="EW343" s="11"/>
      <c r="EX343" s="11"/>
      <c r="EY343" s="11"/>
      <c r="EZ343" s="11"/>
      <c r="FA343" s="11"/>
      <c r="FB343" s="11"/>
      <c r="FC343" s="11"/>
      <c r="FD343" s="11"/>
      <c r="FE343" s="11"/>
      <c r="FF343" s="11"/>
      <c r="FG343" s="11"/>
      <c r="FH343" s="17">
        <f t="shared" si="131"/>
        <v>3090391.92</v>
      </c>
      <c r="FI343" s="31">
        <f t="shared" si="132"/>
        <v>4</v>
      </c>
      <c r="FJ343" s="68">
        <f t="shared" si="133"/>
        <v>772597.98</v>
      </c>
    </row>
    <row r="344" spans="1:166" ht="51" x14ac:dyDescent="0.25">
      <c r="A344" s="248">
        <f>Distribución_Reactivos!A344</f>
        <v>342</v>
      </c>
      <c r="B344" s="248" t="str">
        <f>Distribución_Reactivos!B344</f>
        <v xml:space="preserve">RNase AWAY en Spray solucion para descontaminar material de laboratorio como mesas y micropipetas de RNAsas. </v>
      </c>
      <c r="C344" s="248" t="str">
        <f>Distribución_Reactivos!C344</f>
        <v>MBP</v>
      </c>
      <c r="D344" s="248" t="str">
        <f>Distribución_Reactivos!D344</f>
        <v>Frasco x 475 ml</v>
      </c>
      <c r="E344" s="29">
        <v>1</v>
      </c>
      <c r="F344" s="212">
        <v>428400</v>
      </c>
      <c r="G344" s="214">
        <v>413406</v>
      </c>
      <c r="H344" s="221">
        <v>0</v>
      </c>
      <c r="I344" s="221">
        <v>0</v>
      </c>
      <c r="J344" s="221">
        <v>407438.15</v>
      </c>
      <c r="K344" s="221">
        <v>404600</v>
      </c>
      <c r="L344" s="247">
        <f>AVERAGE(F344,J344)</f>
        <v>417919.07500000001</v>
      </c>
      <c r="M344" s="247">
        <f>AVERAGE(G344,K344)*E1</f>
        <v>421273.09</v>
      </c>
      <c r="N344" s="217"/>
      <c r="O344" s="97"/>
      <c r="P344" s="97"/>
      <c r="Q344" s="44"/>
      <c r="R344" s="44"/>
      <c r="S344" s="5"/>
      <c r="T344" s="97">
        <v>207000</v>
      </c>
      <c r="U344" s="97">
        <f>+T344*0.19</f>
        <v>39330</v>
      </c>
      <c r="V344" s="97">
        <f>+T344+U344</f>
        <v>246330</v>
      </c>
      <c r="W344" s="11" t="s">
        <v>283</v>
      </c>
      <c r="X344" s="11" t="s">
        <v>284</v>
      </c>
      <c r="Y344" s="11"/>
      <c r="Z344" s="97"/>
      <c r="AA344" s="97"/>
      <c r="AB344" s="97"/>
      <c r="AC344" s="44"/>
      <c r="AD344" s="44"/>
      <c r="AE344" s="11"/>
      <c r="AF344" s="102"/>
      <c r="AG344" s="125"/>
      <c r="AH344" s="97"/>
      <c r="AI344" s="11"/>
      <c r="AJ344" s="11"/>
      <c r="AK344" s="11"/>
      <c r="AL344" s="97"/>
      <c r="AM344" s="97"/>
      <c r="AN344" s="97"/>
      <c r="AO344" s="248"/>
      <c r="AP344" s="11"/>
      <c r="AQ344" s="11"/>
      <c r="AR344" s="252">
        <v>320000</v>
      </c>
      <c r="AS344" s="124">
        <f t="shared" si="136"/>
        <v>60800</v>
      </c>
      <c r="AT344" s="100">
        <f t="shared" si="137"/>
        <v>380800</v>
      </c>
      <c r="AU344" s="52" t="s">
        <v>283</v>
      </c>
      <c r="AV344" s="42" t="s">
        <v>284</v>
      </c>
      <c r="AW344" s="11"/>
      <c r="AX344" s="252"/>
      <c r="AY344" s="252"/>
      <c r="AZ344" s="252"/>
      <c r="BA344" s="11"/>
      <c r="BB344" s="11"/>
      <c r="BC344" s="11"/>
      <c r="BD344" s="247"/>
      <c r="BE344" s="124"/>
      <c r="BF344" s="124"/>
      <c r="BG344" s="116"/>
      <c r="BH344" s="11"/>
      <c r="BI344" s="116"/>
      <c r="BJ344" s="124"/>
      <c r="BK344" s="124"/>
      <c r="BL344" s="124"/>
      <c r="BM344" s="116"/>
      <c r="BN344" s="116"/>
      <c r="BO344" s="116"/>
      <c r="BP344" s="124"/>
      <c r="BQ344" s="116"/>
      <c r="BR344" s="116"/>
      <c r="BS344" s="116"/>
      <c r="BT344" s="116"/>
      <c r="BU344" s="116"/>
      <c r="BV344" s="236">
        <v>518200</v>
      </c>
      <c r="BW344" s="125">
        <f t="shared" si="134"/>
        <v>98458</v>
      </c>
      <c r="BX344" s="97">
        <f t="shared" si="135"/>
        <v>616658</v>
      </c>
      <c r="BY344" s="237" t="s">
        <v>406</v>
      </c>
      <c r="BZ344" s="237" t="s">
        <v>407</v>
      </c>
      <c r="CA344" s="116"/>
      <c r="CB344" s="247"/>
      <c r="CC344" s="125"/>
      <c r="CD344" s="247"/>
      <c r="CE344" s="116"/>
      <c r="CF344" s="116"/>
      <c r="CG344" s="34"/>
      <c r="CH344" s="236">
        <v>538928</v>
      </c>
      <c r="CI344" s="238">
        <f>+CH344*0.19</f>
        <v>102396.32</v>
      </c>
      <c r="CJ344" s="236">
        <f>+CH344+CI344</f>
        <v>641324.32000000007</v>
      </c>
      <c r="CK344" s="237" t="s">
        <v>406</v>
      </c>
      <c r="CL344" s="237" t="s">
        <v>407</v>
      </c>
      <c r="CM344" s="116"/>
      <c r="CN344" s="247"/>
      <c r="CO344" s="125"/>
      <c r="CP344" s="247"/>
      <c r="CQ344" s="116"/>
      <c r="CR344" s="116"/>
      <c r="CS344" s="116"/>
      <c r="CT344" s="247"/>
      <c r="CU344" s="125"/>
      <c r="CV344" s="247"/>
      <c r="CW344" s="116"/>
      <c r="CX344" s="116"/>
      <c r="CY344" s="116"/>
      <c r="CZ344" s="102"/>
      <c r="DA344" s="125"/>
      <c r="DB344" s="102"/>
      <c r="DC344" s="31"/>
      <c r="DD344" s="17"/>
      <c r="DE344" s="11"/>
      <c r="DF344" s="116"/>
      <c r="DG344" s="116"/>
      <c r="DH344" s="116"/>
      <c r="DI344" s="116"/>
      <c r="DJ344" s="116"/>
      <c r="DK344" s="116"/>
      <c r="DL344" s="116"/>
      <c r="DM344" s="116"/>
      <c r="DN344" s="116"/>
      <c r="DO344" s="116"/>
      <c r="DP344" s="116"/>
      <c r="DQ344" s="116"/>
      <c r="DR344" s="116"/>
      <c r="DS344" s="116"/>
      <c r="DT344" s="116"/>
      <c r="DU344" s="116"/>
      <c r="DV344" s="116"/>
      <c r="DW344" s="116"/>
      <c r="DX344" s="116"/>
      <c r="DY344" s="116"/>
      <c r="DZ344" s="116"/>
      <c r="EA344" s="116"/>
      <c r="EB344" s="116"/>
      <c r="EC344" s="116"/>
      <c r="ED344" s="116"/>
      <c r="EE344" s="116"/>
      <c r="EF344" s="116"/>
      <c r="EG344" s="116"/>
      <c r="EH344" s="116"/>
      <c r="EI344" s="116"/>
      <c r="EJ344" s="116"/>
      <c r="EK344" s="116"/>
      <c r="EL344" s="116"/>
      <c r="EM344" s="116"/>
      <c r="EN344" s="116"/>
      <c r="EO344" s="116"/>
      <c r="EP344" s="116"/>
      <c r="EQ344" s="116"/>
      <c r="ER344" s="116"/>
      <c r="ES344" s="116"/>
      <c r="ET344" s="11"/>
      <c r="EU344" s="11"/>
      <c r="EV344" s="11"/>
      <c r="EW344" s="11"/>
      <c r="EX344" s="11"/>
      <c r="EY344" s="11"/>
      <c r="EZ344" s="11"/>
      <c r="FA344" s="11"/>
      <c r="FB344" s="11"/>
      <c r="FC344" s="11"/>
      <c r="FD344" s="11"/>
      <c r="FE344" s="11"/>
      <c r="FF344" s="11"/>
      <c r="FG344" s="11"/>
      <c r="FH344" s="17">
        <f t="shared" si="131"/>
        <v>2306385.41</v>
      </c>
      <c r="FI344" s="31">
        <f t="shared" si="132"/>
        <v>5</v>
      </c>
      <c r="FJ344" s="68">
        <f t="shared" si="133"/>
        <v>461277.08200000005</v>
      </c>
    </row>
    <row r="345" spans="1:166" ht="40.5" x14ac:dyDescent="0.25">
      <c r="A345" s="248">
        <f>Distribución_Reactivos!A345</f>
        <v>343</v>
      </c>
      <c r="B345" s="248" t="str">
        <f>Distribución_Reactivos!B345</f>
        <v>RNase Inhibitor. Proteína recombinante con inhibidor de rnasa neutro, 40U/µl</v>
      </c>
      <c r="C345" s="248" t="str">
        <f>Distribución_Reactivos!C345</f>
        <v>Invitrogen AM 2684</v>
      </c>
      <c r="D345" s="248" t="str">
        <f>Distribución_Reactivos!D345</f>
        <v>10000 unidades</v>
      </c>
      <c r="E345" s="29">
        <v>1</v>
      </c>
      <c r="F345" s="212">
        <v>2142000</v>
      </c>
      <c r="G345" s="214">
        <v>0</v>
      </c>
      <c r="H345" s="221">
        <v>2345757.65</v>
      </c>
      <c r="I345" s="221">
        <v>0</v>
      </c>
      <c r="J345" s="221">
        <v>1697346.6825000001</v>
      </c>
      <c r="K345" s="221">
        <v>0</v>
      </c>
      <c r="L345" s="247">
        <f>AVERAGE(F345,H345,J345)</f>
        <v>2061701.4441666668</v>
      </c>
      <c r="M345" s="247"/>
      <c r="N345" s="217"/>
      <c r="O345" s="97"/>
      <c r="P345" s="97"/>
      <c r="Q345" s="44"/>
      <c r="R345" s="44"/>
      <c r="S345" s="5"/>
      <c r="T345" s="97">
        <v>2538000</v>
      </c>
      <c r="U345" s="97">
        <f>+T345*0.19</f>
        <v>482220</v>
      </c>
      <c r="V345" s="97">
        <f>+T345+U345</f>
        <v>3020220</v>
      </c>
      <c r="W345" s="11" t="s">
        <v>408</v>
      </c>
      <c r="X345" s="11" t="s">
        <v>409</v>
      </c>
      <c r="Y345" s="11"/>
      <c r="Z345" s="97"/>
      <c r="AA345" s="97"/>
      <c r="AB345" s="97"/>
      <c r="AC345" s="44"/>
      <c r="AD345" s="44"/>
      <c r="AE345" s="11"/>
      <c r="AF345" s="102"/>
      <c r="AG345" s="125"/>
      <c r="AH345" s="97"/>
      <c r="AI345" s="11"/>
      <c r="AJ345" s="11"/>
      <c r="AK345" s="11"/>
      <c r="AL345" s="97"/>
      <c r="AM345" s="97"/>
      <c r="AN345" s="97"/>
      <c r="AO345" s="248"/>
      <c r="AP345" s="11"/>
      <c r="AQ345" s="11"/>
      <c r="AR345" s="252">
        <v>386467</v>
      </c>
      <c r="AS345" s="124">
        <f t="shared" si="136"/>
        <v>73428.73</v>
      </c>
      <c r="AT345" s="100">
        <f t="shared" si="137"/>
        <v>459895.73</v>
      </c>
      <c r="AU345" s="42" t="s">
        <v>410</v>
      </c>
      <c r="AV345" s="42" t="s">
        <v>399</v>
      </c>
      <c r="AW345" s="11"/>
      <c r="AX345" s="252"/>
      <c r="AY345" s="252"/>
      <c r="AZ345" s="252"/>
      <c r="BA345" s="11"/>
      <c r="BB345" s="11"/>
      <c r="BC345" s="11"/>
      <c r="BD345" s="247"/>
      <c r="BE345" s="124"/>
      <c r="BF345" s="124"/>
      <c r="BG345" s="116"/>
      <c r="BH345" s="11"/>
      <c r="BI345" s="116"/>
      <c r="BJ345" s="124"/>
      <c r="BK345" s="124"/>
      <c r="BL345" s="124"/>
      <c r="BM345" s="116"/>
      <c r="BN345" s="116"/>
      <c r="BO345" s="116"/>
      <c r="BP345" s="124"/>
      <c r="BQ345" s="116"/>
      <c r="BR345" s="116"/>
      <c r="BS345" s="116"/>
      <c r="BT345" s="116"/>
      <c r="BU345" s="116"/>
      <c r="BV345" s="241">
        <v>4800000</v>
      </c>
      <c r="BW345" s="125">
        <f t="shared" si="134"/>
        <v>912000</v>
      </c>
      <c r="BX345" s="97">
        <f t="shared" si="135"/>
        <v>5712000</v>
      </c>
      <c r="BY345" s="237" t="s">
        <v>411</v>
      </c>
      <c r="BZ345" s="237" t="s">
        <v>412</v>
      </c>
      <c r="CA345" s="116"/>
      <c r="CB345" s="247"/>
      <c r="CC345" s="125"/>
      <c r="CD345" s="247"/>
      <c r="CE345" s="116"/>
      <c r="CF345" s="116"/>
      <c r="CG345" s="34"/>
      <c r="CH345" s="241"/>
      <c r="CI345" s="238"/>
      <c r="CJ345" s="236"/>
      <c r="CK345" s="237"/>
      <c r="CL345" s="237"/>
      <c r="CM345" s="116"/>
      <c r="CN345" s="247"/>
      <c r="CO345" s="125"/>
      <c r="CP345" s="247"/>
      <c r="CQ345" s="116"/>
      <c r="CR345" s="116"/>
      <c r="CS345" s="116"/>
      <c r="CT345" s="247"/>
      <c r="CU345" s="125"/>
      <c r="CV345" s="247"/>
      <c r="CW345" s="116"/>
      <c r="CX345" s="116"/>
      <c r="CY345" s="116"/>
      <c r="CZ345" s="102"/>
      <c r="DA345" s="125"/>
      <c r="DB345" s="102"/>
      <c r="DC345" s="31"/>
      <c r="DD345" s="17"/>
      <c r="DE345" s="11"/>
      <c r="DF345" s="116"/>
      <c r="DG345" s="116"/>
      <c r="DH345" s="116"/>
      <c r="DI345" s="116"/>
      <c r="DJ345" s="116"/>
      <c r="DK345" s="116"/>
      <c r="DL345" s="116"/>
      <c r="DM345" s="116"/>
      <c r="DN345" s="116"/>
      <c r="DO345" s="116"/>
      <c r="DP345" s="116"/>
      <c r="DQ345" s="116"/>
      <c r="DR345" s="116"/>
      <c r="DS345" s="116"/>
      <c r="DT345" s="116"/>
      <c r="DU345" s="116"/>
      <c r="DV345" s="116"/>
      <c r="DW345" s="116"/>
      <c r="DX345" s="116"/>
      <c r="DY345" s="116"/>
      <c r="DZ345" s="116"/>
      <c r="EA345" s="116"/>
      <c r="EB345" s="116"/>
      <c r="EC345" s="116"/>
      <c r="ED345" s="116"/>
      <c r="EE345" s="116"/>
      <c r="EF345" s="116"/>
      <c r="EG345" s="116"/>
      <c r="EH345" s="116"/>
      <c r="EI345" s="116"/>
      <c r="EJ345" s="116"/>
      <c r="EK345" s="116"/>
      <c r="EL345" s="116"/>
      <c r="EM345" s="116"/>
      <c r="EN345" s="116"/>
      <c r="EO345" s="116"/>
      <c r="EP345" s="116"/>
      <c r="EQ345" s="116"/>
      <c r="ER345" s="116"/>
      <c r="ES345" s="116"/>
      <c r="ET345" s="11"/>
      <c r="EU345" s="11"/>
      <c r="EV345" s="11"/>
      <c r="EW345" s="11"/>
      <c r="EX345" s="11"/>
      <c r="EY345" s="11"/>
      <c r="EZ345" s="11"/>
      <c r="FA345" s="11"/>
      <c r="FB345" s="11"/>
      <c r="FC345" s="11"/>
      <c r="FD345" s="11"/>
      <c r="FE345" s="11"/>
      <c r="FF345" s="11"/>
      <c r="FG345" s="11"/>
      <c r="FH345" s="17">
        <f t="shared" si="131"/>
        <v>9192115.7300000004</v>
      </c>
      <c r="FI345" s="31">
        <f t="shared" si="132"/>
        <v>3</v>
      </c>
      <c r="FJ345" s="68">
        <f t="shared" si="133"/>
        <v>3064038.5766666667</v>
      </c>
    </row>
    <row r="346" spans="1:166" ht="27" x14ac:dyDescent="0.25">
      <c r="A346" s="248">
        <f>Distribución_Reactivos!A346</f>
        <v>344</v>
      </c>
      <c r="B346" s="248" t="str">
        <f>Distribución_Reactivos!B346</f>
        <v>RNaseA (SigmaAldrich Cat #R4642) (20mg/ml)</v>
      </c>
      <c r="C346" s="248" t="str">
        <f>Distribución_Reactivos!C346</f>
        <v>SigmaAldrich Cat #R4642</v>
      </c>
      <c r="D346" s="248" t="str">
        <f>Distribución_Reactivos!D346</f>
        <v>frasco X 10mg</v>
      </c>
      <c r="E346" s="29">
        <v>1</v>
      </c>
      <c r="F346" s="212">
        <v>0</v>
      </c>
      <c r="G346" s="214">
        <v>0</v>
      </c>
      <c r="H346" s="221">
        <v>506741.66666666669</v>
      </c>
      <c r="I346" s="221">
        <v>0</v>
      </c>
      <c r="J346" s="221">
        <v>219422.91</v>
      </c>
      <c r="K346" s="221">
        <v>217770</v>
      </c>
      <c r="L346" s="247">
        <f>AVERAGE(H346,J346)</f>
        <v>363082.28833333333</v>
      </c>
      <c r="M346" s="247">
        <f>K346*E1</f>
        <v>224303.1</v>
      </c>
      <c r="N346" s="217"/>
      <c r="O346" s="105"/>
      <c r="P346" s="97"/>
      <c r="Q346" s="115"/>
      <c r="R346" s="115"/>
      <c r="S346" s="53"/>
      <c r="T346" s="97">
        <v>852000</v>
      </c>
      <c r="U346" s="97">
        <f>+T346*0.19</f>
        <v>161880</v>
      </c>
      <c r="V346" s="97">
        <f>+T346+U346</f>
        <v>1013880</v>
      </c>
      <c r="W346" s="115" t="s">
        <v>413</v>
      </c>
      <c r="X346" s="115" t="s">
        <v>129</v>
      </c>
      <c r="Y346" s="11"/>
      <c r="Z346" s="97"/>
      <c r="AA346" s="97"/>
      <c r="AB346" s="97"/>
      <c r="AC346" s="44"/>
      <c r="AD346" s="44"/>
      <c r="AE346" s="11"/>
      <c r="AF346" s="102"/>
      <c r="AG346" s="125"/>
      <c r="AH346" s="97"/>
      <c r="AI346" s="11"/>
      <c r="AJ346" s="11"/>
      <c r="AK346" s="17"/>
      <c r="AL346" s="97"/>
      <c r="AM346" s="97"/>
      <c r="AN346" s="103"/>
      <c r="AO346" s="248"/>
      <c r="AP346" s="17"/>
      <c r="AQ346" s="17"/>
      <c r="AR346" s="252">
        <v>337478</v>
      </c>
      <c r="AS346" s="124">
        <f t="shared" si="136"/>
        <v>64120.82</v>
      </c>
      <c r="AT346" s="100">
        <f t="shared" si="137"/>
        <v>401598.82</v>
      </c>
      <c r="AU346" s="42" t="s">
        <v>414</v>
      </c>
      <c r="AV346" s="42" t="s">
        <v>399</v>
      </c>
      <c r="AW346" s="11"/>
      <c r="AX346" s="100"/>
      <c r="AY346" s="174"/>
      <c r="AZ346" s="124"/>
      <c r="BA346" s="169"/>
      <c r="BB346" s="116"/>
      <c r="BC346" s="116"/>
      <c r="BD346" s="247"/>
      <c r="BE346" s="124"/>
      <c r="BF346" s="124"/>
      <c r="BG346" s="116"/>
      <c r="BH346" s="116"/>
      <c r="BI346" s="116"/>
      <c r="BJ346" s="124"/>
      <c r="BK346" s="124"/>
      <c r="BL346" s="124"/>
      <c r="BM346" s="116"/>
      <c r="BN346" s="116"/>
      <c r="BO346" s="116"/>
      <c r="BP346" s="124">
        <v>299224</v>
      </c>
      <c r="BQ346" s="125">
        <f>BP346*19%</f>
        <v>56852.56</v>
      </c>
      <c r="BR346" s="97">
        <f>+BP346+BQ346</f>
        <v>356076.56</v>
      </c>
      <c r="BS346" s="183" t="s">
        <v>140</v>
      </c>
      <c r="BT346" s="34" t="s">
        <v>415</v>
      </c>
      <c r="BU346" s="5" t="s">
        <v>416</v>
      </c>
      <c r="BV346" s="236">
        <v>186600</v>
      </c>
      <c r="BW346" s="125">
        <f t="shared" si="134"/>
        <v>35454</v>
      </c>
      <c r="BX346" s="97">
        <f t="shared" si="135"/>
        <v>222054</v>
      </c>
      <c r="BY346" s="237" t="s">
        <v>298</v>
      </c>
      <c r="BZ346" s="237" t="s">
        <v>252</v>
      </c>
      <c r="CA346" s="116"/>
      <c r="CB346" s="247"/>
      <c r="CC346" s="125"/>
      <c r="CD346" s="247"/>
      <c r="CE346" s="116"/>
      <c r="CF346" s="116"/>
      <c r="CG346" s="34"/>
      <c r="CH346" s="236">
        <v>192198</v>
      </c>
      <c r="CI346" s="238">
        <f>+CH346*0.19</f>
        <v>36517.620000000003</v>
      </c>
      <c r="CJ346" s="236">
        <f>+CH346+CI346</f>
        <v>228715.62</v>
      </c>
      <c r="CK346" s="237" t="s">
        <v>298</v>
      </c>
      <c r="CL346" s="237" t="s">
        <v>252</v>
      </c>
      <c r="CM346" s="116"/>
      <c r="CN346" s="247"/>
      <c r="CO346" s="125"/>
      <c r="CP346" s="247"/>
      <c r="CQ346" s="116"/>
      <c r="CR346" s="116"/>
      <c r="CS346" s="116"/>
      <c r="CT346" s="247"/>
      <c r="CU346" s="125"/>
      <c r="CV346" s="247"/>
      <c r="CW346" s="116"/>
      <c r="CX346" s="116"/>
      <c r="CY346" s="116"/>
      <c r="CZ346" s="102"/>
      <c r="DA346" s="125"/>
      <c r="DB346" s="102"/>
      <c r="DC346" s="31"/>
      <c r="DD346" s="17"/>
      <c r="DE346" s="11"/>
      <c r="DF346" s="116"/>
      <c r="DG346" s="116"/>
      <c r="DH346" s="116"/>
      <c r="DI346" s="116"/>
      <c r="DJ346" s="116"/>
      <c r="DK346" s="116"/>
      <c r="DL346" s="116"/>
      <c r="DM346" s="116"/>
      <c r="DN346" s="116"/>
      <c r="DO346" s="116"/>
      <c r="DP346" s="116"/>
      <c r="DQ346" s="116"/>
      <c r="DR346" s="116"/>
      <c r="DS346" s="116"/>
      <c r="DT346" s="116"/>
      <c r="DU346" s="116"/>
      <c r="DV346" s="116"/>
      <c r="DW346" s="116"/>
      <c r="DX346" s="116"/>
      <c r="DY346" s="116"/>
      <c r="DZ346" s="116"/>
      <c r="EA346" s="116"/>
      <c r="EB346" s="116"/>
      <c r="EC346" s="116"/>
      <c r="ED346" s="116"/>
      <c r="EE346" s="116"/>
      <c r="EF346" s="116"/>
      <c r="EG346" s="116"/>
      <c r="EH346" s="116"/>
      <c r="EI346" s="116"/>
      <c r="EJ346" s="116"/>
      <c r="EK346" s="116"/>
      <c r="EL346" s="116"/>
      <c r="EM346" s="116"/>
      <c r="EN346" s="116"/>
      <c r="EO346" s="116"/>
      <c r="EP346" s="116"/>
      <c r="EQ346" s="116"/>
      <c r="ER346" s="116"/>
      <c r="ES346" s="116"/>
      <c r="ET346" s="11"/>
      <c r="EU346" s="11"/>
      <c r="EV346" s="11"/>
      <c r="EW346" s="11"/>
      <c r="EX346" s="11"/>
      <c r="EY346" s="11"/>
      <c r="EZ346" s="11"/>
      <c r="FA346" s="11"/>
      <c r="FB346" s="11"/>
      <c r="FC346" s="11"/>
      <c r="FD346" s="11"/>
      <c r="FE346" s="11"/>
      <c r="FF346" s="11"/>
      <c r="FG346" s="11"/>
      <c r="FH346" s="17">
        <f t="shared" si="131"/>
        <v>2446628.1000000006</v>
      </c>
      <c r="FI346" s="31">
        <f t="shared" si="132"/>
        <v>6</v>
      </c>
      <c r="FJ346" s="68">
        <f t="shared" si="133"/>
        <v>407771.35000000009</v>
      </c>
    </row>
    <row r="347" spans="1:166" ht="38.25" x14ac:dyDescent="0.25">
      <c r="A347" s="248">
        <f>Distribución_Reactivos!A347</f>
        <v>345</v>
      </c>
      <c r="B347" s="248" t="str">
        <f>Distribución_Reactivos!B347</f>
        <v>Rojo de metilo</v>
      </c>
      <c r="C347" s="248" t="str">
        <f>Distribución_Reactivos!C347</f>
        <v>Merck, JT Baker, Sigma o equivalente</v>
      </c>
      <c r="D347" s="248" t="str">
        <f>Distribución_Reactivos!D347</f>
        <v>Frasco x 25 g</v>
      </c>
      <c r="E347" s="29">
        <v>1</v>
      </c>
      <c r="F347" s="212">
        <v>623004.66666666663</v>
      </c>
      <c r="G347" s="214">
        <v>80325</v>
      </c>
      <c r="H347" s="221">
        <v>326531.359440625</v>
      </c>
      <c r="I347" s="221">
        <v>0</v>
      </c>
      <c r="J347" s="221">
        <v>397103</v>
      </c>
      <c r="K347" s="221">
        <v>0</v>
      </c>
      <c r="L347" s="247">
        <f>AVERAGE(F347,H347,J347)</f>
        <v>448879.67536909721</v>
      </c>
      <c r="M347" s="247">
        <f>G347*E1</f>
        <v>82734.75</v>
      </c>
      <c r="N347" s="217"/>
      <c r="O347" s="97"/>
      <c r="P347" s="97"/>
      <c r="Q347" s="115"/>
      <c r="R347" s="115"/>
      <c r="S347" s="53"/>
      <c r="T347" s="97"/>
      <c r="U347" s="97"/>
      <c r="V347" s="97"/>
      <c r="W347" s="115"/>
      <c r="X347" s="115"/>
      <c r="Y347" s="11"/>
      <c r="Z347" s="97"/>
      <c r="AA347" s="97"/>
      <c r="AB347" s="97"/>
      <c r="AC347" s="44"/>
      <c r="AD347" s="44"/>
      <c r="AE347" s="11"/>
      <c r="AF347" s="102">
        <v>413000</v>
      </c>
      <c r="AG347" s="125">
        <f>AF347*19%</f>
        <v>78470</v>
      </c>
      <c r="AH347" s="97">
        <f>+AF347+AG347</f>
        <v>491470</v>
      </c>
      <c r="AI347" s="11"/>
      <c r="AJ347" s="11"/>
      <c r="AK347" s="17"/>
      <c r="AL347" s="97">
        <v>239000</v>
      </c>
      <c r="AM347" s="97">
        <f>+AL347*0.19</f>
        <v>45410</v>
      </c>
      <c r="AN347" s="103">
        <f>+AL347+AM347</f>
        <v>284410</v>
      </c>
      <c r="AO347" s="248" t="s">
        <v>41</v>
      </c>
      <c r="AP347" s="17" t="s">
        <v>57</v>
      </c>
      <c r="AQ347" s="17"/>
      <c r="AR347" s="252">
        <v>129600</v>
      </c>
      <c r="AS347" s="124">
        <f t="shared" si="136"/>
        <v>24624</v>
      </c>
      <c r="AT347" s="100">
        <f t="shared" si="137"/>
        <v>154224</v>
      </c>
      <c r="AU347" s="52" t="s">
        <v>41</v>
      </c>
      <c r="AV347" s="34" t="s">
        <v>42</v>
      </c>
      <c r="AW347" s="11"/>
      <c r="AX347" s="100"/>
      <c r="AY347" s="174"/>
      <c r="AZ347" s="124"/>
      <c r="BA347" s="169"/>
      <c r="BB347" s="116"/>
      <c r="BC347" s="116"/>
      <c r="BD347" s="247"/>
      <c r="BE347" s="247"/>
      <c r="BF347" s="247"/>
      <c r="BG347" s="247"/>
      <c r="BH347" s="116"/>
      <c r="BI347" s="116"/>
      <c r="BJ347" s="124"/>
      <c r="BK347" s="124"/>
      <c r="BL347" s="124"/>
      <c r="BM347" s="116"/>
      <c r="BN347" s="116"/>
      <c r="BO347" s="116"/>
      <c r="BP347" s="124"/>
      <c r="BQ347" s="116"/>
      <c r="BR347" s="116"/>
      <c r="BS347" s="116"/>
      <c r="BT347" s="116"/>
      <c r="BU347" s="116"/>
      <c r="BV347" s="236">
        <v>571500</v>
      </c>
      <c r="BW347" s="125">
        <f t="shared" si="134"/>
        <v>108585</v>
      </c>
      <c r="BX347" s="97">
        <f t="shared" si="135"/>
        <v>680085</v>
      </c>
      <c r="BY347" s="237" t="s">
        <v>323</v>
      </c>
      <c r="BZ347" s="237" t="s">
        <v>93</v>
      </c>
      <c r="CA347" s="116"/>
      <c r="CB347" s="247"/>
      <c r="CC347" s="125"/>
      <c r="CD347" s="247"/>
      <c r="CE347" s="116"/>
      <c r="CF347" s="116"/>
      <c r="CG347" s="34"/>
      <c r="CH347" s="236">
        <v>605790</v>
      </c>
      <c r="CI347" s="238">
        <f>+CH347*0.19</f>
        <v>115100.1</v>
      </c>
      <c r="CJ347" s="236">
        <f>+CH347+CI347</f>
        <v>720890.1</v>
      </c>
      <c r="CK347" s="237" t="s">
        <v>323</v>
      </c>
      <c r="CL347" s="237" t="s">
        <v>93</v>
      </c>
      <c r="CM347" s="116"/>
      <c r="CN347" s="247"/>
      <c r="CO347" s="125"/>
      <c r="CP347" s="247"/>
      <c r="CQ347" s="116"/>
      <c r="CR347" s="116"/>
      <c r="CS347" s="116"/>
      <c r="CT347" s="247"/>
      <c r="CU347" s="125"/>
      <c r="CV347" s="247"/>
      <c r="CW347" s="116"/>
      <c r="CX347" s="116"/>
      <c r="CY347" s="116"/>
      <c r="CZ347" s="102">
        <v>237241</v>
      </c>
      <c r="DA347" s="125">
        <f>+CZ347*0.19</f>
        <v>45075.79</v>
      </c>
      <c r="DB347" s="102">
        <f>+CZ347+DA347</f>
        <v>282316.78999999998</v>
      </c>
      <c r="DC347" s="31" t="s">
        <v>417</v>
      </c>
      <c r="DD347" s="17" t="s">
        <v>65</v>
      </c>
      <c r="DE347" s="11">
        <v>1060760025</v>
      </c>
      <c r="DF347" s="116"/>
      <c r="DG347" s="116"/>
      <c r="DH347" s="116"/>
      <c r="DI347" s="116"/>
      <c r="DJ347" s="116"/>
      <c r="DK347" s="116"/>
      <c r="DL347" s="116"/>
      <c r="DM347" s="116"/>
      <c r="DN347" s="116"/>
      <c r="DO347" s="116"/>
      <c r="DP347" s="116"/>
      <c r="DQ347" s="116"/>
      <c r="DR347" s="116"/>
      <c r="DS347" s="116"/>
      <c r="DT347" s="116"/>
      <c r="DU347" s="116"/>
      <c r="DV347" s="116"/>
      <c r="DW347" s="116"/>
      <c r="DX347" s="116"/>
      <c r="DY347" s="116"/>
      <c r="DZ347" s="116"/>
      <c r="EA347" s="116"/>
      <c r="EB347" s="116"/>
      <c r="EC347" s="116"/>
      <c r="ED347" s="116"/>
      <c r="EE347" s="116"/>
      <c r="EF347" s="116"/>
      <c r="EG347" s="116"/>
      <c r="EH347" s="116"/>
      <c r="EI347" s="116"/>
      <c r="EJ347" s="116"/>
      <c r="EK347" s="116"/>
      <c r="EL347" s="116"/>
      <c r="EM347" s="116"/>
      <c r="EN347" s="116"/>
      <c r="EO347" s="116"/>
      <c r="EP347" s="116"/>
      <c r="EQ347" s="116"/>
      <c r="ER347" s="116"/>
      <c r="ES347" s="116"/>
      <c r="ET347" s="11"/>
      <c r="EU347" s="11"/>
      <c r="EV347" s="11"/>
      <c r="EW347" s="11"/>
      <c r="EX347" s="11"/>
      <c r="EY347" s="11"/>
      <c r="EZ347" s="11"/>
      <c r="FA347" s="11"/>
      <c r="FB347" s="11"/>
      <c r="FC347" s="11"/>
      <c r="FD347" s="11"/>
      <c r="FE347" s="11"/>
      <c r="FF347" s="11"/>
      <c r="FG347" s="11"/>
      <c r="FH347" s="17">
        <f t="shared" si="131"/>
        <v>2696130.64</v>
      </c>
      <c r="FI347" s="31">
        <f t="shared" si="132"/>
        <v>7</v>
      </c>
      <c r="FJ347" s="68">
        <f t="shared" si="133"/>
        <v>385161.52</v>
      </c>
    </row>
    <row r="348" spans="1:166" ht="40.5" x14ac:dyDescent="0.25">
      <c r="A348" s="248">
        <f>Distribución_Reactivos!A348</f>
        <v>346</v>
      </c>
      <c r="B348" s="248" t="str">
        <f>Distribución_Reactivos!B348</f>
        <v>Rojo Fenol</v>
      </c>
      <c r="C348" s="248" t="str">
        <f>Distribución_Reactivos!C348</f>
        <v>Merck, Sigma o equivalente</v>
      </c>
      <c r="D348" s="248" t="str">
        <f>Distribución_Reactivos!D348</f>
        <v>Frasco x 5 g</v>
      </c>
      <c r="E348" s="29">
        <v>1</v>
      </c>
      <c r="F348" s="212">
        <v>353444.875</v>
      </c>
      <c r="G348" s="214">
        <v>88179</v>
      </c>
      <c r="H348" s="221">
        <v>265980.0424486</v>
      </c>
      <c r="I348" s="221">
        <v>97580</v>
      </c>
      <c r="J348" s="221">
        <v>502419.19000000006</v>
      </c>
      <c r="K348" s="221">
        <v>490280</v>
      </c>
      <c r="L348" s="247">
        <f>AVERAGE(F348,H348,J348)</f>
        <v>373948.03581620008</v>
      </c>
      <c r="M348" s="247">
        <f>AVERAGE(G348,I348,K348)*E1</f>
        <v>232106.72333333336</v>
      </c>
      <c r="N348" s="217"/>
      <c r="O348" s="97"/>
      <c r="P348" s="97"/>
      <c r="Q348" s="115"/>
      <c r="R348" s="115"/>
      <c r="S348" s="53"/>
      <c r="T348" s="97"/>
      <c r="U348" s="97"/>
      <c r="V348" s="97"/>
      <c r="W348" s="115"/>
      <c r="X348" s="115"/>
      <c r="Y348" s="44"/>
      <c r="Z348" s="101"/>
      <c r="AA348" s="97"/>
      <c r="AB348" s="97"/>
      <c r="AC348" s="115"/>
      <c r="AD348" s="44"/>
      <c r="AE348" s="11"/>
      <c r="AF348" s="102">
        <v>300000</v>
      </c>
      <c r="AG348" s="125">
        <f>AF348*19%</f>
        <v>57000</v>
      </c>
      <c r="AH348" s="97">
        <f>+AF348+AG348</f>
        <v>357000</v>
      </c>
      <c r="AI348" s="11"/>
      <c r="AJ348" s="11"/>
      <c r="AK348" s="17"/>
      <c r="AL348" s="97">
        <v>290000</v>
      </c>
      <c r="AM348" s="97">
        <f>+AL348*0.19</f>
        <v>55100</v>
      </c>
      <c r="AN348" s="103">
        <f>+AL348+AM348</f>
        <v>345100</v>
      </c>
      <c r="AO348" s="248" t="s">
        <v>157</v>
      </c>
      <c r="AP348" s="17" t="s">
        <v>52</v>
      </c>
      <c r="AQ348" s="17"/>
      <c r="AR348" s="252">
        <v>151200</v>
      </c>
      <c r="AS348" s="124">
        <f t="shared" si="136"/>
        <v>28728</v>
      </c>
      <c r="AT348" s="100">
        <f t="shared" si="137"/>
        <v>179928</v>
      </c>
      <c r="AU348" s="52" t="s">
        <v>157</v>
      </c>
      <c r="AV348" s="34" t="s">
        <v>42</v>
      </c>
      <c r="AW348" s="17"/>
      <c r="AX348" s="100"/>
      <c r="AY348" s="174"/>
      <c r="AZ348" s="124"/>
      <c r="BA348" s="169"/>
      <c r="BB348" s="116"/>
      <c r="BC348" s="116"/>
      <c r="BD348" s="247"/>
      <c r="BE348" s="124"/>
      <c r="BF348" s="124"/>
      <c r="BG348" s="116"/>
      <c r="BH348" s="116"/>
      <c r="BI348" s="116"/>
      <c r="BJ348" s="124"/>
      <c r="BK348" s="124"/>
      <c r="BL348" s="124"/>
      <c r="BM348" s="116"/>
      <c r="BN348" s="116"/>
      <c r="BO348" s="116"/>
      <c r="BP348" s="124"/>
      <c r="BQ348" s="116"/>
      <c r="BR348" s="116"/>
      <c r="BS348" s="116"/>
      <c r="BT348" s="116"/>
      <c r="BU348" s="116"/>
      <c r="BV348" s="236">
        <v>559100</v>
      </c>
      <c r="BW348" s="125">
        <f t="shared" si="134"/>
        <v>106229</v>
      </c>
      <c r="BX348" s="97">
        <f t="shared" si="135"/>
        <v>665329</v>
      </c>
      <c r="BY348" s="237" t="s">
        <v>323</v>
      </c>
      <c r="BZ348" s="237" t="s">
        <v>418</v>
      </c>
      <c r="CA348" s="116"/>
      <c r="CB348" s="247"/>
      <c r="CC348" s="125"/>
      <c r="CD348" s="247"/>
      <c r="CE348" s="17"/>
      <c r="CF348" s="17"/>
      <c r="CG348" s="34"/>
      <c r="CH348" s="236">
        <v>570282</v>
      </c>
      <c r="CI348" s="238">
        <f>+CH348*0.19</f>
        <v>108353.58</v>
      </c>
      <c r="CJ348" s="236">
        <f>+CH348+CI348</f>
        <v>678635.58</v>
      </c>
      <c r="CK348" s="237" t="s">
        <v>323</v>
      </c>
      <c r="CL348" s="237" t="s">
        <v>418</v>
      </c>
      <c r="CM348" s="116"/>
      <c r="CN348" s="247"/>
      <c r="CO348" s="125"/>
      <c r="CP348" s="247"/>
      <c r="CQ348" s="116"/>
      <c r="CR348" s="116"/>
      <c r="CS348" s="116"/>
      <c r="CT348" s="247"/>
      <c r="CU348" s="125"/>
      <c r="CV348" s="247"/>
      <c r="CW348" s="116"/>
      <c r="CX348" s="116"/>
      <c r="CY348" s="116"/>
      <c r="CZ348" s="102"/>
      <c r="DA348" s="125"/>
      <c r="DB348" s="102"/>
      <c r="DC348" s="31"/>
      <c r="DD348" s="17"/>
      <c r="DE348" s="11"/>
      <c r="DF348" s="116"/>
      <c r="DG348" s="116"/>
      <c r="DH348" s="116"/>
      <c r="DI348" s="116"/>
      <c r="DJ348" s="116"/>
      <c r="DK348" s="116"/>
      <c r="DL348" s="116"/>
      <c r="DM348" s="116"/>
      <c r="DN348" s="116"/>
      <c r="DO348" s="116"/>
      <c r="DP348" s="116"/>
      <c r="DQ348" s="116"/>
      <c r="DR348" s="116"/>
      <c r="DS348" s="116"/>
      <c r="DT348" s="116"/>
      <c r="DU348" s="116"/>
      <c r="DV348" s="116"/>
      <c r="DW348" s="116"/>
      <c r="DX348" s="116"/>
      <c r="DY348" s="116"/>
      <c r="DZ348" s="116"/>
      <c r="EA348" s="116"/>
      <c r="EB348" s="116"/>
      <c r="EC348" s="116"/>
      <c r="ED348" s="116"/>
      <c r="EE348" s="116"/>
      <c r="EF348" s="116"/>
      <c r="EG348" s="116"/>
      <c r="EH348" s="116"/>
      <c r="EI348" s="116"/>
      <c r="EJ348" s="116"/>
      <c r="EK348" s="116"/>
      <c r="EL348" s="116"/>
      <c r="EM348" s="116"/>
      <c r="EN348" s="116"/>
      <c r="EO348" s="116"/>
      <c r="EP348" s="116"/>
      <c r="EQ348" s="116"/>
      <c r="ER348" s="116"/>
      <c r="ES348" s="116"/>
      <c r="ET348" s="11"/>
      <c r="EU348" s="11"/>
      <c r="EV348" s="11"/>
      <c r="EW348" s="11"/>
      <c r="EX348" s="11"/>
      <c r="EY348" s="11"/>
      <c r="EZ348" s="11"/>
      <c r="FA348" s="11"/>
      <c r="FB348" s="11"/>
      <c r="FC348" s="11"/>
      <c r="FD348" s="11"/>
      <c r="FE348" s="11"/>
      <c r="FF348" s="252"/>
      <c r="FG348" s="61"/>
      <c r="FH348" s="17">
        <f t="shared" si="131"/>
        <v>2458099.3033333332</v>
      </c>
      <c r="FI348" s="31">
        <f t="shared" si="132"/>
        <v>6</v>
      </c>
      <c r="FJ348" s="68">
        <f t="shared" si="133"/>
        <v>409683.21722222219</v>
      </c>
    </row>
    <row r="349" spans="1:166" ht="25.5" x14ac:dyDescent="0.25">
      <c r="A349" s="248">
        <f>Distribución_Reactivos!A349</f>
        <v>347</v>
      </c>
      <c r="B349" s="248" t="str">
        <f>Distribución_Reactivos!B349</f>
        <v>Safranina</v>
      </c>
      <c r="C349" s="248" t="str">
        <f>Distribución_Reactivos!C349</f>
        <v>Merck, Sigma o equivalente</v>
      </c>
      <c r="D349" s="248" t="str">
        <f>Distribución_Reactivos!D349</f>
        <v>Frasco x 25 g</v>
      </c>
      <c r="E349" s="29">
        <v>1</v>
      </c>
      <c r="F349" s="212">
        <v>572806.5</v>
      </c>
      <c r="G349" s="214">
        <v>564179</v>
      </c>
      <c r="H349" s="221">
        <v>580267.92098333326</v>
      </c>
      <c r="I349" s="221">
        <v>580244</v>
      </c>
      <c r="J349" s="221">
        <v>539308.9916666667</v>
      </c>
      <c r="K349" s="221">
        <v>0</v>
      </c>
      <c r="L349" s="247">
        <f>AVERAGE(F349,H349,J349)</f>
        <v>564127.80421666661</v>
      </c>
      <c r="M349" s="247">
        <f>AVERAGE(G349,I349)*E1</f>
        <v>589377.84499999997</v>
      </c>
      <c r="N349" s="217"/>
      <c r="O349" s="101"/>
      <c r="P349" s="97"/>
      <c r="Q349" s="115"/>
      <c r="R349" s="115"/>
      <c r="S349" s="53"/>
      <c r="T349" s="97"/>
      <c r="U349" s="97"/>
      <c r="V349" s="97"/>
      <c r="W349" s="115"/>
      <c r="X349" s="115"/>
      <c r="Y349" s="11"/>
      <c r="Z349" s="97"/>
      <c r="AA349" s="97"/>
      <c r="AB349" s="97"/>
      <c r="AC349" s="44"/>
      <c r="AD349" s="44"/>
      <c r="AE349" s="11"/>
      <c r="AF349" s="102">
        <v>490000</v>
      </c>
      <c r="AG349" s="125">
        <f>AF349*19%</f>
        <v>93100</v>
      </c>
      <c r="AH349" s="97">
        <f>+AF349+AG349</f>
        <v>583100</v>
      </c>
      <c r="AI349" s="11"/>
      <c r="AJ349" s="11"/>
      <c r="AK349" s="17"/>
      <c r="AL349" s="97">
        <f>460000/2</f>
        <v>230000</v>
      </c>
      <c r="AM349" s="97">
        <f>+AL349*0.19</f>
        <v>43700</v>
      </c>
      <c r="AN349" s="103">
        <f>+AL349+AM349</f>
        <v>273700</v>
      </c>
      <c r="AO349" s="248" t="s">
        <v>220</v>
      </c>
      <c r="AP349" s="17" t="s">
        <v>52</v>
      </c>
      <c r="AQ349" s="17"/>
      <c r="AR349" s="252">
        <v>302400</v>
      </c>
      <c r="AS349" s="124">
        <f t="shared" si="136"/>
        <v>57456</v>
      </c>
      <c r="AT349" s="100">
        <f t="shared" si="137"/>
        <v>359856</v>
      </c>
      <c r="AU349" s="52" t="s">
        <v>41</v>
      </c>
      <c r="AV349" s="34" t="s">
        <v>42</v>
      </c>
      <c r="AW349" s="11"/>
      <c r="AX349" s="100"/>
      <c r="AY349" s="174"/>
      <c r="AZ349" s="124"/>
      <c r="BA349" s="169"/>
      <c r="BB349" s="116"/>
      <c r="BC349" s="116"/>
      <c r="BD349" s="247"/>
      <c r="BE349" s="124"/>
      <c r="BF349" s="124"/>
      <c r="BG349" s="116"/>
      <c r="BH349" s="116"/>
      <c r="BI349" s="116"/>
      <c r="BJ349" s="124"/>
      <c r="BK349" s="124"/>
      <c r="BL349" s="124"/>
      <c r="BM349" s="116"/>
      <c r="BN349" s="116"/>
      <c r="BO349" s="116"/>
      <c r="BP349" s="124"/>
      <c r="BQ349" s="116"/>
      <c r="BR349" s="116"/>
      <c r="BS349" s="116"/>
      <c r="BT349" s="116"/>
      <c r="BU349" s="116"/>
      <c r="BV349" s="236">
        <v>838700</v>
      </c>
      <c r="BW349" s="125">
        <f t="shared" si="134"/>
        <v>159353</v>
      </c>
      <c r="BX349" s="97">
        <f t="shared" si="135"/>
        <v>998053</v>
      </c>
      <c r="BY349" s="237" t="s">
        <v>323</v>
      </c>
      <c r="BZ349" s="237" t="s">
        <v>93</v>
      </c>
      <c r="CA349" s="116"/>
      <c r="CB349" s="247"/>
      <c r="CC349" s="125"/>
      <c r="CD349" s="247"/>
      <c r="CE349" s="116"/>
      <c r="CF349" s="116"/>
      <c r="CG349" s="34"/>
      <c r="CH349" s="236">
        <v>897409</v>
      </c>
      <c r="CI349" s="238">
        <f>+CH349*0.19</f>
        <v>170507.71</v>
      </c>
      <c r="CJ349" s="236">
        <f>+CH349+CI349</f>
        <v>1067916.71</v>
      </c>
      <c r="CK349" s="237" t="s">
        <v>323</v>
      </c>
      <c r="CL349" s="237" t="s">
        <v>93</v>
      </c>
      <c r="CM349" s="116"/>
      <c r="CN349" s="247"/>
      <c r="CO349" s="125"/>
      <c r="CP349" s="247"/>
      <c r="CQ349" s="116"/>
      <c r="CR349" s="116"/>
      <c r="CS349" s="116"/>
      <c r="CT349" s="247"/>
      <c r="CU349" s="125"/>
      <c r="CV349" s="247"/>
      <c r="CW349" s="116"/>
      <c r="CX349" s="116"/>
      <c r="CY349" s="116"/>
      <c r="CZ349" s="102">
        <v>432686</v>
      </c>
      <c r="DA349" s="125">
        <f>+CZ349*0.19</f>
        <v>82210.34</v>
      </c>
      <c r="DB349" s="102">
        <f>+CZ349+DA349</f>
        <v>514896.33999999997</v>
      </c>
      <c r="DC349" s="31" t="s">
        <v>419</v>
      </c>
      <c r="DD349" s="17" t="s">
        <v>65</v>
      </c>
      <c r="DE349" s="11">
        <v>1159480025</v>
      </c>
      <c r="DF349" s="116"/>
      <c r="DG349" s="116"/>
      <c r="DH349" s="116"/>
      <c r="DI349" s="116"/>
      <c r="DJ349" s="116"/>
      <c r="DK349" s="116"/>
      <c r="DL349" s="116"/>
      <c r="DM349" s="116"/>
      <c r="DN349" s="116"/>
      <c r="DO349" s="116"/>
      <c r="DP349" s="116"/>
      <c r="DQ349" s="116"/>
      <c r="DR349" s="116"/>
      <c r="DS349" s="116"/>
      <c r="DT349" s="116"/>
      <c r="DU349" s="116"/>
      <c r="DV349" s="116"/>
      <c r="DW349" s="116"/>
      <c r="DX349" s="116"/>
      <c r="DY349" s="116"/>
      <c r="DZ349" s="116"/>
      <c r="EA349" s="116"/>
      <c r="EB349" s="116"/>
      <c r="EC349" s="116"/>
      <c r="ED349" s="116"/>
      <c r="EE349" s="116"/>
      <c r="EF349" s="116"/>
      <c r="EG349" s="116"/>
      <c r="EH349" s="116"/>
      <c r="EI349" s="116"/>
      <c r="EJ349" s="116"/>
      <c r="EK349" s="116"/>
      <c r="EL349" s="116"/>
      <c r="EM349" s="116"/>
      <c r="EN349" s="116"/>
      <c r="EO349" s="116"/>
      <c r="EP349" s="116"/>
      <c r="EQ349" s="116"/>
      <c r="ER349" s="116"/>
      <c r="ES349" s="116"/>
      <c r="ET349" s="11"/>
      <c r="EU349" s="11"/>
      <c r="EV349" s="11"/>
      <c r="EW349" s="11"/>
      <c r="EX349" s="11"/>
      <c r="EY349" s="11"/>
      <c r="EZ349" s="11"/>
      <c r="FA349" s="11"/>
      <c r="FB349" s="11"/>
      <c r="FC349" s="11"/>
      <c r="FD349" s="11"/>
      <c r="FE349" s="11"/>
      <c r="FF349" s="11"/>
      <c r="FG349" s="11"/>
      <c r="FH349" s="17">
        <f t="shared" si="131"/>
        <v>4386899.8949999996</v>
      </c>
      <c r="FI349" s="31">
        <f t="shared" si="132"/>
        <v>7</v>
      </c>
      <c r="FJ349" s="68">
        <f t="shared" si="133"/>
        <v>626699.98499999999</v>
      </c>
    </row>
    <row r="350" spans="1:166" ht="51" x14ac:dyDescent="0.25">
      <c r="A350" s="248">
        <f>Distribución_Reactivos!A350</f>
        <v>348</v>
      </c>
      <c r="B350" s="248" t="str">
        <f>Distribución_Reactivos!B350</f>
        <v>Salbutamol free base 100 mg. Trazable, con certificado con método de análisis e incertidumbre, vigencia no menor a Diciembre de 2021</v>
      </c>
      <c r="C350" s="248" t="str">
        <f>Distribución_Reactivos!C350</f>
        <v xml:space="preserve"> Dr Ehrenstorfer 
DRE‐C16903000</v>
      </c>
      <c r="D350" s="248" t="str">
        <f>Distribución_Reactivos!D350</f>
        <v>Frasco x 100 mg</v>
      </c>
      <c r="E350" s="29">
        <v>1</v>
      </c>
      <c r="F350" s="212">
        <v>0</v>
      </c>
      <c r="G350" s="214">
        <v>0</v>
      </c>
      <c r="H350" s="221">
        <v>3649135</v>
      </c>
      <c r="I350" s="221">
        <v>3629500</v>
      </c>
      <c r="J350" s="221">
        <v>4858179.2</v>
      </c>
      <c r="K350" s="221">
        <v>4688600</v>
      </c>
      <c r="L350" s="247">
        <f>AVERAGE(H350,J350)</f>
        <v>4253657.0999999996</v>
      </c>
      <c r="M350" s="247">
        <f>AVERAGE(I350,K350)*E1</f>
        <v>4283821.5</v>
      </c>
      <c r="N350" s="217"/>
      <c r="O350" s="101"/>
      <c r="P350" s="97"/>
      <c r="Q350" s="115"/>
      <c r="R350" s="115"/>
      <c r="S350" s="53"/>
      <c r="T350" s="97"/>
      <c r="U350" s="97"/>
      <c r="V350" s="97"/>
      <c r="W350" s="115"/>
      <c r="X350" s="115"/>
      <c r="Y350" s="11"/>
      <c r="Z350" s="97"/>
      <c r="AA350" s="97"/>
      <c r="AB350" s="97"/>
      <c r="AC350" s="44"/>
      <c r="AD350" s="44"/>
      <c r="AE350" s="11"/>
      <c r="AF350" s="102"/>
      <c r="AG350" s="125"/>
      <c r="AH350" s="97"/>
      <c r="AI350" s="11"/>
      <c r="AJ350" s="11"/>
      <c r="AK350" s="17"/>
      <c r="AL350" s="97"/>
      <c r="AM350" s="97"/>
      <c r="AN350" s="101"/>
      <c r="AO350" s="248"/>
      <c r="AP350" s="17"/>
      <c r="AQ350" s="17"/>
      <c r="AR350" s="252">
        <f>806400*2</f>
        <v>1612800</v>
      </c>
      <c r="AS350" s="124">
        <f t="shared" si="136"/>
        <v>306432</v>
      </c>
      <c r="AT350" s="100">
        <f t="shared" si="137"/>
        <v>1919232</v>
      </c>
      <c r="AU350" s="52" t="s">
        <v>420</v>
      </c>
      <c r="AV350" s="34" t="s">
        <v>42</v>
      </c>
      <c r="AW350" s="11"/>
      <c r="AX350" s="100"/>
      <c r="AY350" s="174"/>
      <c r="AZ350" s="124"/>
      <c r="BA350" s="169"/>
      <c r="BB350" s="116"/>
      <c r="BC350" s="116"/>
      <c r="BD350" s="247"/>
      <c r="BE350" s="124"/>
      <c r="BF350" s="124"/>
      <c r="BG350" s="116"/>
      <c r="BH350" s="116"/>
      <c r="BI350" s="116"/>
      <c r="BJ350" s="124"/>
      <c r="BK350" s="124"/>
      <c r="BL350" s="124"/>
      <c r="BM350" s="116"/>
      <c r="BN350" s="116"/>
      <c r="BO350" s="116"/>
      <c r="BP350" s="124"/>
      <c r="BQ350" s="116"/>
      <c r="BR350" s="116"/>
      <c r="BS350" s="116"/>
      <c r="BT350" s="116"/>
      <c r="BU350" s="116"/>
      <c r="BV350" s="241">
        <v>3800000</v>
      </c>
      <c r="BW350" s="125">
        <f t="shared" si="134"/>
        <v>722000</v>
      </c>
      <c r="BX350" s="97">
        <f t="shared" si="135"/>
        <v>4522000</v>
      </c>
      <c r="BY350" s="237" t="s">
        <v>288</v>
      </c>
      <c r="BZ350" s="237" t="s">
        <v>390</v>
      </c>
      <c r="CA350" s="116"/>
      <c r="CB350" s="247"/>
      <c r="CC350" s="125"/>
      <c r="CD350" s="247"/>
      <c r="CE350" s="116"/>
      <c r="CF350" s="116"/>
      <c r="CG350" s="34"/>
      <c r="CH350" s="241"/>
      <c r="CI350" s="238"/>
      <c r="CJ350" s="236"/>
      <c r="CK350" s="237"/>
      <c r="CL350" s="237"/>
      <c r="CM350" s="116"/>
      <c r="CN350" s="247"/>
      <c r="CO350" s="125"/>
      <c r="CP350" s="247"/>
      <c r="CQ350" s="116"/>
      <c r="CR350" s="116"/>
      <c r="CS350" s="116"/>
      <c r="CT350" s="125">
        <v>2263040</v>
      </c>
      <c r="CU350" s="125">
        <f>CT350*0.19</f>
        <v>429977.59999999998</v>
      </c>
      <c r="CV350" s="125">
        <f>CU350+CT350</f>
        <v>2693017.6000000001</v>
      </c>
      <c r="CW350" s="116"/>
      <c r="CX350" s="116"/>
      <c r="CY350" s="116"/>
      <c r="CZ350" s="102"/>
      <c r="DA350" s="125"/>
      <c r="DB350" s="102"/>
      <c r="DC350" s="31"/>
      <c r="DD350" s="17"/>
      <c r="DE350" s="11"/>
      <c r="DF350" s="116"/>
      <c r="DG350" s="116"/>
      <c r="DH350" s="116"/>
      <c r="DI350" s="116"/>
      <c r="DJ350" s="116"/>
      <c r="DK350" s="116"/>
      <c r="DL350" s="116"/>
      <c r="DM350" s="116"/>
      <c r="DN350" s="116"/>
      <c r="DO350" s="116"/>
      <c r="DP350" s="116"/>
      <c r="DQ350" s="116"/>
      <c r="DR350" s="116"/>
      <c r="DS350" s="116"/>
      <c r="DT350" s="116"/>
      <c r="DU350" s="116"/>
      <c r="DV350" s="116"/>
      <c r="DW350" s="116"/>
      <c r="DX350" s="116"/>
      <c r="DY350" s="116"/>
      <c r="DZ350" s="116"/>
      <c r="EA350" s="116"/>
      <c r="EB350" s="116"/>
      <c r="EC350" s="116"/>
      <c r="ED350" s="116"/>
      <c r="EE350" s="116"/>
      <c r="EF350" s="116"/>
      <c r="EG350" s="116"/>
      <c r="EH350" s="116"/>
      <c r="EI350" s="116"/>
      <c r="EJ350" s="116"/>
      <c r="EK350" s="116"/>
      <c r="EL350" s="116"/>
      <c r="EM350" s="116"/>
      <c r="EN350" s="116"/>
      <c r="EO350" s="116"/>
      <c r="EP350" s="116"/>
      <c r="EQ350" s="116"/>
      <c r="ER350" s="116"/>
      <c r="ES350" s="116"/>
      <c r="ET350" s="11"/>
      <c r="EU350" s="11"/>
      <c r="EV350" s="11"/>
      <c r="EW350" s="11"/>
      <c r="EX350" s="11"/>
      <c r="EY350" s="11"/>
      <c r="EZ350" s="11"/>
      <c r="FA350" s="11"/>
      <c r="FB350" s="11"/>
      <c r="FC350" s="11"/>
      <c r="FD350" s="11"/>
      <c r="FE350" s="11"/>
      <c r="FF350" s="11"/>
      <c r="FG350" s="11"/>
      <c r="FH350" s="17">
        <f t="shared" si="131"/>
        <v>13418071.1</v>
      </c>
      <c r="FI350" s="31">
        <f t="shared" si="132"/>
        <v>4</v>
      </c>
      <c r="FJ350" s="68">
        <f t="shared" si="133"/>
        <v>3354517.7749999999</v>
      </c>
    </row>
    <row r="351" spans="1:166" ht="25.5" x14ac:dyDescent="0.25">
      <c r="A351" s="248">
        <f>Distribución_Reactivos!A351</f>
        <v>349</v>
      </c>
      <c r="B351" s="248" t="str">
        <f>Distribución_Reactivos!B351</f>
        <v>Salmonella O Antiserum Poly A-I &amp; Vi</v>
      </c>
      <c r="C351" s="248" t="str">
        <f>Distribución_Reactivos!C351</f>
        <v>Difco  REF 222641</v>
      </c>
      <c r="D351" s="248" t="str">
        <f>Distribución_Reactivos!D351</f>
        <v>vial  x 3 ml</v>
      </c>
      <c r="E351" s="29">
        <v>1</v>
      </c>
      <c r="F351" s="212">
        <v>0</v>
      </c>
      <c r="G351" s="214">
        <v>0</v>
      </c>
      <c r="H351" s="221">
        <v>0</v>
      </c>
      <c r="I351" s="221">
        <v>0</v>
      </c>
      <c r="J351" s="221">
        <v>3200000</v>
      </c>
      <c r="K351" s="221">
        <v>2650000</v>
      </c>
      <c r="L351" s="247">
        <f>J351</f>
        <v>3200000</v>
      </c>
      <c r="M351" s="247">
        <f>K351*E1</f>
        <v>2729500</v>
      </c>
      <c r="N351" s="219">
        <v>2230000</v>
      </c>
      <c r="O351" s="97">
        <f>+N351*0</f>
        <v>0</v>
      </c>
      <c r="P351" s="97">
        <f>+O351+N351</f>
        <v>2230000</v>
      </c>
      <c r="Q351" s="34" t="s">
        <v>382</v>
      </c>
      <c r="R351" s="116" t="s">
        <v>193</v>
      </c>
      <c r="S351" s="53" t="s">
        <v>209</v>
      </c>
      <c r="T351" s="97"/>
      <c r="U351" s="97"/>
      <c r="V351" s="97"/>
      <c r="W351" s="115"/>
      <c r="X351" s="115"/>
      <c r="Y351" s="11"/>
      <c r="Z351" s="97"/>
      <c r="AA351" s="97"/>
      <c r="AB351" s="97"/>
      <c r="AC351" s="44"/>
      <c r="AD351" s="44"/>
      <c r="AE351" s="11"/>
      <c r="AF351" s="102"/>
      <c r="AG351" s="125"/>
      <c r="AH351" s="97"/>
      <c r="AI351" s="11"/>
      <c r="AJ351" s="11"/>
      <c r="AK351" s="17"/>
      <c r="AL351" s="97"/>
      <c r="AM351" s="97"/>
      <c r="AN351" s="101"/>
      <c r="AO351" s="248"/>
      <c r="AP351" s="17"/>
      <c r="AQ351" s="17"/>
      <c r="AR351" s="252"/>
      <c r="AS351" s="252"/>
      <c r="AT351" s="252"/>
      <c r="AU351" s="52"/>
      <c r="AV351" s="52"/>
      <c r="AW351" s="11"/>
      <c r="AX351" s="100"/>
      <c r="AY351" s="174"/>
      <c r="AZ351" s="124"/>
      <c r="BA351" s="169"/>
      <c r="BB351" s="116"/>
      <c r="BC351" s="116"/>
      <c r="BD351" s="247"/>
      <c r="BE351" s="124"/>
      <c r="BF351" s="124"/>
      <c r="BG351" s="116"/>
      <c r="BH351" s="116"/>
      <c r="BI351" s="116"/>
      <c r="BJ351" s="124"/>
      <c r="BK351" s="124"/>
      <c r="BL351" s="124"/>
      <c r="BM351" s="116"/>
      <c r="BN351" s="116"/>
      <c r="BO351" s="116"/>
      <c r="BP351" s="124"/>
      <c r="BQ351" s="116"/>
      <c r="BR351" s="116"/>
      <c r="BS351" s="116"/>
      <c r="BT351" s="116"/>
      <c r="BU351" s="116"/>
      <c r="BV351" s="236">
        <v>2282200</v>
      </c>
      <c r="BW351" s="125">
        <f>BV351*0</f>
        <v>0</v>
      </c>
      <c r="BX351" s="97">
        <f>+BV351+BW351</f>
        <v>2282200</v>
      </c>
      <c r="BY351" s="237" t="s">
        <v>383</v>
      </c>
      <c r="BZ351" s="237" t="s">
        <v>27</v>
      </c>
      <c r="CA351" s="116"/>
      <c r="CB351" s="247"/>
      <c r="CC351" s="125"/>
      <c r="CD351" s="247"/>
      <c r="CE351" s="116"/>
      <c r="CF351" s="116"/>
      <c r="CG351" s="34"/>
      <c r="CH351" s="240">
        <v>2396310</v>
      </c>
      <c r="CI351" s="238">
        <f>+CH351*0</f>
        <v>0</v>
      </c>
      <c r="CJ351" s="236">
        <f>+CH351+CI351</f>
        <v>2396310</v>
      </c>
      <c r="CK351" s="237" t="s">
        <v>383</v>
      </c>
      <c r="CL351" s="237" t="s">
        <v>27</v>
      </c>
      <c r="CM351" s="116"/>
      <c r="CN351" s="247"/>
      <c r="CO351" s="125"/>
      <c r="CP351" s="247"/>
      <c r="CQ351" s="116"/>
      <c r="CR351" s="116"/>
      <c r="CS351" s="116"/>
      <c r="CT351" s="247"/>
      <c r="CU351" s="125"/>
      <c r="CV351" s="247"/>
      <c r="CW351" s="116"/>
      <c r="CX351" s="116"/>
      <c r="CY351" s="116"/>
      <c r="CZ351" s="102"/>
      <c r="DA351" s="125"/>
      <c r="DB351" s="102"/>
      <c r="DC351" s="31"/>
      <c r="DD351" s="17"/>
      <c r="DE351" s="11"/>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
      <c r="EU351" s="11"/>
      <c r="EV351" s="11"/>
      <c r="EW351" s="11"/>
      <c r="EX351" s="11"/>
      <c r="EY351" s="11"/>
      <c r="EZ351" s="11"/>
      <c r="FA351" s="11"/>
      <c r="FB351" s="11"/>
      <c r="FC351" s="11"/>
      <c r="FD351" s="11"/>
      <c r="FE351" s="11"/>
      <c r="FF351" s="11"/>
      <c r="FG351" s="11"/>
      <c r="FH351" s="17">
        <f t="shared" si="131"/>
        <v>9638010</v>
      </c>
      <c r="FI351" s="31">
        <f t="shared" si="132"/>
        <v>4</v>
      </c>
      <c r="FJ351" s="68">
        <f t="shared" si="133"/>
        <v>2409502.5</v>
      </c>
    </row>
    <row r="352" spans="1:166" ht="25.5" x14ac:dyDescent="0.25">
      <c r="A352" s="248">
        <f>Distribución_Reactivos!A352</f>
        <v>350</v>
      </c>
      <c r="B352" s="248" t="str">
        <f>Distribución_Reactivos!B352</f>
        <v xml:space="preserve">SDS </v>
      </c>
      <c r="C352" s="248" t="str">
        <f>Distribución_Reactivos!C352</f>
        <v>Sigma-Aldrich L5750</v>
      </c>
      <c r="D352" s="248" t="str">
        <f>Distribución_Reactivos!D352</f>
        <v>Frasco x 500 g</v>
      </c>
      <c r="E352" s="29">
        <v>1</v>
      </c>
      <c r="F352" s="212">
        <v>330225</v>
      </c>
      <c r="G352" s="214">
        <v>329630</v>
      </c>
      <c r="H352" s="221">
        <v>515096.92937500001</v>
      </c>
      <c r="I352" s="221">
        <v>515032</v>
      </c>
      <c r="J352" s="221">
        <v>321310.34770656266</v>
      </c>
      <c r="K352" s="221">
        <v>317730</v>
      </c>
      <c r="L352" s="247">
        <f>AVERAGE(F352,H352,J352)</f>
        <v>388877.42569385422</v>
      </c>
      <c r="M352" s="247">
        <f>AVERAGE(G352,I352,K352)*E1</f>
        <v>399087.92</v>
      </c>
      <c r="N352" s="217"/>
      <c r="O352" s="97"/>
      <c r="P352" s="97"/>
      <c r="Q352" s="115"/>
      <c r="R352" s="115"/>
      <c r="S352" s="53"/>
      <c r="T352" s="97"/>
      <c r="U352" s="97"/>
      <c r="V352" s="97"/>
      <c r="W352" s="115"/>
      <c r="X352" s="115"/>
      <c r="Y352" s="11"/>
      <c r="Z352" s="97"/>
      <c r="AA352" s="97"/>
      <c r="AB352" s="97"/>
      <c r="AC352" s="44"/>
      <c r="AD352" s="44"/>
      <c r="AE352" s="11"/>
      <c r="AF352" s="102"/>
      <c r="AG352" s="125"/>
      <c r="AH352" s="97"/>
      <c r="AI352" s="11"/>
      <c r="AJ352" s="11"/>
      <c r="AK352" s="17"/>
      <c r="AL352" s="97"/>
      <c r="AM352" s="97"/>
      <c r="AN352" s="101"/>
      <c r="AO352" s="248"/>
      <c r="AP352" s="17"/>
      <c r="AQ352" s="17"/>
      <c r="AR352" s="252"/>
      <c r="AS352" s="252"/>
      <c r="AT352" s="252"/>
      <c r="AU352" s="52"/>
      <c r="AV352" s="52"/>
      <c r="AW352" s="11"/>
      <c r="AX352" s="100"/>
      <c r="AY352" s="174"/>
      <c r="AZ352" s="124"/>
      <c r="BA352" s="169"/>
      <c r="BB352" s="116"/>
      <c r="BC352" s="116"/>
      <c r="BD352" s="247"/>
      <c r="BE352" s="124"/>
      <c r="BF352" s="124"/>
      <c r="BG352" s="116"/>
      <c r="BH352" s="116"/>
      <c r="BI352" s="116"/>
      <c r="BJ352" s="124"/>
      <c r="BK352" s="124"/>
      <c r="BL352" s="124"/>
      <c r="BM352" s="116"/>
      <c r="BN352" s="116"/>
      <c r="BO352" s="116"/>
      <c r="BP352" s="124">
        <f>320511</f>
        <v>320511</v>
      </c>
      <c r="BQ352" s="125">
        <f>BP352*19%</f>
        <v>60897.090000000004</v>
      </c>
      <c r="BR352" s="97">
        <f>+BP352+BQ352</f>
        <v>381408.09</v>
      </c>
      <c r="BS352" s="31" t="s">
        <v>391</v>
      </c>
      <c r="BT352" s="34" t="s">
        <v>421</v>
      </c>
      <c r="BU352" s="5" t="s">
        <v>422</v>
      </c>
      <c r="BV352" s="236">
        <v>447300</v>
      </c>
      <c r="BW352" s="125">
        <f>BV352*19%</f>
        <v>84987</v>
      </c>
      <c r="BX352" s="97">
        <f>+BV352+BW352</f>
        <v>532287</v>
      </c>
      <c r="BY352" s="237" t="s">
        <v>319</v>
      </c>
      <c r="BZ352" s="237" t="s">
        <v>423</v>
      </c>
      <c r="CA352" s="116"/>
      <c r="CB352" s="247"/>
      <c r="CC352" s="125"/>
      <c r="CD352" s="247"/>
      <c r="CE352" s="116"/>
      <c r="CF352" s="116"/>
      <c r="CG352" s="34"/>
      <c r="CH352" s="236">
        <v>460719</v>
      </c>
      <c r="CI352" s="238">
        <f>+CH352*0.19</f>
        <v>87536.61</v>
      </c>
      <c r="CJ352" s="236">
        <f>+CH352+CI352</f>
        <v>548255.61</v>
      </c>
      <c r="CK352" s="237" t="s">
        <v>319</v>
      </c>
      <c r="CL352" s="237" t="s">
        <v>423</v>
      </c>
      <c r="CM352" s="116"/>
      <c r="CN352" s="247"/>
      <c r="CO352" s="125"/>
      <c r="CP352" s="247"/>
      <c r="CQ352" s="116"/>
      <c r="CR352" s="116"/>
      <c r="CS352" s="116"/>
      <c r="CT352" s="125">
        <v>266250</v>
      </c>
      <c r="CU352" s="125">
        <f>CT352*0.19</f>
        <v>50587.5</v>
      </c>
      <c r="CV352" s="125">
        <f>CU352+CT352</f>
        <v>316837.5</v>
      </c>
      <c r="CW352" s="116"/>
      <c r="CX352" s="116"/>
      <c r="CY352" s="116"/>
      <c r="CZ352" s="102"/>
      <c r="DA352" s="125"/>
      <c r="DB352" s="102"/>
      <c r="DC352" s="31"/>
      <c r="DD352" s="17"/>
      <c r="DE352" s="11"/>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
      <c r="EU352" s="11"/>
      <c r="EV352" s="11"/>
      <c r="EW352" s="11"/>
      <c r="EX352" s="11"/>
      <c r="EY352" s="11"/>
      <c r="EZ352" s="11"/>
      <c r="FA352" s="11"/>
      <c r="FB352" s="11"/>
      <c r="FC352" s="11"/>
      <c r="FD352" s="11"/>
      <c r="FE352" s="11"/>
      <c r="FF352" s="11"/>
      <c r="FG352" s="11"/>
      <c r="FH352" s="17">
        <f t="shared" si="131"/>
        <v>2177876.12</v>
      </c>
      <c r="FI352" s="31">
        <f t="shared" si="132"/>
        <v>5</v>
      </c>
      <c r="FJ352" s="68">
        <f t="shared" si="133"/>
        <v>435575.22400000005</v>
      </c>
    </row>
    <row r="353" spans="1:166" ht="25.5" x14ac:dyDescent="0.25">
      <c r="A353" s="248">
        <f>Distribución_Reactivos!A353</f>
        <v>351</v>
      </c>
      <c r="B353" s="248" t="str">
        <f>Distribución_Reactivos!B353</f>
        <v>Sensidiscos de ácido nalidíxico</v>
      </c>
      <c r="C353" s="248" t="str">
        <f>Distribución_Reactivos!C353</f>
        <v>BBL, BD</v>
      </c>
      <c r="D353" s="248" t="str">
        <f>Distribución_Reactivos!D353</f>
        <v>Caja x 5 tubos x 50 discos</v>
      </c>
      <c r="E353" s="29">
        <v>1</v>
      </c>
      <c r="F353" s="212">
        <v>95666.666666666672</v>
      </c>
      <c r="G353" s="214">
        <v>0</v>
      </c>
      <c r="H353" s="221">
        <v>137242.30322222222</v>
      </c>
      <c r="I353" s="221">
        <v>0</v>
      </c>
      <c r="J353" s="221">
        <v>151000</v>
      </c>
      <c r="K353" s="221">
        <v>0</v>
      </c>
      <c r="L353" s="247">
        <f>AVERAGE(F353,H353,J353)</f>
        <v>127969.65662962962</v>
      </c>
      <c r="M353" s="247"/>
      <c r="N353" s="219">
        <v>114750</v>
      </c>
      <c r="O353" s="97">
        <f>+N353*0</f>
        <v>0</v>
      </c>
      <c r="P353" s="97">
        <f>+O353+N353</f>
        <v>114750</v>
      </c>
      <c r="Q353" s="34" t="s">
        <v>424</v>
      </c>
      <c r="R353" s="116" t="s">
        <v>119</v>
      </c>
      <c r="S353" s="53" t="s">
        <v>209</v>
      </c>
      <c r="T353" s="97"/>
      <c r="U353" s="97"/>
      <c r="V353" s="97"/>
      <c r="W353" s="115"/>
      <c r="X353" s="115"/>
      <c r="Y353" s="11"/>
      <c r="Z353" s="97"/>
      <c r="AA353" s="97"/>
      <c r="AB353" s="97"/>
      <c r="AC353" s="44"/>
      <c r="AD353" s="44"/>
      <c r="AE353" s="11"/>
      <c r="AF353" s="102">
        <v>160000</v>
      </c>
      <c r="AG353" s="125">
        <v>0</v>
      </c>
      <c r="AH353" s="97">
        <f t="shared" ref="AH353:AH365" si="138">+AF353+AG353</f>
        <v>160000</v>
      </c>
      <c r="AI353" s="11"/>
      <c r="AJ353" s="11"/>
      <c r="AK353" s="17"/>
      <c r="AL353" s="97"/>
      <c r="AM353" s="97"/>
      <c r="AN353" s="101"/>
      <c r="AO353" s="248"/>
      <c r="AP353" s="17"/>
      <c r="AQ353" s="17"/>
      <c r="AR353" s="252"/>
      <c r="AS353" s="252"/>
      <c r="AT353" s="252"/>
      <c r="AU353" s="52"/>
      <c r="AV353" s="52"/>
      <c r="AW353" s="11"/>
      <c r="AX353" s="100"/>
      <c r="AY353" s="174"/>
      <c r="AZ353" s="124"/>
      <c r="BA353" s="169"/>
      <c r="BB353" s="116"/>
      <c r="BC353" s="116"/>
      <c r="BD353" s="247"/>
      <c r="BE353" s="124"/>
      <c r="BF353" s="124"/>
      <c r="BG353" s="116"/>
      <c r="BH353" s="116"/>
      <c r="BI353" s="116"/>
      <c r="BJ353" s="247">
        <v>83750</v>
      </c>
      <c r="BK353" s="102">
        <f>+BJ353*0.19</f>
        <v>15912.5</v>
      </c>
      <c r="BL353" s="97">
        <f>+BK353+BJ353</f>
        <v>99662.5</v>
      </c>
      <c r="BM353" s="116"/>
      <c r="BN353" s="116"/>
      <c r="BO353" s="116"/>
      <c r="BP353" s="124"/>
      <c r="BQ353" s="116"/>
      <c r="BR353" s="116"/>
      <c r="BS353" s="116"/>
      <c r="BT353" s="116"/>
      <c r="BU353" s="116"/>
      <c r="BV353" s="187"/>
      <c r="BW353" s="125"/>
      <c r="BX353" s="97"/>
      <c r="BY353" s="246"/>
      <c r="BZ353" s="246"/>
      <c r="CA353" s="116"/>
      <c r="CB353" s="247"/>
      <c r="CC353" s="125"/>
      <c r="CD353" s="247"/>
      <c r="CE353" s="116"/>
      <c r="CF353" s="116"/>
      <c r="CG353" s="34"/>
      <c r="CH353" s="187"/>
      <c r="CI353" s="195"/>
      <c r="CJ353" s="187"/>
      <c r="CK353" s="246"/>
      <c r="CL353" s="246"/>
      <c r="CM353" s="116"/>
      <c r="CN353" s="247"/>
      <c r="CO353" s="125"/>
      <c r="CP353" s="247"/>
      <c r="CQ353" s="116"/>
      <c r="CR353" s="116"/>
      <c r="CS353" s="116"/>
      <c r="CT353" s="247"/>
      <c r="CU353" s="125"/>
      <c r="CV353" s="247"/>
      <c r="CW353" s="116"/>
      <c r="CX353" s="116"/>
      <c r="CY353" s="116"/>
      <c r="CZ353" s="102"/>
      <c r="DA353" s="125"/>
      <c r="DB353" s="102"/>
      <c r="DC353" s="31"/>
      <c r="DD353" s="17"/>
      <c r="DE353" s="11"/>
      <c r="DF353" s="116"/>
      <c r="DG353" s="116"/>
      <c r="DH353" s="116"/>
      <c r="DI353" s="116"/>
      <c r="DJ353" s="116"/>
      <c r="DK353" s="116"/>
      <c r="DL353" s="116"/>
      <c r="DM353" s="116"/>
      <c r="DN353" s="116"/>
      <c r="DO353" s="116"/>
      <c r="DP353" s="116"/>
      <c r="DQ353" s="116"/>
      <c r="DR353" s="116"/>
      <c r="DS353" s="116"/>
      <c r="DT353" s="116"/>
      <c r="DU353" s="116"/>
      <c r="DV353" s="116"/>
      <c r="DW353" s="116"/>
      <c r="DX353" s="116"/>
      <c r="DY353" s="116"/>
      <c r="DZ353" s="116"/>
      <c r="EA353" s="116"/>
      <c r="EB353" s="116"/>
      <c r="EC353" s="116"/>
      <c r="ED353" s="116"/>
      <c r="EE353" s="116"/>
      <c r="EF353" s="116"/>
      <c r="EG353" s="116"/>
      <c r="EH353" s="116"/>
      <c r="EI353" s="116"/>
      <c r="EJ353" s="116"/>
      <c r="EK353" s="116"/>
      <c r="EL353" s="116"/>
      <c r="EM353" s="116"/>
      <c r="EN353" s="116"/>
      <c r="EO353" s="116"/>
      <c r="EP353" s="116"/>
      <c r="EQ353" s="116"/>
      <c r="ER353" s="116"/>
      <c r="ES353" s="116"/>
      <c r="ET353" s="11"/>
      <c r="EU353" s="11"/>
      <c r="EV353" s="11"/>
      <c r="EW353" s="11"/>
      <c r="EX353" s="11"/>
      <c r="EY353" s="11"/>
      <c r="EZ353" s="11"/>
      <c r="FA353" s="11"/>
      <c r="FB353" s="11"/>
      <c r="FC353" s="11"/>
      <c r="FD353" s="11"/>
      <c r="FE353" s="11"/>
      <c r="FF353" s="11"/>
      <c r="FG353" s="11"/>
      <c r="FH353" s="17">
        <f t="shared" si="131"/>
        <v>374412.5</v>
      </c>
      <c r="FI353" s="31">
        <f t="shared" si="132"/>
        <v>3</v>
      </c>
      <c r="FJ353" s="68">
        <f t="shared" si="133"/>
        <v>124804.16666666667</v>
      </c>
    </row>
    <row r="354" spans="1:166" ht="38.25" x14ac:dyDescent="0.25">
      <c r="A354" s="248">
        <f>Distribución_Reactivos!A354</f>
        <v>352</v>
      </c>
      <c r="B354" s="248" t="str">
        <f>Distribución_Reactivos!B354</f>
        <v xml:space="preserve">Sensidiscos de amikacina </v>
      </c>
      <c r="C354" s="248" t="str">
        <f>Distribución_Reactivos!C354</f>
        <v>Merck, Acumedia, BBL, Sharlau, Sigma</v>
      </c>
      <c r="D354" s="248" t="str">
        <f>Distribución_Reactivos!D354</f>
        <v>Caja x 5 tubos x 50 discos</v>
      </c>
      <c r="E354" s="29">
        <v>1</v>
      </c>
      <c r="F354" s="212">
        <v>0</v>
      </c>
      <c r="G354" s="214">
        <v>0</v>
      </c>
      <c r="H354" s="221">
        <v>132182.1875</v>
      </c>
      <c r="I354" s="221">
        <v>0</v>
      </c>
      <c r="J354" s="221">
        <v>122140</v>
      </c>
      <c r="K354" s="221">
        <v>0</v>
      </c>
      <c r="L354" s="247">
        <f>AVERAGE(H354,J354)</f>
        <v>127161.09375</v>
      </c>
      <c r="M354" s="247"/>
      <c r="N354" s="219">
        <v>114750</v>
      </c>
      <c r="O354" s="97">
        <f>+N354*0</f>
        <v>0</v>
      </c>
      <c r="P354" s="97">
        <f>+O354+N354</f>
        <v>114750</v>
      </c>
      <c r="Q354" s="34" t="s">
        <v>424</v>
      </c>
      <c r="R354" s="116" t="s">
        <v>119</v>
      </c>
      <c r="S354" s="53" t="s">
        <v>209</v>
      </c>
      <c r="T354" s="97"/>
      <c r="U354" s="97"/>
      <c r="V354" s="97"/>
      <c r="W354" s="115"/>
      <c r="X354" s="115"/>
      <c r="Y354" s="11"/>
      <c r="Z354" s="97"/>
      <c r="AA354" s="97"/>
      <c r="AB354" s="97"/>
      <c r="AC354" s="44"/>
      <c r="AD354" s="44"/>
      <c r="AE354" s="11"/>
      <c r="AF354" s="102">
        <v>140000</v>
      </c>
      <c r="AG354" s="125">
        <v>0</v>
      </c>
      <c r="AH354" s="97">
        <f t="shared" si="138"/>
        <v>140000</v>
      </c>
      <c r="AI354" s="11"/>
      <c r="AJ354" s="11"/>
      <c r="AK354" s="17"/>
      <c r="AL354" s="97"/>
      <c r="AM354" s="97"/>
      <c r="AN354" s="101"/>
      <c r="AO354" s="248"/>
      <c r="AP354" s="17"/>
      <c r="AQ354" s="17"/>
      <c r="AR354" s="252"/>
      <c r="AS354" s="252"/>
      <c r="AT354" s="252"/>
      <c r="AU354" s="52"/>
      <c r="AV354" s="52"/>
      <c r="AW354" s="11"/>
      <c r="AX354" s="100"/>
      <c r="AY354" s="174"/>
      <c r="AZ354" s="124"/>
      <c r="BA354" s="169"/>
      <c r="BB354" s="116"/>
      <c r="BC354" s="116"/>
      <c r="BD354" s="247"/>
      <c r="BE354" s="124"/>
      <c r="BF354" s="124"/>
      <c r="BG354" s="116"/>
      <c r="BH354" s="116"/>
      <c r="BI354" s="116"/>
      <c r="BJ354" s="247">
        <v>83750</v>
      </c>
      <c r="BK354" s="102">
        <f>+BJ354*0.19</f>
        <v>15912.5</v>
      </c>
      <c r="BL354" s="97">
        <f>+BK354+BJ354</f>
        <v>99662.5</v>
      </c>
      <c r="BM354" s="116"/>
      <c r="BN354" s="116"/>
      <c r="BO354" s="116"/>
      <c r="BP354" s="124"/>
      <c r="BQ354" s="116"/>
      <c r="BR354" s="116"/>
      <c r="BS354" s="116"/>
      <c r="BT354" s="116"/>
      <c r="BU354" s="116"/>
      <c r="BV354" s="187"/>
      <c r="BW354" s="125"/>
      <c r="BX354" s="97"/>
      <c r="BY354" s="246"/>
      <c r="BZ354" s="246"/>
      <c r="CA354" s="116"/>
      <c r="CB354" s="247"/>
      <c r="CC354" s="125"/>
      <c r="CD354" s="247"/>
      <c r="CE354" s="116"/>
      <c r="CF354" s="116"/>
      <c r="CG354" s="34"/>
      <c r="CH354" s="187"/>
      <c r="CI354" s="195"/>
      <c r="CJ354" s="187"/>
      <c r="CK354" s="246"/>
      <c r="CL354" s="246"/>
      <c r="CM354" s="116"/>
      <c r="CN354" s="247"/>
      <c r="CO354" s="125"/>
      <c r="CP354" s="247"/>
      <c r="CQ354" s="116"/>
      <c r="CR354" s="116"/>
      <c r="CS354" s="116"/>
      <c r="CT354" s="247"/>
      <c r="CU354" s="125"/>
      <c r="CV354" s="247"/>
      <c r="CW354" s="116"/>
      <c r="CX354" s="116"/>
      <c r="CY354" s="116"/>
      <c r="CZ354" s="102"/>
      <c r="DA354" s="125"/>
      <c r="DB354" s="102"/>
      <c r="DC354" s="31"/>
      <c r="DD354" s="17"/>
      <c r="DE354" s="11"/>
      <c r="DF354" s="116"/>
      <c r="DG354" s="116"/>
      <c r="DH354" s="116"/>
      <c r="DI354" s="116"/>
      <c r="DJ354" s="116"/>
      <c r="DK354" s="116"/>
      <c r="DL354" s="116"/>
      <c r="DM354" s="116"/>
      <c r="DN354" s="116"/>
      <c r="DO354" s="116"/>
      <c r="DP354" s="116"/>
      <c r="DQ354" s="116"/>
      <c r="DR354" s="116"/>
      <c r="DS354" s="116"/>
      <c r="DT354" s="116"/>
      <c r="DU354" s="116"/>
      <c r="DV354" s="116"/>
      <c r="DW354" s="116"/>
      <c r="DX354" s="116"/>
      <c r="DY354" s="116"/>
      <c r="DZ354" s="116"/>
      <c r="EA354" s="116"/>
      <c r="EB354" s="116"/>
      <c r="EC354" s="116"/>
      <c r="ED354" s="116"/>
      <c r="EE354" s="116"/>
      <c r="EF354" s="116"/>
      <c r="EG354" s="116"/>
      <c r="EH354" s="116"/>
      <c r="EI354" s="116"/>
      <c r="EJ354" s="116"/>
      <c r="EK354" s="116"/>
      <c r="EL354" s="116"/>
      <c r="EM354" s="116"/>
      <c r="EN354" s="116"/>
      <c r="EO354" s="116"/>
      <c r="EP354" s="116"/>
      <c r="EQ354" s="116"/>
      <c r="ER354" s="116"/>
      <c r="ES354" s="116"/>
      <c r="ET354" s="11"/>
      <c r="EU354" s="11"/>
      <c r="EV354" s="11"/>
      <c r="EW354" s="11"/>
      <c r="EX354" s="11"/>
      <c r="EY354" s="11"/>
      <c r="EZ354" s="11"/>
      <c r="FA354" s="11"/>
      <c r="FB354" s="11"/>
      <c r="FC354" s="11"/>
      <c r="FD354" s="11"/>
      <c r="FE354" s="11"/>
      <c r="FF354" s="11"/>
      <c r="FG354" s="11"/>
      <c r="FH354" s="17">
        <f t="shared" si="131"/>
        <v>354412.5</v>
      </c>
      <c r="FI354" s="31">
        <f t="shared" si="132"/>
        <v>3</v>
      </c>
      <c r="FJ354" s="68">
        <f t="shared" si="133"/>
        <v>118137.5</v>
      </c>
    </row>
    <row r="355" spans="1:166" ht="38.25" x14ac:dyDescent="0.25">
      <c r="A355" s="248">
        <f>Distribución_Reactivos!A355</f>
        <v>353</v>
      </c>
      <c r="B355" s="248" t="str">
        <f>Distribución_Reactivos!B355</f>
        <v>Sensidiscos de Amoxycillin 2ug</v>
      </c>
      <c r="C355" s="248" t="str">
        <f>Distribución_Reactivos!C355</f>
        <v>Merck, Acumedia, BBL, Sharlau, Sigma</v>
      </c>
      <c r="D355" s="248" t="str">
        <f>Distribución_Reactivos!D355</f>
        <v>Caja x 5 tubos x 50 discos</v>
      </c>
      <c r="E355" s="29">
        <v>1</v>
      </c>
      <c r="F355" s="212">
        <v>0</v>
      </c>
      <c r="G355" s="214">
        <v>0</v>
      </c>
      <c r="H355" s="221">
        <v>129362.91666666667</v>
      </c>
      <c r="I355" s="221">
        <v>0</v>
      </c>
      <c r="J355" s="221">
        <v>140000</v>
      </c>
      <c r="K355" s="221">
        <v>0</v>
      </c>
      <c r="L355" s="247">
        <f>AVERAGE(H355,J355)</f>
        <v>134681.45833333334</v>
      </c>
      <c r="M355" s="247"/>
      <c r="N355" s="217"/>
      <c r="O355" s="97"/>
      <c r="P355" s="97"/>
      <c r="Q355" s="115"/>
      <c r="R355" s="115"/>
      <c r="S355" s="53"/>
      <c r="T355" s="97"/>
      <c r="U355" s="97"/>
      <c r="V355" s="97"/>
      <c r="W355" s="115"/>
      <c r="X355" s="115"/>
      <c r="Y355" s="11"/>
      <c r="Z355" s="97"/>
      <c r="AA355" s="97"/>
      <c r="AB355" s="97"/>
      <c r="AC355" s="44"/>
      <c r="AD355" s="44"/>
      <c r="AE355" s="11"/>
      <c r="AF355" s="102">
        <v>140000</v>
      </c>
      <c r="AG355" s="125">
        <v>0</v>
      </c>
      <c r="AH355" s="97">
        <f t="shared" si="138"/>
        <v>140000</v>
      </c>
      <c r="AI355" s="11"/>
      <c r="AJ355" s="11"/>
      <c r="AK355" s="17"/>
      <c r="AL355" s="97"/>
      <c r="AM355" s="97"/>
      <c r="AN355" s="101"/>
      <c r="AO355" s="248"/>
      <c r="AP355" s="17"/>
      <c r="AQ355" s="17"/>
      <c r="AR355" s="252"/>
      <c r="AS355" s="252"/>
      <c r="AT355" s="252"/>
      <c r="AU355" s="52"/>
      <c r="AV355" s="52"/>
      <c r="AW355" s="11"/>
      <c r="AX355" s="100"/>
      <c r="AY355" s="174"/>
      <c r="AZ355" s="124"/>
      <c r="BA355" s="169"/>
      <c r="BB355" s="116"/>
      <c r="BC355" s="116"/>
      <c r="BD355" s="247"/>
      <c r="BE355" s="124"/>
      <c r="BF355" s="124"/>
      <c r="BG355" s="116"/>
      <c r="BH355" s="116"/>
      <c r="BI355" s="116"/>
      <c r="BJ355" s="247">
        <v>83750</v>
      </c>
      <c r="BK355" s="102">
        <f>+BJ355*0.19</f>
        <v>15912.5</v>
      </c>
      <c r="BL355" s="97">
        <f>+BK355+BJ355</f>
        <v>99662.5</v>
      </c>
      <c r="BM355" s="116"/>
      <c r="BN355" s="116"/>
      <c r="BO355" s="116"/>
      <c r="BP355" s="124"/>
      <c r="BQ355" s="116"/>
      <c r="BR355" s="116"/>
      <c r="BS355" s="116"/>
      <c r="BT355" s="116"/>
      <c r="BU355" s="116"/>
      <c r="BV355" s="187"/>
      <c r="BW355" s="125"/>
      <c r="BX355" s="97"/>
      <c r="BY355" s="246"/>
      <c r="BZ355" s="246"/>
      <c r="CA355" s="116"/>
      <c r="CB355" s="247"/>
      <c r="CC355" s="125"/>
      <c r="CD355" s="247"/>
      <c r="CE355" s="116"/>
      <c r="CF355" s="116"/>
      <c r="CG355" s="34"/>
      <c r="CH355" s="187"/>
      <c r="CI355" s="195"/>
      <c r="CJ355" s="187"/>
      <c r="CK355" s="246"/>
      <c r="CL355" s="246"/>
      <c r="CM355" s="116"/>
      <c r="CN355" s="247"/>
      <c r="CO355" s="125"/>
      <c r="CP355" s="247"/>
      <c r="CQ355" s="116"/>
      <c r="CR355" s="116"/>
      <c r="CS355" s="116"/>
      <c r="CT355" s="247"/>
      <c r="CU355" s="125"/>
      <c r="CV355" s="247"/>
      <c r="CW355" s="116"/>
      <c r="CX355" s="116"/>
      <c r="CY355" s="116"/>
      <c r="CZ355" s="102"/>
      <c r="DA355" s="125"/>
      <c r="DB355" s="102"/>
      <c r="DC355" s="31"/>
      <c r="DD355" s="17"/>
      <c r="DE355" s="11"/>
      <c r="DF355" s="116"/>
      <c r="DG355" s="116"/>
      <c r="DH355" s="116"/>
      <c r="DI355" s="116"/>
      <c r="DJ355" s="116"/>
      <c r="DK355" s="116"/>
      <c r="DL355" s="116"/>
      <c r="DM355" s="116"/>
      <c r="DN355" s="116"/>
      <c r="DO355" s="116"/>
      <c r="DP355" s="116"/>
      <c r="DQ355" s="116"/>
      <c r="DR355" s="116"/>
      <c r="DS355" s="116"/>
      <c r="DT355" s="116"/>
      <c r="DU355" s="116"/>
      <c r="DV355" s="116"/>
      <c r="DW355" s="116"/>
      <c r="DX355" s="116"/>
      <c r="DY355" s="116"/>
      <c r="DZ355" s="116"/>
      <c r="EA355" s="116"/>
      <c r="EB355" s="116"/>
      <c r="EC355" s="116"/>
      <c r="ED355" s="116"/>
      <c r="EE355" s="116"/>
      <c r="EF355" s="116"/>
      <c r="EG355" s="116"/>
      <c r="EH355" s="116"/>
      <c r="EI355" s="116"/>
      <c r="EJ355" s="116"/>
      <c r="EK355" s="116"/>
      <c r="EL355" s="116"/>
      <c r="EM355" s="116"/>
      <c r="EN355" s="116"/>
      <c r="EO355" s="116"/>
      <c r="EP355" s="116"/>
      <c r="EQ355" s="116"/>
      <c r="ER355" s="116"/>
      <c r="ES355" s="116"/>
      <c r="ET355" s="11"/>
      <c r="EU355" s="11"/>
      <c r="EV355" s="11"/>
      <c r="EW355" s="11"/>
      <c r="EX355" s="11"/>
      <c r="EY355" s="11"/>
      <c r="EZ355" s="11"/>
      <c r="FA355" s="11"/>
      <c r="FB355" s="11"/>
      <c r="FC355" s="11"/>
      <c r="FD355" s="11"/>
      <c r="FE355" s="11"/>
      <c r="FF355" s="11"/>
      <c r="FG355" s="11"/>
      <c r="FH355" s="17">
        <f t="shared" si="131"/>
        <v>239662.5</v>
      </c>
      <c r="FI355" s="31">
        <f t="shared" si="132"/>
        <v>2</v>
      </c>
      <c r="FJ355" s="68">
        <f t="shared" si="133"/>
        <v>119831.25</v>
      </c>
    </row>
    <row r="356" spans="1:166" ht="38.25" x14ac:dyDescent="0.25">
      <c r="A356" s="248">
        <f>Distribución_Reactivos!A356</f>
        <v>354</v>
      </c>
      <c r="B356" s="248" t="str">
        <f>Distribución_Reactivos!B356</f>
        <v>Sensidiscos de ampicilina</v>
      </c>
      <c r="C356" s="248" t="str">
        <f>Distribución_Reactivos!C356</f>
        <v>Merck, Acumedia, BBL, Sharlau, Sigma</v>
      </c>
      <c r="D356" s="248" t="str">
        <f>Distribución_Reactivos!D356</f>
        <v>Caja x 5 tubos x 50 discos</v>
      </c>
      <c r="E356" s="29">
        <v>1</v>
      </c>
      <c r="F356" s="212">
        <v>72000</v>
      </c>
      <c r="G356" s="214">
        <v>0</v>
      </c>
      <c r="H356" s="221">
        <v>126989.5148</v>
      </c>
      <c r="I356" s="221">
        <v>0</v>
      </c>
      <c r="J356" s="221">
        <v>122140</v>
      </c>
      <c r="K356" s="221">
        <v>0</v>
      </c>
      <c r="L356" s="247">
        <f>AVERAGE(F356,H356,J356)</f>
        <v>107043.1716</v>
      </c>
      <c r="M356" s="247"/>
      <c r="N356" s="219">
        <v>114750</v>
      </c>
      <c r="O356" s="97">
        <f t="shared" ref="O356:O361" si="139">+N356*0</f>
        <v>0</v>
      </c>
      <c r="P356" s="97">
        <f t="shared" ref="P356:P361" si="140">+O356+N356</f>
        <v>114750</v>
      </c>
      <c r="Q356" s="34" t="s">
        <v>424</v>
      </c>
      <c r="R356" s="116" t="s">
        <v>119</v>
      </c>
      <c r="S356" s="53" t="s">
        <v>209</v>
      </c>
      <c r="T356" s="97"/>
      <c r="U356" s="97"/>
      <c r="V356" s="97"/>
      <c r="W356" s="115"/>
      <c r="X356" s="115"/>
      <c r="Y356" s="11"/>
      <c r="Z356" s="97"/>
      <c r="AA356" s="97"/>
      <c r="AB356" s="97"/>
      <c r="AC356" s="44"/>
      <c r="AD356" s="44"/>
      <c r="AE356" s="11"/>
      <c r="AF356" s="102">
        <v>140000</v>
      </c>
      <c r="AG356" s="125">
        <v>0</v>
      </c>
      <c r="AH356" s="97">
        <f t="shared" si="138"/>
        <v>140000</v>
      </c>
      <c r="AI356" s="11"/>
      <c r="AJ356" s="11"/>
      <c r="AK356" s="17"/>
      <c r="AL356" s="97"/>
      <c r="AM356" s="97"/>
      <c r="AN356" s="101"/>
      <c r="AO356" s="248"/>
      <c r="AP356" s="17"/>
      <c r="AQ356" s="17"/>
      <c r="AR356" s="252"/>
      <c r="AS356" s="252"/>
      <c r="AT356" s="252"/>
      <c r="AU356" s="52"/>
      <c r="AV356" s="52"/>
      <c r="AW356" s="11"/>
      <c r="AX356" s="100"/>
      <c r="AY356" s="174"/>
      <c r="AZ356" s="124"/>
      <c r="BA356" s="169"/>
      <c r="BB356" s="116"/>
      <c r="BC356" s="116"/>
      <c r="BD356" s="247"/>
      <c r="BE356" s="124"/>
      <c r="BF356" s="124"/>
      <c r="BG356" s="116"/>
      <c r="BH356" s="116"/>
      <c r="BI356" s="116"/>
      <c r="BJ356" s="247">
        <v>83750</v>
      </c>
      <c r="BK356" s="102">
        <f>+BJ356*0.19</f>
        <v>15912.5</v>
      </c>
      <c r="BL356" s="97">
        <f>+BK356+BJ356</f>
        <v>99662.5</v>
      </c>
      <c r="BM356" s="116"/>
      <c r="BN356" s="116"/>
      <c r="BO356" s="116"/>
      <c r="BP356" s="124"/>
      <c r="BQ356" s="116"/>
      <c r="BR356" s="116"/>
      <c r="BS356" s="116"/>
      <c r="BT356" s="116"/>
      <c r="BU356" s="116"/>
      <c r="BV356" s="187"/>
      <c r="BW356" s="125"/>
      <c r="BX356" s="97"/>
      <c r="BY356" s="246"/>
      <c r="BZ356" s="246"/>
      <c r="CA356" s="116"/>
      <c r="CB356" s="247"/>
      <c r="CC356" s="125"/>
      <c r="CD356" s="247"/>
      <c r="CE356" s="116"/>
      <c r="CF356" s="116"/>
      <c r="CG356" s="34"/>
      <c r="CH356" s="187"/>
      <c r="CI356" s="195"/>
      <c r="CJ356" s="187"/>
      <c r="CK356" s="246"/>
      <c r="CL356" s="246"/>
      <c r="CM356" s="116"/>
      <c r="CN356" s="247"/>
      <c r="CO356" s="125"/>
      <c r="CP356" s="247"/>
      <c r="CQ356" s="116"/>
      <c r="CR356" s="116"/>
      <c r="CS356" s="116"/>
      <c r="CT356" s="247"/>
      <c r="CU356" s="125"/>
      <c r="CV356" s="247"/>
      <c r="CW356" s="116"/>
      <c r="CX356" s="116"/>
      <c r="CY356" s="116"/>
      <c r="CZ356" s="102"/>
      <c r="DA356" s="125"/>
      <c r="DB356" s="102"/>
      <c r="DC356" s="31"/>
      <c r="DD356" s="17"/>
      <c r="DE356" s="11"/>
      <c r="DF356" s="116"/>
      <c r="DG356" s="116"/>
      <c r="DH356" s="116"/>
      <c r="DI356" s="116"/>
      <c r="DJ356" s="116"/>
      <c r="DK356" s="116"/>
      <c r="DL356" s="116"/>
      <c r="DM356" s="116"/>
      <c r="DN356" s="116"/>
      <c r="DO356" s="116"/>
      <c r="DP356" s="116"/>
      <c r="DQ356" s="116"/>
      <c r="DR356" s="116"/>
      <c r="DS356" s="116"/>
      <c r="DT356" s="116"/>
      <c r="DU356" s="116"/>
      <c r="DV356" s="116"/>
      <c r="DW356" s="116"/>
      <c r="DX356" s="116"/>
      <c r="DY356" s="116"/>
      <c r="DZ356" s="116"/>
      <c r="EA356" s="116"/>
      <c r="EB356" s="116"/>
      <c r="EC356" s="116"/>
      <c r="ED356" s="116"/>
      <c r="EE356" s="116"/>
      <c r="EF356" s="116"/>
      <c r="EG356" s="116"/>
      <c r="EH356" s="116"/>
      <c r="EI356" s="116"/>
      <c r="EJ356" s="116"/>
      <c r="EK356" s="116"/>
      <c r="EL356" s="116"/>
      <c r="EM356" s="116"/>
      <c r="EN356" s="116"/>
      <c r="EO356" s="116"/>
      <c r="EP356" s="116"/>
      <c r="EQ356" s="116"/>
      <c r="ER356" s="116"/>
      <c r="ES356" s="116"/>
      <c r="ET356" s="11"/>
      <c r="EU356" s="11"/>
      <c r="EV356" s="11"/>
      <c r="EW356" s="11"/>
      <c r="EX356" s="11"/>
      <c r="EY356" s="11"/>
      <c r="EZ356" s="11"/>
      <c r="FA356" s="11"/>
      <c r="FB356" s="11"/>
      <c r="FC356" s="11"/>
      <c r="FD356" s="11"/>
      <c r="FE356" s="11"/>
      <c r="FF356" s="11"/>
      <c r="FG356" s="11"/>
      <c r="FH356" s="17">
        <f t="shared" si="131"/>
        <v>354412.5</v>
      </c>
      <c r="FI356" s="31">
        <f t="shared" si="132"/>
        <v>3</v>
      </c>
      <c r="FJ356" s="68">
        <f t="shared" si="133"/>
        <v>118137.5</v>
      </c>
    </row>
    <row r="357" spans="1:166" ht="38.25" x14ac:dyDescent="0.25">
      <c r="A357" s="248">
        <f>Distribución_Reactivos!A357</f>
        <v>355</v>
      </c>
      <c r="B357" s="248" t="str">
        <f>Distribución_Reactivos!B357</f>
        <v>Sensidiscos de Ampicillin/sulbactam 2:1</v>
      </c>
      <c r="C357" s="248" t="str">
        <f>Distribución_Reactivos!C357</f>
        <v>Merck, Acumedia, BBL, Sharlau, Sigma</v>
      </c>
      <c r="D357" s="248" t="str">
        <f>Distribución_Reactivos!D357</f>
        <v>Caja x 5 tubos x 50 discos</v>
      </c>
      <c r="E357" s="29">
        <v>1</v>
      </c>
      <c r="F357" s="212">
        <v>0</v>
      </c>
      <c r="G357" s="214">
        <v>0</v>
      </c>
      <c r="H357" s="221">
        <v>135569.6875</v>
      </c>
      <c r="I357" s="221">
        <v>0</v>
      </c>
      <c r="J357" s="221">
        <v>122140</v>
      </c>
      <c r="K357" s="221">
        <v>0</v>
      </c>
      <c r="L357" s="247">
        <f>AVERAGE(H357,J357)</f>
        <v>128854.84375</v>
      </c>
      <c r="M357" s="247"/>
      <c r="N357" s="219">
        <v>114750</v>
      </c>
      <c r="O357" s="97">
        <f t="shared" si="139"/>
        <v>0</v>
      </c>
      <c r="P357" s="97">
        <f t="shared" si="140"/>
        <v>114750</v>
      </c>
      <c r="Q357" s="34" t="s">
        <v>424</v>
      </c>
      <c r="R357" s="116" t="s">
        <v>119</v>
      </c>
      <c r="S357" s="53" t="s">
        <v>209</v>
      </c>
      <c r="T357" s="102"/>
      <c r="U357" s="102"/>
      <c r="V357" s="102"/>
      <c r="W357" s="11"/>
      <c r="X357" s="11"/>
      <c r="Y357" s="11"/>
      <c r="Z357" s="102"/>
      <c r="AA357" s="102"/>
      <c r="AB357" s="102"/>
      <c r="AC357" s="44"/>
      <c r="AD357" s="44"/>
      <c r="AE357" s="11"/>
      <c r="AF357" s="102">
        <v>140000</v>
      </c>
      <c r="AG357" s="125">
        <v>0</v>
      </c>
      <c r="AH357" s="97">
        <f t="shared" si="138"/>
        <v>140000</v>
      </c>
      <c r="AI357" s="11"/>
      <c r="AJ357" s="11"/>
      <c r="AK357" s="11"/>
      <c r="AL357" s="102"/>
      <c r="AM357" s="102"/>
      <c r="AN357" s="102"/>
      <c r="AO357" s="248"/>
      <c r="AP357" s="11"/>
      <c r="AQ357" s="11"/>
      <c r="AR357" s="247"/>
      <c r="AS357" s="247"/>
      <c r="AT357" s="247"/>
      <c r="AU357" s="52"/>
      <c r="AV357" s="42"/>
      <c r="AW357" s="11"/>
      <c r="AX357" s="247"/>
      <c r="AY357" s="247"/>
      <c r="AZ357" s="247"/>
      <c r="BA357" s="11"/>
      <c r="BB357" s="11"/>
      <c r="BC357" s="11"/>
      <c r="BD357" s="247"/>
      <c r="BE357" s="247"/>
      <c r="BF357" s="247"/>
      <c r="BG357" s="11"/>
      <c r="BH357" s="11"/>
      <c r="BI357" s="11"/>
      <c r="BJ357" s="247">
        <v>83750</v>
      </c>
      <c r="BK357" s="102">
        <f>+BJ357*0.19</f>
        <v>15912.5</v>
      </c>
      <c r="BL357" s="97">
        <f>+BK357+BJ357</f>
        <v>99662.5</v>
      </c>
      <c r="BM357" s="11"/>
      <c r="BN357" s="11"/>
      <c r="BO357" s="11"/>
      <c r="BP357" s="252"/>
      <c r="BQ357" s="11"/>
      <c r="BR357" s="11"/>
      <c r="BS357" s="11"/>
      <c r="BT357" s="11"/>
      <c r="BU357" s="11"/>
      <c r="BV357" s="187"/>
      <c r="BW357" s="125"/>
      <c r="BX357" s="97"/>
      <c r="BY357" s="246"/>
      <c r="BZ357" s="246"/>
      <c r="CA357" s="11"/>
      <c r="CB357" s="247"/>
      <c r="CC357" s="125"/>
      <c r="CD357" s="247"/>
      <c r="CE357" s="11"/>
      <c r="CF357" s="11"/>
      <c r="CG357" s="11"/>
      <c r="CH357" s="187"/>
      <c r="CI357" s="195"/>
      <c r="CJ357" s="187"/>
      <c r="CK357" s="246"/>
      <c r="CL357" s="246"/>
      <c r="CM357" s="11"/>
      <c r="CN357" s="247"/>
      <c r="CO357" s="125"/>
      <c r="CP357" s="247"/>
      <c r="CQ357" s="11"/>
      <c r="CR357" s="11"/>
      <c r="CS357" s="11"/>
      <c r="CT357" s="247"/>
      <c r="CU357" s="125"/>
      <c r="CV357" s="247"/>
      <c r="CW357" s="11"/>
      <c r="CX357" s="11"/>
      <c r="CY357" s="11"/>
      <c r="CZ357" s="102"/>
      <c r="DA357" s="125"/>
      <c r="DB357" s="102"/>
      <c r="DC357" s="31"/>
      <c r="DD357" s="17"/>
      <c r="DE357" s="11"/>
      <c r="DF357" s="11"/>
      <c r="DG357" s="11"/>
      <c r="DH357" s="11"/>
      <c r="DI357" s="11"/>
      <c r="DJ357" s="11"/>
      <c r="DK357" s="11"/>
      <c r="DL357" s="11"/>
      <c r="DM357" s="11"/>
      <c r="DN357" s="11"/>
      <c r="DO357" s="11"/>
      <c r="DP357" s="11"/>
      <c r="DQ357" s="11"/>
      <c r="DR357" s="11"/>
      <c r="DS357" s="11"/>
      <c r="DT357" s="11"/>
      <c r="DU357" s="11"/>
      <c r="DV357" s="11"/>
      <c r="DW357" s="11"/>
      <c r="DX357" s="11"/>
      <c r="DY357" s="11"/>
      <c r="DZ357" s="11"/>
      <c r="EA357" s="11"/>
      <c r="EB357" s="17"/>
      <c r="EC357" s="17"/>
      <c r="ED357" s="32"/>
      <c r="EE357" s="11"/>
      <c r="EF357" s="11"/>
      <c r="EG357" s="17"/>
      <c r="EH357" s="17"/>
      <c r="EI357" s="32"/>
      <c r="EJ357" s="11"/>
      <c r="EK357" s="11"/>
      <c r="EL357" s="11"/>
      <c r="EM357" s="11"/>
      <c r="EN357" s="11"/>
      <c r="EO357" s="11"/>
      <c r="EP357" s="11"/>
      <c r="EQ357" s="17"/>
      <c r="ER357" s="17"/>
      <c r="ES357" s="32"/>
      <c r="ET357" s="11"/>
      <c r="EU357" s="11"/>
      <c r="EV357" s="11"/>
      <c r="EW357" s="11"/>
      <c r="EX357" s="11"/>
      <c r="EY357" s="11"/>
      <c r="EZ357" s="11"/>
      <c r="FA357" s="11"/>
      <c r="FB357" s="11"/>
      <c r="FC357" s="11"/>
      <c r="FD357" s="11"/>
      <c r="FE357" s="11"/>
      <c r="FF357" s="11"/>
      <c r="FG357" s="11"/>
      <c r="FH357" s="17">
        <f t="shared" si="131"/>
        <v>354412.5</v>
      </c>
      <c r="FI357" s="31">
        <f t="shared" si="132"/>
        <v>3</v>
      </c>
      <c r="FJ357" s="68">
        <f t="shared" si="133"/>
        <v>118137.5</v>
      </c>
    </row>
    <row r="358" spans="1:166" ht="38.25" x14ac:dyDescent="0.25">
      <c r="A358" s="248">
        <f>Distribución_Reactivos!A358</f>
        <v>356</v>
      </c>
      <c r="B358" s="248" t="str">
        <f>Distribución_Reactivos!B358</f>
        <v>Sensidiscos de bacitracina 0.04 ug</v>
      </c>
      <c r="C358" s="248" t="str">
        <f>Distribución_Reactivos!C358</f>
        <v>Merck, Acumedia, BBL, Sharlau, Sigma</v>
      </c>
      <c r="D358" s="248" t="str">
        <f>Distribución_Reactivos!D358</f>
        <v>Tubo x 50 discos</v>
      </c>
      <c r="E358" s="29">
        <v>1</v>
      </c>
      <c r="F358" s="212">
        <v>0</v>
      </c>
      <c r="G358" s="214">
        <v>0</v>
      </c>
      <c r="H358" s="221">
        <v>149246.25</v>
      </c>
      <c r="I358" s="221">
        <v>149226</v>
      </c>
      <c r="J358" s="221">
        <v>106000</v>
      </c>
      <c r="K358" s="221">
        <v>0</v>
      </c>
      <c r="L358" s="247">
        <f>AVERAGE(H358,J358)</f>
        <v>127623.125</v>
      </c>
      <c r="M358" s="247">
        <f>I358*E1</f>
        <v>153702.78</v>
      </c>
      <c r="N358" s="219">
        <v>62400</v>
      </c>
      <c r="O358" s="97">
        <f t="shared" si="139"/>
        <v>0</v>
      </c>
      <c r="P358" s="97">
        <f t="shared" si="140"/>
        <v>62400</v>
      </c>
      <c r="Q358" s="34" t="s">
        <v>425</v>
      </c>
      <c r="R358" s="116" t="s">
        <v>119</v>
      </c>
      <c r="S358" s="53" t="s">
        <v>209</v>
      </c>
      <c r="T358" s="97"/>
      <c r="U358" s="97"/>
      <c r="V358" s="97"/>
      <c r="W358" s="115"/>
      <c r="X358" s="115"/>
      <c r="Y358" s="11"/>
      <c r="Z358" s="97"/>
      <c r="AA358" s="97"/>
      <c r="AB358" s="97"/>
      <c r="AC358" s="44"/>
      <c r="AD358" s="44"/>
      <c r="AE358" s="11"/>
      <c r="AF358" s="102">
        <v>140000</v>
      </c>
      <c r="AG358" s="125">
        <v>0</v>
      </c>
      <c r="AH358" s="97">
        <f t="shared" si="138"/>
        <v>140000</v>
      </c>
      <c r="AI358" s="11"/>
      <c r="AJ358" s="11"/>
      <c r="AK358" s="17"/>
      <c r="AL358" s="97"/>
      <c r="AM358" s="97"/>
      <c r="AN358" s="103"/>
      <c r="AO358" s="248"/>
      <c r="AP358" s="17"/>
      <c r="AQ358" s="17"/>
      <c r="AR358" s="252"/>
      <c r="AS358" s="252"/>
      <c r="AT358" s="252"/>
      <c r="AU358" s="52"/>
      <c r="AV358" s="52"/>
      <c r="AW358" s="11"/>
      <c r="AX358" s="100"/>
      <c r="AY358" s="100"/>
      <c r="AZ358" s="124"/>
      <c r="BA358" s="169"/>
      <c r="BB358" s="116"/>
      <c r="BC358" s="116"/>
      <c r="BD358" s="247"/>
      <c r="BE358" s="124"/>
      <c r="BF358" s="124"/>
      <c r="BG358" s="116"/>
      <c r="BH358" s="116"/>
      <c r="BI358" s="116"/>
      <c r="BJ358" s="124"/>
      <c r="BK358" s="124"/>
      <c r="BL358" s="124"/>
      <c r="BM358" s="116"/>
      <c r="BN358" s="116"/>
      <c r="BO358" s="116"/>
      <c r="BP358" s="124"/>
      <c r="BQ358" s="116"/>
      <c r="BR358" s="116"/>
      <c r="BS358" s="116"/>
      <c r="BT358" s="116"/>
      <c r="BU358" s="116"/>
      <c r="BV358" s="187"/>
      <c r="BW358" s="125"/>
      <c r="BX358" s="97"/>
      <c r="BY358" s="246"/>
      <c r="BZ358" s="246"/>
      <c r="CA358" s="116"/>
      <c r="CB358" s="247"/>
      <c r="CC358" s="125"/>
      <c r="CD358" s="247"/>
      <c r="CE358" s="116"/>
      <c r="CF358" s="116"/>
      <c r="CG358" s="34"/>
      <c r="CH358" s="187"/>
      <c r="CI358" s="195"/>
      <c r="CJ358" s="187"/>
      <c r="CK358" s="246"/>
      <c r="CL358" s="246"/>
      <c r="CM358" s="116"/>
      <c r="CN358" s="247"/>
      <c r="CO358" s="125"/>
      <c r="CP358" s="247"/>
      <c r="CQ358" s="116"/>
      <c r="CR358" s="116"/>
      <c r="CS358" s="116"/>
      <c r="CT358" s="247"/>
      <c r="CU358" s="125"/>
      <c r="CV358" s="247"/>
      <c r="CW358" s="116"/>
      <c r="CX358" s="116"/>
      <c r="CY358" s="116"/>
      <c r="CZ358" s="102"/>
      <c r="DA358" s="125"/>
      <c r="DB358" s="102"/>
      <c r="DC358" s="31"/>
      <c r="DD358" s="17"/>
      <c r="DE358" s="11"/>
      <c r="DF358" s="116"/>
      <c r="DG358" s="116"/>
      <c r="DH358" s="116"/>
      <c r="DI358" s="116"/>
      <c r="DJ358" s="116"/>
      <c r="DK358" s="116"/>
      <c r="DL358" s="116"/>
      <c r="DM358" s="116"/>
      <c r="DN358" s="116"/>
      <c r="DO358" s="116"/>
      <c r="DP358" s="116"/>
      <c r="DQ358" s="116"/>
      <c r="DR358" s="116"/>
      <c r="DS358" s="116"/>
      <c r="DT358" s="116"/>
      <c r="DU358" s="116"/>
      <c r="DV358" s="116"/>
      <c r="DW358" s="116"/>
      <c r="DX358" s="116"/>
      <c r="DY358" s="116"/>
      <c r="DZ358" s="116"/>
      <c r="EA358" s="116"/>
      <c r="EB358" s="116"/>
      <c r="EC358" s="116"/>
      <c r="ED358" s="116"/>
      <c r="EE358" s="116"/>
      <c r="EF358" s="116"/>
      <c r="EG358" s="116"/>
      <c r="EH358" s="116"/>
      <c r="EI358" s="116"/>
      <c r="EJ358" s="116"/>
      <c r="EK358" s="116"/>
      <c r="EL358" s="116"/>
      <c r="EM358" s="116"/>
      <c r="EN358" s="116"/>
      <c r="EO358" s="116"/>
      <c r="EP358" s="116"/>
      <c r="EQ358" s="116"/>
      <c r="ER358" s="116"/>
      <c r="ES358" s="116"/>
      <c r="ET358" s="11"/>
      <c r="EU358" s="11"/>
      <c r="EV358" s="11"/>
      <c r="EW358" s="11"/>
      <c r="EX358" s="11"/>
      <c r="EY358" s="11"/>
      <c r="EZ358" s="11"/>
      <c r="FA358" s="11"/>
      <c r="FB358" s="11"/>
      <c r="FC358" s="11"/>
      <c r="FD358" s="11"/>
      <c r="FE358" s="11"/>
      <c r="FF358" s="11"/>
      <c r="FG358" s="11"/>
      <c r="FH358" s="17">
        <f t="shared" si="131"/>
        <v>356102.78</v>
      </c>
      <c r="FI358" s="31">
        <f t="shared" si="132"/>
        <v>3</v>
      </c>
      <c r="FJ358" s="68">
        <f t="shared" si="133"/>
        <v>118700.92666666668</v>
      </c>
    </row>
    <row r="359" spans="1:166" ht="25.5" x14ac:dyDescent="0.25">
      <c r="A359" s="248">
        <f>Distribución_Reactivos!A359</f>
        <v>357</v>
      </c>
      <c r="B359" s="248" t="str">
        <f>Distribución_Reactivos!B359</f>
        <v>Sensidiscos de colistin</v>
      </c>
      <c r="C359" s="248" t="str">
        <f>Distribución_Reactivos!C359</f>
        <v>Difco 230749</v>
      </c>
      <c r="D359" s="248" t="str">
        <f>Distribución_Reactivos!D359</f>
        <v>Tubo x 50 discos</v>
      </c>
      <c r="E359" s="29">
        <v>1</v>
      </c>
      <c r="F359" s="212">
        <v>0</v>
      </c>
      <c r="G359" s="214">
        <v>0</v>
      </c>
      <c r="H359" s="221">
        <v>254200</v>
      </c>
      <c r="I359" s="221">
        <v>0</v>
      </c>
      <c r="J359" s="221">
        <v>151000</v>
      </c>
      <c r="K359" s="221">
        <v>0</v>
      </c>
      <c r="L359" s="247">
        <f>AVERAGE(H359,J359)</f>
        <v>202600</v>
      </c>
      <c r="M359" s="247"/>
      <c r="N359" s="219">
        <v>114750</v>
      </c>
      <c r="O359" s="97">
        <f t="shared" si="139"/>
        <v>0</v>
      </c>
      <c r="P359" s="97">
        <f t="shared" si="140"/>
        <v>114750</v>
      </c>
      <c r="Q359" s="34" t="s">
        <v>424</v>
      </c>
      <c r="R359" s="116" t="s">
        <v>119</v>
      </c>
      <c r="S359" s="53" t="s">
        <v>209</v>
      </c>
      <c r="T359" s="97"/>
      <c r="U359" s="97"/>
      <c r="V359" s="97"/>
      <c r="W359" s="115"/>
      <c r="X359" s="115"/>
      <c r="Y359" s="11"/>
      <c r="Z359" s="97"/>
      <c r="AA359" s="97"/>
      <c r="AB359" s="97"/>
      <c r="AC359" s="44"/>
      <c r="AD359" s="44"/>
      <c r="AE359" s="11"/>
      <c r="AF359" s="102">
        <v>160000</v>
      </c>
      <c r="AG359" s="125">
        <v>0</v>
      </c>
      <c r="AH359" s="97">
        <f t="shared" si="138"/>
        <v>160000</v>
      </c>
      <c r="AI359" s="11"/>
      <c r="AJ359" s="11"/>
      <c r="AK359" s="17"/>
      <c r="AL359" s="97"/>
      <c r="AM359" s="97"/>
      <c r="AN359" s="103"/>
      <c r="AO359" s="248"/>
      <c r="AP359" s="17"/>
      <c r="AQ359" s="17"/>
      <c r="AR359" s="252"/>
      <c r="AS359" s="252"/>
      <c r="AT359" s="252"/>
      <c r="AU359" s="52"/>
      <c r="AV359" s="52"/>
      <c r="AW359" s="11"/>
      <c r="AX359" s="100"/>
      <c r="AY359" s="174"/>
      <c r="AZ359" s="124"/>
      <c r="BA359" s="169"/>
      <c r="BB359" s="116"/>
      <c r="BC359" s="116"/>
      <c r="BD359" s="247"/>
      <c r="BE359" s="124"/>
      <c r="BF359" s="124"/>
      <c r="BG359" s="116"/>
      <c r="BH359" s="116"/>
      <c r="BI359" s="116"/>
      <c r="BJ359" s="124"/>
      <c r="BK359" s="124"/>
      <c r="BL359" s="124"/>
      <c r="BM359" s="116"/>
      <c r="BN359" s="116"/>
      <c r="BO359" s="116"/>
      <c r="BP359" s="124"/>
      <c r="BQ359" s="116"/>
      <c r="BR359" s="116"/>
      <c r="BS359" s="116"/>
      <c r="BT359" s="116"/>
      <c r="BU359" s="116"/>
      <c r="BV359" s="187"/>
      <c r="BW359" s="125"/>
      <c r="BX359" s="97"/>
      <c r="BY359" s="246"/>
      <c r="BZ359" s="246"/>
      <c r="CA359" s="116"/>
      <c r="CB359" s="247"/>
      <c r="CC359" s="125"/>
      <c r="CD359" s="247"/>
      <c r="CE359" s="116"/>
      <c r="CF359" s="116"/>
      <c r="CG359" s="34"/>
      <c r="CH359" s="187"/>
      <c r="CI359" s="195"/>
      <c r="CJ359" s="187"/>
      <c r="CK359" s="246"/>
      <c r="CL359" s="246"/>
      <c r="CM359" s="116"/>
      <c r="CN359" s="247"/>
      <c r="CO359" s="125"/>
      <c r="CP359" s="247"/>
      <c r="CQ359" s="116"/>
      <c r="CR359" s="116"/>
      <c r="CS359" s="116"/>
      <c r="CT359" s="247"/>
      <c r="CU359" s="125"/>
      <c r="CV359" s="247"/>
      <c r="CW359" s="116"/>
      <c r="CX359" s="116"/>
      <c r="CY359" s="116"/>
      <c r="CZ359" s="102"/>
      <c r="DA359" s="125"/>
      <c r="DB359" s="102"/>
      <c r="DC359" s="31"/>
      <c r="DD359" s="17"/>
      <c r="DE359" s="11"/>
      <c r="DF359" s="116"/>
      <c r="DG359" s="116"/>
      <c r="DH359" s="116"/>
      <c r="DI359" s="116"/>
      <c r="DJ359" s="116"/>
      <c r="DK359" s="116"/>
      <c r="DL359" s="116"/>
      <c r="DM359" s="116"/>
      <c r="DN359" s="116"/>
      <c r="DO359" s="116"/>
      <c r="DP359" s="116"/>
      <c r="DQ359" s="116"/>
      <c r="DR359" s="116"/>
      <c r="DS359" s="116"/>
      <c r="DT359" s="116"/>
      <c r="DU359" s="116"/>
      <c r="DV359" s="116"/>
      <c r="DW359" s="116"/>
      <c r="DX359" s="116"/>
      <c r="DY359" s="116"/>
      <c r="DZ359" s="116"/>
      <c r="EA359" s="116"/>
      <c r="EB359" s="116"/>
      <c r="EC359" s="116"/>
      <c r="ED359" s="116"/>
      <c r="EE359" s="116"/>
      <c r="EF359" s="116"/>
      <c r="EG359" s="116"/>
      <c r="EH359" s="116"/>
      <c r="EI359" s="116"/>
      <c r="EJ359" s="116"/>
      <c r="EK359" s="116"/>
      <c r="EL359" s="116"/>
      <c r="EM359" s="116"/>
      <c r="EN359" s="116"/>
      <c r="EO359" s="116"/>
      <c r="EP359" s="116"/>
      <c r="EQ359" s="116"/>
      <c r="ER359" s="116"/>
      <c r="ES359" s="116"/>
      <c r="ET359" s="11"/>
      <c r="EU359" s="11"/>
      <c r="EV359" s="11"/>
      <c r="EW359" s="11"/>
      <c r="EX359" s="11"/>
      <c r="EY359" s="11"/>
      <c r="EZ359" s="11"/>
      <c r="FA359" s="11"/>
      <c r="FB359" s="11"/>
      <c r="FC359" s="11"/>
      <c r="FD359" s="11"/>
      <c r="FE359" s="11"/>
      <c r="FF359" s="11"/>
      <c r="FG359" s="11"/>
      <c r="FH359" s="17">
        <f t="shared" si="131"/>
        <v>274750</v>
      </c>
      <c r="FI359" s="31">
        <f t="shared" si="132"/>
        <v>2</v>
      </c>
      <c r="FJ359" s="68">
        <f t="shared" si="133"/>
        <v>137375</v>
      </c>
    </row>
    <row r="360" spans="1:166" ht="25.5" x14ac:dyDescent="0.25">
      <c r="A360" s="248">
        <f>Distribución_Reactivos!A360</f>
        <v>358</v>
      </c>
      <c r="B360" s="248" t="str">
        <f>Distribución_Reactivos!B360</f>
        <v>Sensidiscos de estreptomicina</v>
      </c>
      <c r="C360" s="248" t="str">
        <f>Distribución_Reactivos!C360</f>
        <v>BD</v>
      </c>
      <c r="D360" s="248" t="str">
        <f>Distribución_Reactivos!D360</f>
        <v>Caja x 5 tubos x 50 discos</v>
      </c>
      <c r="E360" s="29">
        <v>1</v>
      </c>
      <c r="F360" s="212">
        <v>107500</v>
      </c>
      <c r="G360" s="214">
        <v>0</v>
      </c>
      <c r="H360" s="221">
        <v>182205</v>
      </c>
      <c r="I360" s="221">
        <v>0</v>
      </c>
      <c r="J360" s="221">
        <v>151000</v>
      </c>
      <c r="K360" s="221">
        <v>0</v>
      </c>
      <c r="L360" s="247">
        <f>AVERAGE(F360,H360,J360)</f>
        <v>146901.66666666666</v>
      </c>
      <c r="M360" s="247"/>
      <c r="N360" s="219">
        <v>114750</v>
      </c>
      <c r="O360" s="97">
        <f t="shared" si="139"/>
        <v>0</v>
      </c>
      <c r="P360" s="97">
        <f t="shared" si="140"/>
        <v>114750</v>
      </c>
      <c r="Q360" s="34" t="s">
        <v>424</v>
      </c>
      <c r="R360" s="116" t="s">
        <v>119</v>
      </c>
      <c r="S360" s="53" t="s">
        <v>209</v>
      </c>
      <c r="T360" s="97"/>
      <c r="U360" s="97"/>
      <c r="V360" s="97"/>
      <c r="W360" s="115"/>
      <c r="X360" s="115"/>
      <c r="Y360" s="11"/>
      <c r="Z360" s="97"/>
      <c r="AA360" s="97"/>
      <c r="AB360" s="97"/>
      <c r="AC360" s="44"/>
      <c r="AD360" s="44"/>
      <c r="AE360" s="11"/>
      <c r="AF360" s="102">
        <v>160000</v>
      </c>
      <c r="AG360" s="125">
        <v>0</v>
      </c>
      <c r="AH360" s="97">
        <f t="shared" si="138"/>
        <v>160000</v>
      </c>
      <c r="AI360" s="11"/>
      <c r="AJ360" s="11"/>
      <c r="AK360" s="17"/>
      <c r="AL360" s="97"/>
      <c r="AM360" s="97"/>
      <c r="AN360" s="127"/>
      <c r="AO360" s="248"/>
      <c r="AP360" s="17"/>
      <c r="AQ360" s="17"/>
      <c r="AR360" s="252"/>
      <c r="AS360" s="252"/>
      <c r="AT360" s="252"/>
      <c r="AU360" s="52"/>
      <c r="AV360" s="52"/>
      <c r="AW360" s="11"/>
      <c r="AX360" s="100"/>
      <c r="AY360" s="174"/>
      <c r="AZ360" s="124"/>
      <c r="BA360" s="169"/>
      <c r="BB360" s="116"/>
      <c r="BC360" s="116"/>
      <c r="BD360" s="247"/>
      <c r="BE360" s="124"/>
      <c r="BF360" s="124"/>
      <c r="BG360" s="116"/>
      <c r="BH360" s="116"/>
      <c r="BI360" s="116"/>
      <c r="BJ360" s="247">
        <v>83750</v>
      </c>
      <c r="BK360" s="102">
        <f>+BJ360*0.19</f>
        <v>15912.5</v>
      </c>
      <c r="BL360" s="97">
        <f>+BK360+BJ360</f>
        <v>99662.5</v>
      </c>
      <c r="BM360" s="116"/>
      <c r="BN360" s="116"/>
      <c r="BO360" s="116"/>
      <c r="BP360" s="124"/>
      <c r="BQ360" s="116"/>
      <c r="BR360" s="116"/>
      <c r="BS360" s="116"/>
      <c r="BT360" s="116"/>
      <c r="BU360" s="116"/>
      <c r="BV360" s="187"/>
      <c r="BW360" s="125"/>
      <c r="BX360" s="97"/>
      <c r="BY360" s="246"/>
      <c r="BZ360" s="246"/>
      <c r="CA360" s="116"/>
      <c r="CB360" s="247"/>
      <c r="CC360" s="125"/>
      <c r="CD360" s="247"/>
      <c r="CE360" s="116"/>
      <c r="CF360" s="116"/>
      <c r="CG360" s="34"/>
      <c r="CH360" s="187"/>
      <c r="CI360" s="195"/>
      <c r="CJ360" s="187"/>
      <c r="CK360" s="246"/>
      <c r="CL360" s="246"/>
      <c r="CM360" s="116"/>
      <c r="CN360" s="247"/>
      <c r="CO360" s="125"/>
      <c r="CP360" s="247"/>
      <c r="CQ360" s="116"/>
      <c r="CR360" s="116"/>
      <c r="CS360" s="116"/>
      <c r="CT360" s="247"/>
      <c r="CU360" s="125"/>
      <c r="CV360" s="247"/>
      <c r="CW360" s="116"/>
      <c r="CX360" s="116"/>
      <c r="CY360" s="116"/>
      <c r="CZ360" s="102"/>
      <c r="DA360" s="125"/>
      <c r="DB360" s="102"/>
      <c r="DC360" s="31"/>
      <c r="DD360" s="17"/>
      <c r="DE360" s="11"/>
      <c r="DF360" s="116"/>
      <c r="DG360" s="116"/>
      <c r="DH360" s="116"/>
      <c r="DI360" s="116"/>
      <c r="DJ360" s="116"/>
      <c r="DK360" s="116"/>
      <c r="DL360" s="116"/>
      <c r="DM360" s="116"/>
      <c r="DN360" s="116"/>
      <c r="DO360" s="116"/>
      <c r="DP360" s="116"/>
      <c r="DQ360" s="116"/>
      <c r="DR360" s="116"/>
      <c r="DS360" s="116"/>
      <c r="DT360" s="116"/>
      <c r="DU360" s="116"/>
      <c r="DV360" s="116"/>
      <c r="DW360" s="116"/>
      <c r="DX360" s="116"/>
      <c r="DY360" s="116"/>
      <c r="DZ360" s="116"/>
      <c r="EA360" s="116"/>
      <c r="EB360" s="116"/>
      <c r="EC360" s="116"/>
      <c r="ED360" s="116"/>
      <c r="EE360" s="116"/>
      <c r="EF360" s="116"/>
      <c r="EG360" s="116"/>
      <c r="EH360" s="116"/>
      <c r="EI360" s="116"/>
      <c r="EJ360" s="116"/>
      <c r="EK360" s="116"/>
      <c r="EL360" s="116"/>
      <c r="EM360" s="116"/>
      <c r="EN360" s="116"/>
      <c r="EO360" s="116"/>
      <c r="EP360" s="116"/>
      <c r="EQ360" s="116"/>
      <c r="ER360" s="116"/>
      <c r="ES360" s="116"/>
      <c r="ET360" s="11"/>
      <c r="EU360" s="11"/>
      <c r="EV360" s="11"/>
      <c r="EW360" s="11"/>
      <c r="EX360" s="11"/>
      <c r="EY360" s="11"/>
      <c r="EZ360" s="11"/>
      <c r="FA360" s="11"/>
      <c r="FB360" s="11"/>
      <c r="FC360" s="11"/>
      <c r="FD360" s="11"/>
      <c r="FE360" s="11"/>
      <c r="FF360" s="11"/>
      <c r="FG360" s="11"/>
      <c r="FH360" s="17">
        <f t="shared" si="131"/>
        <v>374412.5</v>
      </c>
      <c r="FI360" s="31">
        <f t="shared" si="132"/>
        <v>3</v>
      </c>
      <c r="FJ360" s="68">
        <f t="shared" si="133"/>
        <v>124804.16666666667</v>
      </c>
    </row>
    <row r="361" spans="1:166" ht="25.5" x14ac:dyDescent="0.25">
      <c r="A361" s="248">
        <f>Distribución_Reactivos!A361</f>
        <v>359</v>
      </c>
      <c r="B361" s="248" t="str">
        <f>Distribución_Reactivos!B361</f>
        <v>Sensidiscos de linezolid</v>
      </c>
      <c r="C361" s="248" t="str">
        <f>Distribución_Reactivos!C361</f>
        <v>Difco 231761</v>
      </c>
      <c r="D361" s="248" t="str">
        <f>Distribución_Reactivos!D361</f>
        <v>Tubo x 50 discos</v>
      </c>
      <c r="E361" s="29">
        <v>1</v>
      </c>
      <c r="F361" s="212">
        <v>78500</v>
      </c>
      <c r="G361" s="214">
        <v>0</v>
      </c>
      <c r="H361" s="221">
        <v>269950</v>
      </c>
      <c r="I361" s="221">
        <v>0</v>
      </c>
      <c r="J361" s="221">
        <v>160000</v>
      </c>
      <c r="K361" s="221">
        <v>0</v>
      </c>
      <c r="L361" s="247">
        <f>AVERAGE(F361,H361,J361)</f>
        <v>169483.33333333334</v>
      </c>
      <c r="M361" s="247"/>
      <c r="N361" s="219">
        <v>114750</v>
      </c>
      <c r="O361" s="97">
        <f t="shared" si="139"/>
        <v>0</v>
      </c>
      <c r="P361" s="97">
        <f t="shared" si="140"/>
        <v>114750</v>
      </c>
      <c r="Q361" s="34" t="s">
        <v>424</v>
      </c>
      <c r="R361" s="116" t="s">
        <v>119</v>
      </c>
      <c r="S361" s="53" t="s">
        <v>209</v>
      </c>
      <c r="T361" s="102"/>
      <c r="U361" s="102"/>
      <c r="V361" s="102"/>
      <c r="W361" s="11"/>
      <c r="X361" s="11"/>
      <c r="Y361" s="11"/>
      <c r="Z361" s="102"/>
      <c r="AA361" s="102"/>
      <c r="AB361" s="102"/>
      <c r="AC361" s="44"/>
      <c r="AD361" s="44"/>
      <c r="AE361" s="11"/>
      <c r="AF361" s="102">
        <v>160000</v>
      </c>
      <c r="AG361" s="125">
        <v>0</v>
      </c>
      <c r="AH361" s="97">
        <f t="shared" si="138"/>
        <v>160000</v>
      </c>
      <c r="AI361" s="11"/>
      <c r="AJ361" s="11"/>
      <c r="AK361" s="11"/>
      <c r="AL361" s="102"/>
      <c r="AM361" s="102"/>
      <c r="AN361" s="102"/>
      <c r="AO361" s="248"/>
      <c r="AP361" s="11"/>
      <c r="AQ361" s="11"/>
      <c r="AR361" s="247"/>
      <c r="AS361" s="247"/>
      <c r="AT361" s="247"/>
      <c r="AU361" s="52"/>
      <c r="AV361" s="42"/>
      <c r="AW361" s="11"/>
      <c r="AX361" s="247"/>
      <c r="AY361" s="247"/>
      <c r="AZ361" s="247"/>
      <c r="BA361" s="11"/>
      <c r="BB361" s="11"/>
      <c r="BC361" s="11"/>
      <c r="BD361" s="247"/>
      <c r="BE361" s="247"/>
      <c r="BF361" s="247"/>
      <c r="BG361" s="11"/>
      <c r="BH361" s="11"/>
      <c r="BI361" s="11"/>
      <c r="BJ361" s="247"/>
      <c r="BK361" s="247"/>
      <c r="BL361" s="247"/>
      <c r="BM361" s="11"/>
      <c r="BN361" s="11"/>
      <c r="BO361" s="11"/>
      <c r="BP361" s="252"/>
      <c r="BQ361" s="11"/>
      <c r="BR361" s="11"/>
      <c r="BS361" s="11"/>
      <c r="BT361" s="11"/>
      <c r="BU361" s="11"/>
      <c r="BV361" s="187"/>
      <c r="BW361" s="125"/>
      <c r="BX361" s="97"/>
      <c r="BY361" s="246"/>
      <c r="BZ361" s="246"/>
      <c r="CA361" s="11"/>
      <c r="CB361" s="247"/>
      <c r="CC361" s="125"/>
      <c r="CD361" s="247"/>
      <c r="CE361" s="11"/>
      <c r="CF361" s="11"/>
      <c r="CG361" s="11"/>
      <c r="CH361" s="187"/>
      <c r="CI361" s="195"/>
      <c r="CJ361" s="187"/>
      <c r="CK361" s="246"/>
      <c r="CL361" s="246"/>
      <c r="CM361" s="11"/>
      <c r="CN361" s="247"/>
      <c r="CO361" s="125"/>
      <c r="CP361" s="247"/>
      <c r="CQ361" s="11"/>
      <c r="CR361" s="11"/>
      <c r="CS361" s="11"/>
      <c r="CT361" s="247"/>
      <c r="CU361" s="125"/>
      <c r="CV361" s="247"/>
      <c r="CW361" s="11"/>
      <c r="CX361" s="11"/>
      <c r="CY361" s="11"/>
      <c r="CZ361" s="102"/>
      <c r="DA361" s="125"/>
      <c r="DB361" s="102"/>
      <c r="DC361" s="31"/>
      <c r="DD361" s="17"/>
      <c r="DE361" s="11"/>
      <c r="DF361" s="11"/>
      <c r="DG361" s="11"/>
      <c r="DH361" s="11"/>
      <c r="DI361" s="11"/>
      <c r="DJ361" s="11"/>
      <c r="DK361" s="11"/>
      <c r="DL361" s="11"/>
      <c r="DM361" s="11"/>
      <c r="DN361" s="11"/>
      <c r="DO361" s="11"/>
      <c r="DP361" s="11"/>
      <c r="DQ361" s="11"/>
      <c r="DR361" s="11"/>
      <c r="DS361" s="11"/>
      <c r="DT361" s="11"/>
      <c r="DU361" s="11"/>
      <c r="DV361" s="11"/>
      <c r="DW361" s="11"/>
      <c r="DX361" s="11"/>
      <c r="DY361" s="11"/>
      <c r="DZ361" s="11"/>
      <c r="EA361" s="11"/>
      <c r="EB361" s="17"/>
      <c r="EC361" s="17"/>
      <c r="ED361" s="17"/>
      <c r="EE361" s="11"/>
      <c r="EF361" s="11"/>
      <c r="EG361" s="17"/>
      <c r="EH361" s="17"/>
      <c r="EI361" s="32"/>
      <c r="EJ361" s="11"/>
      <c r="EK361" s="11"/>
      <c r="EL361" s="11"/>
      <c r="EM361" s="11"/>
      <c r="EN361" s="11"/>
      <c r="EO361" s="11"/>
      <c r="EP361" s="11"/>
      <c r="EQ361" s="17"/>
      <c r="ER361" s="17"/>
      <c r="ES361" s="17"/>
      <c r="ET361" s="11"/>
      <c r="EU361" s="11"/>
      <c r="EV361" s="17"/>
      <c r="EW361" s="17"/>
      <c r="EX361" s="37"/>
      <c r="EY361" s="37"/>
      <c r="EZ361" s="37"/>
      <c r="FA361" s="37"/>
      <c r="FB361" s="37"/>
      <c r="FC361" s="37"/>
      <c r="FD361" s="37"/>
      <c r="FE361" s="37"/>
      <c r="FF361" s="37"/>
      <c r="FG361" s="37"/>
      <c r="FH361" s="17">
        <f t="shared" si="131"/>
        <v>274750</v>
      </c>
      <c r="FI361" s="31">
        <f t="shared" si="132"/>
        <v>2</v>
      </c>
      <c r="FJ361" s="68">
        <f t="shared" si="133"/>
        <v>137375</v>
      </c>
    </row>
    <row r="362" spans="1:166" ht="38.25" x14ac:dyDescent="0.25">
      <c r="A362" s="248">
        <f>Distribución_Reactivos!A362</f>
        <v>360</v>
      </c>
      <c r="B362" s="248" t="str">
        <f>Distribución_Reactivos!B362</f>
        <v>Sensidiscos de Penicilina/novobiocina 10unidades/30 ug</v>
      </c>
      <c r="C362" s="248" t="str">
        <f>Distribución_Reactivos!C362</f>
        <v>Merck, Acumedia, BBL, Sharlau, Sigma</v>
      </c>
      <c r="D362" s="248" t="str">
        <f>Distribución_Reactivos!D362</f>
        <v>Caja x 5 tubos x 50 discos</v>
      </c>
      <c r="E362" s="29">
        <v>1</v>
      </c>
      <c r="F362" s="212">
        <v>0</v>
      </c>
      <c r="G362" s="214">
        <v>0</v>
      </c>
      <c r="H362" s="221">
        <v>0</v>
      </c>
      <c r="I362" s="221">
        <v>0</v>
      </c>
      <c r="J362" s="221">
        <v>140000</v>
      </c>
      <c r="K362" s="221">
        <v>0</v>
      </c>
      <c r="L362" s="247">
        <f>J362</f>
        <v>140000</v>
      </c>
      <c r="M362" s="247"/>
      <c r="N362" s="217"/>
      <c r="O362" s="97"/>
      <c r="P362" s="97"/>
      <c r="Q362" s="115"/>
      <c r="R362" s="115"/>
      <c r="S362" s="53"/>
      <c r="T362" s="97"/>
      <c r="U362" s="105"/>
      <c r="V362" s="97"/>
      <c r="W362" s="115"/>
      <c r="X362" s="115"/>
      <c r="Y362" s="11"/>
      <c r="Z362" s="97"/>
      <c r="AA362" s="97"/>
      <c r="AB362" s="97"/>
      <c r="AC362" s="44"/>
      <c r="AD362" s="44"/>
      <c r="AE362" s="11"/>
      <c r="AF362" s="102">
        <v>140000</v>
      </c>
      <c r="AG362" s="125">
        <v>0</v>
      </c>
      <c r="AH362" s="97">
        <f t="shared" si="138"/>
        <v>140000</v>
      </c>
      <c r="AI362" s="11"/>
      <c r="AJ362" s="11"/>
      <c r="AK362" s="17"/>
      <c r="AL362" s="97"/>
      <c r="AM362" s="97"/>
      <c r="AN362" s="103"/>
      <c r="AO362" s="248"/>
      <c r="AP362" s="17"/>
      <c r="AQ362" s="17"/>
      <c r="AR362" s="252"/>
      <c r="AS362" s="252"/>
      <c r="AT362" s="252"/>
      <c r="AU362" s="52"/>
      <c r="AV362" s="52"/>
      <c r="AW362" s="11"/>
      <c r="AX362" s="100"/>
      <c r="AY362" s="172"/>
      <c r="AZ362" s="124"/>
      <c r="BA362" s="169"/>
      <c r="BB362" s="116"/>
      <c r="BC362" s="116"/>
      <c r="BD362" s="247"/>
      <c r="BE362" s="124"/>
      <c r="BF362" s="124"/>
      <c r="BG362" s="116"/>
      <c r="BH362" s="116"/>
      <c r="BI362" s="116"/>
      <c r="BJ362" s="124"/>
      <c r="BK362" s="124"/>
      <c r="BL362" s="124"/>
      <c r="BM362" s="116"/>
      <c r="BN362" s="116"/>
      <c r="BO362" s="116"/>
      <c r="BP362" s="124"/>
      <c r="BQ362" s="116"/>
      <c r="BR362" s="116"/>
      <c r="BS362" s="116"/>
      <c r="BT362" s="116"/>
      <c r="BU362" s="116"/>
      <c r="BV362" s="187"/>
      <c r="BW362" s="125"/>
      <c r="BX362" s="97"/>
      <c r="BY362" s="246"/>
      <c r="BZ362" s="246"/>
      <c r="CA362" s="116"/>
      <c r="CB362" s="247"/>
      <c r="CC362" s="125"/>
      <c r="CD362" s="247"/>
      <c r="CE362" s="116"/>
      <c r="CF362" s="116"/>
      <c r="CG362" s="34"/>
      <c r="CH362" s="187"/>
      <c r="CI362" s="195"/>
      <c r="CJ362" s="187"/>
      <c r="CK362" s="246"/>
      <c r="CL362" s="246"/>
      <c r="CM362" s="116"/>
      <c r="CN362" s="247"/>
      <c r="CO362" s="125"/>
      <c r="CP362" s="247"/>
      <c r="CQ362" s="116"/>
      <c r="CR362" s="116"/>
      <c r="CS362" s="116"/>
      <c r="CT362" s="247"/>
      <c r="CU362" s="125"/>
      <c r="CV362" s="247"/>
      <c r="CW362" s="116"/>
      <c r="CX362" s="116"/>
      <c r="CY362" s="116"/>
      <c r="CZ362" s="102"/>
      <c r="DA362" s="125"/>
      <c r="DB362" s="102"/>
      <c r="DC362" s="31"/>
      <c r="DD362" s="17"/>
      <c r="DE362" s="11"/>
      <c r="DF362" s="116"/>
      <c r="DG362" s="116"/>
      <c r="DH362" s="116"/>
      <c r="DI362" s="116"/>
      <c r="DJ362" s="116"/>
      <c r="DK362" s="116"/>
      <c r="DL362" s="116"/>
      <c r="DM362" s="116"/>
      <c r="DN362" s="116"/>
      <c r="DO362" s="116"/>
      <c r="DP362" s="116"/>
      <c r="DQ362" s="116"/>
      <c r="DR362" s="116"/>
      <c r="DS362" s="116"/>
      <c r="DT362" s="116"/>
      <c r="DU362" s="116"/>
      <c r="DV362" s="116"/>
      <c r="DW362" s="116"/>
      <c r="DX362" s="116"/>
      <c r="DY362" s="116"/>
      <c r="DZ362" s="116"/>
      <c r="EA362" s="116"/>
      <c r="EB362" s="116"/>
      <c r="EC362" s="116"/>
      <c r="ED362" s="116"/>
      <c r="EE362" s="116"/>
      <c r="EF362" s="116"/>
      <c r="EG362" s="116"/>
      <c r="EH362" s="116"/>
      <c r="EI362" s="116"/>
      <c r="EJ362" s="116"/>
      <c r="EK362" s="116"/>
      <c r="EL362" s="116"/>
      <c r="EM362" s="116"/>
      <c r="EN362" s="116"/>
      <c r="EO362" s="116"/>
      <c r="EP362" s="116"/>
      <c r="EQ362" s="116"/>
      <c r="ER362" s="116"/>
      <c r="ES362" s="116"/>
      <c r="ET362" s="11"/>
      <c r="EU362" s="11"/>
      <c r="EV362" s="11"/>
      <c r="EW362" s="11"/>
      <c r="EX362" s="11"/>
      <c r="EY362" s="11"/>
      <c r="EZ362" s="11"/>
      <c r="FA362" s="11"/>
      <c r="FB362" s="11"/>
      <c r="FC362" s="11"/>
      <c r="FD362" s="11"/>
      <c r="FE362" s="11"/>
      <c r="FF362" s="11"/>
      <c r="FG362" s="11"/>
      <c r="FH362" s="17">
        <f t="shared" si="131"/>
        <v>140000</v>
      </c>
      <c r="FI362" s="31">
        <f t="shared" si="132"/>
        <v>1</v>
      </c>
      <c r="FJ362" s="68">
        <f t="shared" si="133"/>
        <v>140000</v>
      </c>
    </row>
    <row r="363" spans="1:166" ht="25.5" x14ac:dyDescent="0.25">
      <c r="A363" s="248">
        <f>Distribución_Reactivos!A363</f>
        <v>361</v>
      </c>
      <c r="B363" s="248" t="str">
        <f>Distribución_Reactivos!B363</f>
        <v>Sensidiscos de Rifampicina</v>
      </c>
      <c r="C363" s="248" t="str">
        <f>Distribución_Reactivos!C363</f>
        <v>Cualquier marca</v>
      </c>
      <c r="D363" s="248" t="str">
        <f>Distribución_Reactivos!D363</f>
        <v>Caja x 5 tubos x 5 ug</v>
      </c>
      <c r="E363" s="29">
        <v>1</v>
      </c>
      <c r="F363" s="212">
        <v>85000</v>
      </c>
      <c r="G363" s="214">
        <v>0</v>
      </c>
      <c r="H363" s="221">
        <v>132204.86125000002</v>
      </c>
      <c r="I363" s="221">
        <v>0</v>
      </c>
      <c r="J363" s="221">
        <v>141000</v>
      </c>
      <c r="K363" s="221">
        <v>118000</v>
      </c>
      <c r="L363" s="247">
        <f>AVERAGE(F363,H363,J363)</f>
        <v>119401.62041666667</v>
      </c>
      <c r="M363" s="247">
        <f>K363*E1</f>
        <v>121540</v>
      </c>
      <c r="N363" s="219">
        <v>114750</v>
      </c>
      <c r="O363" s="97">
        <f>+N363*0</f>
        <v>0</v>
      </c>
      <c r="P363" s="97">
        <f>+O363+N363</f>
        <v>114750</v>
      </c>
      <c r="Q363" s="34" t="s">
        <v>424</v>
      </c>
      <c r="R363" s="116" t="s">
        <v>119</v>
      </c>
      <c r="S363" s="53" t="s">
        <v>209</v>
      </c>
      <c r="T363" s="102"/>
      <c r="U363" s="102"/>
      <c r="V363" s="102"/>
      <c r="W363" s="11"/>
      <c r="X363" s="11"/>
      <c r="Y363" s="11"/>
      <c r="Z363" s="102"/>
      <c r="AA363" s="102"/>
      <c r="AB363" s="102"/>
      <c r="AC363" s="44"/>
      <c r="AD363" s="44"/>
      <c r="AE363" s="11"/>
      <c r="AF363" s="102">
        <v>140000</v>
      </c>
      <c r="AG363" s="125">
        <v>0</v>
      </c>
      <c r="AH363" s="97">
        <f t="shared" si="138"/>
        <v>140000</v>
      </c>
      <c r="AI363" s="11"/>
      <c r="AJ363" s="11"/>
      <c r="AK363" s="11"/>
      <c r="AL363" s="102"/>
      <c r="AM363" s="102"/>
      <c r="AN363" s="102"/>
      <c r="AO363" s="248"/>
      <c r="AP363" s="11"/>
      <c r="AQ363" s="11"/>
      <c r="AR363" s="247"/>
      <c r="AS363" s="247"/>
      <c r="AT363" s="247"/>
      <c r="AU363" s="52"/>
      <c r="AV363" s="42"/>
      <c r="AW363" s="11"/>
      <c r="AX363" s="247"/>
      <c r="AY363" s="247"/>
      <c r="AZ363" s="247"/>
      <c r="BA363" s="11"/>
      <c r="BB363" s="11"/>
      <c r="BC363" s="11"/>
      <c r="BD363" s="247"/>
      <c r="BE363" s="247"/>
      <c r="BF363" s="247"/>
      <c r="BG363" s="11"/>
      <c r="BH363" s="11"/>
      <c r="BI363" s="11"/>
      <c r="BJ363" s="247"/>
      <c r="BK363" s="247"/>
      <c r="BL363" s="247"/>
      <c r="BM363" s="11"/>
      <c r="BN363" s="11"/>
      <c r="BO363" s="11"/>
      <c r="BP363" s="252"/>
      <c r="BQ363" s="11"/>
      <c r="BR363" s="11"/>
      <c r="BS363" s="11"/>
      <c r="BT363" s="11"/>
      <c r="BU363" s="11"/>
      <c r="BV363" s="187"/>
      <c r="BW363" s="125"/>
      <c r="BX363" s="97"/>
      <c r="BY363" s="246"/>
      <c r="BZ363" s="246"/>
      <c r="CA363" s="11"/>
      <c r="CB363" s="247"/>
      <c r="CC363" s="125"/>
      <c r="CD363" s="247"/>
      <c r="CE363" s="11"/>
      <c r="CF363" s="11"/>
      <c r="CG363" s="11"/>
      <c r="CH363" s="187"/>
      <c r="CI363" s="195"/>
      <c r="CJ363" s="187"/>
      <c r="CK363" s="246"/>
      <c r="CL363" s="246"/>
      <c r="CM363" s="11"/>
      <c r="CN363" s="247"/>
      <c r="CO363" s="125"/>
      <c r="CP363" s="247"/>
      <c r="CQ363" s="11"/>
      <c r="CR363" s="11"/>
      <c r="CS363" s="11"/>
      <c r="CT363" s="247"/>
      <c r="CU363" s="125"/>
      <c r="CV363" s="247"/>
      <c r="CW363" s="11"/>
      <c r="CX363" s="11"/>
      <c r="CY363" s="11"/>
      <c r="CZ363" s="102"/>
      <c r="DA363" s="125"/>
      <c r="DB363" s="102"/>
      <c r="DC363" s="31"/>
      <c r="DD363" s="17"/>
      <c r="DE363" s="11"/>
      <c r="DF363" s="11"/>
      <c r="DG363" s="11"/>
      <c r="DH363" s="11"/>
      <c r="DI363" s="11"/>
      <c r="DJ363" s="11"/>
      <c r="DK363" s="11"/>
      <c r="DL363" s="11"/>
      <c r="DM363" s="11"/>
      <c r="DN363" s="11"/>
      <c r="DO363" s="11"/>
      <c r="DP363" s="11"/>
      <c r="DQ363" s="11"/>
      <c r="DR363" s="11"/>
      <c r="DS363" s="11"/>
      <c r="DT363" s="11"/>
      <c r="DU363" s="11"/>
      <c r="DV363" s="11"/>
      <c r="DW363" s="11"/>
      <c r="DX363" s="11"/>
      <c r="DY363" s="11"/>
      <c r="DZ363" s="11"/>
      <c r="EA363" s="11"/>
      <c r="EB363" s="17"/>
      <c r="EC363" s="17"/>
      <c r="ED363" s="17"/>
      <c r="EE363" s="11"/>
      <c r="EF363" s="11"/>
      <c r="EG363" s="17"/>
      <c r="EH363" s="17"/>
      <c r="EI363" s="32"/>
      <c r="EJ363" s="11"/>
      <c r="EK363" s="11"/>
      <c r="EL363" s="11"/>
      <c r="EM363" s="11"/>
      <c r="EN363" s="11"/>
      <c r="EO363" s="11"/>
      <c r="EP363" s="11"/>
      <c r="EQ363" s="17"/>
      <c r="ER363" s="17"/>
      <c r="ES363" s="17"/>
      <c r="ET363" s="11"/>
      <c r="EU363" s="11"/>
      <c r="EV363" s="17"/>
      <c r="EW363" s="17"/>
      <c r="EX363" s="37"/>
      <c r="EY363" s="37"/>
      <c r="EZ363" s="37"/>
      <c r="FA363" s="37"/>
      <c r="FB363" s="37"/>
      <c r="FC363" s="37"/>
      <c r="FD363" s="37"/>
      <c r="FE363" s="37"/>
      <c r="FF363" s="37"/>
      <c r="FG363" s="37"/>
      <c r="FH363" s="17">
        <f t="shared" si="131"/>
        <v>376290</v>
      </c>
      <c r="FI363" s="31">
        <f t="shared" si="132"/>
        <v>3</v>
      </c>
      <c r="FJ363" s="68">
        <f t="shared" si="133"/>
        <v>125430</v>
      </c>
    </row>
    <row r="364" spans="1:166" ht="38.25" x14ac:dyDescent="0.25">
      <c r="A364" s="248">
        <f>Distribución_Reactivos!A364</f>
        <v>362</v>
      </c>
      <c r="B364" s="248" t="str">
        <f>Distribución_Reactivos!B364</f>
        <v>Sensidiscos de Sulfametoxasol 15 ug</v>
      </c>
      <c r="C364" s="248" t="str">
        <f>Distribución_Reactivos!C364</f>
        <v>Merck, Acumedia, BBL, Sharlau, Sigma</v>
      </c>
      <c r="D364" s="248" t="str">
        <f>Distribución_Reactivos!D364</f>
        <v>Caja x 5 tubos x 50 discos</v>
      </c>
      <c r="E364" s="29">
        <v>1</v>
      </c>
      <c r="F364" s="212">
        <v>75600</v>
      </c>
      <c r="G364" s="214">
        <v>0</v>
      </c>
      <c r="H364" s="221">
        <v>93049.765199999994</v>
      </c>
      <c r="I364" s="221">
        <v>0</v>
      </c>
      <c r="J364" s="221">
        <v>140000</v>
      </c>
      <c r="K364" s="221">
        <v>0</v>
      </c>
      <c r="L364" s="247">
        <f>AVERAGE(F364,H364,J364)</f>
        <v>102883.25506666668</v>
      </c>
      <c r="M364" s="247"/>
      <c r="N364" s="219">
        <v>114750</v>
      </c>
      <c r="O364" s="97">
        <f>+N364*0</f>
        <v>0</v>
      </c>
      <c r="P364" s="97">
        <f>+O364+N364</f>
        <v>114750</v>
      </c>
      <c r="Q364" s="34" t="s">
        <v>424</v>
      </c>
      <c r="R364" s="116" t="s">
        <v>119</v>
      </c>
      <c r="S364" s="53" t="s">
        <v>209</v>
      </c>
      <c r="T364" s="102"/>
      <c r="U364" s="102"/>
      <c r="V364" s="102"/>
      <c r="W364" s="11"/>
      <c r="X364" s="11"/>
      <c r="Y364" s="11"/>
      <c r="Z364" s="102"/>
      <c r="AA364" s="102"/>
      <c r="AB364" s="102"/>
      <c r="AC364" s="44"/>
      <c r="AD364" s="44"/>
      <c r="AE364" s="11"/>
      <c r="AF364" s="102">
        <v>140000</v>
      </c>
      <c r="AG364" s="125">
        <v>0</v>
      </c>
      <c r="AH364" s="97">
        <f t="shared" si="138"/>
        <v>140000</v>
      </c>
      <c r="AI364" s="11"/>
      <c r="AJ364" s="11"/>
      <c r="AK364" s="11"/>
      <c r="AL364" s="102"/>
      <c r="AM364" s="102"/>
      <c r="AN364" s="102"/>
      <c r="AO364" s="248"/>
      <c r="AP364" s="11"/>
      <c r="AQ364" s="11"/>
      <c r="AR364" s="247"/>
      <c r="AS364" s="247"/>
      <c r="AT364" s="247"/>
      <c r="AU364" s="52"/>
      <c r="AV364" s="42"/>
      <c r="AW364" s="11"/>
      <c r="AX364" s="247"/>
      <c r="AY364" s="247"/>
      <c r="AZ364" s="247"/>
      <c r="BA364" s="11"/>
      <c r="BB364" s="11"/>
      <c r="BC364" s="11"/>
      <c r="BD364" s="247"/>
      <c r="BE364" s="247"/>
      <c r="BF364" s="247"/>
      <c r="BG364" s="11"/>
      <c r="BH364" s="11"/>
      <c r="BI364" s="11"/>
      <c r="BJ364" s="247">
        <v>83750</v>
      </c>
      <c r="BK364" s="102">
        <f>+BJ364*0.19</f>
        <v>15912.5</v>
      </c>
      <c r="BL364" s="97">
        <f>+BK364+BJ364</f>
        <v>99662.5</v>
      </c>
      <c r="BM364" s="11"/>
      <c r="BN364" s="11"/>
      <c r="BO364" s="11"/>
      <c r="BP364" s="252"/>
      <c r="BQ364" s="11"/>
      <c r="BR364" s="11"/>
      <c r="BS364" s="11"/>
      <c r="BT364" s="11"/>
      <c r="BU364" s="11"/>
      <c r="BV364" s="187"/>
      <c r="BW364" s="125"/>
      <c r="BX364" s="97"/>
      <c r="BY364" s="246"/>
      <c r="BZ364" s="246"/>
      <c r="CA364" s="11"/>
      <c r="CB364" s="247"/>
      <c r="CC364" s="125"/>
      <c r="CD364" s="247"/>
      <c r="CE364" s="11"/>
      <c r="CF364" s="11"/>
      <c r="CG364" s="11"/>
      <c r="CH364" s="187"/>
      <c r="CI364" s="195"/>
      <c r="CJ364" s="187"/>
      <c r="CK364" s="246"/>
      <c r="CL364" s="246"/>
      <c r="CM364" s="11"/>
      <c r="CN364" s="247"/>
      <c r="CO364" s="125"/>
      <c r="CP364" s="247"/>
      <c r="CQ364" s="11"/>
      <c r="CR364" s="11"/>
      <c r="CS364" s="11"/>
      <c r="CT364" s="247"/>
      <c r="CU364" s="125"/>
      <c r="CV364" s="247"/>
      <c r="CW364" s="11"/>
      <c r="CX364" s="11"/>
      <c r="CY364" s="11"/>
      <c r="CZ364" s="102"/>
      <c r="DA364" s="125"/>
      <c r="DB364" s="102"/>
      <c r="DC364" s="31"/>
      <c r="DD364" s="17"/>
      <c r="DE364" s="11"/>
      <c r="DF364" s="11"/>
      <c r="DG364" s="11"/>
      <c r="DH364" s="11"/>
      <c r="DI364" s="11"/>
      <c r="DJ364" s="11"/>
      <c r="DK364" s="11"/>
      <c r="DL364" s="11"/>
      <c r="DM364" s="11"/>
      <c r="DN364" s="11"/>
      <c r="DO364" s="11"/>
      <c r="DP364" s="11"/>
      <c r="DQ364" s="11"/>
      <c r="DR364" s="11"/>
      <c r="DS364" s="11"/>
      <c r="DT364" s="11"/>
      <c r="DU364" s="11"/>
      <c r="DV364" s="11"/>
      <c r="DW364" s="11"/>
      <c r="DX364" s="11"/>
      <c r="DY364" s="11"/>
      <c r="DZ364" s="11"/>
      <c r="EA364" s="11"/>
      <c r="EB364" s="17"/>
      <c r="EC364" s="17"/>
      <c r="ED364" s="17"/>
      <c r="EE364" s="11"/>
      <c r="EF364" s="11"/>
      <c r="EG364" s="17"/>
      <c r="EH364" s="17"/>
      <c r="EI364" s="32"/>
      <c r="EJ364" s="11"/>
      <c r="EK364" s="11"/>
      <c r="EL364" s="11"/>
      <c r="EM364" s="11"/>
      <c r="EN364" s="11"/>
      <c r="EO364" s="11"/>
      <c r="EP364" s="11"/>
      <c r="EQ364" s="17"/>
      <c r="ER364" s="17"/>
      <c r="ES364" s="17"/>
      <c r="ET364" s="11"/>
      <c r="EU364" s="11"/>
      <c r="EV364" s="17"/>
      <c r="EW364" s="17"/>
      <c r="EX364" s="37"/>
      <c r="EY364" s="37"/>
      <c r="EZ364" s="37"/>
      <c r="FA364" s="37"/>
      <c r="FB364" s="37"/>
      <c r="FC364" s="37"/>
      <c r="FD364" s="37"/>
      <c r="FE364" s="37"/>
      <c r="FF364" s="37"/>
      <c r="FG364" s="37"/>
      <c r="FH364" s="17">
        <f t="shared" si="131"/>
        <v>354412.5</v>
      </c>
      <c r="FI364" s="31">
        <f t="shared" si="132"/>
        <v>3</v>
      </c>
      <c r="FJ364" s="68">
        <f t="shared" si="133"/>
        <v>118137.5</v>
      </c>
    </row>
    <row r="365" spans="1:166" ht="25.5" x14ac:dyDescent="0.25">
      <c r="A365" s="248">
        <f>Distribución_Reactivos!A365</f>
        <v>363</v>
      </c>
      <c r="B365" s="248" t="str">
        <f>Distribución_Reactivos!B365</f>
        <v>Sensidiscos de tetraciclina</v>
      </c>
      <c r="C365" s="248" t="str">
        <f>Distribución_Reactivos!C365</f>
        <v>BD</v>
      </c>
      <c r="D365" s="248" t="str">
        <f>Distribución_Reactivos!D365</f>
        <v>Tubo x 50 discos</v>
      </c>
      <c r="E365" s="29">
        <v>1</v>
      </c>
      <c r="F365" s="212">
        <v>107500</v>
      </c>
      <c r="G365" s="214">
        <v>53550</v>
      </c>
      <c r="H365" s="221">
        <v>152950</v>
      </c>
      <c r="I365" s="221">
        <v>0</v>
      </c>
      <c r="J365" s="221">
        <v>119409.16666666667</v>
      </c>
      <c r="K365" s="221">
        <v>0</v>
      </c>
      <c r="L365" s="247">
        <f>AVERAGE(F365,H365,J365)</f>
        <v>126619.72222222223</v>
      </c>
      <c r="M365" s="247">
        <f>G365*E1</f>
        <v>55156.5</v>
      </c>
      <c r="N365" s="219">
        <v>114750</v>
      </c>
      <c r="O365" s="97">
        <f>+N365*0</f>
        <v>0</v>
      </c>
      <c r="P365" s="97">
        <f>+O365+N365</f>
        <v>114750</v>
      </c>
      <c r="Q365" s="34" t="s">
        <v>424</v>
      </c>
      <c r="R365" s="116" t="s">
        <v>119</v>
      </c>
      <c r="S365" s="53" t="s">
        <v>209</v>
      </c>
      <c r="T365" s="102"/>
      <c r="U365" s="102"/>
      <c r="V365" s="102"/>
      <c r="W365" s="11"/>
      <c r="X365" s="11"/>
      <c r="Y365" s="11"/>
      <c r="Z365" s="102"/>
      <c r="AA365" s="102"/>
      <c r="AB365" s="102"/>
      <c r="AC365" s="44"/>
      <c r="AD365" s="44"/>
      <c r="AE365" s="11"/>
      <c r="AF365" s="102">
        <v>140000</v>
      </c>
      <c r="AG365" s="125">
        <v>0</v>
      </c>
      <c r="AH365" s="97">
        <f t="shared" si="138"/>
        <v>140000</v>
      </c>
      <c r="AI365" s="11"/>
      <c r="AJ365" s="11"/>
      <c r="AK365" s="11"/>
      <c r="AL365" s="102"/>
      <c r="AM365" s="102"/>
      <c r="AN365" s="102"/>
      <c r="AO365" s="248"/>
      <c r="AP365" s="11"/>
      <c r="AQ365" s="11"/>
      <c r="AR365" s="247"/>
      <c r="AS365" s="247"/>
      <c r="AT365" s="247"/>
      <c r="AU365" s="52"/>
      <c r="AV365" s="42"/>
      <c r="AW365" s="11"/>
      <c r="AX365" s="247"/>
      <c r="AY365" s="247"/>
      <c r="AZ365" s="247"/>
      <c r="BA365" s="11"/>
      <c r="BB365" s="11"/>
      <c r="BC365" s="11"/>
      <c r="BD365" s="247"/>
      <c r="BE365" s="247"/>
      <c r="BF365" s="247"/>
      <c r="BG365" s="11"/>
      <c r="BH365" s="11"/>
      <c r="BI365" s="11"/>
      <c r="BJ365" s="247">
        <v>83750</v>
      </c>
      <c r="BK365" s="102">
        <f>+BJ365*0.19</f>
        <v>15912.5</v>
      </c>
      <c r="BL365" s="97">
        <f>+BK365+BJ365</f>
        <v>99662.5</v>
      </c>
      <c r="BM365" s="11"/>
      <c r="BN365" s="11"/>
      <c r="BO365" s="11"/>
      <c r="BP365" s="252"/>
      <c r="BQ365" s="11"/>
      <c r="BR365" s="11"/>
      <c r="BS365" s="11"/>
      <c r="BT365" s="11"/>
      <c r="BU365" s="11"/>
      <c r="BV365" s="187"/>
      <c r="BW365" s="125"/>
      <c r="BX365" s="97"/>
      <c r="BY365" s="246"/>
      <c r="BZ365" s="246"/>
      <c r="CA365" s="11"/>
      <c r="CB365" s="247"/>
      <c r="CC365" s="125"/>
      <c r="CD365" s="247"/>
      <c r="CE365" s="11"/>
      <c r="CF365" s="11"/>
      <c r="CG365" s="11"/>
      <c r="CH365" s="187"/>
      <c r="CI365" s="195"/>
      <c r="CJ365" s="187"/>
      <c r="CK365" s="246"/>
      <c r="CL365" s="246"/>
      <c r="CM365" s="11"/>
      <c r="CN365" s="247"/>
      <c r="CO365" s="125"/>
      <c r="CP365" s="247"/>
      <c r="CQ365" s="11"/>
      <c r="CR365" s="11"/>
      <c r="CS365" s="11"/>
      <c r="CT365" s="247"/>
      <c r="CU365" s="125"/>
      <c r="CV365" s="247"/>
      <c r="CW365" s="11"/>
      <c r="CX365" s="11"/>
      <c r="CY365" s="11"/>
      <c r="CZ365" s="102"/>
      <c r="DA365" s="125"/>
      <c r="DB365" s="102"/>
      <c r="DC365" s="31"/>
      <c r="DD365" s="17"/>
      <c r="DE365" s="11"/>
      <c r="DF365" s="11"/>
      <c r="DG365" s="11"/>
      <c r="DH365" s="11"/>
      <c r="DI365" s="11"/>
      <c r="DJ365" s="11"/>
      <c r="DK365" s="11"/>
      <c r="DL365" s="11"/>
      <c r="DM365" s="11"/>
      <c r="DN365" s="11"/>
      <c r="DO365" s="11"/>
      <c r="DP365" s="11"/>
      <c r="DQ365" s="11"/>
      <c r="DR365" s="11"/>
      <c r="DS365" s="11"/>
      <c r="DT365" s="11"/>
      <c r="DU365" s="11"/>
      <c r="DV365" s="11"/>
      <c r="DW365" s="11"/>
      <c r="DX365" s="11"/>
      <c r="DY365" s="11"/>
      <c r="DZ365" s="11"/>
      <c r="EA365" s="11"/>
      <c r="EB365" s="17"/>
      <c r="EC365" s="17"/>
      <c r="ED365" s="17"/>
      <c r="EE365" s="11"/>
      <c r="EF365" s="11"/>
      <c r="EG365" s="17"/>
      <c r="EH365" s="17"/>
      <c r="EI365" s="32"/>
      <c r="EJ365" s="11"/>
      <c r="EK365" s="11"/>
      <c r="EL365" s="11"/>
      <c r="EM365" s="11"/>
      <c r="EN365" s="11"/>
      <c r="EO365" s="11"/>
      <c r="EP365" s="11"/>
      <c r="EQ365" s="17"/>
      <c r="ER365" s="17"/>
      <c r="ES365" s="17"/>
      <c r="ET365" s="11"/>
      <c r="EU365" s="11"/>
      <c r="EV365" s="17"/>
      <c r="EW365" s="17"/>
      <c r="EX365" s="37"/>
      <c r="EY365" s="37"/>
      <c r="EZ365" s="37"/>
      <c r="FA365" s="37"/>
      <c r="FB365" s="37"/>
      <c r="FC365" s="37"/>
      <c r="FD365" s="37"/>
      <c r="FE365" s="37"/>
      <c r="FF365" s="37"/>
      <c r="FG365" s="37"/>
      <c r="FH365" s="17">
        <f t="shared" si="131"/>
        <v>409569</v>
      </c>
      <c r="FI365" s="31">
        <f t="shared" si="132"/>
        <v>4</v>
      </c>
      <c r="FJ365" s="68">
        <f t="shared" si="133"/>
        <v>102392.25</v>
      </c>
    </row>
    <row r="366" spans="1:166" ht="25.5" x14ac:dyDescent="0.25">
      <c r="A366" s="248">
        <f>Distribución_Reactivos!A366</f>
        <v>364</v>
      </c>
      <c r="B366" s="248" t="str">
        <f>Distribución_Reactivos!B366</f>
        <v xml:space="preserve">Sodio citrato tribasico dihidratado </v>
      </c>
      <c r="C366" s="248" t="str">
        <f>Distribución_Reactivos!C366</f>
        <v>Merck, Emsure o similares</v>
      </c>
      <c r="D366" s="248" t="str">
        <f>Distribución_Reactivos!D366</f>
        <v>Frasco X 500g</v>
      </c>
      <c r="E366" s="29">
        <v>1</v>
      </c>
      <c r="F366" s="212">
        <v>0</v>
      </c>
      <c r="G366" s="214">
        <v>0</v>
      </c>
      <c r="H366" s="221">
        <v>0</v>
      </c>
      <c r="I366" s="221">
        <v>0</v>
      </c>
      <c r="J366" s="221">
        <v>162926.86666666667</v>
      </c>
      <c r="K366" s="221">
        <v>154700</v>
      </c>
      <c r="L366" s="247">
        <f>J366</f>
        <v>162926.86666666667</v>
      </c>
      <c r="M366" s="247">
        <f>K366*E1</f>
        <v>159341</v>
      </c>
      <c r="N366" s="218"/>
      <c r="O366" s="102"/>
      <c r="P366" s="102"/>
      <c r="Q366" s="44"/>
      <c r="R366" s="44"/>
      <c r="S366" s="5"/>
      <c r="T366" s="102"/>
      <c r="U366" s="102"/>
      <c r="V366" s="102"/>
      <c r="W366" s="11"/>
      <c r="X366" s="11"/>
      <c r="Y366" s="11"/>
      <c r="Z366" s="102"/>
      <c r="AA366" s="102"/>
      <c r="AB366" s="102"/>
      <c r="AC366" s="44"/>
      <c r="AD366" s="44"/>
      <c r="AE366" s="11"/>
      <c r="AF366" s="102"/>
      <c r="AG366" s="125"/>
      <c r="AH366" s="102"/>
      <c r="AI366" s="11"/>
      <c r="AJ366" s="11"/>
      <c r="AK366" s="11"/>
      <c r="AL366" s="102">
        <v>210000</v>
      </c>
      <c r="AM366" s="97">
        <f>+AL366*0.19</f>
        <v>39900</v>
      </c>
      <c r="AN366" s="103">
        <f>+AL366+AM366</f>
        <v>249900</v>
      </c>
      <c r="AO366" s="248" t="s">
        <v>99</v>
      </c>
      <c r="AP366" s="11" t="s">
        <v>52</v>
      </c>
      <c r="AQ366" s="11"/>
      <c r="AR366" s="247"/>
      <c r="AS366" s="247"/>
      <c r="AT366" s="247"/>
      <c r="AU366" s="52"/>
      <c r="AV366" s="42"/>
      <c r="AW366" s="11"/>
      <c r="AX366" s="247"/>
      <c r="AY366" s="247"/>
      <c r="AZ366" s="247"/>
      <c r="BA366" s="11"/>
      <c r="BB366" s="11"/>
      <c r="BC366" s="11"/>
      <c r="BD366" s="247"/>
      <c r="BE366" s="247"/>
      <c r="BF366" s="247"/>
      <c r="BG366" s="11"/>
      <c r="BH366" s="11"/>
      <c r="BI366" s="11"/>
      <c r="BJ366" s="247"/>
      <c r="BK366" s="247"/>
      <c r="BL366" s="247"/>
      <c r="BM366" s="11"/>
      <c r="BN366" s="11"/>
      <c r="BO366" s="11"/>
      <c r="BP366" s="252"/>
      <c r="BQ366" s="11"/>
      <c r="BR366" s="11"/>
      <c r="BS366" s="11"/>
      <c r="BT366" s="11"/>
      <c r="BU366" s="11"/>
      <c r="BV366" s="236">
        <v>159500</v>
      </c>
      <c r="BW366" s="125">
        <f>BV366*19%</f>
        <v>30305</v>
      </c>
      <c r="BX366" s="97">
        <f>+BV366+BW366</f>
        <v>189805</v>
      </c>
      <c r="BY366" s="237" t="s">
        <v>319</v>
      </c>
      <c r="BZ366" s="237" t="s">
        <v>93</v>
      </c>
      <c r="CA366" s="11"/>
      <c r="CB366" s="247"/>
      <c r="CC366" s="125"/>
      <c r="CD366" s="247"/>
      <c r="CE366" s="11"/>
      <c r="CF366" s="11"/>
      <c r="CG366" s="11"/>
      <c r="CH366" s="236">
        <v>164285</v>
      </c>
      <c r="CI366" s="238">
        <f>+CH366*0.19</f>
        <v>31214.15</v>
      </c>
      <c r="CJ366" s="236">
        <f>+CH366+CI366</f>
        <v>195499.15</v>
      </c>
      <c r="CK366" s="237" t="s">
        <v>319</v>
      </c>
      <c r="CL366" s="237" t="s">
        <v>93</v>
      </c>
      <c r="CM366" s="11"/>
      <c r="CN366" s="247"/>
      <c r="CO366" s="125"/>
      <c r="CP366" s="247"/>
      <c r="CQ366" s="11"/>
      <c r="CR366" s="11"/>
      <c r="CS366" s="11"/>
      <c r="CT366" s="247"/>
      <c r="CU366" s="125"/>
      <c r="CV366" s="247"/>
      <c r="CW366" s="11"/>
      <c r="CX366" s="11"/>
      <c r="CY366" s="11"/>
      <c r="CZ366" s="102"/>
      <c r="DA366" s="125"/>
      <c r="DB366" s="102"/>
      <c r="DC366" s="31"/>
      <c r="DD366" s="17"/>
      <c r="DE366" s="11"/>
      <c r="DF366" s="11"/>
      <c r="DG366" s="11"/>
      <c r="DH366" s="11"/>
      <c r="DI366" s="11"/>
      <c r="DJ366" s="11"/>
      <c r="DK366" s="11"/>
      <c r="DL366" s="11"/>
      <c r="DM366" s="11"/>
      <c r="DN366" s="11"/>
      <c r="DO366" s="11"/>
      <c r="DP366" s="11"/>
      <c r="DQ366" s="11"/>
      <c r="DR366" s="11"/>
      <c r="DS366" s="11"/>
      <c r="DT366" s="11"/>
      <c r="DU366" s="11"/>
      <c r="DV366" s="11"/>
      <c r="DW366" s="11"/>
      <c r="DX366" s="11"/>
      <c r="DY366" s="11"/>
      <c r="DZ366" s="11"/>
      <c r="EA366" s="11"/>
      <c r="EB366" s="17"/>
      <c r="EC366" s="17"/>
      <c r="ED366" s="17"/>
      <c r="EE366" s="11"/>
      <c r="EF366" s="11"/>
      <c r="EG366" s="17"/>
      <c r="EH366" s="17"/>
      <c r="EI366" s="32"/>
      <c r="EJ366" s="11"/>
      <c r="EK366" s="11"/>
      <c r="EL366" s="11"/>
      <c r="EM366" s="11"/>
      <c r="EN366" s="11"/>
      <c r="EO366" s="11"/>
      <c r="EP366" s="11"/>
      <c r="EQ366" s="17"/>
      <c r="ER366" s="17"/>
      <c r="ES366" s="17"/>
      <c r="ET366" s="11"/>
      <c r="EU366" s="11"/>
      <c r="EV366" s="17"/>
      <c r="EW366" s="17"/>
      <c r="EX366" s="37"/>
      <c r="EY366" s="37"/>
      <c r="EZ366" s="37"/>
      <c r="FA366" s="37"/>
      <c r="FB366" s="37"/>
      <c r="FC366" s="37"/>
      <c r="FD366" s="37"/>
      <c r="FE366" s="37"/>
      <c r="FF366" s="37"/>
      <c r="FG366" s="37"/>
      <c r="FH366" s="17">
        <f t="shared" si="131"/>
        <v>794545.15</v>
      </c>
      <c r="FI366" s="31">
        <f t="shared" si="132"/>
        <v>4</v>
      </c>
      <c r="FJ366" s="68">
        <f t="shared" si="133"/>
        <v>198636.28750000001</v>
      </c>
    </row>
    <row r="367" spans="1:166" ht="38.25" x14ac:dyDescent="0.25">
      <c r="A367" s="248">
        <f>Distribución_Reactivos!A367</f>
        <v>365</v>
      </c>
      <c r="B367" s="248" t="str">
        <f>Distribución_Reactivos!B367</f>
        <v>Solución Patrón de Arsénico 1000 mg As/L</v>
      </c>
      <c r="C367" s="248" t="str">
        <f>Distribución_Reactivos!C367</f>
        <v>Merck (1197730100) o equivalente</v>
      </c>
      <c r="D367" s="248" t="str">
        <f>Distribución_Reactivos!D367</f>
        <v>Frasco x 100 ml</v>
      </c>
      <c r="E367" s="29">
        <v>1</v>
      </c>
      <c r="F367" s="212">
        <v>0</v>
      </c>
      <c r="G367" s="214">
        <v>0</v>
      </c>
      <c r="H367" s="221">
        <v>0</v>
      </c>
      <c r="I367" s="221">
        <v>0</v>
      </c>
      <c r="J367" s="221">
        <v>435813.65</v>
      </c>
      <c r="K367" s="221">
        <v>0</v>
      </c>
      <c r="L367" s="247">
        <f>J367</f>
        <v>435813.65</v>
      </c>
      <c r="M367" s="247"/>
      <c r="N367" s="217"/>
      <c r="O367" s="97"/>
      <c r="P367" s="97"/>
      <c r="Q367" s="115"/>
      <c r="R367" s="115"/>
      <c r="S367" s="53"/>
      <c r="T367" s="97"/>
      <c r="U367" s="97"/>
      <c r="V367" s="97"/>
      <c r="W367" s="115"/>
      <c r="X367" s="115"/>
      <c r="Y367" s="11"/>
      <c r="Z367" s="97"/>
      <c r="AA367" s="97"/>
      <c r="AB367" s="97"/>
      <c r="AC367" s="44"/>
      <c r="AD367" s="44"/>
      <c r="AE367" s="11"/>
      <c r="AF367" s="102">
        <v>160000</v>
      </c>
      <c r="AG367" s="125">
        <f t="shared" ref="AG367:AG373" si="141">AF367*19%</f>
        <v>30400</v>
      </c>
      <c r="AH367" s="97">
        <f t="shared" ref="AH367:AH373" si="142">+AF367+AG367</f>
        <v>190400</v>
      </c>
      <c r="AI367" s="11"/>
      <c r="AJ367" s="11"/>
      <c r="AK367" s="17"/>
      <c r="AL367" s="97">
        <v>150000</v>
      </c>
      <c r="AM367" s="97">
        <f t="shared" ref="AM367:AM374" si="143">+AL367*0.19</f>
        <v>28500</v>
      </c>
      <c r="AN367" s="103">
        <f t="shared" ref="AN367:AN374" si="144">+AL367+AM367</f>
        <v>178500</v>
      </c>
      <c r="AO367" s="248" t="s">
        <v>51</v>
      </c>
      <c r="AP367" s="11" t="s">
        <v>52</v>
      </c>
      <c r="AQ367" s="17"/>
      <c r="AR367" s="252"/>
      <c r="AS367" s="252"/>
      <c r="AT367" s="252"/>
      <c r="AU367" s="52"/>
      <c r="AV367" s="52"/>
      <c r="AW367" s="11"/>
      <c r="AX367" s="100"/>
      <c r="AY367" s="174"/>
      <c r="AZ367" s="124"/>
      <c r="BA367" s="169"/>
      <c r="BB367" s="116"/>
      <c r="BC367" s="116"/>
      <c r="BD367" s="247"/>
      <c r="BE367" s="124"/>
      <c r="BF367" s="124"/>
      <c r="BG367" s="116"/>
      <c r="BH367" s="116"/>
      <c r="BI367" s="116"/>
      <c r="BJ367" s="124"/>
      <c r="BK367" s="124"/>
      <c r="BL367" s="124"/>
      <c r="BM367" s="44"/>
      <c r="BN367" s="44"/>
      <c r="BO367" s="115"/>
      <c r="BP367" s="97"/>
      <c r="BQ367" s="115"/>
      <c r="BR367" s="116"/>
      <c r="BS367" s="116"/>
      <c r="BT367" s="116"/>
      <c r="BU367" s="116"/>
      <c r="BV367" s="236">
        <v>277800</v>
      </c>
      <c r="BW367" s="125">
        <f t="shared" ref="BW367:BW374" si="145">BV367*19%</f>
        <v>52782</v>
      </c>
      <c r="BX367" s="97">
        <f t="shared" ref="BX367:BX374" si="146">+BV367+BW367</f>
        <v>330582</v>
      </c>
      <c r="BY367" s="237" t="s">
        <v>291</v>
      </c>
      <c r="BZ367" s="237" t="s">
        <v>93</v>
      </c>
      <c r="CA367" s="116"/>
      <c r="CB367" s="247"/>
      <c r="CC367" s="125"/>
      <c r="CD367" s="247"/>
      <c r="CE367" s="116"/>
      <c r="CF367" s="116"/>
      <c r="CG367" s="34"/>
      <c r="CH367" s="236">
        <v>280578</v>
      </c>
      <c r="CI367" s="238">
        <f t="shared" ref="CI367:CI374" si="147">+CH367*0.19</f>
        <v>53309.82</v>
      </c>
      <c r="CJ367" s="236">
        <f t="shared" ref="CJ367:CJ374" si="148">+CH367+CI367</f>
        <v>333887.82</v>
      </c>
      <c r="CK367" s="237" t="s">
        <v>291</v>
      </c>
      <c r="CL367" s="237" t="s">
        <v>93</v>
      </c>
      <c r="CM367" s="116"/>
      <c r="CN367" s="247"/>
      <c r="CO367" s="125"/>
      <c r="CP367" s="247"/>
      <c r="CQ367" s="116"/>
      <c r="CR367" s="116"/>
      <c r="CS367" s="116"/>
      <c r="CT367" s="125">
        <v>209000</v>
      </c>
      <c r="CU367" s="125">
        <f t="shared" ref="CU367:CU374" si="149">CT367*0.19</f>
        <v>39710</v>
      </c>
      <c r="CV367" s="125">
        <f t="shared" ref="CV367:CV375" si="150">CU367+CT367</f>
        <v>248710</v>
      </c>
      <c r="CW367" s="116"/>
      <c r="CX367" s="116"/>
      <c r="CY367" s="116"/>
      <c r="CZ367" s="102">
        <v>115310</v>
      </c>
      <c r="DA367" s="125">
        <f>+CZ367*0.19</f>
        <v>21908.9</v>
      </c>
      <c r="DB367" s="102">
        <f>+CZ367+DA367</f>
        <v>137218.9</v>
      </c>
      <c r="DC367" s="31" t="s">
        <v>180</v>
      </c>
      <c r="DD367" s="17" t="s">
        <v>65</v>
      </c>
      <c r="DE367" s="11"/>
      <c r="DF367" s="116"/>
      <c r="DG367" s="116"/>
      <c r="DH367" s="116"/>
      <c r="DI367" s="116"/>
      <c r="DJ367" s="116"/>
      <c r="DK367" s="116"/>
      <c r="DL367" s="116"/>
      <c r="DM367" s="116"/>
      <c r="DN367" s="116"/>
      <c r="DO367" s="116"/>
      <c r="DP367" s="116"/>
      <c r="DQ367" s="116"/>
      <c r="DR367" s="116"/>
      <c r="DS367" s="116"/>
      <c r="DT367" s="116"/>
      <c r="DU367" s="116"/>
      <c r="DV367" s="116"/>
      <c r="DW367" s="116"/>
      <c r="DX367" s="116"/>
      <c r="DY367" s="116"/>
      <c r="DZ367" s="116"/>
      <c r="EA367" s="116"/>
      <c r="EB367" s="116"/>
      <c r="EC367" s="116"/>
      <c r="ED367" s="116"/>
      <c r="EE367" s="116"/>
      <c r="EF367" s="116"/>
      <c r="EG367" s="116"/>
      <c r="EH367" s="116"/>
      <c r="EI367" s="116"/>
      <c r="EJ367" s="116"/>
      <c r="EK367" s="116"/>
      <c r="EL367" s="116"/>
      <c r="EM367" s="116"/>
      <c r="EN367" s="116"/>
      <c r="EO367" s="116"/>
      <c r="EP367" s="116"/>
      <c r="EQ367" s="116"/>
      <c r="ER367" s="116"/>
      <c r="ES367" s="116"/>
      <c r="ET367" s="11"/>
      <c r="EU367" s="11"/>
      <c r="EV367" s="11"/>
      <c r="EW367" s="11"/>
      <c r="EX367" s="11"/>
      <c r="EY367" s="11"/>
      <c r="EZ367" s="11"/>
      <c r="FA367" s="11"/>
      <c r="FB367" s="11"/>
      <c r="FC367" s="11"/>
      <c r="FD367" s="11"/>
      <c r="FE367" s="11"/>
      <c r="FF367" s="11"/>
      <c r="FG367" s="11"/>
      <c r="FH367" s="17">
        <f t="shared" si="131"/>
        <v>1419298.72</v>
      </c>
      <c r="FI367" s="31">
        <f t="shared" si="132"/>
        <v>6</v>
      </c>
      <c r="FJ367" s="68">
        <f t="shared" si="133"/>
        <v>236549.78666666665</v>
      </c>
    </row>
    <row r="368" spans="1:166" ht="38.25" x14ac:dyDescent="0.25">
      <c r="A368" s="248">
        <f>Distribución_Reactivos!A368</f>
        <v>366</v>
      </c>
      <c r="B368" s="248" t="str">
        <f>Distribución_Reactivos!B368</f>
        <v>Solución patron de boro 1000 mg/L B trazable  a SMR  de NIST con vigencia superior a 2años</v>
      </c>
      <c r="C368" s="248" t="str">
        <f>Distribución_Reactivos!C368</f>
        <v>Merck (1195000500) o equivalente</v>
      </c>
      <c r="D368" s="248" t="str">
        <f>Distribución_Reactivos!D368</f>
        <v>Frasco x 500 mL</v>
      </c>
      <c r="E368" s="29">
        <v>1</v>
      </c>
      <c r="F368" s="212">
        <v>0</v>
      </c>
      <c r="G368" s="214">
        <v>0</v>
      </c>
      <c r="H368" s="221">
        <v>304793.375</v>
      </c>
      <c r="I368" s="221">
        <v>304759</v>
      </c>
      <c r="J368" s="221">
        <v>205817.04499999998</v>
      </c>
      <c r="K368" s="221">
        <v>0</v>
      </c>
      <c r="L368" s="247">
        <f>AVERAGE(H368,J368)</f>
        <v>255305.21</v>
      </c>
      <c r="M368" s="247">
        <f>I368*E1</f>
        <v>313901.77</v>
      </c>
      <c r="N368" s="217"/>
      <c r="O368" s="97"/>
      <c r="P368" s="97"/>
      <c r="Q368" s="115"/>
      <c r="R368" s="115"/>
      <c r="S368" s="53"/>
      <c r="T368" s="97"/>
      <c r="U368" s="97"/>
      <c r="V368" s="97"/>
      <c r="W368" s="115"/>
      <c r="X368" s="115"/>
      <c r="Y368" s="11"/>
      <c r="Z368" s="97"/>
      <c r="AA368" s="97"/>
      <c r="AB368" s="97"/>
      <c r="AC368" s="44"/>
      <c r="AD368" s="44"/>
      <c r="AE368" s="11"/>
      <c r="AF368" s="102">
        <v>170000</v>
      </c>
      <c r="AG368" s="125">
        <f t="shared" si="141"/>
        <v>32300</v>
      </c>
      <c r="AH368" s="97">
        <f t="shared" si="142"/>
        <v>202300</v>
      </c>
      <c r="AI368" s="11"/>
      <c r="AJ368" s="11"/>
      <c r="AK368" s="17"/>
      <c r="AL368" s="97">
        <v>167000</v>
      </c>
      <c r="AM368" s="97">
        <f t="shared" si="143"/>
        <v>31730</v>
      </c>
      <c r="AN368" s="103">
        <f t="shared" si="144"/>
        <v>198730</v>
      </c>
      <c r="AO368" s="248" t="s">
        <v>51</v>
      </c>
      <c r="AP368" s="17" t="s">
        <v>293</v>
      </c>
      <c r="AQ368" s="17"/>
      <c r="AR368" s="252"/>
      <c r="AS368" s="252"/>
      <c r="AT368" s="252"/>
      <c r="AU368" s="52"/>
      <c r="AV368" s="52"/>
      <c r="AW368" s="11"/>
      <c r="AX368" s="100"/>
      <c r="AY368" s="100"/>
      <c r="AZ368" s="124"/>
      <c r="BA368" s="169"/>
      <c r="BB368" s="116"/>
      <c r="BC368" s="116"/>
      <c r="BD368" s="247"/>
      <c r="BE368" s="124"/>
      <c r="BF368" s="124"/>
      <c r="BG368" s="116"/>
      <c r="BH368" s="116"/>
      <c r="BI368" s="116"/>
      <c r="BJ368" s="124"/>
      <c r="BK368" s="124"/>
      <c r="BL368" s="124"/>
      <c r="BM368" s="116"/>
      <c r="BN368" s="116"/>
      <c r="BO368" s="116"/>
      <c r="BP368" s="124"/>
      <c r="BQ368" s="116"/>
      <c r="BR368" s="116"/>
      <c r="BS368" s="116"/>
      <c r="BT368" s="116"/>
      <c r="BU368" s="116"/>
      <c r="BV368" s="236">
        <v>385500</v>
      </c>
      <c r="BW368" s="125">
        <f t="shared" si="145"/>
        <v>73245</v>
      </c>
      <c r="BX368" s="97">
        <f t="shared" si="146"/>
        <v>458745</v>
      </c>
      <c r="BY368" s="237" t="s">
        <v>339</v>
      </c>
      <c r="BZ368" s="237" t="s">
        <v>93</v>
      </c>
      <c r="CA368" s="116"/>
      <c r="CB368" s="247"/>
      <c r="CC368" s="125"/>
      <c r="CD368" s="247"/>
      <c r="CE368" s="116"/>
      <c r="CF368" s="116"/>
      <c r="CG368" s="34"/>
      <c r="CH368" s="236">
        <v>408630</v>
      </c>
      <c r="CI368" s="238">
        <f t="shared" si="147"/>
        <v>77639.7</v>
      </c>
      <c r="CJ368" s="236">
        <f t="shared" si="148"/>
        <v>486269.7</v>
      </c>
      <c r="CK368" s="237" t="s">
        <v>339</v>
      </c>
      <c r="CL368" s="237" t="s">
        <v>93</v>
      </c>
      <c r="CM368" s="116"/>
      <c r="CN368" s="247"/>
      <c r="CO368" s="125"/>
      <c r="CP368" s="247"/>
      <c r="CQ368" s="116"/>
      <c r="CR368" s="116"/>
      <c r="CS368" s="116"/>
      <c r="CT368" s="125">
        <v>290000</v>
      </c>
      <c r="CU368" s="125">
        <f t="shared" si="149"/>
        <v>55100</v>
      </c>
      <c r="CV368" s="125">
        <f t="shared" si="150"/>
        <v>345100</v>
      </c>
      <c r="CW368" s="116"/>
      <c r="CX368" s="116"/>
      <c r="CY368" s="116"/>
      <c r="CZ368" s="102"/>
      <c r="DA368" s="125"/>
      <c r="DB368" s="102"/>
      <c r="DC368" s="31"/>
      <c r="DD368" s="17"/>
      <c r="DE368" s="11"/>
      <c r="DF368" s="116"/>
      <c r="DG368" s="116"/>
      <c r="DH368" s="116"/>
      <c r="DI368" s="116"/>
      <c r="DJ368" s="116"/>
      <c r="DK368" s="116"/>
      <c r="DL368" s="116"/>
      <c r="DM368" s="116"/>
      <c r="DN368" s="116"/>
      <c r="DO368" s="116"/>
      <c r="DP368" s="116"/>
      <c r="DQ368" s="116"/>
      <c r="DR368" s="116"/>
      <c r="DS368" s="116"/>
      <c r="DT368" s="116"/>
      <c r="DU368" s="116"/>
      <c r="DV368" s="116"/>
      <c r="DW368" s="116"/>
      <c r="DX368" s="116"/>
      <c r="DY368" s="116"/>
      <c r="DZ368" s="116"/>
      <c r="EA368" s="116"/>
      <c r="EB368" s="116"/>
      <c r="EC368" s="116"/>
      <c r="ED368" s="116"/>
      <c r="EE368" s="116"/>
      <c r="EF368" s="116"/>
      <c r="EG368" s="116"/>
      <c r="EH368" s="116"/>
      <c r="EI368" s="116"/>
      <c r="EJ368" s="116"/>
      <c r="EK368" s="116"/>
      <c r="EL368" s="116"/>
      <c r="EM368" s="116"/>
      <c r="EN368" s="116"/>
      <c r="EO368" s="116"/>
      <c r="EP368" s="116"/>
      <c r="EQ368" s="116"/>
      <c r="ER368" s="116"/>
      <c r="ES368" s="116"/>
      <c r="ET368" s="11"/>
      <c r="EU368" s="11"/>
      <c r="EV368" s="11"/>
      <c r="EW368" s="11"/>
      <c r="EX368" s="11"/>
      <c r="EY368" s="11"/>
      <c r="EZ368" s="11"/>
      <c r="FA368" s="11"/>
      <c r="FB368" s="11"/>
      <c r="FC368" s="11"/>
      <c r="FD368" s="11"/>
      <c r="FE368" s="11"/>
      <c r="FF368" s="11"/>
      <c r="FG368" s="11"/>
      <c r="FH368" s="17">
        <f t="shared" si="131"/>
        <v>2005046.47</v>
      </c>
      <c r="FI368" s="31">
        <f t="shared" si="132"/>
        <v>6</v>
      </c>
      <c r="FJ368" s="68">
        <f t="shared" si="133"/>
        <v>334174.41166666668</v>
      </c>
    </row>
    <row r="369" spans="1:166" ht="38.25" x14ac:dyDescent="0.25">
      <c r="A369" s="248">
        <f>Distribución_Reactivos!A369</f>
        <v>367</v>
      </c>
      <c r="B369" s="248" t="str">
        <f>Distribución_Reactivos!B369</f>
        <v>Solución Patrón de Cromo 1000 mg Cr/L</v>
      </c>
      <c r="C369" s="248" t="str">
        <f>Distribución_Reactivos!C369</f>
        <v>Merck (1197790100) o equivalente</v>
      </c>
      <c r="D369" s="248" t="str">
        <f>Distribución_Reactivos!D369</f>
        <v>Frasco x 100 ml</v>
      </c>
      <c r="E369" s="29">
        <v>1</v>
      </c>
      <c r="F369" s="212">
        <v>0</v>
      </c>
      <c r="G369" s="214">
        <v>0</v>
      </c>
      <c r="H369" s="221">
        <v>0</v>
      </c>
      <c r="I369" s="221">
        <v>0</v>
      </c>
      <c r="J369" s="221">
        <v>460089.7</v>
      </c>
      <c r="K369" s="221">
        <v>0</v>
      </c>
      <c r="L369" s="247">
        <f t="shared" ref="L369:L374" si="151">J369</f>
        <v>460089.7</v>
      </c>
      <c r="M369" s="247"/>
      <c r="N369" s="217"/>
      <c r="O369" s="97"/>
      <c r="P369" s="97"/>
      <c r="Q369" s="115"/>
      <c r="R369" s="115"/>
      <c r="S369" s="53"/>
      <c r="T369" s="97"/>
      <c r="U369" s="97"/>
      <c r="V369" s="97"/>
      <c r="W369" s="115"/>
      <c r="X369" s="115"/>
      <c r="Y369" s="11"/>
      <c r="Z369" s="97"/>
      <c r="AA369" s="97"/>
      <c r="AB369" s="97"/>
      <c r="AC369" s="44"/>
      <c r="AD369" s="44"/>
      <c r="AE369" s="11"/>
      <c r="AF369" s="102">
        <v>100000</v>
      </c>
      <c r="AG369" s="125">
        <f t="shared" si="141"/>
        <v>19000</v>
      </c>
      <c r="AH369" s="97">
        <f t="shared" si="142"/>
        <v>119000</v>
      </c>
      <c r="AI369" s="11"/>
      <c r="AJ369" s="11"/>
      <c r="AK369" s="17"/>
      <c r="AL369" s="97">
        <v>120000</v>
      </c>
      <c r="AM369" s="97">
        <f t="shared" si="143"/>
        <v>22800</v>
      </c>
      <c r="AN369" s="103">
        <f t="shared" si="144"/>
        <v>142800</v>
      </c>
      <c r="AO369" s="248" t="s">
        <v>51</v>
      </c>
      <c r="AP369" s="11" t="s">
        <v>52</v>
      </c>
      <c r="AQ369" s="17"/>
      <c r="AR369" s="252"/>
      <c r="AS369" s="252"/>
      <c r="AT369" s="252"/>
      <c r="AU369" s="52"/>
      <c r="AV369" s="52"/>
      <c r="AW369" s="11"/>
      <c r="AX369" s="100"/>
      <c r="AY369" s="174"/>
      <c r="AZ369" s="124"/>
      <c r="BA369" s="169"/>
      <c r="BB369" s="116"/>
      <c r="BC369" s="116"/>
      <c r="BD369" s="247"/>
      <c r="BE369" s="124"/>
      <c r="BF369" s="124"/>
      <c r="BG369" s="116"/>
      <c r="BH369" s="116"/>
      <c r="BI369" s="116"/>
      <c r="BJ369" s="124"/>
      <c r="BK369" s="124"/>
      <c r="BL369" s="124"/>
      <c r="BM369" s="116"/>
      <c r="BN369" s="116"/>
      <c r="BO369" s="116"/>
      <c r="BP369" s="124"/>
      <c r="BQ369" s="116"/>
      <c r="BR369" s="116"/>
      <c r="BS369" s="116"/>
      <c r="BT369" s="116"/>
      <c r="BU369" s="116"/>
      <c r="BV369" s="236">
        <v>329600</v>
      </c>
      <c r="BW369" s="125">
        <f t="shared" si="145"/>
        <v>62624</v>
      </c>
      <c r="BX369" s="97">
        <f t="shared" si="146"/>
        <v>392224</v>
      </c>
      <c r="BY369" s="237" t="s">
        <v>291</v>
      </c>
      <c r="BZ369" s="237" t="s">
        <v>93</v>
      </c>
      <c r="CA369" s="116"/>
      <c r="CB369" s="247"/>
      <c r="CC369" s="125"/>
      <c r="CD369" s="247"/>
      <c r="CE369" s="116"/>
      <c r="CF369" s="116"/>
      <c r="CG369" s="34"/>
      <c r="CH369" s="236">
        <v>342784</v>
      </c>
      <c r="CI369" s="238">
        <f t="shared" si="147"/>
        <v>65128.959999999999</v>
      </c>
      <c r="CJ369" s="236">
        <f t="shared" si="148"/>
        <v>407912.96000000002</v>
      </c>
      <c r="CK369" s="237" t="s">
        <v>291</v>
      </c>
      <c r="CL369" s="237" t="s">
        <v>93</v>
      </c>
      <c r="CM369" s="116"/>
      <c r="CN369" s="247"/>
      <c r="CO369" s="125"/>
      <c r="CP369" s="247"/>
      <c r="CQ369" s="116"/>
      <c r="CR369" s="116"/>
      <c r="CS369" s="116"/>
      <c r="CT369" s="125">
        <v>248000</v>
      </c>
      <c r="CU369" s="125">
        <f t="shared" si="149"/>
        <v>47120</v>
      </c>
      <c r="CV369" s="125">
        <f t="shared" si="150"/>
        <v>295120</v>
      </c>
      <c r="CW369" s="116"/>
      <c r="CX369" s="116"/>
      <c r="CY369" s="116"/>
      <c r="CZ369" s="102">
        <v>136828</v>
      </c>
      <c r="DA369" s="125">
        <f t="shared" ref="DA369:DA374" si="152">+CZ369*0.19</f>
        <v>25997.32</v>
      </c>
      <c r="DB369" s="102">
        <f t="shared" ref="DB369:DB374" si="153">+CZ369+DA369</f>
        <v>162825.32</v>
      </c>
      <c r="DC369" s="31" t="s">
        <v>180</v>
      </c>
      <c r="DD369" s="17" t="s">
        <v>65</v>
      </c>
      <c r="DE369" s="11">
        <v>1197790100</v>
      </c>
      <c r="DF369" s="116"/>
      <c r="DG369" s="116"/>
      <c r="DH369" s="116"/>
      <c r="DI369" s="116"/>
      <c r="DJ369" s="116"/>
      <c r="DK369" s="116"/>
      <c r="DL369" s="116"/>
      <c r="DM369" s="116"/>
      <c r="DN369" s="116"/>
      <c r="DO369" s="116"/>
      <c r="DP369" s="116"/>
      <c r="DQ369" s="116"/>
      <c r="DR369" s="116"/>
      <c r="DS369" s="116"/>
      <c r="DT369" s="116"/>
      <c r="DU369" s="116"/>
      <c r="DV369" s="116"/>
      <c r="DW369" s="116"/>
      <c r="DX369" s="116"/>
      <c r="DY369" s="116"/>
      <c r="DZ369" s="116"/>
      <c r="EA369" s="116"/>
      <c r="EB369" s="116"/>
      <c r="EC369" s="116"/>
      <c r="ED369" s="116"/>
      <c r="EE369" s="116"/>
      <c r="EF369" s="116"/>
      <c r="EG369" s="116"/>
      <c r="EH369" s="116"/>
      <c r="EI369" s="116"/>
      <c r="EJ369" s="116"/>
      <c r="EK369" s="116"/>
      <c r="EL369" s="116"/>
      <c r="EM369" s="116"/>
      <c r="EN369" s="116"/>
      <c r="EO369" s="116"/>
      <c r="EP369" s="116"/>
      <c r="EQ369" s="116"/>
      <c r="ER369" s="116"/>
      <c r="ES369" s="116"/>
      <c r="ET369" s="11"/>
      <c r="EU369" s="11"/>
      <c r="EV369" s="11"/>
      <c r="EW369" s="11"/>
      <c r="EX369" s="11"/>
      <c r="EY369" s="11"/>
      <c r="EZ369" s="11"/>
      <c r="FA369" s="11"/>
      <c r="FB369" s="11"/>
      <c r="FC369" s="11"/>
      <c r="FD369" s="11"/>
      <c r="FE369" s="11"/>
      <c r="FF369" s="11"/>
      <c r="FG369" s="11"/>
      <c r="FH369" s="17">
        <f t="shared" si="131"/>
        <v>1519882.28</v>
      </c>
      <c r="FI369" s="31">
        <f t="shared" si="132"/>
        <v>6</v>
      </c>
      <c r="FJ369" s="68">
        <f t="shared" si="133"/>
        <v>253313.71333333335</v>
      </c>
    </row>
    <row r="370" spans="1:166" ht="38.25" x14ac:dyDescent="0.25">
      <c r="A370" s="248">
        <f>Distribución_Reactivos!A370</f>
        <v>368</v>
      </c>
      <c r="B370" s="248" t="str">
        <f>Distribución_Reactivos!B370</f>
        <v>Solución Patrón de Hierro 1000 mg Fe/L</v>
      </c>
      <c r="C370" s="248" t="str">
        <f>Distribución_Reactivos!C370</f>
        <v>Merck (1197810100) o equivalente</v>
      </c>
      <c r="D370" s="248" t="str">
        <f>Distribución_Reactivos!D370</f>
        <v>Frasco x 100 ml</v>
      </c>
      <c r="E370" s="29">
        <v>1</v>
      </c>
      <c r="F370" s="212">
        <v>0</v>
      </c>
      <c r="G370" s="214">
        <v>0</v>
      </c>
      <c r="H370" s="221">
        <v>0</v>
      </c>
      <c r="I370" s="221">
        <v>0</v>
      </c>
      <c r="J370" s="221">
        <v>379461.25</v>
      </c>
      <c r="K370" s="221">
        <v>0</v>
      </c>
      <c r="L370" s="247">
        <f t="shared" si="151"/>
        <v>379461.25</v>
      </c>
      <c r="M370" s="247"/>
      <c r="N370" s="217"/>
      <c r="O370" s="97"/>
      <c r="P370" s="97"/>
      <c r="Q370" s="115"/>
      <c r="R370" s="115"/>
      <c r="S370" s="53"/>
      <c r="T370" s="97"/>
      <c r="U370" s="97"/>
      <c r="V370" s="97"/>
      <c r="W370" s="115"/>
      <c r="X370" s="115"/>
      <c r="Y370" s="11"/>
      <c r="Z370" s="97"/>
      <c r="AA370" s="97"/>
      <c r="AB370" s="97"/>
      <c r="AC370" s="44"/>
      <c r="AD370" s="44"/>
      <c r="AE370" s="11"/>
      <c r="AF370" s="102">
        <v>110000</v>
      </c>
      <c r="AG370" s="125">
        <f t="shared" si="141"/>
        <v>20900</v>
      </c>
      <c r="AH370" s="97">
        <f t="shared" si="142"/>
        <v>130900</v>
      </c>
      <c r="AI370" s="11"/>
      <c r="AJ370" s="11"/>
      <c r="AK370" s="17"/>
      <c r="AL370" s="97">
        <v>105000</v>
      </c>
      <c r="AM370" s="97">
        <f t="shared" si="143"/>
        <v>19950</v>
      </c>
      <c r="AN370" s="103">
        <f t="shared" si="144"/>
        <v>124950</v>
      </c>
      <c r="AO370" s="248" t="s">
        <v>51</v>
      </c>
      <c r="AP370" s="11" t="s">
        <v>52</v>
      </c>
      <c r="AQ370" s="17"/>
      <c r="AR370" s="252"/>
      <c r="AS370" s="252"/>
      <c r="AT370" s="252"/>
      <c r="AU370" s="52"/>
      <c r="AV370" s="52"/>
      <c r="AW370" s="11"/>
      <c r="AX370" s="100"/>
      <c r="AY370" s="174"/>
      <c r="AZ370" s="124"/>
      <c r="BA370" s="169"/>
      <c r="BB370" s="116"/>
      <c r="BC370" s="116"/>
      <c r="BD370" s="247"/>
      <c r="BE370" s="124"/>
      <c r="BF370" s="124"/>
      <c r="BG370" s="116"/>
      <c r="BH370" s="116"/>
      <c r="BI370" s="116"/>
      <c r="BJ370" s="124"/>
      <c r="BK370" s="124"/>
      <c r="BL370" s="124"/>
      <c r="BM370" s="116"/>
      <c r="BN370" s="116"/>
      <c r="BO370" s="116"/>
      <c r="BP370" s="124"/>
      <c r="BQ370" s="116"/>
      <c r="BR370" s="116"/>
      <c r="BS370" s="116"/>
      <c r="BT370" s="116"/>
      <c r="BU370" s="116"/>
      <c r="BV370" s="236">
        <v>321300</v>
      </c>
      <c r="BW370" s="125">
        <f t="shared" si="145"/>
        <v>61047</v>
      </c>
      <c r="BX370" s="97">
        <f t="shared" si="146"/>
        <v>382347</v>
      </c>
      <c r="BY370" s="237" t="s">
        <v>291</v>
      </c>
      <c r="BZ370" s="237" t="s">
        <v>93</v>
      </c>
      <c r="CA370" s="116"/>
      <c r="CB370" s="247"/>
      <c r="CC370" s="125"/>
      <c r="CD370" s="247"/>
      <c r="CE370" s="116"/>
      <c r="CF370" s="116"/>
      <c r="CG370" s="34"/>
      <c r="CH370" s="236">
        <v>327726</v>
      </c>
      <c r="CI370" s="238">
        <f t="shared" si="147"/>
        <v>62267.94</v>
      </c>
      <c r="CJ370" s="236">
        <f t="shared" si="148"/>
        <v>389993.94</v>
      </c>
      <c r="CK370" s="237" t="s">
        <v>291</v>
      </c>
      <c r="CL370" s="237" t="s">
        <v>93</v>
      </c>
      <c r="CM370" s="116"/>
      <c r="CN370" s="247"/>
      <c r="CO370" s="125"/>
      <c r="CP370" s="247"/>
      <c r="CQ370" s="116"/>
      <c r="CR370" s="116"/>
      <c r="CS370" s="116"/>
      <c r="CT370" s="125">
        <v>229000</v>
      </c>
      <c r="CU370" s="125">
        <f t="shared" si="149"/>
        <v>43510</v>
      </c>
      <c r="CV370" s="125">
        <f t="shared" si="150"/>
        <v>272510</v>
      </c>
      <c r="CW370" s="116"/>
      <c r="CX370" s="116"/>
      <c r="CY370" s="116"/>
      <c r="CZ370" s="102">
        <v>126345</v>
      </c>
      <c r="DA370" s="125">
        <f t="shared" si="152"/>
        <v>24005.55</v>
      </c>
      <c r="DB370" s="102">
        <f t="shared" si="153"/>
        <v>150350.54999999999</v>
      </c>
      <c r="DC370" s="31" t="s">
        <v>180</v>
      </c>
      <c r="DD370" s="17" t="s">
        <v>65</v>
      </c>
      <c r="DE370" s="11">
        <v>1197810100</v>
      </c>
      <c r="DF370" s="116"/>
      <c r="DG370" s="116"/>
      <c r="DH370" s="116"/>
      <c r="DI370" s="116"/>
      <c r="DJ370" s="116"/>
      <c r="DK370" s="116"/>
      <c r="DL370" s="116"/>
      <c r="DM370" s="116"/>
      <c r="DN370" s="116"/>
      <c r="DO370" s="116"/>
      <c r="DP370" s="116"/>
      <c r="DQ370" s="116"/>
      <c r="DR370" s="116"/>
      <c r="DS370" s="116"/>
      <c r="DT370" s="116"/>
      <c r="DU370" s="116"/>
      <c r="DV370" s="116"/>
      <c r="DW370" s="116"/>
      <c r="DX370" s="116"/>
      <c r="DY370" s="116"/>
      <c r="DZ370" s="116"/>
      <c r="EA370" s="116"/>
      <c r="EB370" s="116"/>
      <c r="EC370" s="116"/>
      <c r="ED370" s="116"/>
      <c r="EE370" s="116"/>
      <c r="EF370" s="116"/>
      <c r="EG370" s="116"/>
      <c r="EH370" s="116"/>
      <c r="EI370" s="116"/>
      <c r="EJ370" s="116"/>
      <c r="EK370" s="116"/>
      <c r="EL370" s="116"/>
      <c r="EM370" s="116"/>
      <c r="EN370" s="116"/>
      <c r="EO370" s="116"/>
      <c r="EP370" s="116"/>
      <c r="EQ370" s="116"/>
      <c r="ER370" s="116"/>
      <c r="ES370" s="116"/>
      <c r="ET370" s="11"/>
      <c r="EU370" s="11"/>
      <c r="EV370" s="11"/>
      <c r="EW370" s="11"/>
      <c r="EX370" s="11"/>
      <c r="EY370" s="11"/>
      <c r="EZ370" s="11"/>
      <c r="FA370" s="11"/>
      <c r="FB370" s="11"/>
      <c r="FC370" s="11"/>
      <c r="FD370" s="11"/>
      <c r="FE370" s="11"/>
      <c r="FF370" s="11"/>
      <c r="FG370" s="11"/>
      <c r="FH370" s="17">
        <f t="shared" si="131"/>
        <v>1451051.49</v>
      </c>
      <c r="FI370" s="31">
        <f t="shared" si="132"/>
        <v>6</v>
      </c>
      <c r="FJ370" s="68">
        <f t="shared" si="133"/>
        <v>241841.91500000001</v>
      </c>
    </row>
    <row r="371" spans="1:166" ht="38.25" x14ac:dyDescent="0.25">
      <c r="A371" s="248">
        <f>Distribución_Reactivos!A371</f>
        <v>369</v>
      </c>
      <c r="B371" s="248" t="str">
        <f>Distribución_Reactivos!B371</f>
        <v>Solución Patrón de Mercurio 1000 mg Hg/L</v>
      </c>
      <c r="C371" s="248" t="str">
        <f>Distribución_Reactivos!C371</f>
        <v>Merck (1702260100) o equivalente</v>
      </c>
      <c r="D371" s="248" t="str">
        <f>Distribución_Reactivos!D371</f>
        <v>Frasco x 100 ml</v>
      </c>
      <c r="E371" s="29">
        <v>1</v>
      </c>
      <c r="F371" s="212">
        <v>0</v>
      </c>
      <c r="G371" s="214">
        <v>0</v>
      </c>
      <c r="H371" s="221">
        <v>0</v>
      </c>
      <c r="I371" s="221">
        <v>0</v>
      </c>
      <c r="J371" s="221">
        <v>374522.75</v>
      </c>
      <c r="K371" s="221">
        <v>0</v>
      </c>
      <c r="L371" s="247">
        <f t="shared" si="151"/>
        <v>374522.75</v>
      </c>
      <c r="M371" s="247"/>
      <c r="N371" s="217"/>
      <c r="O371" s="97"/>
      <c r="P371" s="97"/>
      <c r="Q371" s="115"/>
      <c r="R371" s="115"/>
      <c r="S371" s="53"/>
      <c r="T371" s="97"/>
      <c r="U371" s="97"/>
      <c r="V371" s="97"/>
      <c r="W371" s="115"/>
      <c r="X371" s="115"/>
      <c r="Y371" s="11"/>
      <c r="Z371" s="97"/>
      <c r="AA371" s="97"/>
      <c r="AB371" s="97"/>
      <c r="AC371" s="115"/>
      <c r="AD371" s="44"/>
      <c r="AE371" s="11"/>
      <c r="AF371" s="102">
        <v>120000</v>
      </c>
      <c r="AG371" s="125">
        <f t="shared" si="141"/>
        <v>22800</v>
      </c>
      <c r="AH371" s="97">
        <f t="shared" si="142"/>
        <v>142800</v>
      </c>
      <c r="AI371" s="11"/>
      <c r="AJ371" s="11"/>
      <c r="AK371" s="17"/>
      <c r="AL371" s="97">
        <v>167000</v>
      </c>
      <c r="AM371" s="97">
        <f t="shared" si="143"/>
        <v>31730</v>
      </c>
      <c r="AN371" s="103">
        <f t="shared" si="144"/>
        <v>198730</v>
      </c>
      <c r="AO371" s="248" t="s">
        <v>236</v>
      </c>
      <c r="AP371" s="11" t="s">
        <v>52</v>
      </c>
      <c r="AQ371" s="17"/>
      <c r="AR371" s="252"/>
      <c r="AS371" s="252"/>
      <c r="AT371" s="252"/>
      <c r="AU371" s="52"/>
      <c r="AV371" s="52"/>
      <c r="AW371" s="11"/>
      <c r="AX371" s="100"/>
      <c r="AY371" s="174"/>
      <c r="AZ371" s="124"/>
      <c r="BA371" s="169"/>
      <c r="BB371" s="116"/>
      <c r="BC371" s="116"/>
      <c r="BD371" s="247"/>
      <c r="BE371" s="124"/>
      <c r="BF371" s="124"/>
      <c r="BG371" s="116"/>
      <c r="BH371" s="116"/>
      <c r="BI371" s="116"/>
      <c r="BJ371" s="124"/>
      <c r="BK371" s="124"/>
      <c r="BL371" s="124"/>
      <c r="BM371" s="116"/>
      <c r="BN371" s="116"/>
      <c r="BO371" s="116"/>
      <c r="BP371" s="124"/>
      <c r="BQ371" s="116"/>
      <c r="BR371" s="116"/>
      <c r="BS371" s="116"/>
      <c r="BT371" s="116"/>
      <c r="BU371" s="116"/>
      <c r="BV371" s="236">
        <v>322700</v>
      </c>
      <c r="BW371" s="125">
        <f t="shared" si="145"/>
        <v>61313</v>
      </c>
      <c r="BX371" s="97">
        <f t="shared" si="146"/>
        <v>384013</v>
      </c>
      <c r="BY371" s="237" t="s">
        <v>291</v>
      </c>
      <c r="BZ371" s="237" t="s">
        <v>93</v>
      </c>
      <c r="CA371" s="116"/>
      <c r="CB371" s="247"/>
      <c r="CC371" s="125"/>
      <c r="CD371" s="247"/>
      <c r="CE371" s="116"/>
      <c r="CF371" s="116"/>
      <c r="CG371" s="34"/>
      <c r="CH371" s="236">
        <v>342062</v>
      </c>
      <c r="CI371" s="238">
        <f t="shared" si="147"/>
        <v>64991.78</v>
      </c>
      <c r="CJ371" s="236">
        <f t="shared" si="148"/>
        <v>407053.78</v>
      </c>
      <c r="CK371" s="237" t="s">
        <v>291</v>
      </c>
      <c r="CL371" s="237" t="s">
        <v>93</v>
      </c>
      <c r="CM371" s="116"/>
      <c r="CN371" s="247"/>
      <c r="CO371" s="125"/>
      <c r="CP371" s="247"/>
      <c r="CQ371" s="116"/>
      <c r="CR371" s="116"/>
      <c r="CS371" s="116"/>
      <c r="CT371" s="125">
        <v>238000</v>
      </c>
      <c r="CU371" s="125">
        <f t="shared" si="149"/>
        <v>45220</v>
      </c>
      <c r="CV371" s="125">
        <f t="shared" si="150"/>
        <v>283220</v>
      </c>
      <c r="CW371" s="116"/>
      <c r="CX371" s="116"/>
      <c r="CY371" s="116"/>
      <c r="CZ371" s="102">
        <v>131310</v>
      </c>
      <c r="DA371" s="125">
        <f t="shared" si="152"/>
        <v>24948.9</v>
      </c>
      <c r="DB371" s="102">
        <f t="shared" si="153"/>
        <v>156258.9</v>
      </c>
      <c r="DC371" s="31" t="s">
        <v>180</v>
      </c>
      <c r="DD371" s="17" t="s">
        <v>65</v>
      </c>
      <c r="DE371" s="11">
        <v>1702260100</v>
      </c>
      <c r="DF371" s="116"/>
      <c r="DG371" s="116"/>
      <c r="DH371" s="116"/>
      <c r="DI371" s="116"/>
      <c r="DJ371" s="116"/>
      <c r="DK371" s="116"/>
      <c r="DL371" s="116"/>
      <c r="DM371" s="116"/>
      <c r="DN371" s="116"/>
      <c r="DO371" s="116"/>
      <c r="DP371" s="116"/>
      <c r="DQ371" s="116"/>
      <c r="DR371" s="116"/>
      <c r="DS371" s="116"/>
      <c r="DT371" s="116"/>
      <c r="DU371" s="116"/>
      <c r="DV371" s="116"/>
      <c r="DW371" s="116"/>
      <c r="DX371" s="116"/>
      <c r="DY371" s="116"/>
      <c r="DZ371" s="116"/>
      <c r="EA371" s="116"/>
      <c r="EB371" s="116"/>
      <c r="EC371" s="116"/>
      <c r="ED371" s="116"/>
      <c r="EE371" s="116"/>
      <c r="EF371" s="116"/>
      <c r="EG371" s="116"/>
      <c r="EH371" s="116"/>
      <c r="EI371" s="116"/>
      <c r="EJ371" s="116"/>
      <c r="EK371" s="116"/>
      <c r="EL371" s="116"/>
      <c r="EM371" s="116"/>
      <c r="EN371" s="116"/>
      <c r="EO371" s="116"/>
      <c r="EP371" s="116"/>
      <c r="EQ371" s="116"/>
      <c r="ER371" s="116"/>
      <c r="ES371" s="116"/>
      <c r="ET371" s="11"/>
      <c r="EU371" s="11"/>
      <c r="EV371" s="11"/>
      <c r="EW371" s="11"/>
      <c r="EX371" s="11"/>
      <c r="EY371" s="11"/>
      <c r="EZ371" s="11"/>
      <c r="FA371" s="11"/>
      <c r="FB371" s="11"/>
      <c r="FC371" s="11"/>
      <c r="FD371" s="11"/>
      <c r="FE371" s="11"/>
      <c r="FF371" s="11"/>
      <c r="FG371" s="11"/>
      <c r="FH371" s="17">
        <f t="shared" si="131"/>
        <v>1572075.68</v>
      </c>
      <c r="FI371" s="31">
        <f t="shared" si="132"/>
        <v>6</v>
      </c>
      <c r="FJ371" s="68">
        <f t="shared" si="133"/>
        <v>262012.61333333331</v>
      </c>
    </row>
    <row r="372" spans="1:166" ht="38.25" x14ac:dyDescent="0.25">
      <c r="A372" s="248">
        <f>Distribución_Reactivos!A372</f>
        <v>370</v>
      </c>
      <c r="B372" s="248" t="str">
        <f>Distribución_Reactivos!B372</f>
        <v xml:space="preserve">Solución Patrón de Níquel 1000 mg Ni/L </v>
      </c>
      <c r="C372" s="248" t="str">
        <f>Distribución_Reactivos!C372</f>
        <v>Merck (1197920100) o equivalente</v>
      </c>
      <c r="D372" s="248" t="str">
        <f>Distribución_Reactivos!D372</f>
        <v>Frasco x 100 ml</v>
      </c>
      <c r="E372" s="29">
        <v>1</v>
      </c>
      <c r="F372" s="212">
        <v>0</v>
      </c>
      <c r="G372" s="214">
        <v>0</v>
      </c>
      <c r="H372" s="221">
        <v>0</v>
      </c>
      <c r="I372" s="221">
        <v>0</v>
      </c>
      <c r="J372" s="221">
        <v>353236.625</v>
      </c>
      <c r="K372" s="221">
        <v>0</v>
      </c>
      <c r="L372" s="247">
        <f t="shared" si="151"/>
        <v>353236.625</v>
      </c>
      <c r="M372" s="247"/>
      <c r="N372" s="217"/>
      <c r="O372" s="97"/>
      <c r="P372" s="97"/>
      <c r="Q372" s="115"/>
      <c r="R372" s="115"/>
      <c r="S372" s="53"/>
      <c r="T372" s="97"/>
      <c r="U372" s="97"/>
      <c r="V372" s="97"/>
      <c r="W372" s="115"/>
      <c r="X372" s="115"/>
      <c r="Y372" s="11"/>
      <c r="Z372" s="97"/>
      <c r="AA372" s="97"/>
      <c r="AB372" s="97"/>
      <c r="AC372" s="44"/>
      <c r="AD372" s="44"/>
      <c r="AE372" s="11"/>
      <c r="AF372" s="102">
        <v>100000</v>
      </c>
      <c r="AG372" s="125">
        <f t="shared" si="141"/>
        <v>19000</v>
      </c>
      <c r="AH372" s="97">
        <f t="shared" si="142"/>
        <v>119000</v>
      </c>
      <c r="AI372" s="11"/>
      <c r="AJ372" s="11"/>
      <c r="AK372" s="17"/>
      <c r="AL372" s="97">
        <v>95000</v>
      </c>
      <c r="AM372" s="97">
        <f t="shared" si="143"/>
        <v>18050</v>
      </c>
      <c r="AN372" s="103">
        <f t="shared" si="144"/>
        <v>113050</v>
      </c>
      <c r="AO372" s="248" t="s">
        <v>51</v>
      </c>
      <c r="AP372" s="11" t="s">
        <v>52</v>
      </c>
      <c r="AQ372" s="17"/>
      <c r="AR372" s="252"/>
      <c r="AS372" s="252"/>
      <c r="AT372" s="252"/>
      <c r="AU372" s="52"/>
      <c r="AV372" s="52"/>
      <c r="AW372" s="11"/>
      <c r="AX372" s="100"/>
      <c r="AY372" s="174"/>
      <c r="AZ372" s="124"/>
      <c r="BA372" s="169"/>
      <c r="BB372" s="116"/>
      <c r="BC372" s="116"/>
      <c r="BD372" s="247"/>
      <c r="BE372" s="124"/>
      <c r="BF372" s="124"/>
      <c r="BG372" s="116"/>
      <c r="BH372" s="116"/>
      <c r="BI372" s="116"/>
      <c r="BJ372" s="124"/>
      <c r="BK372" s="124"/>
      <c r="BL372" s="124"/>
      <c r="BM372" s="116"/>
      <c r="BN372" s="116"/>
      <c r="BO372" s="116"/>
      <c r="BP372" s="124"/>
      <c r="BQ372" s="116"/>
      <c r="BR372" s="116"/>
      <c r="BS372" s="116"/>
      <c r="BT372" s="116"/>
      <c r="BU372" s="116"/>
      <c r="BV372" s="236">
        <v>199400</v>
      </c>
      <c r="BW372" s="125">
        <f t="shared" si="145"/>
        <v>37886</v>
      </c>
      <c r="BX372" s="97">
        <f t="shared" si="146"/>
        <v>237286</v>
      </c>
      <c r="BY372" s="237" t="s">
        <v>291</v>
      </c>
      <c r="BZ372" s="237" t="s">
        <v>93</v>
      </c>
      <c r="CA372" s="116"/>
      <c r="CB372" s="247"/>
      <c r="CC372" s="125"/>
      <c r="CD372" s="247"/>
      <c r="CE372" s="116"/>
      <c r="CF372" s="116"/>
      <c r="CG372" s="34"/>
      <c r="CH372" s="236">
        <v>203388</v>
      </c>
      <c r="CI372" s="238">
        <f t="shared" si="147"/>
        <v>38643.72</v>
      </c>
      <c r="CJ372" s="236">
        <f t="shared" si="148"/>
        <v>242031.72</v>
      </c>
      <c r="CK372" s="237" t="s">
        <v>291</v>
      </c>
      <c r="CL372" s="237" t="s">
        <v>93</v>
      </c>
      <c r="CM372" s="116"/>
      <c r="CN372" s="247"/>
      <c r="CO372" s="125"/>
      <c r="CP372" s="247"/>
      <c r="CQ372" s="116"/>
      <c r="CR372" s="116"/>
      <c r="CS372" s="116"/>
      <c r="CT372" s="125">
        <v>150000</v>
      </c>
      <c r="CU372" s="125">
        <f t="shared" si="149"/>
        <v>28500</v>
      </c>
      <c r="CV372" s="125">
        <f t="shared" si="150"/>
        <v>178500</v>
      </c>
      <c r="CW372" s="116"/>
      <c r="CX372" s="116"/>
      <c r="CY372" s="116"/>
      <c r="CZ372" s="102">
        <v>82759</v>
      </c>
      <c r="DA372" s="125">
        <f t="shared" si="152"/>
        <v>15724.210000000001</v>
      </c>
      <c r="DB372" s="102">
        <f t="shared" si="153"/>
        <v>98483.21</v>
      </c>
      <c r="DC372" s="31" t="s">
        <v>180</v>
      </c>
      <c r="DD372" s="17" t="s">
        <v>65</v>
      </c>
      <c r="DE372" s="11"/>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
      <c r="EU372" s="11"/>
      <c r="EV372" s="11"/>
      <c r="EW372" s="11"/>
      <c r="EX372" s="11"/>
      <c r="EY372" s="11"/>
      <c r="EZ372" s="11"/>
      <c r="FA372" s="11"/>
      <c r="FB372" s="11"/>
      <c r="FC372" s="11"/>
      <c r="FD372" s="11"/>
      <c r="FE372" s="11"/>
      <c r="FF372" s="11"/>
      <c r="FG372" s="11"/>
      <c r="FH372" s="17">
        <f t="shared" si="131"/>
        <v>988350.92999999993</v>
      </c>
      <c r="FI372" s="31">
        <f t="shared" si="132"/>
        <v>6</v>
      </c>
      <c r="FJ372" s="68">
        <f t="shared" si="133"/>
        <v>164725.155</v>
      </c>
    </row>
    <row r="373" spans="1:166" ht="38.25" x14ac:dyDescent="0.25">
      <c r="A373" s="248">
        <f>Distribución_Reactivos!A373</f>
        <v>371</v>
      </c>
      <c r="B373" s="248" t="str">
        <f>Distribución_Reactivos!B373</f>
        <v>Solución Patrón de Plomo 1000 mg Pb/L</v>
      </c>
      <c r="C373" s="248" t="str">
        <f>Distribución_Reactivos!C373</f>
        <v>Merck (1197760100) o equivalente</v>
      </c>
      <c r="D373" s="248" t="str">
        <f>Distribución_Reactivos!D373</f>
        <v>Frasco x 100 ml</v>
      </c>
      <c r="E373" s="29">
        <v>1</v>
      </c>
      <c r="F373" s="212">
        <v>0</v>
      </c>
      <c r="G373" s="214">
        <v>0</v>
      </c>
      <c r="H373" s="221">
        <v>0</v>
      </c>
      <c r="I373" s="221">
        <v>0</v>
      </c>
      <c r="J373" s="221">
        <v>383620.25</v>
      </c>
      <c r="K373" s="221">
        <v>0</v>
      </c>
      <c r="L373" s="247">
        <f t="shared" si="151"/>
        <v>383620.25</v>
      </c>
      <c r="M373" s="247"/>
      <c r="N373" s="217"/>
      <c r="O373" s="97"/>
      <c r="P373" s="97"/>
      <c r="Q373" s="115"/>
      <c r="R373" s="115"/>
      <c r="S373" s="53"/>
      <c r="T373" s="97"/>
      <c r="U373" s="97"/>
      <c r="V373" s="97"/>
      <c r="W373" s="115"/>
      <c r="X373" s="115"/>
      <c r="Y373" s="11"/>
      <c r="Z373" s="105"/>
      <c r="AA373" s="97"/>
      <c r="AB373" s="97"/>
      <c r="AC373" s="115"/>
      <c r="AD373" s="44"/>
      <c r="AE373" s="11"/>
      <c r="AF373" s="102">
        <v>100000</v>
      </c>
      <c r="AG373" s="125">
        <f t="shared" si="141"/>
        <v>19000</v>
      </c>
      <c r="AH373" s="97">
        <f t="shared" si="142"/>
        <v>119000</v>
      </c>
      <c r="AI373" s="11"/>
      <c r="AJ373" s="11"/>
      <c r="AK373" s="17"/>
      <c r="AL373" s="97">
        <v>95000</v>
      </c>
      <c r="AM373" s="97">
        <f t="shared" si="143"/>
        <v>18050</v>
      </c>
      <c r="AN373" s="103">
        <f t="shared" si="144"/>
        <v>113050</v>
      </c>
      <c r="AO373" s="248" t="s">
        <v>51</v>
      </c>
      <c r="AP373" s="11" t="s">
        <v>52</v>
      </c>
      <c r="AQ373" s="17"/>
      <c r="AR373" s="252"/>
      <c r="AS373" s="252"/>
      <c r="AT373" s="252"/>
      <c r="AU373" s="52"/>
      <c r="AV373" s="52"/>
      <c r="AW373" s="11"/>
      <c r="AX373" s="100"/>
      <c r="AY373" s="100"/>
      <c r="AZ373" s="124"/>
      <c r="BA373" s="169"/>
      <c r="BB373" s="116"/>
      <c r="BC373" s="116"/>
      <c r="BD373" s="247"/>
      <c r="BE373" s="124"/>
      <c r="BF373" s="124"/>
      <c r="BG373" s="116"/>
      <c r="BH373" s="116"/>
      <c r="BI373" s="116"/>
      <c r="BJ373" s="124"/>
      <c r="BK373" s="124"/>
      <c r="BL373" s="124"/>
      <c r="BM373" s="116"/>
      <c r="BN373" s="116"/>
      <c r="BO373" s="116"/>
      <c r="BP373" s="124"/>
      <c r="BQ373" s="116"/>
      <c r="BR373" s="116"/>
      <c r="BS373" s="116"/>
      <c r="BT373" s="116"/>
      <c r="BU373" s="116"/>
      <c r="BV373" s="236">
        <v>267200</v>
      </c>
      <c r="BW373" s="125">
        <f t="shared" si="145"/>
        <v>50768</v>
      </c>
      <c r="BX373" s="97">
        <f t="shared" si="146"/>
        <v>317968</v>
      </c>
      <c r="BY373" s="237" t="s">
        <v>291</v>
      </c>
      <c r="BZ373" s="237" t="s">
        <v>93</v>
      </c>
      <c r="CA373" s="116"/>
      <c r="CB373" s="247"/>
      <c r="CC373" s="125"/>
      <c r="CD373" s="247"/>
      <c r="CE373" s="116"/>
      <c r="CF373" s="116"/>
      <c r="CG373" s="34"/>
      <c r="CH373" s="236">
        <v>272544</v>
      </c>
      <c r="CI373" s="238">
        <f t="shared" si="147"/>
        <v>51783.360000000001</v>
      </c>
      <c r="CJ373" s="236">
        <f t="shared" si="148"/>
        <v>324327.36</v>
      </c>
      <c r="CK373" s="237" t="s">
        <v>291</v>
      </c>
      <c r="CL373" s="237" t="s">
        <v>93</v>
      </c>
      <c r="CM373" s="116"/>
      <c r="CN373" s="247"/>
      <c r="CO373" s="125"/>
      <c r="CP373" s="247"/>
      <c r="CQ373" s="116"/>
      <c r="CR373" s="116"/>
      <c r="CS373" s="116"/>
      <c r="CT373" s="125">
        <v>201000</v>
      </c>
      <c r="CU373" s="125">
        <f t="shared" si="149"/>
        <v>38190</v>
      </c>
      <c r="CV373" s="125">
        <f t="shared" si="150"/>
        <v>239190</v>
      </c>
      <c r="CW373" s="116"/>
      <c r="CX373" s="116"/>
      <c r="CY373" s="116"/>
      <c r="CZ373" s="102">
        <v>110897</v>
      </c>
      <c r="DA373" s="125">
        <f t="shared" si="152"/>
        <v>21070.43</v>
      </c>
      <c r="DB373" s="102">
        <f t="shared" si="153"/>
        <v>131967.43</v>
      </c>
      <c r="DC373" s="31" t="s">
        <v>180</v>
      </c>
      <c r="DD373" s="17" t="s">
        <v>65</v>
      </c>
      <c r="DE373" s="11"/>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
      <c r="EU373" s="11"/>
      <c r="EV373" s="11"/>
      <c r="EW373" s="11"/>
      <c r="EX373" s="11"/>
      <c r="EY373" s="11"/>
      <c r="EZ373" s="11"/>
      <c r="FA373" s="11"/>
      <c r="FB373" s="11"/>
      <c r="FC373" s="11"/>
      <c r="FD373" s="11"/>
      <c r="FE373" s="11"/>
      <c r="FF373" s="11"/>
      <c r="FG373" s="11"/>
      <c r="FH373" s="17">
        <f t="shared" si="131"/>
        <v>1245502.7899999998</v>
      </c>
      <c r="FI373" s="31">
        <f t="shared" si="132"/>
        <v>6</v>
      </c>
      <c r="FJ373" s="68">
        <f t="shared" si="133"/>
        <v>207583.79833333331</v>
      </c>
    </row>
    <row r="374" spans="1:166" ht="38.25" x14ac:dyDescent="0.25">
      <c r="A374" s="248">
        <f>Distribución_Reactivos!A374</f>
        <v>372</v>
      </c>
      <c r="B374" s="248" t="str">
        <f>Distribución_Reactivos!B374</f>
        <v>Solución Patrón de Potasio 1000 mg K/L</v>
      </c>
      <c r="C374" s="248" t="str">
        <f>Distribución_Reactivos!C374</f>
        <v>Merck (1702300100) o equivalente</v>
      </c>
      <c r="D374" s="248" t="str">
        <f>Distribución_Reactivos!D374</f>
        <v>Frasco x 100 ml</v>
      </c>
      <c r="E374" s="29">
        <v>1</v>
      </c>
      <c r="F374" s="212">
        <v>0</v>
      </c>
      <c r="G374" s="214">
        <v>0</v>
      </c>
      <c r="H374" s="221">
        <v>0</v>
      </c>
      <c r="I374" s="221">
        <v>0</v>
      </c>
      <c r="J374" s="221">
        <v>297351.25</v>
      </c>
      <c r="K374" s="221">
        <v>291431</v>
      </c>
      <c r="L374" s="247">
        <f t="shared" si="151"/>
        <v>297351.25</v>
      </c>
      <c r="M374" s="247">
        <f>K374*E1</f>
        <v>300173.93</v>
      </c>
      <c r="N374" s="217"/>
      <c r="O374" s="97"/>
      <c r="P374" s="97"/>
      <c r="Q374" s="115"/>
      <c r="R374" s="115"/>
      <c r="S374" s="53"/>
      <c r="T374" s="97"/>
      <c r="U374" s="97"/>
      <c r="V374" s="97"/>
      <c r="W374" s="115"/>
      <c r="X374" s="115"/>
      <c r="Y374" s="11"/>
      <c r="Z374" s="97"/>
      <c r="AA374" s="97"/>
      <c r="AB374" s="97"/>
      <c r="AC374" s="44"/>
      <c r="AD374" s="44"/>
      <c r="AE374" s="11"/>
      <c r="AF374" s="102"/>
      <c r="AG374" s="125"/>
      <c r="AH374" s="97"/>
      <c r="AI374" s="11"/>
      <c r="AJ374" s="11"/>
      <c r="AK374" s="17"/>
      <c r="AL374" s="97">
        <v>95000</v>
      </c>
      <c r="AM374" s="97">
        <f t="shared" si="143"/>
        <v>18050</v>
      </c>
      <c r="AN374" s="103">
        <f t="shared" si="144"/>
        <v>113050</v>
      </c>
      <c r="AO374" s="248" t="s">
        <v>51</v>
      </c>
      <c r="AP374" s="11" t="s">
        <v>52</v>
      </c>
      <c r="AQ374" s="17"/>
      <c r="AR374" s="252"/>
      <c r="AS374" s="252"/>
      <c r="AT374" s="252"/>
      <c r="AU374" s="52"/>
      <c r="AV374" s="52"/>
      <c r="AW374" s="11"/>
      <c r="AX374" s="100"/>
      <c r="AY374" s="174"/>
      <c r="AZ374" s="124"/>
      <c r="BA374" s="169"/>
      <c r="BB374" s="116"/>
      <c r="BC374" s="116"/>
      <c r="BD374" s="247"/>
      <c r="BE374" s="124"/>
      <c r="BF374" s="124"/>
      <c r="BG374" s="116"/>
      <c r="BH374" s="116"/>
      <c r="BI374" s="116"/>
      <c r="BJ374" s="124"/>
      <c r="BK374" s="124"/>
      <c r="BL374" s="124"/>
      <c r="BM374" s="116"/>
      <c r="BN374" s="116"/>
      <c r="BO374" s="116"/>
      <c r="BP374" s="124"/>
      <c r="BQ374" s="116"/>
      <c r="BR374" s="116"/>
      <c r="BS374" s="116"/>
      <c r="BT374" s="116"/>
      <c r="BU374" s="116"/>
      <c r="BV374" s="236">
        <v>277800</v>
      </c>
      <c r="BW374" s="125">
        <f t="shared" si="145"/>
        <v>52782</v>
      </c>
      <c r="BX374" s="97">
        <f t="shared" si="146"/>
        <v>330582</v>
      </c>
      <c r="BY374" s="237" t="s">
        <v>291</v>
      </c>
      <c r="BZ374" s="237" t="s">
        <v>93</v>
      </c>
      <c r="CA374" s="116"/>
      <c r="CB374" s="247"/>
      <c r="CC374" s="125"/>
      <c r="CD374" s="247"/>
      <c r="CE374" s="116"/>
      <c r="CF374" s="116"/>
      <c r="CG374" s="34"/>
      <c r="CH374" s="236">
        <v>288912</v>
      </c>
      <c r="CI374" s="238">
        <f t="shared" si="147"/>
        <v>54893.279999999999</v>
      </c>
      <c r="CJ374" s="236">
        <f t="shared" si="148"/>
        <v>343805.28</v>
      </c>
      <c r="CK374" s="237" t="s">
        <v>291</v>
      </c>
      <c r="CL374" s="237" t="s">
        <v>93</v>
      </c>
      <c r="CM374" s="116"/>
      <c r="CN374" s="247"/>
      <c r="CO374" s="125"/>
      <c r="CP374" s="247"/>
      <c r="CQ374" s="116"/>
      <c r="CR374" s="116"/>
      <c r="CS374" s="116"/>
      <c r="CT374" s="125">
        <v>209000</v>
      </c>
      <c r="CU374" s="125">
        <f t="shared" si="149"/>
        <v>39710</v>
      </c>
      <c r="CV374" s="125">
        <f t="shared" si="150"/>
        <v>248710</v>
      </c>
      <c r="CW374" s="116"/>
      <c r="CX374" s="116"/>
      <c r="CY374" s="116"/>
      <c r="CZ374" s="102">
        <v>115310</v>
      </c>
      <c r="DA374" s="125">
        <f t="shared" si="152"/>
        <v>21908.9</v>
      </c>
      <c r="DB374" s="102">
        <f t="shared" si="153"/>
        <v>137218.9</v>
      </c>
      <c r="DC374" s="31" t="s">
        <v>180</v>
      </c>
      <c r="DD374" s="17" t="s">
        <v>65</v>
      </c>
      <c r="DE374" s="11"/>
      <c r="DF374" s="116"/>
      <c r="DG374" s="116"/>
      <c r="DH374" s="116"/>
      <c r="DI374" s="116"/>
      <c r="DJ374" s="116"/>
      <c r="DK374" s="116"/>
      <c r="DL374" s="116"/>
      <c r="DM374" s="116"/>
      <c r="DN374" s="116"/>
      <c r="DO374" s="116"/>
      <c r="DP374" s="116"/>
      <c r="DQ374" s="116"/>
      <c r="DR374" s="116"/>
      <c r="DS374" s="116"/>
      <c r="DT374" s="116"/>
      <c r="DU374" s="116"/>
      <c r="DV374" s="116"/>
      <c r="DW374" s="116"/>
      <c r="DX374" s="116"/>
      <c r="DY374" s="116"/>
      <c r="DZ374" s="116"/>
      <c r="EA374" s="116"/>
      <c r="EB374" s="116"/>
      <c r="EC374" s="116"/>
      <c r="ED374" s="116"/>
      <c r="EE374" s="116"/>
      <c r="EF374" s="116"/>
      <c r="EG374" s="116"/>
      <c r="EH374" s="116"/>
      <c r="EI374" s="116"/>
      <c r="EJ374" s="116"/>
      <c r="EK374" s="116"/>
      <c r="EL374" s="116"/>
      <c r="EM374" s="116"/>
      <c r="EN374" s="116"/>
      <c r="EO374" s="116"/>
      <c r="EP374" s="116"/>
      <c r="EQ374" s="116"/>
      <c r="ER374" s="116"/>
      <c r="ES374" s="116"/>
      <c r="ET374" s="11"/>
      <c r="EU374" s="11"/>
      <c r="EV374" s="11"/>
      <c r="EW374" s="11"/>
      <c r="EX374" s="11"/>
      <c r="EY374" s="11"/>
      <c r="EZ374" s="11"/>
      <c r="FA374" s="11"/>
      <c r="FB374" s="11"/>
      <c r="FC374" s="11"/>
      <c r="FD374" s="11"/>
      <c r="FE374" s="11"/>
      <c r="FF374" s="11"/>
      <c r="FG374" s="11"/>
      <c r="FH374" s="17">
        <f t="shared" si="131"/>
        <v>1473540.1099999999</v>
      </c>
      <c r="FI374" s="31">
        <f t="shared" si="132"/>
        <v>6</v>
      </c>
      <c r="FJ374" s="68">
        <f t="shared" si="133"/>
        <v>245590.01833333331</v>
      </c>
    </row>
    <row r="375" spans="1:166" ht="76.5" x14ac:dyDescent="0.25">
      <c r="A375" s="248">
        <f>Distribución_Reactivos!A375</f>
        <v>373</v>
      </c>
      <c r="B375" s="248" t="str">
        <f>Distribución_Reactivos!B375</f>
        <v xml:space="preserve">Sonda Taqman de Marcaje dual purificada.  Longitud: Hasta 30 bases. Escala de síntesis:  25nmol a 100nmol . Marcada con FAM/ VIC/ TET/ HEX/NED como reportero y TAMRA como atenuador. </v>
      </c>
      <c r="C375" s="248">
        <f>Distribución_Reactivos!C375</f>
        <v>0</v>
      </c>
      <c r="D375" s="248" t="str">
        <f>Distribución_Reactivos!D375</f>
        <v>Unidad</v>
      </c>
      <c r="E375" s="29">
        <v>1</v>
      </c>
      <c r="F375" s="212">
        <v>0</v>
      </c>
      <c r="G375" s="214">
        <v>0</v>
      </c>
      <c r="H375" s="221">
        <v>2546000</v>
      </c>
      <c r="I375" s="221">
        <v>0</v>
      </c>
      <c r="J375" s="221">
        <v>0</v>
      </c>
      <c r="K375" s="221">
        <v>0</v>
      </c>
      <c r="L375" s="247">
        <f>H375</f>
        <v>2546000</v>
      </c>
      <c r="M375" s="247"/>
      <c r="N375" s="217"/>
      <c r="O375" s="97"/>
      <c r="P375" s="97"/>
      <c r="Q375" s="115"/>
      <c r="R375" s="115"/>
      <c r="S375" s="53"/>
      <c r="T375" s="97">
        <v>3140000</v>
      </c>
      <c r="U375" s="97">
        <v>0</v>
      </c>
      <c r="V375" s="97">
        <f>+T375+U375</f>
        <v>3140000</v>
      </c>
      <c r="W375" s="115" t="s">
        <v>140</v>
      </c>
      <c r="X375" s="115" t="s">
        <v>129</v>
      </c>
      <c r="Y375" s="11"/>
      <c r="Z375" s="97"/>
      <c r="AA375" s="97"/>
      <c r="AB375" s="97"/>
      <c r="AC375" s="44"/>
      <c r="AD375" s="44"/>
      <c r="AE375" s="11"/>
      <c r="AF375" s="102"/>
      <c r="AG375" s="125"/>
      <c r="AH375" s="97"/>
      <c r="AI375" s="11"/>
      <c r="AJ375" s="11"/>
      <c r="AK375" s="17"/>
      <c r="AL375" s="97"/>
      <c r="AM375" s="97"/>
      <c r="AN375" s="101"/>
      <c r="AO375" s="248"/>
      <c r="AP375" s="17"/>
      <c r="AQ375" s="17"/>
      <c r="AR375" s="252"/>
      <c r="AS375" s="252"/>
      <c r="AT375" s="252"/>
      <c r="AU375" s="42"/>
      <c r="AV375" s="52"/>
      <c r="AW375" s="11"/>
      <c r="AX375" s="100"/>
      <c r="AY375" s="100"/>
      <c r="AZ375" s="124"/>
      <c r="BA375" s="169"/>
      <c r="BB375" s="116"/>
      <c r="BC375" s="116"/>
      <c r="BD375" s="247"/>
      <c r="BE375" s="124"/>
      <c r="BF375" s="124"/>
      <c r="BG375" s="116"/>
      <c r="BH375" s="116"/>
      <c r="BI375" s="116"/>
      <c r="BJ375" s="124"/>
      <c r="BK375" s="124"/>
      <c r="BL375" s="124"/>
      <c r="BM375" s="116"/>
      <c r="BN375" s="116"/>
      <c r="BO375" s="116"/>
      <c r="BP375" s="124"/>
      <c r="BQ375" s="116"/>
      <c r="BR375" s="116"/>
      <c r="BS375" s="116"/>
      <c r="BT375" s="116"/>
      <c r="BU375" s="116"/>
      <c r="BV375" s="187"/>
      <c r="BW375" s="125"/>
      <c r="BX375" s="97"/>
      <c r="BY375" s="246"/>
      <c r="BZ375" s="246"/>
      <c r="CA375" s="116"/>
      <c r="CB375" s="247"/>
      <c r="CC375" s="125"/>
      <c r="CD375" s="247"/>
      <c r="CE375" s="116"/>
      <c r="CF375" s="116"/>
      <c r="CG375" s="34"/>
      <c r="CH375" s="187"/>
      <c r="CI375" s="195"/>
      <c r="CJ375" s="187"/>
      <c r="CK375" s="246"/>
      <c r="CL375" s="246"/>
      <c r="CM375" s="116"/>
      <c r="CN375" s="247"/>
      <c r="CO375" s="125"/>
      <c r="CP375" s="247"/>
      <c r="CQ375" s="116"/>
      <c r="CR375" s="116"/>
      <c r="CS375" s="116"/>
      <c r="CT375" s="247">
        <v>686000</v>
      </c>
      <c r="CU375" s="125">
        <f>CT375*0</f>
        <v>0</v>
      </c>
      <c r="CV375" s="125">
        <f t="shared" si="150"/>
        <v>686000</v>
      </c>
      <c r="CW375" s="116"/>
      <c r="CX375" s="116"/>
      <c r="CY375" s="116"/>
      <c r="CZ375" s="102"/>
      <c r="DA375" s="125"/>
      <c r="DB375" s="102"/>
      <c r="DC375" s="31"/>
      <c r="DD375" s="17"/>
      <c r="DE375" s="11"/>
      <c r="DF375" s="116"/>
      <c r="DG375" s="116"/>
      <c r="DH375" s="116"/>
      <c r="DI375" s="116"/>
      <c r="DJ375" s="116"/>
      <c r="DK375" s="116"/>
      <c r="DL375" s="116"/>
      <c r="DM375" s="116"/>
      <c r="DN375" s="116"/>
      <c r="DO375" s="116"/>
      <c r="DP375" s="116"/>
      <c r="DQ375" s="116"/>
      <c r="DR375" s="116"/>
      <c r="DS375" s="116"/>
      <c r="DT375" s="116"/>
      <c r="DU375" s="116"/>
      <c r="DV375" s="116"/>
      <c r="DW375" s="116"/>
      <c r="DX375" s="116"/>
      <c r="DY375" s="116"/>
      <c r="DZ375" s="116"/>
      <c r="EA375" s="116"/>
      <c r="EB375" s="116"/>
      <c r="EC375" s="116"/>
      <c r="ED375" s="116"/>
      <c r="EE375" s="116"/>
      <c r="EF375" s="116"/>
      <c r="EG375" s="116"/>
      <c r="EH375" s="116"/>
      <c r="EI375" s="116"/>
      <c r="EJ375" s="116"/>
      <c r="EK375" s="116"/>
      <c r="EL375" s="116"/>
      <c r="EM375" s="116"/>
      <c r="EN375" s="116"/>
      <c r="EO375" s="116"/>
      <c r="EP375" s="116"/>
      <c r="EQ375" s="116"/>
      <c r="ER375" s="116"/>
      <c r="ES375" s="116"/>
      <c r="ET375" s="11"/>
      <c r="EU375" s="11"/>
      <c r="EV375" s="11"/>
      <c r="EW375" s="11"/>
      <c r="EX375" s="11"/>
      <c r="EY375" s="11"/>
      <c r="EZ375" s="11"/>
      <c r="FA375" s="11"/>
      <c r="FB375" s="11"/>
      <c r="FC375" s="11"/>
      <c r="FD375" s="11"/>
      <c r="FE375" s="11"/>
      <c r="FF375" s="11"/>
      <c r="FG375" s="11"/>
      <c r="FH375" s="17">
        <f t="shared" si="131"/>
        <v>3826000</v>
      </c>
      <c r="FI375" s="31">
        <f t="shared" si="132"/>
        <v>2</v>
      </c>
      <c r="FJ375" s="68">
        <f t="shared" si="133"/>
        <v>1913000</v>
      </c>
    </row>
    <row r="376" spans="1:166" ht="25.5" x14ac:dyDescent="0.25">
      <c r="A376" s="248">
        <f>Distribución_Reactivos!A376</f>
        <v>374</v>
      </c>
      <c r="B376" s="248" t="str">
        <f>Distribución_Reactivos!B376</f>
        <v>Sterikon plus bioindicador</v>
      </c>
      <c r="C376" s="248" t="str">
        <f>Distribución_Reactivos!C376</f>
        <v>Merck o equivalente</v>
      </c>
      <c r="D376" s="248" t="str">
        <f>Distribución_Reactivos!D376</f>
        <v>Caja x 15 ampollas</v>
      </c>
      <c r="E376" s="29">
        <v>1</v>
      </c>
      <c r="F376" s="212">
        <v>0</v>
      </c>
      <c r="G376" s="214">
        <v>0</v>
      </c>
      <c r="H376" s="221">
        <v>0</v>
      </c>
      <c r="I376" s="221">
        <v>0</v>
      </c>
      <c r="J376" s="221">
        <v>0</v>
      </c>
      <c r="K376" s="221">
        <v>0</v>
      </c>
      <c r="L376" s="247"/>
      <c r="M376" s="247"/>
      <c r="N376" s="217"/>
      <c r="O376" s="97"/>
      <c r="P376" s="97"/>
      <c r="Q376" s="115"/>
      <c r="R376" s="115"/>
      <c r="S376" s="53"/>
      <c r="T376" s="97"/>
      <c r="U376" s="97"/>
      <c r="V376" s="97"/>
      <c r="W376" s="115"/>
      <c r="X376" s="115"/>
      <c r="Y376" s="11"/>
      <c r="Z376" s="97"/>
      <c r="AA376" s="97"/>
      <c r="AB376" s="97"/>
      <c r="AC376" s="44"/>
      <c r="AD376" s="44"/>
      <c r="AE376" s="11"/>
      <c r="AF376" s="102">
        <v>260000</v>
      </c>
      <c r="AG376" s="125">
        <v>0</v>
      </c>
      <c r="AH376" s="97">
        <f>+AF376+AG376</f>
        <v>260000</v>
      </c>
      <c r="AI376" s="11"/>
      <c r="AJ376" s="11"/>
      <c r="AK376" s="17"/>
      <c r="AL376" s="97"/>
      <c r="AM376" s="97"/>
      <c r="AN376" s="101"/>
      <c r="AO376" s="248"/>
      <c r="AP376" s="17"/>
      <c r="AQ376" s="17"/>
      <c r="AR376" s="252"/>
      <c r="AS376" s="252"/>
      <c r="AT376" s="252"/>
      <c r="AU376" s="52"/>
      <c r="AV376" s="52"/>
      <c r="AW376" s="11"/>
      <c r="AX376" s="100"/>
      <c r="AY376" s="174"/>
      <c r="AZ376" s="124"/>
      <c r="BA376" s="169"/>
      <c r="BB376" s="116"/>
      <c r="BC376" s="116"/>
      <c r="BD376" s="247"/>
      <c r="BE376" s="124"/>
      <c r="BF376" s="124"/>
      <c r="BG376" s="116"/>
      <c r="BH376" s="116"/>
      <c r="BI376" s="116"/>
      <c r="BJ376" s="124"/>
      <c r="BK376" s="124"/>
      <c r="BL376" s="124"/>
      <c r="BM376" s="116"/>
      <c r="BN376" s="116"/>
      <c r="BO376" s="116"/>
      <c r="BP376" s="124"/>
      <c r="BQ376" s="116"/>
      <c r="BR376" s="116"/>
      <c r="BS376" s="116"/>
      <c r="BT376" s="116"/>
      <c r="BU376" s="116"/>
      <c r="BV376" s="236">
        <v>353600</v>
      </c>
      <c r="BW376" s="125">
        <f>BV376*19%</f>
        <v>67184</v>
      </c>
      <c r="BX376" s="97">
        <f>+BV376+BW376</f>
        <v>420784</v>
      </c>
      <c r="BY376" s="237" t="s">
        <v>426</v>
      </c>
      <c r="BZ376" s="237" t="s">
        <v>93</v>
      </c>
      <c r="CA376" s="116"/>
      <c r="CB376" s="247"/>
      <c r="CC376" s="125"/>
      <c r="CD376" s="247"/>
      <c r="CE376" s="116"/>
      <c r="CF376" s="116"/>
      <c r="CG376" s="34"/>
      <c r="CH376" s="236">
        <v>371280</v>
      </c>
      <c r="CI376" s="238">
        <f>+CH376*0.19</f>
        <v>70543.199999999997</v>
      </c>
      <c r="CJ376" s="236">
        <f>+CH376+CI376</f>
        <v>441823.2</v>
      </c>
      <c r="CK376" s="237" t="s">
        <v>426</v>
      </c>
      <c r="CL376" s="237" t="s">
        <v>93</v>
      </c>
      <c r="CM376" s="116"/>
      <c r="CN376" s="247"/>
      <c r="CO376" s="125"/>
      <c r="CP376" s="247"/>
      <c r="CQ376" s="116"/>
      <c r="CR376" s="116"/>
      <c r="CS376" s="116"/>
      <c r="CT376" s="247"/>
      <c r="CU376" s="125"/>
      <c r="CV376" s="247"/>
      <c r="CW376" s="116"/>
      <c r="CX376" s="116"/>
      <c r="CY376" s="116"/>
      <c r="CZ376" s="102">
        <v>196475</v>
      </c>
      <c r="DA376" s="125">
        <v>0</v>
      </c>
      <c r="DB376" s="102">
        <v>196475</v>
      </c>
      <c r="DC376" s="31" t="s">
        <v>427</v>
      </c>
      <c r="DD376" s="17" t="s">
        <v>65</v>
      </c>
      <c r="DE376" s="11">
        <v>1102740001</v>
      </c>
      <c r="DF376" s="116"/>
      <c r="DG376" s="116"/>
      <c r="DH376" s="116"/>
      <c r="DI376" s="116"/>
      <c r="DJ376" s="116"/>
      <c r="DK376" s="116"/>
      <c r="DL376" s="116"/>
      <c r="DM376" s="116"/>
      <c r="DN376" s="116"/>
      <c r="DO376" s="116"/>
      <c r="DP376" s="116"/>
      <c r="DQ376" s="116"/>
      <c r="DR376" s="116"/>
      <c r="DS376" s="116"/>
      <c r="DT376" s="116"/>
      <c r="DU376" s="116"/>
      <c r="DV376" s="116"/>
      <c r="DW376" s="116"/>
      <c r="DX376" s="116"/>
      <c r="DY376" s="116"/>
      <c r="DZ376" s="116"/>
      <c r="EA376" s="116"/>
      <c r="EB376" s="116"/>
      <c r="EC376" s="116"/>
      <c r="ED376" s="116"/>
      <c r="EE376" s="116"/>
      <c r="EF376" s="116"/>
      <c r="EG376" s="116"/>
      <c r="EH376" s="116"/>
      <c r="EI376" s="116"/>
      <c r="EJ376" s="116"/>
      <c r="EK376" s="116"/>
      <c r="EL376" s="116"/>
      <c r="EM376" s="116"/>
      <c r="EN376" s="116"/>
      <c r="EO376" s="116"/>
      <c r="EP376" s="116"/>
      <c r="EQ376" s="116"/>
      <c r="ER376" s="116"/>
      <c r="ES376" s="116"/>
      <c r="ET376" s="11"/>
      <c r="EU376" s="11"/>
      <c r="EV376" s="11"/>
      <c r="EW376" s="11"/>
      <c r="EX376" s="11"/>
      <c r="EY376" s="11"/>
      <c r="EZ376" s="11"/>
      <c r="FA376" s="11"/>
      <c r="FB376" s="11"/>
      <c r="FC376" s="11"/>
      <c r="FD376" s="11"/>
      <c r="FE376" s="11"/>
      <c r="FF376" s="11"/>
      <c r="FG376" s="11"/>
      <c r="FH376" s="17">
        <f t="shared" si="131"/>
        <v>1319082.2</v>
      </c>
      <c r="FI376" s="31">
        <f t="shared" si="132"/>
        <v>4</v>
      </c>
      <c r="FJ376" s="68">
        <f t="shared" si="133"/>
        <v>329770.55</v>
      </c>
    </row>
    <row r="377" spans="1:166" ht="25.5" x14ac:dyDescent="0.25">
      <c r="A377" s="248">
        <f>Distribución_Reactivos!A377</f>
        <v>375</v>
      </c>
      <c r="B377" s="248" t="str">
        <f>Distribución_Reactivos!B377</f>
        <v>Streptavidina - HRP</v>
      </c>
      <c r="C377" s="248" t="str">
        <f>Distribución_Reactivos!C377</f>
        <v>Sigma o equivalente</v>
      </c>
      <c r="D377" s="248" t="str">
        <f>Distribución_Reactivos!D377</f>
        <v>Vial 6 ul - 600ul</v>
      </c>
      <c r="E377" s="29">
        <v>1</v>
      </c>
      <c r="F377" s="212">
        <v>0</v>
      </c>
      <c r="G377" s="214">
        <v>0</v>
      </c>
      <c r="H377" s="221">
        <v>844900</v>
      </c>
      <c r="I377" s="221">
        <v>0</v>
      </c>
      <c r="J377" s="221">
        <v>1013582.5</v>
      </c>
      <c r="K377" s="221">
        <v>0</v>
      </c>
      <c r="L377" s="247">
        <f>AVERAGE(H377,J377)</f>
        <v>929241.25</v>
      </c>
      <c r="M377" s="247"/>
      <c r="N377" s="217"/>
      <c r="O377" s="97"/>
      <c r="P377" s="97"/>
      <c r="Q377" s="115"/>
      <c r="R377" s="115"/>
      <c r="S377" s="53"/>
      <c r="T377" s="97">
        <v>958000</v>
      </c>
      <c r="U377" s="97">
        <f>+T377*0.19</f>
        <v>182020</v>
      </c>
      <c r="V377" s="97">
        <f>+T377+U377</f>
        <v>1140020</v>
      </c>
      <c r="W377" s="115" t="s">
        <v>428</v>
      </c>
      <c r="X377" s="115" t="s">
        <v>129</v>
      </c>
      <c r="Y377" s="11"/>
      <c r="Z377" s="97"/>
      <c r="AA377" s="97"/>
      <c r="AB377" s="97"/>
      <c r="AC377" s="44"/>
      <c r="AD377" s="44"/>
      <c r="AE377" s="11"/>
      <c r="AF377" s="102"/>
      <c r="AG377" s="125"/>
      <c r="AH377" s="97"/>
      <c r="AI377" s="11"/>
      <c r="AJ377" s="11"/>
      <c r="AK377" s="17"/>
      <c r="AL377" s="97"/>
      <c r="AM377" s="97"/>
      <c r="AN377" s="101"/>
      <c r="AO377" s="248"/>
      <c r="AP377" s="17"/>
      <c r="AQ377" s="17"/>
      <c r="AR377" s="252"/>
      <c r="AS377" s="252"/>
      <c r="AT377" s="252"/>
      <c r="AU377" s="42"/>
      <c r="AV377" s="52"/>
      <c r="AW377" s="11"/>
      <c r="AX377" s="100"/>
      <c r="AY377" s="174"/>
      <c r="AZ377" s="124"/>
      <c r="BA377" s="169"/>
      <c r="BB377" s="116"/>
      <c r="BC377" s="116"/>
      <c r="BD377" s="247"/>
      <c r="BE377" s="124"/>
      <c r="BF377" s="124"/>
      <c r="BG377" s="116"/>
      <c r="BH377" s="116"/>
      <c r="BI377" s="116"/>
      <c r="BJ377" s="124"/>
      <c r="BK377" s="124"/>
      <c r="BL377" s="124"/>
      <c r="BM377" s="116"/>
      <c r="BN377" s="116"/>
      <c r="BO377" s="116"/>
      <c r="BP377" s="124"/>
      <c r="BQ377" s="116"/>
      <c r="BR377" s="116"/>
      <c r="BS377" s="116"/>
      <c r="BT377" s="116"/>
      <c r="BU377" s="116"/>
      <c r="BV377" s="187"/>
      <c r="BW377" s="125"/>
      <c r="BX377" s="97"/>
      <c r="BY377" s="246"/>
      <c r="BZ377" s="246"/>
      <c r="CA377" s="116"/>
      <c r="CB377" s="247"/>
      <c r="CC377" s="125"/>
      <c r="CD377" s="247"/>
      <c r="CE377" s="116"/>
      <c r="CF377" s="116"/>
      <c r="CG377" s="34"/>
      <c r="CH377" s="187"/>
      <c r="CI377" s="195"/>
      <c r="CJ377" s="187"/>
      <c r="CK377" s="246"/>
      <c r="CL377" s="246"/>
      <c r="CM377" s="116"/>
      <c r="CN377" s="247"/>
      <c r="CO377" s="125"/>
      <c r="CP377" s="247"/>
      <c r="CQ377" s="116"/>
      <c r="CR377" s="116"/>
      <c r="CS377" s="116"/>
      <c r="CT377" s="247"/>
      <c r="CU377" s="125"/>
      <c r="CV377" s="247"/>
      <c r="CW377" s="116"/>
      <c r="CX377" s="116"/>
      <c r="CY377" s="116"/>
      <c r="CZ377" s="102"/>
      <c r="DA377" s="125"/>
      <c r="DB377" s="102"/>
      <c r="DC377" s="31"/>
      <c r="DD377" s="17"/>
      <c r="DE377" s="11"/>
      <c r="DF377" s="116"/>
      <c r="DG377" s="116"/>
      <c r="DH377" s="116"/>
      <c r="DI377" s="116"/>
      <c r="DJ377" s="116"/>
      <c r="DK377" s="116"/>
      <c r="DL377" s="116"/>
      <c r="DM377" s="116"/>
      <c r="DN377" s="116"/>
      <c r="DO377" s="116"/>
      <c r="DP377" s="116"/>
      <c r="DQ377" s="116"/>
      <c r="DR377" s="116"/>
      <c r="DS377" s="116"/>
      <c r="DT377" s="116"/>
      <c r="DU377" s="116"/>
      <c r="DV377" s="116"/>
      <c r="DW377" s="116"/>
      <c r="DX377" s="116"/>
      <c r="DY377" s="116"/>
      <c r="DZ377" s="116"/>
      <c r="EA377" s="116"/>
      <c r="EB377" s="116"/>
      <c r="EC377" s="116"/>
      <c r="ED377" s="116"/>
      <c r="EE377" s="116"/>
      <c r="EF377" s="116"/>
      <c r="EG377" s="116"/>
      <c r="EH377" s="116"/>
      <c r="EI377" s="116"/>
      <c r="EJ377" s="116"/>
      <c r="EK377" s="116"/>
      <c r="EL377" s="116"/>
      <c r="EM377" s="116"/>
      <c r="EN377" s="116"/>
      <c r="EO377" s="116"/>
      <c r="EP377" s="116"/>
      <c r="EQ377" s="116"/>
      <c r="ER377" s="116"/>
      <c r="ES377" s="116"/>
      <c r="ET377" s="11"/>
      <c r="EU377" s="11"/>
      <c r="EV377" s="11"/>
      <c r="EW377" s="11"/>
      <c r="EX377" s="11"/>
      <c r="EY377" s="11"/>
      <c r="EZ377" s="11"/>
      <c r="FA377" s="11"/>
      <c r="FB377" s="11"/>
      <c r="FC377" s="11"/>
      <c r="FD377" s="11"/>
      <c r="FE377" s="11"/>
      <c r="FF377" s="11"/>
      <c r="FG377" s="11"/>
      <c r="FH377" s="17">
        <f t="shared" si="131"/>
        <v>1140020</v>
      </c>
      <c r="FI377" s="31">
        <f t="shared" si="132"/>
        <v>1</v>
      </c>
      <c r="FJ377" s="68">
        <f t="shared" si="133"/>
        <v>1140020</v>
      </c>
    </row>
    <row r="378" spans="1:166" ht="27" x14ac:dyDescent="0.25">
      <c r="A378" s="248">
        <f>Distribución_Reactivos!A378</f>
        <v>376</v>
      </c>
      <c r="B378" s="248" t="str">
        <f>Distribución_Reactivos!B378</f>
        <v>Suero bovino adulto esteril</v>
      </c>
      <c r="C378" s="248" t="str">
        <f>Distribución_Reactivos!C378</f>
        <v>Sigma B9433</v>
      </c>
      <c r="D378" s="248" t="str">
        <f>Distribución_Reactivos!D378</f>
        <v>Frasco x 500 ml</v>
      </c>
      <c r="E378" s="29">
        <v>1</v>
      </c>
      <c r="F378" s="212">
        <v>521733.33333333331</v>
      </c>
      <c r="G378" s="214">
        <v>506000</v>
      </c>
      <c r="H378" s="221">
        <v>547140.81403333333</v>
      </c>
      <c r="I378" s="221">
        <v>0</v>
      </c>
      <c r="J378" s="221">
        <v>249840.16666666666</v>
      </c>
      <c r="K378" s="221">
        <v>247520</v>
      </c>
      <c r="L378" s="247">
        <f>AVERAGE(F378,H378,J378)</f>
        <v>439571.43801111117</v>
      </c>
      <c r="M378" s="247">
        <f>AVERAGE(G378,K378)*E1</f>
        <v>388062.8</v>
      </c>
      <c r="N378" s="217"/>
      <c r="O378" s="97"/>
      <c r="P378" s="97"/>
      <c r="Q378" s="115"/>
      <c r="R378" s="115"/>
      <c r="S378" s="53"/>
      <c r="T378" s="97"/>
      <c r="U378" s="97"/>
      <c r="V378" s="97"/>
      <c r="W378" s="115"/>
      <c r="X378" s="115"/>
      <c r="Y378" s="11"/>
      <c r="Z378" s="97"/>
      <c r="AA378" s="97"/>
      <c r="AB378" s="97"/>
      <c r="AC378" s="44"/>
      <c r="AD378" s="44"/>
      <c r="AE378" s="11"/>
      <c r="AF378" s="102"/>
      <c r="AG378" s="125"/>
      <c r="AH378" s="97"/>
      <c r="AI378" s="11"/>
      <c r="AJ378" s="11"/>
      <c r="AK378" s="17"/>
      <c r="AL378" s="97">
        <v>285000</v>
      </c>
      <c r="AM378" s="97">
        <f>+AL378*0.19</f>
        <v>54150</v>
      </c>
      <c r="AN378" s="103">
        <f>+AL378+AM378</f>
        <v>339150</v>
      </c>
      <c r="AO378" s="248" t="s">
        <v>41</v>
      </c>
      <c r="AP378" s="17" t="s">
        <v>429</v>
      </c>
      <c r="AQ378" s="17"/>
      <c r="AR378" s="252">
        <v>1134000</v>
      </c>
      <c r="AS378" s="124">
        <f>+AR378*0.19</f>
        <v>215460</v>
      </c>
      <c r="AT378" s="100">
        <f>+AR378+AS378</f>
        <v>1349460</v>
      </c>
      <c r="AU378" s="52" t="s">
        <v>236</v>
      </c>
      <c r="AV378" s="52" t="s">
        <v>430</v>
      </c>
      <c r="AW378" s="11"/>
      <c r="AX378" s="100"/>
      <c r="AY378" s="174"/>
      <c r="AZ378" s="124"/>
      <c r="BA378" s="169"/>
      <c r="BB378" s="116"/>
      <c r="BC378" s="116"/>
      <c r="BD378" s="247"/>
      <c r="BE378" s="247"/>
      <c r="BF378" s="247"/>
      <c r="BG378" s="247"/>
      <c r="BH378" s="116"/>
      <c r="BI378" s="116"/>
      <c r="BJ378" s="124"/>
      <c r="BK378" s="124"/>
      <c r="BL378" s="124"/>
      <c r="BM378" s="116"/>
      <c r="BN378" s="116"/>
      <c r="BO378" s="116"/>
      <c r="BP378" s="124"/>
      <c r="BQ378" s="116"/>
      <c r="BR378" s="116"/>
      <c r="BS378" s="116"/>
      <c r="BT378" s="116"/>
      <c r="BU378" s="116"/>
      <c r="BV378" s="236">
        <v>1679000</v>
      </c>
      <c r="BW378" s="125">
        <f t="shared" ref="BW378:BW385" si="154">BV378*19%</f>
        <v>319010</v>
      </c>
      <c r="BX378" s="97">
        <f t="shared" ref="BX378:BX385" si="155">+BV378+BW378</f>
        <v>1998010</v>
      </c>
      <c r="BY378" s="237" t="s">
        <v>339</v>
      </c>
      <c r="BZ378" s="237" t="s">
        <v>228</v>
      </c>
      <c r="CA378" s="116"/>
      <c r="CB378" s="247"/>
      <c r="CC378" s="125"/>
      <c r="CD378" s="247"/>
      <c r="CE378" s="116"/>
      <c r="CF378" s="116"/>
      <c r="CG378" s="34"/>
      <c r="CH378" s="236">
        <v>1729370</v>
      </c>
      <c r="CI378" s="238">
        <f t="shared" ref="CI378:CI385" si="156">+CH378*0.19</f>
        <v>328580.3</v>
      </c>
      <c r="CJ378" s="236">
        <f t="shared" ref="CJ378:CJ385" si="157">+CH378+CI378</f>
        <v>2057950.3</v>
      </c>
      <c r="CK378" s="237" t="s">
        <v>339</v>
      </c>
      <c r="CL378" s="237" t="s">
        <v>228</v>
      </c>
      <c r="CM378" s="116"/>
      <c r="CN378" s="247"/>
      <c r="CO378" s="125"/>
      <c r="CP378" s="247"/>
      <c r="CQ378" s="116"/>
      <c r="CR378" s="116"/>
      <c r="CS378" s="116"/>
      <c r="CT378" s="247"/>
      <c r="CU378" s="125"/>
      <c r="CV378" s="247"/>
      <c r="CW378" s="116"/>
      <c r="CX378" s="116"/>
      <c r="CY378" s="116"/>
      <c r="CZ378" s="102"/>
      <c r="DA378" s="125"/>
      <c r="DB378" s="102"/>
      <c r="DC378" s="31"/>
      <c r="DD378" s="17"/>
      <c r="DE378" s="11"/>
      <c r="DF378" s="116"/>
      <c r="DG378" s="116"/>
      <c r="DH378" s="116"/>
      <c r="DI378" s="116"/>
      <c r="DJ378" s="116"/>
      <c r="DK378" s="116"/>
      <c r="DL378" s="116"/>
      <c r="DM378" s="116"/>
      <c r="DN378" s="116"/>
      <c r="DO378" s="116"/>
      <c r="DP378" s="116"/>
      <c r="DQ378" s="116"/>
      <c r="DR378" s="116"/>
      <c r="DS378" s="116"/>
      <c r="DT378" s="116"/>
      <c r="DU378" s="116"/>
      <c r="DV378" s="116"/>
      <c r="DW378" s="116"/>
      <c r="DX378" s="116"/>
      <c r="DY378" s="116"/>
      <c r="DZ378" s="116"/>
      <c r="EA378" s="116"/>
      <c r="EB378" s="116"/>
      <c r="EC378" s="116"/>
      <c r="ED378" s="116"/>
      <c r="EE378" s="116"/>
      <c r="EF378" s="116"/>
      <c r="EG378" s="116"/>
      <c r="EH378" s="116"/>
      <c r="EI378" s="116"/>
      <c r="EJ378" s="116"/>
      <c r="EK378" s="116"/>
      <c r="EL378" s="116"/>
      <c r="EM378" s="116"/>
      <c r="EN378" s="116"/>
      <c r="EO378" s="116"/>
      <c r="EP378" s="116"/>
      <c r="EQ378" s="116"/>
      <c r="ER378" s="116"/>
      <c r="ES378" s="116"/>
      <c r="ET378" s="11"/>
      <c r="EU378" s="11"/>
      <c r="EV378" s="11"/>
      <c r="EW378" s="11"/>
      <c r="EX378" s="11"/>
      <c r="EY378" s="11"/>
      <c r="EZ378" s="11"/>
      <c r="FA378" s="11"/>
      <c r="FB378" s="11"/>
      <c r="FC378" s="11"/>
      <c r="FD378" s="11"/>
      <c r="FE378" s="11"/>
      <c r="FF378" s="11"/>
      <c r="FG378" s="11"/>
      <c r="FH378" s="17">
        <f t="shared" ref="FH378:FH417" si="158">SUM(M378,P378,V378,AB378,AH378,AN378,AT378,AZ378,BF378,BL378,BR378,BX378,CD378,CJ378,CP378,CV378,DB378,DH378,DN378,DT378,DZ378,EF378,EL378,ER378,EX378,FD378)</f>
        <v>6132633.0999999996</v>
      </c>
      <c r="FI378" s="31">
        <f t="shared" ref="FI378:FI417" si="159">COUNTA(M378,N378,T378,Z378,AF378,AL378,AR378,AX378,BD378,BJ378,BP378,BV378,CB378,CH378,CN378,CT378,CZ378,DF378,DL378,DR378,DX378,ED378,EJ378,EP378,EV378,FB378)</f>
        <v>5</v>
      </c>
      <c r="FJ378" s="68">
        <f t="shared" ref="FJ378:FJ417" si="160">IFERROR(FH378/FI378," ")</f>
        <v>1226526.6199999999</v>
      </c>
    </row>
    <row r="379" spans="1:166" ht="25.5" x14ac:dyDescent="0.25">
      <c r="A379" s="248">
        <f>Distribución_Reactivos!A379</f>
        <v>377</v>
      </c>
      <c r="B379" s="248" t="str">
        <f>Distribución_Reactivos!B379</f>
        <v>Brucella abortus FPA control serum 612-IHC</v>
      </c>
      <c r="C379" s="248" t="str">
        <f>Distribución_Reactivos!C379</f>
        <v>NVSL</v>
      </c>
      <c r="D379" s="248" t="str">
        <f>Distribución_Reactivos!D379</f>
        <v>Vial x 1ml</v>
      </c>
      <c r="E379" s="29">
        <v>1</v>
      </c>
      <c r="F379" s="212">
        <v>480000</v>
      </c>
      <c r="G379" s="214">
        <v>472800</v>
      </c>
      <c r="H379" s="221">
        <v>483681.0533333334</v>
      </c>
      <c r="I379" s="221">
        <v>0</v>
      </c>
      <c r="J379" s="221">
        <v>496440</v>
      </c>
      <c r="K379" s="221">
        <v>484330</v>
      </c>
      <c r="L379" s="247">
        <f>AVERAGE(F379,H379,J379)</f>
        <v>486707.0177777778</v>
      </c>
      <c r="M379" s="247">
        <f>AVERAGE(G379,K379)*E1</f>
        <v>492921.95</v>
      </c>
      <c r="N379" s="217"/>
      <c r="O379" s="97"/>
      <c r="P379" s="97"/>
      <c r="Q379" s="115"/>
      <c r="R379" s="115"/>
      <c r="S379" s="53"/>
      <c r="T379" s="97"/>
      <c r="U379" s="97"/>
      <c r="V379" s="97"/>
      <c r="W379" s="115"/>
      <c r="X379" s="115"/>
      <c r="Y379" s="11"/>
      <c r="Z379" s="97"/>
      <c r="AA379" s="97"/>
      <c r="AB379" s="97"/>
      <c r="AC379" s="44"/>
      <c r="AD379" s="44"/>
      <c r="AE379" s="11"/>
      <c r="AF379" s="102"/>
      <c r="AG379" s="125"/>
      <c r="AH379" s="97"/>
      <c r="AI379" s="11"/>
      <c r="AJ379" s="11"/>
      <c r="AK379" s="17"/>
      <c r="AL379" s="97"/>
      <c r="AM379" s="97"/>
      <c r="AN379" s="101"/>
      <c r="AO379" s="248"/>
      <c r="AP379" s="17"/>
      <c r="AQ379" s="17"/>
      <c r="AR379" s="252"/>
      <c r="AS379" s="252"/>
      <c r="AT379" s="252"/>
      <c r="AU379" s="52"/>
      <c r="AV379" s="52"/>
      <c r="AW379" s="11"/>
      <c r="AX379" s="100"/>
      <c r="AY379" s="174"/>
      <c r="AZ379" s="124"/>
      <c r="BA379" s="169"/>
      <c r="BB379" s="116"/>
      <c r="BC379" s="116"/>
      <c r="BD379" s="247"/>
      <c r="BE379" s="247"/>
      <c r="BF379" s="247"/>
      <c r="BG379" s="247"/>
      <c r="BH379" s="116"/>
      <c r="BI379" s="116"/>
      <c r="BJ379" s="124"/>
      <c r="BK379" s="124"/>
      <c r="BL379" s="124"/>
      <c r="BM379" s="116"/>
      <c r="BN379" s="116"/>
      <c r="BO379" s="116"/>
      <c r="BP379" s="124"/>
      <c r="BQ379" s="116"/>
      <c r="BR379" s="116"/>
      <c r="BS379" s="116"/>
      <c r="BT379" s="116"/>
      <c r="BU379" s="116"/>
      <c r="BV379" s="236">
        <v>460000</v>
      </c>
      <c r="BW379" s="125">
        <f t="shared" si="154"/>
        <v>87400</v>
      </c>
      <c r="BX379" s="97">
        <f t="shared" si="155"/>
        <v>547400</v>
      </c>
      <c r="BY379" s="237" t="s">
        <v>384</v>
      </c>
      <c r="BZ379" s="237" t="s">
        <v>374</v>
      </c>
      <c r="CA379" s="116"/>
      <c r="CB379" s="247"/>
      <c r="CC379" s="125"/>
      <c r="CD379" s="247"/>
      <c r="CE379" s="116"/>
      <c r="CF379" s="116"/>
      <c r="CG379" s="34"/>
      <c r="CH379" s="236">
        <v>483000</v>
      </c>
      <c r="CI379" s="238">
        <f t="shared" si="156"/>
        <v>91770</v>
      </c>
      <c r="CJ379" s="236">
        <f t="shared" si="157"/>
        <v>574770</v>
      </c>
      <c r="CK379" s="237" t="s">
        <v>384</v>
      </c>
      <c r="CL379" s="237" t="s">
        <v>374</v>
      </c>
      <c r="CM379" s="116"/>
      <c r="CN379" s="247"/>
      <c r="CO379" s="125"/>
      <c r="CP379" s="247"/>
      <c r="CQ379" s="116"/>
      <c r="CR379" s="116"/>
      <c r="CS379" s="116"/>
      <c r="CT379" s="247"/>
      <c r="CU379" s="125"/>
      <c r="CV379" s="247"/>
      <c r="CW379" s="116"/>
      <c r="CX379" s="116"/>
      <c r="CY379" s="116"/>
      <c r="CZ379" s="102"/>
      <c r="DA379" s="125"/>
      <c r="DB379" s="102"/>
      <c r="DC379" s="31"/>
      <c r="DD379" s="17"/>
      <c r="DE379" s="11"/>
      <c r="DF379" s="116"/>
      <c r="DG379" s="116"/>
      <c r="DH379" s="116"/>
      <c r="DI379" s="116"/>
      <c r="DJ379" s="116"/>
      <c r="DK379" s="116"/>
      <c r="DL379" s="116"/>
      <c r="DM379" s="116"/>
      <c r="DN379" s="116"/>
      <c r="DO379" s="116"/>
      <c r="DP379" s="116"/>
      <c r="DQ379" s="116"/>
      <c r="DR379" s="116"/>
      <c r="DS379" s="116"/>
      <c r="DT379" s="116"/>
      <c r="DU379" s="116"/>
      <c r="DV379" s="116"/>
      <c r="DW379" s="116"/>
      <c r="DX379" s="116"/>
      <c r="DY379" s="116"/>
      <c r="DZ379" s="116"/>
      <c r="EA379" s="116"/>
      <c r="EB379" s="116"/>
      <c r="EC379" s="116"/>
      <c r="ED379" s="116"/>
      <c r="EE379" s="116"/>
      <c r="EF379" s="116"/>
      <c r="EG379" s="116"/>
      <c r="EH379" s="116"/>
      <c r="EI379" s="116"/>
      <c r="EJ379" s="116"/>
      <c r="EK379" s="116"/>
      <c r="EL379" s="116"/>
      <c r="EM379" s="116"/>
      <c r="EN379" s="116"/>
      <c r="EO379" s="116"/>
      <c r="EP379" s="116"/>
      <c r="EQ379" s="116"/>
      <c r="ER379" s="116"/>
      <c r="ES379" s="116"/>
      <c r="ET379" s="11"/>
      <c r="EU379" s="11"/>
      <c r="EV379" s="11"/>
      <c r="EW379" s="11"/>
      <c r="EX379" s="11"/>
      <c r="EY379" s="11"/>
      <c r="EZ379" s="11"/>
      <c r="FA379" s="11"/>
      <c r="FB379" s="11"/>
      <c r="FC379" s="11"/>
      <c r="FD379" s="11"/>
      <c r="FE379" s="11"/>
      <c r="FF379" s="11"/>
      <c r="FG379" s="11"/>
      <c r="FH379" s="17">
        <f t="shared" si="158"/>
        <v>1615091.95</v>
      </c>
      <c r="FI379" s="31">
        <f t="shared" si="159"/>
        <v>3</v>
      </c>
      <c r="FJ379" s="68">
        <f t="shared" si="160"/>
        <v>538363.98333333328</v>
      </c>
    </row>
    <row r="380" spans="1:166" ht="38.25" x14ac:dyDescent="0.25">
      <c r="A380" s="248">
        <f>Distribución_Reactivos!A380</f>
        <v>378</v>
      </c>
      <c r="B380" s="248" t="str">
        <f>Distribución_Reactivos!B380</f>
        <v>Brucella abortus control serum - Brucella abortus complement fixation(CF) high positive control serum 12-H</v>
      </c>
      <c r="C380" s="248" t="str">
        <f>Distribución_Reactivos!C380</f>
        <v>NVSL</v>
      </c>
      <c r="D380" s="248" t="str">
        <f>Distribución_Reactivos!D380</f>
        <v>Vial x 2ml</v>
      </c>
      <c r="E380" s="29">
        <v>1</v>
      </c>
      <c r="F380" s="212">
        <v>924000</v>
      </c>
      <c r="G380" s="214">
        <v>910100</v>
      </c>
      <c r="H380" s="221">
        <v>1614073.6359999999</v>
      </c>
      <c r="I380" s="221">
        <v>0</v>
      </c>
      <c r="J380" s="221">
        <v>955605</v>
      </c>
      <c r="K380" s="221">
        <v>931770</v>
      </c>
      <c r="L380" s="247">
        <f>AVERAGE(F380,H380,J380)</f>
        <v>1164559.5453333333</v>
      </c>
      <c r="M380" s="247">
        <f>AVERAGE(G380,K380)*E1</f>
        <v>948563.05</v>
      </c>
      <c r="N380" s="217"/>
      <c r="O380" s="97"/>
      <c r="P380" s="97"/>
      <c r="Q380" s="115"/>
      <c r="R380" s="115"/>
      <c r="S380" s="53"/>
      <c r="T380" s="97"/>
      <c r="U380" s="97"/>
      <c r="V380" s="97"/>
      <c r="W380" s="115"/>
      <c r="X380" s="115"/>
      <c r="Y380" s="11"/>
      <c r="Z380" s="97"/>
      <c r="AA380" s="97"/>
      <c r="AB380" s="97"/>
      <c r="AC380" s="44"/>
      <c r="AD380" s="44"/>
      <c r="AE380" s="11"/>
      <c r="AF380" s="102"/>
      <c r="AG380" s="125"/>
      <c r="AH380" s="97"/>
      <c r="AI380" s="11"/>
      <c r="AJ380" s="11"/>
      <c r="AK380" s="17"/>
      <c r="AL380" s="97"/>
      <c r="AM380" s="97"/>
      <c r="AN380" s="101"/>
      <c r="AO380" s="248"/>
      <c r="AP380" s="17"/>
      <c r="AQ380" s="17"/>
      <c r="AR380" s="252"/>
      <c r="AS380" s="252"/>
      <c r="AT380" s="252"/>
      <c r="AU380" s="52"/>
      <c r="AV380" s="52"/>
      <c r="AW380" s="11"/>
      <c r="AX380" s="100"/>
      <c r="AY380" s="174"/>
      <c r="AZ380" s="124"/>
      <c r="BA380" s="169"/>
      <c r="BB380" s="116"/>
      <c r="BC380" s="116"/>
      <c r="BD380" s="247"/>
      <c r="BE380" s="124"/>
      <c r="BF380" s="124"/>
      <c r="BG380" s="116"/>
      <c r="BH380" s="116"/>
      <c r="BI380" s="116"/>
      <c r="BJ380" s="124"/>
      <c r="BK380" s="124"/>
      <c r="BL380" s="124"/>
      <c r="BM380" s="116"/>
      <c r="BN380" s="116"/>
      <c r="BO380" s="116"/>
      <c r="BP380" s="124"/>
      <c r="BQ380" s="116"/>
      <c r="BR380" s="116"/>
      <c r="BS380" s="116"/>
      <c r="BT380" s="116"/>
      <c r="BU380" s="116"/>
      <c r="BV380" s="236">
        <v>1518000</v>
      </c>
      <c r="BW380" s="125">
        <f t="shared" si="154"/>
        <v>288420</v>
      </c>
      <c r="BX380" s="97">
        <f t="shared" si="155"/>
        <v>1806420</v>
      </c>
      <c r="BY380" s="237" t="s">
        <v>383</v>
      </c>
      <c r="BZ380" s="237" t="s">
        <v>374</v>
      </c>
      <c r="CA380" s="116"/>
      <c r="CB380" s="247"/>
      <c r="CC380" s="125"/>
      <c r="CD380" s="247"/>
      <c r="CE380" s="116"/>
      <c r="CF380" s="116"/>
      <c r="CG380" s="34"/>
      <c r="CH380" s="236">
        <v>1548360</v>
      </c>
      <c r="CI380" s="238">
        <f t="shared" si="156"/>
        <v>294188.40000000002</v>
      </c>
      <c r="CJ380" s="236">
        <f t="shared" si="157"/>
        <v>1842548.4</v>
      </c>
      <c r="CK380" s="237" t="s">
        <v>383</v>
      </c>
      <c r="CL380" s="237" t="s">
        <v>374</v>
      </c>
      <c r="CM380" s="116"/>
      <c r="CN380" s="247"/>
      <c r="CO380" s="125"/>
      <c r="CP380" s="247"/>
      <c r="CQ380" s="116"/>
      <c r="CR380" s="116"/>
      <c r="CS380" s="116"/>
      <c r="CT380" s="247"/>
      <c r="CU380" s="125"/>
      <c r="CV380" s="247"/>
      <c r="CW380" s="116"/>
      <c r="CX380" s="116"/>
      <c r="CY380" s="116"/>
      <c r="CZ380" s="102"/>
      <c r="DA380" s="125"/>
      <c r="DB380" s="102"/>
      <c r="DC380" s="31"/>
      <c r="DD380" s="17"/>
      <c r="DE380" s="11"/>
      <c r="DF380" s="116"/>
      <c r="DG380" s="116"/>
      <c r="DH380" s="116"/>
      <c r="DI380" s="116"/>
      <c r="DJ380" s="116"/>
      <c r="DK380" s="116"/>
      <c r="DL380" s="116"/>
      <c r="DM380" s="116"/>
      <c r="DN380" s="116"/>
      <c r="DO380" s="116"/>
      <c r="DP380" s="116"/>
      <c r="DQ380" s="116"/>
      <c r="DR380" s="116"/>
      <c r="DS380" s="116"/>
      <c r="DT380" s="116"/>
      <c r="DU380" s="116"/>
      <c r="DV380" s="116"/>
      <c r="DW380" s="116"/>
      <c r="DX380" s="116"/>
      <c r="DY380" s="116"/>
      <c r="DZ380" s="116"/>
      <c r="EA380" s="116"/>
      <c r="EB380" s="116"/>
      <c r="EC380" s="116"/>
      <c r="ED380" s="116"/>
      <c r="EE380" s="116"/>
      <c r="EF380" s="116"/>
      <c r="EG380" s="116"/>
      <c r="EH380" s="116"/>
      <c r="EI380" s="116"/>
      <c r="EJ380" s="116"/>
      <c r="EK380" s="116"/>
      <c r="EL380" s="116"/>
      <c r="EM380" s="116"/>
      <c r="EN380" s="116"/>
      <c r="EO380" s="116"/>
      <c r="EP380" s="116"/>
      <c r="EQ380" s="116"/>
      <c r="ER380" s="116"/>
      <c r="ES380" s="116"/>
      <c r="ET380" s="11"/>
      <c r="EU380" s="11"/>
      <c r="EV380" s="11"/>
      <c r="EW380" s="11"/>
      <c r="EX380" s="11"/>
      <c r="EY380" s="11"/>
      <c r="EZ380" s="11"/>
      <c r="FA380" s="11"/>
      <c r="FB380" s="11"/>
      <c r="FC380" s="11"/>
      <c r="FD380" s="11"/>
      <c r="FE380" s="11"/>
      <c r="FF380" s="11"/>
      <c r="FG380" s="11"/>
      <c r="FH380" s="17">
        <f t="shared" si="158"/>
        <v>4597531.4499999993</v>
      </c>
      <c r="FI380" s="31">
        <f t="shared" si="159"/>
        <v>3</v>
      </c>
      <c r="FJ380" s="68">
        <f t="shared" si="160"/>
        <v>1532510.4833333332</v>
      </c>
    </row>
    <row r="381" spans="1:166" ht="38.25" x14ac:dyDescent="0.25">
      <c r="A381" s="248">
        <f>Distribución_Reactivos!A381</f>
        <v>379</v>
      </c>
      <c r="B381" s="248" t="str">
        <f>Distribución_Reactivos!B381</f>
        <v>Brucella abortus control serum - Brucella abortus complement fixation (CF) negative control serum 12-N</v>
      </c>
      <c r="C381" s="248" t="str">
        <f>Distribución_Reactivos!C381</f>
        <v>NVSL</v>
      </c>
      <c r="D381" s="248" t="str">
        <f>Distribución_Reactivos!D381</f>
        <v>Vial x 2 ml</v>
      </c>
      <c r="E381" s="29">
        <v>1</v>
      </c>
      <c r="F381" s="212">
        <v>924000</v>
      </c>
      <c r="G381" s="214">
        <v>0</v>
      </c>
      <c r="H381" s="221">
        <v>955693.2</v>
      </c>
      <c r="I381" s="221">
        <v>0</v>
      </c>
      <c r="J381" s="221">
        <v>88000</v>
      </c>
      <c r="K381" s="221">
        <v>0</v>
      </c>
      <c r="L381" s="247">
        <f>AVERAGE(F381,H381,J381)</f>
        <v>655897.73333333328</v>
      </c>
      <c r="M381" s="247"/>
      <c r="N381" s="217"/>
      <c r="O381" s="97"/>
      <c r="P381" s="97"/>
      <c r="Q381" s="115"/>
      <c r="R381" s="115"/>
      <c r="S381" s="53"/>
      <c r="T381" s="97"/>
      <c r="U381" s="97"/>
      <c r="V381" s="97"/>
      <c r="W381" s="115"/>
      <c r="X381" s="115"/>
      <c r="Y381" s="11"/>
      <c r="Z381" s="97"/>
      <c r="AA381" s="97"/>
      <c r="AB381" s="97"/>
      <c r="AC381" s="44"/>
      <c r="AD381" s="44"/>
      <c r="AE381" s="11"/>
      <c r="AF381" s="102"/>
      <c r="AG381" s="125"/>
      <c r="AH381" s="97"/>
      <c r="AI381" s="11"/>
      <c r="AJ381" s="11"/>
      <c r="AK381" s="17"/>
      <c r="AL381" s="97"/>
      <c r="AM381" s="97"/>
      <c r="AN381" s="101"/>
      <c r="AO381" s="248"/>
      <c r="AP381" s="17"/>
      <c r="AQ381" s="17"/>
      <c r="AR381" s="252"/>
      <c r="AS381" s="252"/>
      <c r="AT381" s="252"/>
      <c r="AU381" s="52"/>
      <c r="AV381" s="52"/>
      <c r="AW381" s="11"/>
      <c r="AX381" s="100"/>
      <c r="AY381" s="174"/>
      <c r="AZ381" s="124"/>
      <c r="BA381" s="169"/>
      <c r="BB381" s="116"/>
      <c r="BC381" s="116"/>
      <c r="BD381" s="247"/>
      <c r="BE381" s="247"/>
      <c r="BF381" s="247"/>
      <c r="BG381" s="247"/>
      <c r="BH381" s="116"/>
      <c r="BI381" s="116"/>
      <c r="BJ381" s="124"/>
      <c r="BK381" s="124"/>
      <c r="BL381" s="124"/>
      <c r="BM381" s="116"/>
      <c r="BN381" s="116"/>
      <c r="BO381" s="116"/>
      <c r="BP381" s="124"/>
      <c r="BQ381" s="116"/>
      <c r="BR381" s="116"/>
      <c r="BS381" s="116"/>
      <c r="BT381" s="116"/>
      <c r="BU381" s="116"/>
      <c r="BV381" s="236">
        <v>1518000</v>
      </c>
      <c r="BW381" s="125">
        <f t="shared" si="154"/>
        <v>288420</v>
      </c>
      <c r="BX381" s="97">
        <f t="shared" si="155"/>
        <v>1806420</v>
      </c>
      <c r="BY381" s="237" t="s">
        <v>431</v>
      </c>
      <c r="BZ381" s="237" t="s">
        <v>374</v>
      </c>
      <c r="CA381" s="116"/>
      <c r="CB381" s="247"/>
      <c r="CC381" s="125"/>
      <c r="CD381" s="247"/>
      <c r="CE381" s="116"/>
      <c r="CF381" s="116"/>
      <c r="CG381" s="34"/>
      <c r="CH381" s="236">
        <v>1578720</v>
      </c>
      <c r="CI381" s="238">
        <f t="shared" si="156"/>
        <v>299956.8</v>
      </c>
      <c r="CJ381" s="236">
        <f t="shared" si="157"/>
        <v>1878676.8</v>
      </c>
      <c r="CK381" s="237" t="s">
        <v>431</v>
      </c>
      <c r="CL381" s="237" t="s">
        <v>374</v>
      </c>
      <c r="CM381" s="116"/>
      <c r="CN381" s="247"/>
      <c r="CO381" s="125"/>
      <c r="CP381" s="247"/>
      <c r="CQ381" s="116"/>
      <c r="CR381" s="116"/>
      <c r="CS381" s="116"/>
      <c r="CT381" s="247"/>
      <c r="CU381" s="125"/>
      <c r="CV381" s="247"/>
      <c r="CW381" s="116"/>
      <c r="CX381" s="116"/>
      <c r="CY381" s="116"/>
      <c r="CZ381" s="102"/>
      <c r="DA381" s="125"/>
      <c r="DB381" s="102"/>
      <c r="DC381" s="31"/>
      <c r="DD381" s="17"/>
      <c r="DE381" s="11"/>
      <c r="DF381" s="116"/>
      <c r="DG381" s="116"/>
      <c r="DH381" s="116"/>
      <c r="DI381" s="116"/>
      <c r="DJ381" s="116"/>
      <c r="DK381" s="116"/>
      <c r="DL381" s="116"/>
      <c r="DM381" s="116"/>
      <c r="DN381" s="116"/>
      <c r="DO381" s="116"/>
      <c r="DP381" s="116"/>
      <c r="DQ381" s="116"/>
      <c r="DR381" s="116"/>
      <c r="DS381" s="116"/>
      <c r="DT381" s="116"/>
      <c r="DU381" s="116"/>
      <c r="DV381" s="116"/>
      <c r="DW381" s="116"/>
      <c r="DX381" s="116"/>
      <c r="DY381" s="116"/>
      <c r="DZ381" s="116"/>
      <c r="EA381" s="116"/>
      <c r="EB381" s="116"/>
      <c r="EC381" s="116"/>
      <c r="ED381" s="116"/>
      <c r="EE381" s="116"/>
      <c r="EF381" s="116"/>
      <c r="EG381" s="116"/>
      <c r="EH381" s="116"/>
      <c r="EI381" s="116"/>
      <c r="EJ381" s="116"/>
      <c r="EK381" s="116"/>
      <c r="EL381" s="116"/>
      <c r="EM381" s="116"/>
      <c r="EN381" s="116"/>
      <c r="EO381" s="116"/>
      <c r="EP381" s="116"/>
      <c r="EQ381" s="116"/>
      <c r="ER381" s="116"/>
      <c r="ES381" s="116"/>
      <c r="ET381" s="11"/>
      <c r="EU381" s="11"/>
      <c r="EV381" s="11"/>
      <c r="EW381" s="11"/>
      <c r="EX381" s="11"/>
      <c r="EY381" s="11"/>
      <c r="EZ381" s="11"/>
      <c r="FA381" s="11"/>
      <c r="FB381" s="11"/>
      <c r="FC381" s="11"/>
      <c r="FD381" s="11"/>
      <c r="FE381" s="11"/>
      <c r="FF381" s="11"/>
      <c r="FG381" s="11"/>
      <c r="FH381" s="17">
        <f t="shared" si="158"/>
        <v>3685096.8</v>
      </c>
      <c r="FI381" s="31">
        <f t="shared" si="159"/>
        <v>2</v>
      </c>
      <c r="FJ381" s="68">
        <f t="shared" si="160"/>
        <v>1842548.4</v>
      </c>
    </row>
    <row r="382" spans="1:166" ht="25.5" x14ac:dyDescent="0.25">
      <c r="A382" s="248">
        <f>Distribución_Reactivos!A382</f>
        <v>380</v>
      </c>
      <c r="B382" s="248" t="str">
        <f>Distribución_Reactivos!B382</f>
        <v xml:space="preserve">Suero de referencia negativo AIID Inmunodifusion Influenza Aviar </v>
      </c>
      <c r="C382" s="248" t="str">
        <f>Distribución_Reactivos!C382</f>
        <v>NVSL AMES</v>
      </c>
      <c r="D382" s="248" t="str">
        <f>Distribución_Reactivos!D382</f>
        <v>Frasco liofilizado  x 0,6 ml</v>
      </c>
      <c r="E382" s="29">
        <v>1</v>
      </c>
      <c r="F382" s="212">
        <v>0</v>
      </c>
      <c r="G382" s="214">
        <v>0</v>
      </c>
      <c r="H382" s="221">
        <v>0</v>
      </c>
      <c r="I382" s="221">
        <v>0</v>
      </c>
      <c r="J382" s="221">
        <v>178500</v>
      </c>
      <c r="K382" s="221">
        <v>173740</v>
      </c>
      <c r="L382" s="247">
        <f>J382</f>
        <v>178500</v>
      </c>
      <c r="M382" s="247">
        <f>K382*E1</f>
        <v>178952.2</v>
      </c>
      <c r="N382" s="217"/>
      <c r="O382" s="97"/>
      <c r="P382" s="97"/>
      <c r="Q382" s="115"/>
      <c r="R382" s="115"/>
      <c r="S382" s="53"/>
      <c r="T382" s="97"/>
      <c r="U382" s="97"/>
      <c r="V382" s="97"/>
      <c r="W382" s="115"/>
      <c r="X382" s="115"/>
      <c r="Y382" s="11"/>
      <c r="Z382" s="97"/>
      <c r="AA382" s="97"/>
      <c r="AB382" s="97"/>
      <c r="AC382" s="44"/>
      <c r="AD382" s="44"/>
      <c r="AE382" s="11"/>
      <c r="AF382" s="102"/>
      <c r="AG382" s="125"/>
      <c r="AH382" s="97"/>
      <c r="AI382" s="11"/>
      <c r="AJ382" s="11"/>
      <c r="AK382" s="17"/>
      <c r="AL382" s="97"/>
      <c r="AM382" s="97"/>
      <c r="AN382" s="101"/>
      <c r="AO382" s="248"/>
      <c r="AP382" s="17"/>
      <c r="AQ382" s="17"/>
      <c r="AR382" s="252"/>
      <c r="AS382" s="252"/>
      <c r="AT382" s="252"/>
      <c r="AU382" s="52"/>
      <c r="AV382" s="52"/>
      <c r="AW382" s="11"/>
      <c r="AX382" s="100"/>
      <c r="AY382" s="174"/>
      <c r="AZ382" s="124"/>
      <c r="BA382" s="169"/>
      <c r="BB382" s="116"/>
      <c r="BC382" s="116"/>
      <c r="BD382" s="247"/>
      <c r="BE382" s="124"/>
      <c r="BF382" s="124"/>
      <c r="BG382" s="116"/>
      <c r="BH382" s="116"/>
      <c r="BI382" s="116"/>
      <c r="BJ382" s="124"/>
      <c r="BK382" s="124"/>
      <c r="BL382" s="124"/>
      <c r="BM382" s="116"/>
      <c r="BN382" s="116"/>
      <c r="BO382" s="116"/>
      <c r="BP382" s="124"/>
      <c r="BQ382" s="116"/>
      <c r="BR382" s="116"/>
      <c r="BS382" s="116"/>
      <c r="BT382" s="116"/>
      <c r="BU382" s="116"/>
      <c r="BV382" s="236">
        <v>138000</v>
      </c>
      <c r="BW382" s="125">
        <f t="shared" si="154"/>
        <v>26220</v>
      </c>
      <c r="BX382" s="97">
        <f t="shared" si="155"/>
        <v>164220</v>
      </c>
      <c r="BY382" s="237" t="s">
        <v>432</v>
      </c>
      <c r="BZ382" s="237" t="s">
        <v>433</v>
      </c>
      <c r="CA382" s="116"/>
      <c r="CB382" s="247"/>
      <c r="CC382" s="125"/>
      <c r="CD382" s="247"/>
      <c r="CE382" s="116"/>
      <c r="CF382" s="116"/>
      <c r="CG382" s="34"/>
      <c r="CH382" s="236">
        <v>142140</v>
      </c>
      <c r="CI382" s="238">
        <f t="shared" si="156"/>
        <v>27006.6</v>
      </c>
      <c r="CJ382" s="236">
        <f t="shared" si="157"/>
        <v>169146.6</v>
      </c>
      <c r="CK382" s="237" t="s">
        <v>432</v>
      </c>
      <c r="CL382" s="237" t="s">
        <v>433</v>
      </c>
      <c r="CM382" s="116"/>
      <c r="CN382" s="247"/>
      <c r="CO382" s="125"/>
      <c r="CP382" s="247"/>
      <c r="CQ382" s="116"/>
      <c r="CR382" s="116"/>
      <c r="CS382" s="116"/>
      <c r="CT382" s="247"/>
      <c r="CU382" s="125"/>
      <c r="CV382" s="247"/>
      <c r="CW382" s="116"/>
      <c r="CX382" s="116"/>
      <c r="CY382" s="116"/>
      <c r="CZ382" s="102"/>
      <c r="DA382" s="125"/>
      <c r="DB382" s="102"/>
      <c r="DC382" s="31"/>
      <c r="DD382" s="17"/>
      <c r="DE382" s="11"/>
      <c r="DF382" s="116"/>
      <c r="DG382" s="116"/>
      <c r="DH382" s="116"/>
      <c r="DI382" s="116"/>
      <c r="DJ382" s="116"/>
      <c r="DK382" s="116"/>
      <c r="DL382" s="116"/>
      <c r="DM382" s="116"/>
      <c r="DN382" s="116"/>
      <c r="DO382" s="116"/>
      <c r="DP382" s="116"/>
      <c r="DQ382" s="116"/>
      <c r="DR382" s="116"/>
      <c r="DS382" s="116"/>
      <c r="DT382" s="116"/>
      <c r="DU382" s="116"/>
      <c r="DV382" s="116"/>
      <c r="DW382" s="116"/>
      <c r="DX382" s="116"/>
      <c r="DY382" s="116"/>
      <c r="DZ382" s="116"/>
      <c r="EA382" s="116"/>
      <c r="EB382" s="116"/>
      <c r="EC382" s="116"/>
      <c r="ED382" s="116"/>
      <c r="EE382" s="116"/>
      <c r="EF382" s="116"/>
      <c r="EG382" s="116"/>
      <c r="EH382" s="116"/>
      <c r="EI382" s="116"/>
      <c r="EJ382" s="116"/>
      <c r="EK382" s="116"/>
      <c r="EL382" s="116"/>
      <c r="EM382" s="116"/>
      <c r="EN382" s="116"/>
      <c r="EO382" s="116"/>
      <c r="EP382" s="116"/>
      <c r="EQ382" s="116"/>
      <c r="ER382" s="116"/>
      <c r="ES382" s="116"/>
      <c r="ET382" s="11"/>
      <c r="EU382" s="11"/>
      <c r="EV382" s="11"/>
      <c r="EW382" s="11"/>
      <c r="EX382" s="11"/>
      <c r="EY382" s="11"/>
      <c r="EZ382" s="11"/>
      <c r="FA382" s="11"/>
      <c r="FB382" s="11"/>
      <c r="FC382" s="11"/>
      <c r="FD382" s="11"/>
      <c r="FE382" s="11"/>
      <c r="FF382" s="11"/>
      <c r="FG382" s="11"/>
      <c r="FH382" s="17">
        <f t="shared" si="158"/>
        <v>512318.80000000005</v>
      </c>
      <c r="FI382" s="31">
        <f t="shared" si="159"/>
        <v>3</v>
      </c>
      <c r="FJ382" s="68">
        <f t="shared" si="160"/>
        <v>170772.93333333335</v>
      </c>
    </row>
    <row r="383" spans="1:166" ht="25.5" x14ac:dyDescent="0.25">
      <c r="A383" s="248">
        <f>Distribución_Reactivos!A383</f>
        <v>381</v>
      </c>
      <c r="B383" s="248" t="str">
        <f>Distribución_Reactivos!B383</f>
        <v>Suero de Referencia Negativo para Leucosis Enzoótica Bovina</v>
      </c>
      <c r="C383" s="248" t="str">
        <f>Distribución_Reactivos!C383</f>
        <v>NVSL</v>
      </c>
      <c r="D383" s="248" t="str">
        <f>Distribución_Reactivos!D383</f>
        <v>Frasco x 1 ml</v>
      </c>
      <c r="E383" s="29">
        <v>1</v>
      </c>
      <c r="F383" s="212">
        <v>0</v>
      </c>
      <c r="G383" s="214">
        <v>0</v>
      </c>
      <c r="H383" s="221">
        <v>0</v>
      </c>
      <c r="I383" s="221">
        <v>0</v>
      </c>
      <c r="J383" s="221">
        <v>233000</v>
      </c>
      <c r="K383" s="221">
        <v>0</v>
      </c>
      <c r="L383" s="247">
        <f>J383</f>
        <v>233000</v>
      </c>
      <c r="M383" s="247"/>
      <c r="N383" s="217"/>
      <c r="O383" s="97"/>
      <c r="P383" s="97"/>
      <c r="Q383" s="115"/>
      <c r="R383" s="115"/>
      <c r="S383" s="53"/>
      <c r="T383" s="97"/>
      <c r="U383" s="97"/>
      <c r="V383" s="97"/>
      <c r="W383" s="115"/>
      <c r="X383" s="115"/>
      <c r="Y383" s="11"/>
      <c r="Z383" s="97"/>
      <c r="AA383" s="97"/>
      <c r="AB383" s="97"/>
      <c r="AC383" s="115"/>
      <c r="AD383" s="44"/>
      <c r="AE383" s="11"/>
      <c r="AF383" s="102"/>
      <c r="AG383" s="125"/>
      <c r="AH383" s="97"/>
      <c r="AI383" s="11"/>
      <c r="AJ383" s="11"/>
      <c r="AK383" s="17"/>
      <c r="AL383" s="97"/>
      <c r="AM383" s="97"/>
      <c r="AN383" s="101"/>
      <c r="AO383" s="248"/>
      <c r="AP383" s="17"/>
      <c r="AQ383" s="17"/>
      <c r="AR383" s="252"/>
      <c r="AS383" s="252"/>
      <c r="AT383" s="252"/>
      <c r="AU383" s="52"/>
      <c r="AV383" s="52"/>
      <c r="AW383" s="11"/>
      <c r="AX383" s="100"/>
      <c r="AY383" s="174"/>
      <c r="AZ383" s="124"/>
      <c r="BA383" s="169"/>
      <c r="BB383" s="116"/>
      <c r="BC383" s="116"/>
      <c r="BD383" s="247"/>
      <c r="BE383" s="124"/>
      <c r="BF383" s="124"/>
      <c r="BG383" s="116"/>
      <c r="BH383" s="116"/>
      <c r="BI383" s="116"/>
      <c r="BJ383" s="124"/>
      <c r="BK383" s="124"/>
      <c r="BL383" s="124"/>
      <c r="BM383" s="116"/>
      <c r="BN383" s="116"/>
      <c r="BO383" s="116"/>
      <c r="BP383" s="124"/>
      <c r="BQ383" s="116"/>
      <c r="BR383" s="116"/>
      <c r="BS383" s="116"/>
      <c r="BT383" s="116"/>
      <c r="BU383" s="116"/>
      <c r="BV383" s="236">
        <v>333000</v>
      </c>
      <c r="BW383" s="125">
        <f t="shared" si="154"/>
        <v>63270</v>
      </c>
      <c r="BX383" s="97">
        <f t="shared" si="155"/>
        <v>396270</v>
      </c>
      <c r="BY383" s="237" t="s">
        <v>384</v>
      </c>
      <c r="BZ383" s="237" t="s">
        <v>433</v>
      </c>
      <c r="CA383" s="116"/>
      <c r="CB383" s="247"/>
      <c r="CC383" s="125"/>
      <c r="CD383" s="247"/>
      <c r="CE383" s="116"/>
      <c r="CF383" s="116"/>
      <c r="CG383" s="34"/>
      <c r="CH383" s="236">
        <v>346320</v>
      </c>
      <c r="CI383" s="238">
        <f t="shared" si="156"/>
        <v>65800.800000000003</v>
      </c>
      <c r="CJ383" s="236">
        <f t="shared" si="157"/>
        <v>412120.8</v>
      </c>
      <c r="CK383" s="237" t="s">
        <v>384</v>
      </c>
      <c r="CL383" s="237" t="s">
        <v>433</v>
      </c>
      <c r="CM383" s="116"/>
      <c r="CN383" s="247"/>
      <c r="CO383" s="125"/>
      <c r="CP383" s="247"/>
      <c r="CQ383" s="116"/>
      <c r="CR383" s="116"/>
      <c r="CS383" s="116"/>
      <c r="CT383" s="247"/>
      <c r="CU383" s="125"/>
      <c r="CV383" s="247"/>
      <c r="CW383" s="116"/>
      <c r="CX383" s="116"/>
      <c r="CY383" s="116"/>
      <c r="CZ383" s="102"/>
      <c r="DA383" s="125"/>
      <c r="DB383" s="102"/>
      <c r="DC383" s="31"/>
      <c r="DD383" s="17"/>
      <c r="DE383" s="11"/>
      <c r="DF383" s="116"/>
      <c r="DG383" s="116"/>
      <c r="DH383" s="116"/>
      <c r="DI383" s="116"/>
      <c r="DJ383" s="116"/>
      <c r="DK383" s="116"/>
      <c r="DL383" s="116"/>
      <c r="DM383" s="116"/>
      <c r="DN383" s="116"/>
      <c r="DO383" s="116"/>
      <c r="DP383" s="116"/>
      <c r="DQ383" s="116"/>
      <c r="DR383" s="116"/>
      <c r="DS383" s="116"/>
      <c r="DT383" s="116"/>
      <c r="DU383" s="116"/>
      <c r="DV383" s="116"/>
      <c r="DW383" s="116"/>
      <c r="DX383" s="116"/>
      <c r="DY383" s="116"/>
      <c r="DZ383" s="116"/>
      <c r="EA383" s="116"/>
      <c r="EB383" s="116"/>
      <c r="EC383" s="116"/>
      <c r="ED383" s="116"/>
      <c r="EE383" s="116"/>
      <c r="EF383" s="116"/>
      <c r="EG383" s="116"/>
      <c r="EH383" s="116"/>
      <c r="EI383" s="116"/>
      <c r="EJ383" s="116"/>
      <c r="EK383" s="116"/>
      <c r="EL383" s="116"/>
      <c r="EM383" s="116"/>
      <c r="EN383" s="116"/>
      <c r="EO383" s="116"/>
      <c r="EP383" s="116"/>
      <c r="EQ383" s="116"/>
      <c r="ER383" s="116"/>
      <c r="ES383" s="116"/>
      <c r="ET383" s="11"/>
      <c r="EU383" s="11"/>
      <c r="EV383" s="11"/>
      <c r="EW383" s="11"/>
      <c r="EX383" s="11"/>
      <c r="EY383" s="11"/>
      <c r="EZ383" s="11"/>
      <c r="FA383" s="11"/>
      <c r="FB383" s="11"/>
      <c r="FC383" s="11"/>
      <c r="FD383" s="11"/>
      <c r="FE383" s="11"/>
      <c r="FF383" s="11"/>
      <c r="FG383" s="11"/>
      <c r="FH383" s="17">
        <f t="shared" si="158"/>
        <v>808390.8</v>
      </c>
      <c r="FI383" s="31">
        <f t="shared" si="159"/>
        <v>2</v>
      </c>
      <c r="FJ383" s="68">
        <f t="shared" si="160"/>
        <v>404195.4</v>
      </c>
    </row>
    <row r="384" spans="1:166" ht="25.5" x14ac:dyDescent="0.25">
      <c r="A384" s="248">
        <f>Distribución_Reactivos!A384</f>
        <v>382</v>
      </c>
      <c r="B384" s="248" t="str">
        <f>Distribución_Reactivos!B384</f>
        <v>Suero de Referencia Negativo para Mycobacterium paratuberculoso</v>
      </c>
      <c r="C384" s="248" t="str">
        <f>Distribución_Reactivos!C384</f>
        <v>NVSL</v>
      </c>
      <c r="D384" s="248" t="str">
        <f>Distribución_Reactivos!D384</f>
        <v>Frasco x 1 ml</v>
      </c>
      <c r="E384" s="29">
        <v>1</v>
      </c>
      <c r="F384" s="212">
        <v>300000</v>
      </c>
      <c r="G384" s="214">
        <v>0</v>
      </c>
      <c r="H384" s="221">
        <v>887561.5</v>
      </c>
      <c r="I384" s="221">
        <v>0</v>
      </c>
      <c r="J384" s="221">
        <v>0</v>
      </c>
      <c r="K384" s="221">
        <v>0</v>
      </c>
      <c r="L384" s="247">
        <f>AVERAGE(F384,H384)</f>
        <v>593780.75</v>
      </c>
      <c r="M384" s="247"/>
      <c r="N384" s="217"/>
      <c r="O384" s="97"/>
      <c r="P384" s="97"/>
      <c r="Q384" s="115"/>
      <c r="R384" s="115"/>
      <c r="S384" s="53"/>
      <c r="T384" s="97"/>
      <c r="U384" s="97"/>
      <c r="V384" s="97"/>
      <c r="W384" s="115"/>
      <c r="X384" s="115"/>
      <c r="Y384" s="11"/>
      <c r="Z384" s="97"/>
      <c r="AA384" s="97"/>
      <c r="AB384" s="97"/>
      <c r="AC384" s="115"/>
      <c r="AD384" s="44"/>
      <c r="AE384" s="11"/>
      <c r="AF384" s="97"/>
      <c r="AG384" s="125"/>
      <c r="AH384" s="97"/>
      <c r="AI384" s="11"/>
      <c r="AJ384" s="11"/>
      <c r="AK384" s="17"/>
      <c r="AL384" s="97"/>
      <c r="AM384" s="97"/>
      <c r="AN384" s="101"/>
      <c r="AO384" s="248"/>
      <c r="AP384" s="17"/>
      <c r="AQ384" s="17"/>
      <c r="AR384" s="252"/>
      <c r="AS384" s="252"/>
      <c r="AT384" s="252"/>
      <c r="AU384" s="52"/>
      <c r="AV384" s="52"/>
      <c r="AW384" s="11"/>
      <c r="AX384" s="100"/>
      <c r="AY384" s="174"/>
      <c r="AZ384" s="124"/>
      <c r="BA384" s="169"/>
      <c r="BB384" s="116"/>
      <c r="BC384" s="116"/>
      <c r="BD384" s="252"/>
      <c r="BE384" s="124"/>
      <c r="BF384" s="124"/>
      <c r="BG384" s="116"/>
      <c r="BH384" s="116"/>
      <c r="BI384" s="116"/>
      <c r="BJ384" s="124"/>
      <c r="BK384" s="124"/>
      <c r="BL384" s="124"/>
      <c r="BM384" s="116"/>
      <c r="BN384" s="116"/>
      <c r="BO384" s="116"/>
      <c r="BP384" s="124"/>
      <c r="BQ384" s="116"/>
      <c r="BR384" s="116"/>
      <c r="BS384" s="116"/>
      <c r="BT384" s="116"/>
      <c r="BU384" s="116"/>
      <c r="BV384" s="240">
        <v>460000</v>
      </c>
      <c r="BW384" s="125">
        <f t="shared" si="154"/>
        <v>87400</v>
      </c>
      <c r="BX384" s="97">
        <f t="shared" si="155"/>
        <v>547400</v>
      </c>
      <c r="BY384" s="237" t="s">
        <v>384</v>
      </c>
      <c r="BZ384" s="237" t="s">
        <v>433</v>
      </c>
      <c r="CA384" s="116"/>
      <c r="CB384" s="252"/>
      <c r="CC384" s="124"/>
      <c r="CD384" s="252"/>
      <c r="CE384" s="116"/>
      <c r="CF384" s="116"/>
      <c r="CG384" s="34"/>
      <c r="CH384" s="240">
        <v>464600</v>
      </c>
      <c r="CI384" s="238">
        <f t="shared" si="156"/>
        <v>88274</v>
      </c>
      <c r="CJ384" s="236">
        <f t="shared" si="157"/>
        <v>552874</v>
      </c>
      <c r="CK384" s="237" t="s">
        <v>384</v>
      </c>
      <c r="CL384" s="237" t="s">
        <v>433</v>
      </c>
      <c r="CM384" s="116"/>
      <c r="CN384" s="252"/>
      <c r="CO384" s="124"/>
      <c r="CP384" s="252"/>
      <c r="CQ384" s="116"/>
      <c r="CR384" s="116"/>
      <c r="CS384" s="116"/>
      <c r="CT384" s="252"/>
      <c r="CU384" s="124"/>
      <c r="CV384" s="252"/>
      <c r="CW384" s="116"/>
      <c r="CX384" s="116"/>
      <c r="CY384" s="116"/>
      <c r="CZ384" s="97"/>
      <c r="DA384" s="124"/>
      <c r="DB384" s="97"/>
      <c r="DC384" s="31"/>
      <c r="DD384" s="17"/>
      <c r="DE384" s="11"/>
      <c r="DF384" s="116"/>
      <c r="DG384" s="116"/>
      <c r="DH384" s="116"/>
      <c r="DI384" s="116"/>
      <c r="DJ384" s="116"/>
      <c r="DK384" s="116"/>
      <c r="DL384" s="116"/>
      <c r="DM384" s="116"/>
      <c r="DN384" s="116"/>
      <c r="DO384" s="116"/>
      <c r="DP384" s="116"/>
      <c r="DQ384" s="116"/>
      <c r="DR384" s="116"/>
      <c r="DS384" s="116"/>
      <c r="DT384" s="116"/>
      <c r="DU384" s="116"/>
      <c r="DV384" s="116"/>
      <c r="DW384" s="116"/>
      <c r="DX384" s="116"/>
      <c r="DY384" s="116"/>
      <c r="DZ384" s="116"/>
      <c r="EA384" s="116"/>
      <c r="EB384" s="116"/>
      <c r="EC384" s="116"/>
      <c r="ED384" s="116"/>
      <c r="EE384" s="116"/>
      <c r="EF384" s="116"/>
      <c r="EG384" s="116"/>
      <c r="EH384" s="116"/>
      <c r="EI384" s="116"/>
      <c r="EJ384" s="116"/>
      <c r="EK384" s="116"/>
      <c r="EL384" s="116"/>
      <c r="EM384" s="116"/>
      <c r="EN384" s="116"/>
      <c r="EO384" s="116"/>
      <c r="EP384" s="116"/>
      <c r="EQ384" s="116"/>
      <c r="ER384" s="116"/>
      <c r="ES384" s="116"/>
      <c r="ET384" s="11"/>
      <c r="EU384" s="11"/>
      <c r="EV384" s="11"/>
      <c r="EW384" s="11"/>
      <c r="EX384" s="11"/>
      <c r="EY384" s="11"/>
      <c r="EZ384" s="11"/>
      <c r="FA384" s="11"/>
      <c r="FB384" s="11"/>
      <c r="FC384" s="11"/>
      <c r="FD384" s="11"/>
      <c r="FE384" s="11"/>
      <c r="FF384" s="252"/>
      <c r="FG384" s="61"/>
      <c r="FH384" s="17">
        <f t="shared" si="158"/>
        <v>1100274</v>
      </c>
      <c r="FI384" s="31">
        <f t="shared" si="159"/>
        <v>2</v>
      </c>
      <c r="FJ384" s="68">
        <f t="shared" si="160"/>
        <v>550137</v>
      </c>
    </row>
    <row r="385" spans="1:166" ht="25.5" x14ac:dyDescent="0.25">
      <c r="A385" s="248">
        <f>Distribución_Reactivos!A385</f>
        <v>383</v>
      </c>
      <c r="B385" s="248" t="str">
        <f>Distribución_Reactivos!B385</f>
        <v>Suero de Referencia Negativo para Rinotraqueitis Infecciosa Bovina</v>
      </c>
      <c r="C385" s="248" t="str">
        <f>Distribución_Reactivos!C385</f>
        <v>NVSL</v>
      </c>
      <c r="D385" s="248" t="str">
        <f>Distribución_Reactivos!D385</f>
        <v>Frasco x 1 ml</v>
      </c>
      <c r="E385" s="29">
        <v>1</v>
      </c>
      <c r="F385" s="212">
        <v>0</v>
      </c>
      <c r="G385" s="214">
        <v>0</v>
      </c>
      <c r="H385" s="221">
        <v>438158</v>
      </c>
      <c r="I385" s="221">
        <v>0</v>
      </c>
      <c r="J385" s="221">
        <v>354620</v>
      </c>
      <c r="K385" s="221">
        <v>0</v>
      </c>
      <c r="L385" s="247">
        <f>AVERAGE(H385,J385)</f>
        <v>396389</v>
      </c>
      <c r="M385" s="247"/>
      <c r="N385" s="217"/>
      <c r="O385" s="97"/>
      <c r="P385" s="97"/>
      <c r="Q385" s="115"/>
      <c r="R385" s="115"/>
      <c r="S385" s="53"/>
      <c r="T385" s="97"/>
      <c r="U385" s="97"/>
      <c r="V385" s="97"/>
      <c r="W385" s="115"/>
      <c r="X385" s="115"/>
      <c r="Y385" s="11"/>
      <c r="Z385" s="97"/>
      <c r="AA385" s="97"/>
      <c r="AB385" s="97"/>
      <c r="AC385" s="44"/>
      <c r="AD385" s="44"/>
      <c r="AE385" s="11"/>
      <c r="AF385" s="102"/>
      <c r="AG385" s="125"/>
      <c r="AH385" s="97"/>
      <c r="AI385" s="11"/>
      <c r="AJ385" s="11"/>
      <c r="AK385" s="17"/>
      <c r="AL385" s="97"/>
      <c r="AM385" s="97"/>
      <c r="AN385" s="127"/>
      <c r="AO385" s="248"/>
      <c r="AP385" s="17"/>
      <c r="AQ385" s="17"/>
      <c r="AR385" s="252"/>
      <c r="AS385" s="252"/>
      <c r="AT385" s="252"/>
      <c r="AU385" s="52"/>
      <c r="AV385" s="52"/>
      <c r="AW385" s="11"/>
      <c r="AX385" s="100"/>
      <c r="AY385" s="174"/>
      <c r="AZ385" s="124"/>
      <c r="BA385" s="169"/>
      <c r="BB385" s="116"/>
      <c r="BC385" s="116"/>
      <c r="BD385" s="247"/>
      <c r="BE385" s="124"/>
      <c r="BF385" s="124"/>
      <c r="BG385" s="116"/>
      <c r="BH385" s="116"/>
      <c r="BI385" s="116"/>
      <c r="BJ385" s="124"/>
      <c r="BK385" s="124"/>
      <c r="BL385" s="124"/>
      <c r="BM385" s="116"/>
      <c r="BN385" s="116"/>
      <c r="BO385" s="116"/>
      <c r="BP385" s="124"/>
      <c r="BQ385" s="116"/>
      <c r="BR385" s="116"/>
      <c r="BS385" s="116"/>
      <c r="BT385" s="116"/>
      <c r="BU385" s="116"/>
      <c r="BV385" s="236">
        <v>333000</v>
      </c>
      <c r="BW385" s="125">
        <f t="shared" si="154"/>
        <v>63270</v>
      </c>
      <c r="BX385" s="97">
        <f t="shared" si="155"/>
        <v>396270</v>
      </c>
      <c r="BY385" s="237" t="s">
        <v>384</v>
      </c>
      <c r="BZ385" s="237" t="s">
        <v>433</v>
      </c>
      <c r="CA385" s="116"/>
      <c r="CB385" s="247"/>
      <c r="CC385" s="125"/>
      <c r="CD385" s="247"/>
      <c r="CE385" s="116"/>
      <c r="CF385" s="116"/>
      <c r="CG385" s="34"/>
      <c r="CH385" s="236">
        <v>342990</v>
      </c>
      <c r="CI385" s="238">
        <f t="shared" si="156"/>
        <v>65168.1</v>
      </c>
      <c r="CJ385" s="236">
        <f t="shared" si="157"/>
        <v>408158.1</v>
      </c>
      <c r="CK385" s="237" t="s">
        <v>384</v>
      </c>
      <c r="CL385" s="237" t="s">
        <v>433</v>
      </c>
      <c r="CM385" s="116"/>
      <c r="CN385" s="247"/>
      <c r="CO385" s="125"/>
      <c r="CP385" s="247"/>
      <c r="CQ385" s="116"/>
      <c r="CR385" s="116"/>
      <c r="CS385" s="116"/>
      <c r="CT385" s="247"/>
      <c r="CU385" s="125"/>
      <c r="CV385" s="247"/>
      <c r="CW385" s="116"/>
      <c r="CX385" s="116"/>
      <c r="CY385" s="116"/>
      <c r="CZ385" s="102"/>
      <c r="DA385" s="125"/>
      <c r="DB385" s="102"/>
      <c r="DC385" s="31"/>
      <c r="DD385" s="17"/>
      <c r="DE385" s="11"/>
      <c r="DF385" s="116"/>
      <c r="DG385" s="116"/>
      <c r="DH385" s="116"/>
      <c r="DI385" s="116"/>
      <c r="DJ385" s="116"/>
      <c r="DK385" s="116"/>
      <c r="DL385" s="116"/>
      <c r="DM385" s="116"/>
      <c r="DN385" s="116"/>
      <c r="DO385" s="116"/>
      <c r="DP385" s="116"/>
      <c r="DQ385" s="116"/>
      <c r="DR385" s="116"/>
      <c r="DS385" s="116"/>
      <c r="DT385" s="116"/>
      <c r="DU385" s="116"/>
      <c r="DV385" s="116"/>
      <c r="DW385" s="116"/>
      <c r="DX385" s="116"/>
      <c r="DY385" s="116"/>
      <c r="DZ385" s="116"/>
      <c r="EA385" s="116"/>
      <c r="EB385" s="116"/>
      <c r="EC385" s="116"/>
      <c r="ED385" s="116"/>
      <c r="EE385" s="116"/>
      <c r="EF385" s="116"/>
      <c r="EG385" s="116"/>
      <c r="EH385" s="116"/>
      <c r="EI385" s="116"/>
      <c r="EJ385" s="116"/>
      <c r="EK385" s="116"/>
      <c r="EL385" s="116"/>
      <c r="EM385" s="116"/>
      <c r="EN385" s="116"/>
      <c r="EO385" s="116"/>
      <c r="EP385" s="116"/>
      <c r="EQ385" s="116"/>
      <c r="ER385" s="116"/>
      <c r="ES385" s="116"/>
      <c r="ET385" s="11"/>
      <c r="EU385" s="11"/>
      <c r="EV385" s="11"/>
      <c r="EW385" s="11"/>
      <c r="EX385" s="11"/>
      <c r="EY385" s="11"/>
      <c r="EZ385" s="11"/>
      <c r="FA385" s="11"/>
      <c r="FB385" s="11"/>
      <c r="FC385" s="11"/>
      <c r="FD385" s="11"/>
      <c r="FE385" s="11"/>
      <c r="FF385" s="11"/>
      <c r="FG385" s="11"/>
      <c r="FH385" s="17">
        <f t="shared" si="158"/>
        <v>804428.1</v>
      </c>
      <c r="FI385" s="31">
        <f t="shared" si="159"/>
        <v>2</v>
      </c>
      <c r="FJ385" s="68">
        <f t="shared" si="160"/>
        <v>402214.05</v>
      </c>
    </row>
    <row r="386" spans="1:166" ht="25.5" x14ac:dyDescent="0.25">
      <c r="A386" s="248">
        <f>Distribución_Reactivos!A386</f>
        <v>384</v>
      </c>
      <c r="B386" s="248" t="str">
        <f>Distribución_Reactivos!B386</f>
        <v xml:space="preserve">Suero de referencia positivo debil AIID Inmunodifusion Influenza Aviar </v>
      </c>
      <c r="C386" s="248" t="str">
        <f>Distribución_Reactivos!C386</f>
        <v>NVSL AMES</v>
      </c>
      <c r="D386" s="248" t="str">
        <f>Distribución_Reactivos!D386</f>
        <v>Frasco liofilizado  x 0,6 ml</v>
      </c>
      <c r="E386" s="29">
        <v>1</v>
      </c>
      <c r="F386" s="212">
        <v>0</v>
      </c>
      <c r="G386" s="214">
        <v>0</v>
      </c>
      <c r="H386" s="221">
        <v>0</v>
      </c>
      <c r="I386" s="221">
        <v>0</v>
      </c>
      <c r="J386" s="221">
        <v>168087.5</v>
      </c>
      <c r="K386" s="221">
        <v>164220</v>
      </c>
      <c r="L386" s="247">
        <f>J386</f>
        <v>168087.5</v>
      </c>
      <c r="M386" s="247">
        <f>K386*E1</f>
        <v>169146.6</v>
      </c>
      <c r="N386" s="217"/>
      <c r="O386" s="97"/>
      <c r="P386" s="97"/>
      <c r="Q386" s="115"/>
      <c r="R386" s="115"/>
      <c r="S386" s="53"/>
      <c r="T386" s="97"/>
      <c r="U386" s="97"/>
      <c r="V386" s="97"/>
      <c r="W386" s="115"/>
      <c r="X386" s="115"/>
      <c r="Y386" s="11"/>
      <c r="Z386" s="97"/>
      <c r="AA386" s="97"/>
      <c r="AB386" s="97"/>
      <c r="AC386" s="44"/>
      <c r="AD386" s="44"/>
      <c r="AE386" s="11"/>
      <c r="AF386" s="102"/>
      <c r="AG386" s="125"/>
      <c r="AH386" s="97"/>
      <c r="AI386" s="11"/>
      <c r="AJ386" s="11"/>
      <c r="AK386" s="17"/>
      <c r="AL386" s="97"/>
      <c r="AM386" s="97"/>
      <c r="AN386" s="127"/>
      <c r="AO386" s="248"/>
      <c r="AP386" s="17"/>
      <c r="AQ386" s="17"/>
      <c r="AR386" s="252"/>
      <c r="AS386" s="252"/>
      <c r="AT386" s="252"/>
      <c r="AU386" s="52"/>
      <c r="AV386" s="52"/>
      <c r="AW386" s="11"/>
      <c r="AX386" s="100"/>
      <c r="AY386" s="174"/>
      <c r="AZ386" s="124"/>
      <c r="BA386" s="169"/>
      <c r="BB386" s="116"/>
      <c r="BC386" s="116"/>
      <c r="BD386" s="247"/>
      <c r="BE386" s="124"/>
      <c r="BF386" s="124"/>
      <c r="BG386" s="116"/>
      <c r="BH386" s="116"/>
      <c r="BI386" s="116"/>
      <c r="BJ386" s="124"/>
      <c r="BK386" s="124"/>
      <c r="BL386" s="124"/>
      <c r="BM386" s="116"/>
      <c r="BN386" s="116"/>
      <c r="BO386" s="116"/>
      <c r="BP386" s="124"/>
      <c r="BQ386" s="116"/>
      <c r="BR386" s="116"/>
      <c r="BS386" s="116"/>
      <c r="BT386" s="116"/>
      <c r="BU386" s="116"/>
      <c r="BV386" s="187"/>
      <c r="BW386" s="125"/>
      <c r="BX386" s="97"/>
      <c r="BY386" s="246"/>
      <c r="BZ386" s="246"/>
      <c r="CA386" s="116"/>
      <c r="CB386" s="247"/>
      <c r="CC386" s="125"/>
      <c r="CD386" s="247"/>
      <c r="CE386" s="116"/>
      <c r="CF386" s="116"/>
      <c r="CG386" s="34"/>
      <c r="CH386" s="187"/>
      <c r="CI386" s="195"/>
      <c r="CJ386" s="187"/>
      <c r="CK386" s="246"/>
      <c r="CL386" s="246"/>
      <c r="CM386" s="116"/>
      <c r="CN386" s="247"/>
      <c r="CO386" s="125"/>
      <c r="CP386" s="247"/>
      <c r="CQ386" s="116"/>
      <c r="CR386" s="116"/>
      <c r="CS386" s="116"/>
      <c r="CT386" s="247"/>
      <c r="CU386" s="125"/>
      <c r="CV386" s="247"/>
      <c r="CW386" s="116"/>
      <c r="CX386" s="116"/>
      <c r="CY386" s="116"/>
      <c r="CZ386" s="102"/>
      <c r="DA386" s="125"/>
      <c r="DB386" s="102"/>
      <c r="DC386" s="31"/>
      <c r="DD386" s="17"/>
      <c r="DE386" s="11"/>
      <c r="DF386" s="116"/>
      <c r="DG386" s="116"/>
      <c r="DH386" s="116"/>
      <c r="DI386" s="116"/>
      <c r="DJ386" s="116"/>
      <c r="DK386" s="116"/>
      <c r="DL386" s="116"/>
      <c r="DM386" s="116"/>
      <c r="DN386" s="116"/>
      <c r="DO386" s="116"/>
      <c r="DP386" s="116"/>
      <c r="DQ386" s="116"/>
      <c r="DR386" s="116"/>
      <c r="DS386" s="116"/>
      <c r="DT386" s="116"/>
      <c r="DU386" s="116"/>
      <c r="DV386" s="116"/>
      <c r="DW386" s="116"/>
      <c r="DX386" s="116"/>
      <c r="DY386" s="116"/>
      <c r="DZ386" s="116"/>
      <c r="EA386" s="116"/>
      <c r="EB386" s="116"/>
      <c r="EC386" s="116"/>
      <c r="ED386" s="116"/>
      <c r="EE386" s="116"/>
      <c r="EF386" s="116"/>
      <c r="EG386" s="116"/>
      <c r="EH386" s="116"/>
      <c r="EI386" s="116"/>
      <c r="EJ386" s="116"/>
      <c r="EK386" s="116"/>
      <c r="EL386" s="116"/>
      <c r="EM386" s="116"/>
      <c r="EN386" s="116"/>
      <c r="EO386" s="116"/>
      <c r="EP386" s="116"/>
      <c r="EQ386" s="116"/>
      <c r="ER386" s="116"/>
      <c r="ES386" s="116"/>
      <c r="ET386" s="11"/>
      <c r="EU386" s="11"/>
      <c r="EV386" s="11"/>
      <c r="EW386" s="11"/>
      <c r="EX386" s="11"/>
      <c r="EY386" s="11"/>
      <c r="EZ386" s="11"/>
      <c r="FA386" s="11"/>
      <c r="FB386" s="11"/>
      <c r="FC386" s="11"/>
      <c r="FD386" s="11"/>
      <c r="FE386" s="11"/>
      <c r="FF386" s="11"/>
      <c r="FG386" s="11"/>
      <c r="FH386" s="17">
        <f t="shared" si="158"/>
        <v>169146.6</v>
      </c>
      <c r="FI386" s="31">
        <f t="shared" si="159"/>
        <v>1</v>
      </c>
      <c r="FJ386" s="68">
        <f t="shared" si="160"/>
        <v>169146.6</v>
      </c>
    </row>
    <row r="387" spans="1:166" ht="25.5" x14ac:dyDescent="0.25">
      <c r="A387" s="248">
        <f>Distribución_Reactivos!A387</f>
        <v>385</v>
      </c>
      <c r="B387" s="248" t="str">
        <f>Distribución_Reactivos!B387</f>
        <v xml:space="preserve">Suero de referencia positivo fuerte AIID Inmunodifusion Influenza Aviar </v>
      </c>
      <c r="C387" s="248" t="str">
        <f>Distribución_Reactivos!C387</f>
        <v>NVSL AMES</v>
      </c>
      <c r="D387" s="248" t="str">
        <f>Distribución_Reactivos!D387</f>
        <v>Frasco liofilizado x 0,6 ml</v>
      </c>
      <c r="E387" s="29">
        <v>1</v>
      </c>
      <c r="F387" s="212">
        <v>0</v>
      </c>
      <c r="G387" s="214">
        <v>0</v>
      </c>
      <c r="H387" s="221">
        <v>0</v>
      </c>
      <c r="I387" s="221">
        <v>0</v>
      </c>
      <c r="J387" s="221">
        <v>155890</v>
      </c>
      <c r="K387" s="221">
        <v>152320</v>
      </c>
      <c r="L387" s="247">
        <f>J387</f>
        <v>155890</v>
      </c>
      <c r="M387" s="247">
        <f>K387*E1</f>
        <v>156889.60000000001</v>
      </c>
      <c r="N387" s="217"/>
      <c r="O387" s="97"/>
      <c r="P387" s="97"/>
      <c r="Q387" s="115"/>
      <c r="R387" s="115"/>
      <c r="S387" s="53"/>
      <c r="T387" s="97"/>
      <c r="U387" s="97"/>
      <c r="V387" s="97"/>
      <c r="W387" s="115"/>
      <c r="X387" s="115"/>
      <c r="Y387" s="11"/>
      <c r="Z387" s="97"/>
      <c r="AA387" s="97"/>
      <c r="AB387" s="97"/>
      <c r="AC387" s="44"/>
      <c r="AD387" s="44"/>
      <c r="AE387" s="11"/>
      <c r="AF387" s="102"/>
      <c r="AG387" s="125"/>
      <c r="AH387" s="97"/>
      <c r="AI387" s="11"/>
      <c r="AJ387" s="11"/>
      <c r="AK387" s="17"/>
      <c r="AL387" s="97"/>
      <c r="AM387" s="97"/>
      <c r="AN387" s="127"/>
      <c r="AO387" s="248"/>
      <c r="AP387" s="17"/>
      <c r="AQ387" s="17"/>
      <c r="AR387" s="252"/>
      <c r="AS387" s="252"/>
      <c r="AT387" s="252"/>
      <c r="AU387" s="52"/>
      <c r="AV387" s="52"/>
      <c r="AW387" s="11"/>
      <c r="AX387" s="100"/>
      <c r="AY387" s="174"/>
      <c r="AZ387" s="124"/>
      <c r="BA387" s="169"/>
      <c r="BB387" s="116"/>
      <c r="BC387" s="116"/>
      <c r="BD387" s="247"/>
      <c r="BE387" s="124"/>
      <c r="BF387" s="124"/>
      <c r="BG387" s="116"/>
      <c r="BH387" s="116"/>
      <c r="BI387" s="116"/>
      <c r="BJ387" s="124"/>
      <c r="BK387" s="124"/>
      <c r="BL387" s="124"/>
      <c r="BM387" s="116"/>
      <c r="BN387" s="116"/>
      <c r="BO387" s="116"/>
      <c r="BP387" s="124"/>
      <c r="BQ387" s="116"/>
      <c r="BR387" s="116"/>
      <c r="BS387" s="116"/>
      <c r="BT387" s="116"/>
      <c r="BU387" s="116"/>
      <c r="BV387" s="187"/>
      <c r="BW387" s="125"/>
      <c r="BX387" s="97"/>
      <c r="BY387" s="246"/>
      <c r="BZ387" s="246"/>
      <c r="CA387" s="116"/>
      <c r="CB387" s="247"/>
      <c r="CC387" s="125"/>
      <c r="CD387" s="247"/>
      <c r="CE387" s="116"/>
      <c r="CF387" s="116"/>
      <c r="CG387" s="34"/>
      <c r="CH387" s="187"/>
      <c r="CI387" s="195"/>
      <c r="CJ387" s="187"/>
      <c r="CK387" s="246"/>
      <c r="CL387" s="246"/>
      <c r="CM387" s="116"/>
      <c r="CN387" s="247"/>
      <c r="CO387" s="125"/>
      <c r="CP387" s="247"/>
      <c r="CQ387" s="116"/>
      <c r="CR387" s="116"/>
      <c r="CS387" s="116"/>
      <c r="CT387" s="247"/>
      <c r="CU387" s="125"/>
      <c r="CV387" s="247"/>
      <c r="CW387" s="116"/>
      <c r="CX387" s="116"/>
      <c r="CY387" s="116"/>
      <c r="CZ387" s="102"/>
      <c r="DA387" s="125"/>
      <c r="DB387" s="102"/>
      <c r="DC387" s="31"/>
      <c r="DD387" s="17"/>
      <c r="DE387" s="11"/>
      <c r="DF387" s="116"/>
      <c r="DG387" s="116"/>
      <c r="DH387" s="116"/>
      <c r="DI387" s="116"/>
      <c r="DJ387" s="116"/>
      <c r="DK387" s="116"/>
      <c r="DL387" s="116"/>
      <c r="DM387" s="116"/>
      <c r="DN387" s="116"/>
      <c r="DO387" s="116"/>
      <c r="DP387" s="116"/>
      <c r="DQ387" s="116"/>
      <c r="DR387" s="116"/>
      <c r="DS387" s="116"/>
      <c r="DT387" s="116"/>
      <c r="DU387" s="116"/>
      <c r="DV387" s="116"/>
      <c r="DW387" s="116"/>
      <c r="DX387" s="116"/>
      <c r="DY387" s="116"/>
      <c r="DZ387" s="116"/>
      <c r="EA387" s="116"/>
      <c r="EB387" s="116"/>
      <c r="EC387" s="116"/>
      <c r="ED387" s="116"/>
      <c r="EE387" s="116"/>
      <c r="EF387" s="116"/>
      <c r="EG387" s="116"/>
      <c r="EH387" s="116"/>
      <c r="EI387" s="116"/>
      <c r="EJ387" s="116"/>
      <c r="EK387" s="116"/>
      <c r="EL387" s="116"/>
      <c r="EM387" s="116"/>
      <c r="EN387" s="116"/>
      <c r="EO387" s="116"/>
      <c r="EP387" s="116"/>
      <c r="EQ387" s="116"/>
      <c r="ER387" s="116"/>
      <c r="ES387" s="116"/>
      <c r="ET387" s="11"/>
      <c r="EU387" s="11"/>
      <c r="EV387" s="11"/>
      <c r="EW387" s="11"/>
      <c r="EX387" s="11"/>
      <c r="EY387" s="11"/>
      <c r="EZ387" s="11"/>
      <c r="FA387" s="11"/>
      <c r="FB387" s="11"/>
      <c r="FC387" s="11"/>
      <c r="FD387" s="11"/>
      <c r="FE387" s="11"/>
      <c r="FF387" s="11"/>
      <c r="FG387" s="11"/>
      <c r="FH387" s="17">
        <f t="shared" si="158"/>
        <v>156889.60000000001</v>
      </c>
      <c r="FI387" s="31">
        <f t="shared" si="159"/>
        <v>1</v>
      </c>
      <c r="FJ387" s="68">
        <f t="shared" si="160"/>
        <v>156889.60000000001</v>
      </c>
    </row>
    <row r="388" spans="1:166" ht="38.25" x14ac:dyDescent="0.25">
      <c r="A388" s="248">
        <f>Distribución_Reactivos!A388</f>
        <v>386</v>
      </c>
      <c r="B388" s="248" t="str">
        <f>Distribución_Reactivos!B388</f>
        <v>Suero de Referencia Positivo para Diarrea Viral Bovina (antígeno) tipo 2 Ref: 546 BDV</v>
      </c>
      <c r="C388" s="248" t="str">
        <f>Distribución_Reactivos!C388</f>
        <v>NVSL Ref 546 BDV</v>
      </c>
      <c r="D388" s="248" t="str">
        <f>Distribución_Reactivos!D388</f>
        <v>Frasco x 1 ml</v>
      </c>
      <c r="E388" s="29">
        <v>1</v>
      </c>
      <c r="F388" s="212">
        <v>0</v>
      </c>
      <c r="G388" s="214">
        <v>0</v>
      </c>
      <c r="H388" s="221">
        <v>0</v>
      </c>
      <c r="I388" s="221">
        <v>0</v>
      </c>
      <c r="J388" s="221">
        <v>491400</v>
      </c>
      <c r="K388" s="221">
        <v>0</v>
      </c>
      <c r="L388" s="247">
        <f>J388</f>
        <v>491400</v>
      </c>
      <c r="M388" s="247"/>
      <c r="N388" s="217"/>
      <c r="O388" s="97"/>
      <c r="P388" s="97"/>
      <c r="Q388" s="115"/>
      <c r="R388" s="115"/>
      <c r="S388" s="53"/>
      <c r="T388" s="97"/>
      <c r="U388" s="97"/>
      <c r="V388" s="97"/>
      <c r="W388" s="115"/>
      <c r="X388" s="115"/>
      <c r="Y388" s="11"/>
      <c r="Z388" s="97"/>
      <c r="AA388" s="97"/>
      <c r="AB388" s="97"/>
      <c r="AC388" s="44"/>
      <c r="AD388" s="44"/>
      <c r="AE388" s="11"/>
      <c r="AF388" s="102"/>
      <c r="AG388" s="125"/>
      <c r="AH388" s="97"/>
      <c r="AI388" s="11"/>
      <c r="AJ388" s="11"/>
      <c r="AK388" s="17"/>
      <c r="AL388" s="97"/>
      <c r="AM388" s="97"/>
      <c r="AN388" s="127"/>
      <c r="AO388" s="248"/>
      <c r="AP388" s="17"/>
      <c r="AQ388" s="17"/>
      <c r="AR388" s="252"/>
      <c r="AS388" s="252"/>
      <c r="AT388" s="252"/>
      <c r="AU388" s="52"/>
      <c r="AV388" s="52"/>
      <c r="AW388" s="11"/>
      <c r="AX388" s="100"/>
      <c r="AY388" s="174"/>
      <c r="AZ388" s="124"/>
      <c r="BA388" s="169"/>
      <c r="BB388" s="116"/>
      <c r="BC388" s="116"/>
      <c r="BD388" s="247"/>
      <c r="BE388" s="124"/>
      <c r="BF388" s="124"/>
      <c r="BG388" s="116"/>
      <c r="BH388" s="116"/>
      <c r="BI388" s="116"/>
      <c r="BJ388" s="124"/>
      <c r="BK388" s="124"/>
      <c r="BL388" s="124"/>
      <c r="BM388" s="116"/>
      <c r="BN388" s="116"/>
      <c r="BO388" s="116"/>
      <c r="BP388" s="124"/>
      <c r="BQ388" s="116"/>
      <c r="BR388" s="116"/>
      <c r="BS388" s="116"/>
      <c r="BT388" s="116"/>
      <c r="BU388" s="116"/>
      <c r="BV388" s="236">
        <v>310500</v>
      </c>
      <c r="BW388" s="125">
        <f>BV388*19%</f>
        <v>58995</v>
      </c>
      <c r="BX388" s="97">
        <f>+BV388+BW388</f>
        <v>369495</v>
      </c>
      <c r="BY388" s="237" t="s">
        <v>384</v>
      </c>
      <c r="BZ388" s="237" t="s">
        <v>374</v>
      </c>
      <c r="CA388" s="116"/>
      <c r="CB388" s="247"/>
      <c r="CC388" s="125"/>
      <c r="CD388" s="247"/>
      <c r="CE388" s="116"/>
      <c r="CF388" s="116"/>
      <c r="CG388" s="34"/>
      <c r="CH388" s="236">
        <v>326025</v>
      </c>
      <c r="CI388" s="238">
        <f>+CH388*0.19</f>
        <v>61944.75</v>
      </c>
      <c r="CJ388" s="236">
        <f>+CH388+CI388</f>
        <v>387969.75</v>
      </c>
      <c r="CK388" s="237" t="s">
        <v>384</v>
      </c>
      <c r="CL388" s="237" t="s">
        <v>374</v>
      </c>
      <c r="CM388" s="116"/>
      <c r="CN388" s="247"/>
      <c r="CO388" s="125"/>
      <c r="CP388" s="247"/>
      <c r="CQ388" s="116"/>
      <c r="CR388" s="116"/>
      <c r="CS388" s="116"/>
      <c r="CT388" s="247"/>
      <c r="CU388" s="125"/>
      <c r="CV388" s="247"/>
      <c r="CW388" s="116"/>
      <c r="CX388" s="116"/>
      <c r="CY388" s="116"/>
      <c r="CZ388" s="102"/>
      <c r="DA388" s="125"/>
      <c r="DB388" s="102"/>
      <c r="DC388" s="31"/>
      <c r="DD388" s="17"/>
      <c r="DE388" s="11"/>
      <c r="DF388" s="116"/>
      <c r="DG388" s="116"/>
      <c r="DH388" s="116"/>
      <c r="DI388" s="116"/>
      <c r="DJ388" s="116"/>
      <c r="DK388" s="116"/>
      <c r="DL388" s="116"/>
      <c r="DM388" s="116"/>
      <c r="DN388" s="116"/>
      <c r="DO388" s="116"/>
      <c r="DP388" s="116"/>
      <c r="DQ388" s="116"/>
      <c r="DR388" s="116"/>
      <c r="DS388" s="116"/>
      <c r="DT388" s="116"/>
      <c r="DU388" s="116"/>
      <c r="DV388" s="116"/>
      <c r="DW388" s="116"/>
      <c r="DX388" s="116"/>
      <c r="DY388" s="116"/>
      <c r="DZ388" s="116"/>
      <c r="EA388" s="116"/>
      <c r="EB388" s="116"/>
      <c r="EC388" s="116"/>
      <c r="ED388" s="116"/>
      <c r="EE388" s="116"/>
      <c r="EF388" s="116"/>
      <c r="EG388" s="116"/>
      <c r="EH388" s="116"/>
      <c r="EI388" s="116"/>
      <c r="EJ388" s="116"/>
      <c r="EK388" s="116"/>
      <c r="EL388" s="116"/>
      <c r="EM388" s="116"/>
      <c r="EN388" s="116"/>
      <c r="EO388" s="116"/>
      <c r="EP388" s="116"/>
      <c r="EQ388" s="116"/>
      <c r="ER388" s="116"/>
      <c r="ES388" s="116"/>
      <c r="ET388" s="11"/>
      <c r="EU388" s="11"/>
      <c r="EV388" s="11"/>
      <c r="EW388" s="11"/>
      <c r="EX388" s="11"/>
      <c r="EY388" s="11"/>
      <c r="EZ388" s="11"/>
      <c r="FA388" s="11"/>
      <c r="FB388" s="11"/>
      <c r="FC388" s="11"/>
      <c r="FD388" s="11"/>
      <c r="FE388" s="11"/>
      <c r="FF388" s="11"/>
      <c r="FG388" s="11"/>
      <c r="FH388" s="17">
        <f t="shared" si="158"/>
        <v>757464.75</v>
      </c>
      <c r="FI388" s="31">
        <f t="shared" si="159"/>
        <v>2</v>
      </c>
      <c r="FJ388" s="68">
        <f t="shared" si="160"/>
        <v>378732.375</v>
      </c>
    </row>
    <row r="389" spans="1:166" ht="25.5" x14ac:dyDescent="0.25">
      <c r="A389" s="248">
        <f>Distribución_Reactivos!A389</f>
        <v>387</v>
      </c>
      <c r="B389" s="248" t="str">
        <f>Distribución_Reactivos!B389</f>
        <v>Suero de Referencia Positivo Fuerte para Leucosis Enzoótica Bovina</v>
      </c>
      <c r="C389" s="248" t="str">
        <f>Distribución_Reactivos!C389</f>
        <v>NVSL</v>
      </c>
      <c r="D389" s="248" t="str">
        <f>Distribución_Reactivos!D389</f>
        <v>Frasco x 1 ml</v>
      </c>
      <c r="E389" s="29">
        <v>1</v>
      </c>
      <c r="F389" s="212">
        <v>0</v>
      </c>
      <c r="G389" s="214">
        <v>0</v>
      </c>
      <c r="H389" s="221">
        <v>0</v>
      </c>
      <c r="I389" s="221">
        <v>0</v>
      </c>
      <c r="J389" s="221">
        <v>491400</v>
      </c>
      <c r="K389" s="221">
        <v>0</v>
      </c>
      <c r="L389" s="247">
        <f>J389</f>
        <v>491400</v>
      </c>
      <c r="M389" s="247"/>
      <c r="N389" s="217"/>
      <c r="O389" s="97"/>
      <c r="P389" s="97"/>
      <c r="Q389" s="115"/>
      <c r="R389" s="115"/>
      <c r="S389" s="53"/>
      <c r="T389" s="97"/>
      <c r="U389" s="97"/>
      <c r="V389" s="97"/>
      <c r="W389" s="115"/>
      <c r="X389" s="115"/>
      <c r="Y389" s="11"/>
      <c r="Z389" s="97"/>
      <c r="AA389" s="97"/>
      <c r="AB389" s="97"/>
      <c r="AC389" s="44"/>
      <c r="AD389" s="44"/>
      <c r="AE389" s="11"/>
      <c r="AF389" s="102"/>
      <c r="AG389" s="125"/>
      <c r="AH389" s="97"/>
      <c r="AI389" s="11"/>
      <c r="AJ389" s="249"/>
      <c r="AK389" s="17"/>
      <c r="AL389" s="97"/>
      <c r="AM389" s="97"/>
      <c r="AN389" s="127"/>
      <c r="AO389" s="248"/>
      <c r="AP389" s="17"/>
      <c r="AQ389" s="17"/>
      <c r="AR389" s="252"/>
      <c r="AS389" s="252"/>
      <c r="AT389" s="252"/>
      <c r="AU389" s="52"/>
      <c r="AV389" s="52"/>
      <c r="AW389" s="11"/>
      <c r="AX389" s="100"/>
      <c r="AY389" s="174"/>
      <c r="AZ389" s="124"/>
      <c r="BA389" s="169"/>
      <c r="BB389" s="116"/>
      <c r="BC389" s="116"/>
      <c r="BD389" s="247"/>
      <c r="BE389" s="124"/>
      <c r="BF389" s="124"/>
      <c r="BG389" s="116"/>
      <c r="BH389" s="116"/>
      <c r="BI389" s="116"/>
      <c r="BJ389" s="124"/>
      <c r="BK389" s="124"/>
      <c r="BL389" s="124"/>
      <c r="BM389" s="116"/>
      <c r="BN389" s="116"/>
      <c r="BO389" s="116"/>
      <c r="BP389" s="124"/>
      <c r="BQ389" s="116"/>
      <c r="BR389" s="116"/>
      <c r="BS389" s="249"/>
      <c r="BT389" s="17"/>
      <c r="BU389" s="17"/>
      <c r="BV389" s="236">
        <v>333000</v>
      </c>
      <c r="BW389" s="125">
        <f>BV389*19%</f>
        <v>63270</v>
      </c>
      <c r="BX389" s="97">
        <f>+BV389+BW389</f>
        <v>396270</v>
      </c>
      <c r="BY389" s="237" t="s">
        <v>384</v>
      </c>
      <c r="BZ389" s="237" t="s">
        <v>374</v>
      </c>
      <c r="CA389" s="116"/>
      <c r="CB389" s="247"/>
      <c r="CC389" s="125"/>
      <c r="CD389" s="247"/>
      <c r="CE389" s="116"/>
      <c r="CF389" s="116"/>
      <c r="CG389" s="116"/>
      <c r="CH389" s="236">
        <v>342990</v>
      </c>
      <c r="CI389" s="238">
        <f>+CH389*0.19</f>
        <v>65168.1</v>
      </c>
      <c r="CJ389" s="236">
        <f>+CH389+CI389</f>
        <v>408158.1</v>
      </c>
      <c r="CK389" s="237" t="s">
        <v>384</v>
      </c>
      <c r="CL389" s="237" t="s">
        <v>374</v>
      </c>
      <c r="CM389" s="116"/>
      <c r="CN389" s="247"/>
      <c r="CO389" s="125"/>
      <c r="CP389" s="247"/>
      <c r="CQ389" s="116"/>
      <c r="CR389" s="116"/>
      <c r="CS389" s="116"/>
      <c r="CT389" s="247"/>
      <c r="CU389" s="125"/>
      <c r="CV389" s="247"/>
      <c r="CW389" s="116"/>
      <c r="CX389" s="116"/>
      <c r="CY389" s="116"/>
      <c r="CZ389" s="102"/>
      <c r="DA389" s="125"/>
      <c r="DB389" s="102"/>
      <c r="DC389" s="31"/>
      <c r="DD389" s="17"/>
      <c r="DE389" s="11"/>
      <c r="DF389" s="116"/>
      <c r="DG389" s="116"/>
      <c r="DH389" s="116"/>
      <c r="DI389" s="116"/>
      <c r="DJ389" s="116"/>
      <c r="DK389" s="116"/>
      <c r="DL389" s="116"/>
      <c r="DM389" s="116"/>
      <c r="DN389" s="116"/>
      <c r="DO389" s="116"/>
      <c r="DP389" s="116"/>
      <c r="DQ389" s="116"/>
      <c r="DR389" s="116"/>
      <c r="DS389" s="116"/>
      <c r="DT389" s="116"/>
      <c r="DU389" s="116"/>
      <c r="DV389" s="116"/>
      <c r="DW389" s="116"/>
      <c r="DX389" s="116"/>
      <c r="DY389" s="116"/>
      <c r="DZ389" s="116"/>
      <c r="EA389" s="116"/>
      <c r="EB389" s="116"/>
      <c r="EC389" s="116"/>
      <c r="ED389" s="116"/>
      <c r="EE389" s="116"/>
      <c r="EF389" s="116"/>
      <c r="EG389" s="116"/>
      <c r="EH389" s="116"/>
      <c r="EI389" s="116"/>
      <c r="EJ389" s="116"/>
      <c r="EK389" s="116"/>
      <c r="EL389" s="116"/>
      <c r="EM389" s="116"/>
      <c r="EN389" s="116"/>
      <c r="EO389" s="116"/>
      <c r="EP389" s="116"/>
      <c r="EQ389" s="116"/>
      <c r="ER389" s="116"/>
      <c r="ES389" s="116"/>
      <c r="ET389" s="11"/>
      <c r="EU389" s="11"/>
      <c r="EV389" s="11"/>
      <c r="EW389" s="11"/>
      <c r="EX389" s="11"/>
      <c r="EY389" s="11"/>
      <c r="EZ389" s="11"/>
      <c r="FA389" s="11"/>
      <c r="FB389" s="11"/>
      <c r="FC389" s="11"/>
      <c r="FD389" s="11"/>
      <c r="FE389" s="11"/>
      <c r="FF389" s="11"/>
      <c r="FG389" s="11"/>
      <c r="FH389" s="17">
        <f t="shared" si="158"/>
        <v>804428.1</v>
      </c>
      <c r="FI389" s="31">
        <f t="shared" si="159"/>
        <v>2</v>
      </c>
      <c r="FJ389" s="68">
        <f t="shared" si="160"/>
        <v>402214.05</v>
      </c>
    </row>
    <row r="390" spans="1:166" ht="25.5" x14ac:dyDescent="0.25">
      <c r="A390" s="248">
        <f>Distribución_Reactivos!A390</f>
        <v>388</v>
      </c>
      <c r="B390" s="248" t="str">
        <f>Distribución_Reactivos!B390</f>
        <v>Suero de Referencia Positivo para Mycobacterium paratuberculoso</v>
      </c>
      <c r="C390" s="248" t="str">
        <f>Distribución_Reactivos!C390</f>
        <v>NVSL</v>
      </c>
      <c r="D390" s="248" t="str">
        <f>Distribución_Reactivos!D390</f>
        <v>Frasco x 1 ml</v>
      </c>
      <c r="E390" s="29">
        <v>1</v>
      </c>
      <c r="F390" s="212">
        <v>480000</v>
      </c>
      <c r="G390" s="214">
        <v>480000</v>
      </c>
      <c r="H390" s="221">
        <v>788638.38666666672</v>
      </c>
      <c r="I390" s="221">
        <v>0</v>
      </c>
      <c r="J390" s="221">
        <v>504000</v>
      </c>
      <c r="K390" s="221">
        <v>491470</v>
      </c>
      <c r="L390" s="247">
        <f t="shared" ref="L390:L397" si="161">AVERAGE(F390,H390,J390)</f>
        <v>590879.46222222224</v>
      </c>
      <c r="M390" s="247">
        <f>AVERAGE(G390,K390)*E1</f>
        <v>500307.05</v>
      </c>
      <c r="N390" s="217"/>
      <c r="O390" s="97"/>
      <c r="P390" s="97"/>
      <c r="Q390" s="115"/>
      <c r="R390" s="115"/>
      <c r="S390" s="53"/>
      <c r="T390" s="97"/>
      <c r="U390" s="97"/>
      <c r="V390" s="97"/>
      <c r="W390" s="115"/>
      <c r="X390" s="115"/>
      <c r="Y390" s="11"/>
      <c r="Z390" s="97"/>
      <c r="AA390" s="97"/>
      <c r="AB390" s="97"/>
      <c r="AC390" s="44"/>
      <c r="AD390" s="44"/>
      <c r="AE390" s="11"/>
      <c r="AF390" s="102"/>
      <c r="AG390" s="125"/>
      <c r="AH390" s="97"/>
      <c r="AI390" s="11"/>
      <c r="AJ390" s="11"/>
      <c r="AK390" s="17"/>
      <c r="AL390" s="97"/>
      <c r="AM390" s="97"/>
      <c r="AN390" s="101"/>
      <c r="AO390" s="248"/>
      <c r="AP390" s="17"/>
      <c r="AQ390" s="17"/>
      <c r="AR390" s="252"/>
      <c r="AS390" s="252"/>
      <c r="AT390" s="252"/>
      <c r="AU390" s="52"/>
      <c r="AV390" s="52"/>
      <c r="AW390" s="11"/>
      <c r="AX390" s="100"/>
      <c r="AY390" s="174"/>
      <c r="AZ390" s="124"/>
      <c r="BA390" s="169"/>
      <c r="BB390" s="116"/>
      <c r="BC390" s="116"/>
      <c r="BD390" s="247"/>
      <c r="BE390" s="247"/>
      <c r="BF390" s="247"/>
      <c r="BG390" s="247"/>
      <c r="BH390" s="116"/>
      <c r="BI390" s="116"/>
      <c r="BJ390" s="124"/>
      <c r="BK390" s="124"/>
      <c r="BL390" s="124"/>
      <c r="BM390" s="116"/>
      <c r="BN390" s="116"/>
      <c r="BO390" s="116"/>
      <c r="BP390" s="124"/>
      <c r="BQ390" s="116"/>
      <c r="BR390" s="116"/>
      <c r="BS390" s="116"/>
      <c r="BT390" s="116"/>
      <c r="BU390" s="116"/>
      <c r="BV390" s="236">
        <v>759000</v>
      </c>
      <c r="BW390" s="125">
        <f>BV390*19%</f>
        <v>144210</v>
      </c>
      <c r="BX390" s="97">
        <f>+BV390+BW390</f>
        <v>903210</v>
      </c>
      <c r="BY390" s="237" t="s">
        <v>384</v>
      </c>
      <c r="BZ390" s="237" t="s">
        <v>374</v>
      </c>
      <c r="CA390" s="116"/>
      <c r="CB390" s="247"/>
      <c r="CC390" s="125"/>
      <c r="CD390" s="247"/>
      <c r="CE390" s="116"/>
      <c r="CF390" s="116"/>
      <c r="CG390" s="116"/>
      <c r="CH390" s="236">
        <v>781770</v>
      </c>
      <c r="CI390" s="238">
        <f>+CH390*0.19</f>
        <v>148536.29999999999</v>
      </c>
      <c r="CJ390" s="236">
        <f>+CH390+CI390</f>
        <v>930306.3</v>
      </c>
      <c r="CK390" s="237" t="s">
        <v>384</v>
      </c>
      <c r="CL390" s="237" t="s">
        <v>374</v>
      </c>
      <c r="CM390" s="116"/>
      <c r="CN390" s="247"/>
      <c r="CO390" s="125"/>
      <c r="CP390" s="247"/>
      <c r="CQ390" s="116"/>
      <c r="CR390" s="116"/>
      <c r="CS390" s="116"/>
      <c r="CT390" s="247"/>
      <c r="CU390" s="125"/>
      <c r="CV390" s="247"/>
      <c r="CW390" s="116"/>
      <c r="CX390" s="116"/>
      <c r="CY390" s="116"/>
      <c r="CZ390" s="102"/>
      <c r="DA390" s="125"/>
      <c r="DB390" s="102"/>
      <c r="DC390" s="31"/>
      <c r="DD390" s="17"/>
      <c r="DE390" s="11"/>
      <c r="DF390" s="116"/>
      <c r="DG390" s="116"/>
      <c r="DH390" s="116"/>
      <c r="DI390" s="116"/>
      <c r="DJ390" s="116"/>
      <c r="DK390" s="116"/>
      <c r="DL390" s="116"/>
      <c r="DM390" s="116"/>
      <c r="DN390" s="116"/>
      <c r="DO390" s="116"/>
      <c r="DP390" s="116"/>
      <c r="DQ390" s="116"/>
      <c r="DR390" s="116"/>
      <c r="DS390" s="116"/>
      <c r="DT390" s="116"/>
      <c r="DU390" s="116"/>
      <c r="DV390" s="116"/>
      <c r="DW390" s="116"/>
      <c r="DX390" s="116"/>
      <c r="DY390" s="116"/>
      <c r="DZ390" s="116"/>
      <c r="EA390" s="116"/>
      <c r="EB390" s="116"/>
      <c r="EC390" s="116"/>
      <c r="ED390" s="116"/>
      <c r="EE390" s="116"/>
      <c r="EF390" s="116"/>
      <c r="EG390" s="116"/>
      <c r="EH390" s="116"/>
      <c r="EI390" s="116"/>
      <c r="EJ390" s="116"/>
      <c r="EK390" s="116"/>
      <c r="EL390" s="116"/>
      <c r="EM390" s="116"/>
      <c r="EN390" s="116"/>
      <c r="EO390" s="116"/>
      <c r="EP390" s="116"/>
      <c r="EQ390" s="116"/>
      <c r="ER390" s="116"/>
      <c r="ES390" s="116"/>
      <c r="ET390" s="11"/>
      <c r="EU390" s="11"/>
      <c r="EV390" s="11"/>
      <c r="EW390" s="11"/>
      <c r="EX390" s="11"/>
      <c r="EY390" s="11"/>
      <c r="EZ390" s="11"/>
      <c r="FA390" s="11"/>
      <c r="FB390" s="11"/>
      <c r="FC390" s="11"/>
      <c r="FD390" s="11"/>
      <c r="FE390" s="11"/>
      <c r="FF390" s="11"/>
      <c r="FG390" s="11"/>
      <c r="FH390" s="17">
        <f t="shared" si="158"/>
        <v>2333823.35</v>
      </c>
      <c r="FI390" s="31">
        <f t="shared" si="159"/>
        <v>3</v>
      </c>
      <c r="FJ390" s="68">
        <f t="shared" si="160"/>
        <v>777941.1166666667</v>
      </c>
    </row>
    <row r="391" spans="1:166" ht="25.5" x14ac:dyDescent="0.25">
      <c r="A391" s="248">
        <f>Distribución_Reactivos!A391</f>
        <v>389</v>
      </c>
      <c r="B391" s="248" t="str">
        <f>Distribución_Reactivos!B391</f>
        <v>Suero de Referencia Positivo para Rinotraqueitis Infecciosa Bovina</v>
      </c>
      <c r="C391" s="248" t="str">
        <f>Distribución_Reactivos!C391</f>
        <v>NVSL</v>
      </c>
      <c r="D391" s="248" t="str">
        <f>Distribución_Reactivos!D391</f>
        <v>Frasco x 1 ml</v>
      </c>
      <c r="E391" s="29">
        <v>1</v>
      </c>
      <c r="F391" s="212">
        <v>571200</v>
      </c>
      <c r="G391" s="214">
        <v>556920</v>
      </c>
      <c r="H391" s="221">
        <v>438158</v>
      </c>
      <c r="I391" s="221">
        <v>0</v>
      </c>
      <c r="J391" s="221">
        <v>584766</v>
      </c>
      <c r="K391" s="221">
        <v>0</v>
      </c>
      <c r="L391" s="247">
        <f t="shared" si="161"/>
        <v>531374.66666666663</v>
      </c>
      <c r="M391" s="247">
        <f>G391*E1</f>
        <v>573627.6</v>
      </c>
      <c r="N391" s="217"/>
      <c r="O391" s="97"/>
      <c r="P391" s="97"/>
      <c r="Q391" s="115"/>
      <c r="R391" s="115"/>
      <c r="S391" s="53"/>
      <c r="T391" s="97"/>
      <c r="U391" s="97"/>
      <c r="V391" s="97"/>
      <c r="W391" s="115"/>
      <c r="X391" s="115"/>
      <c r="Y391" s="11"/>
      <c r="Z391" s="97"/>
      <c r="AA391" s="97"/>
      <c r="AB391" s="97"/>
      <c r="AC391" s="44"/>
      <c r="AD391" s="44"/>
      <c r="AE391" s="11"/>
      <c r="AF391" s="102"/>
      <c r="AG391" s="125"/>
      <c r="AH391" s="97"/>
      <c r="AI391" s="11"/>
      <c r="AJ391" s="249"/>
      <c r="AK391" s="17"/>
      <c r="AL391" s="97"/>
      <c r="AM391" s="97"/>
      <c r="AN391" s="127"/>
      <c r="AO391" s="248"/>
      <c r="AP391" s="17"/>
      <c r="AQ391" s="17"/>
      <c r="AR391" s="252"/>
      <c r="AS391" s="252"/>
      <c r="AT391" s="252"/>
      <c r="AU391" s="52"/>
      <c r="AV391" s="52"/>
      <c r="AW391" s="11"/>
      <c r="AX391" s="100"/>
      <c r="AY391" s="174"/>
      <c r="AZ391" s="124"/>
      <c r="BA391" s="169"/>
      <c r="BB391" s="116"/>
      <c r="BC391" s="116"/>
      <c r="BD391" s="247"/>
      <c r="BE391" s="124"/>
      <c r="BF391" s="124"/>
      <c r="BG391" s="116"/>
      <c r="BH391" s="116"/>
      <c r="BI391" s="116"/>
      <c r="BJ391" s="124"/>
      <c r="BK391" s="124"/>
      <c r="BL391" s="124"/>
      <c r="BM391" s="116"/>
      <c r="BN391" s="116"/>
      <c r="BO391" s="116"/>
      <c r="BP391" s="124"/>
      <c r="BQ391" s="116"/>
      <c r="BR391" s="116"/>
      <c r="BS391" s="249"/>
      <c r="BT391" s="17"/>
      <c r="BU391" s="17"/>
      <c r="BV391" s="236">
        <v>333000</v>
      </c>
      <c r="BW391" s="125">
        <f>BV391*19%</f>
        <v>63270</v>
      </c>
      <c r="BX391" s="97">
        <f>+BV391+BW391</f>
        <v>396270</v>
      </c>
      <c r="BY391" s="237" t="s">
        <v>384</v>
      </c>
      <c r="BZ391" s="237" t="s">
        <v>374</v>
      </c>
      <c r="CA391" s="116"/>
      <c r="CB391" s="247"/>
      <c r="CC391" s="125"/>
      <c r="CD391" s="247"/>
      <c r="CE391" s="116"/>
      <c r="CF391" s="116"/>
      <c r="CG391" s="116"/>
      <c r="CH391" s="236">
        <v>336330</v>
      </c>
      <c r="CI391" s="238">
        <f>+CH391*0.19</f>
        <v>63902.700000000004</v>
      </c>
      <c r="CJ391" s="236">
        <f>+CH391+CI391</f>
        <v>400232.7</v>
      </c>
      <c r="CK391" s="237" t="s">
        <v>384</v>
      </c>
      <c r="CL391" s="237" t="s">
        <v>374</v>
      </c>
      <c r="CM391" s="116"/>
      <c r="CN391" s="247"/>
      <c r="CO391" s="125"/>
      <c r="CP391" s="247"/>
      <c r="CQ391" s="116"/>
      <c r="CR391" s="116"/>
      <c r="CS391" s="116"/>
      <c r="CT391" s="247"/>
      <c r="CU391" s="125"/>
      <c r="CV391" s="247"/>
      <c r="CW391" s="116"/>
      <c r="CX391" s="116"/>
      <c r="CY391" s="116"/>
      <c r="CZ391" s="102"/>
      <c r="DA391" s="125"/>
      <c r="DB391" s="102"/>
      <c r="DC391" s="31"/>
      <c r="DD391" s="17"/>
      <c r="DE391" s="11"/>
      <c r="DF391" s="116"/>
      <c r="DG391" s="116"/>
      <c r="DH391" s="116"/>
      <c r="DI391" s="116"/>
      <c r="DJ391" s="116"/>
      <c r="DK391" s="116"/>
      <c r="DL391" s="116"/>
      <c r="DM391" s="116"/>
      <c r="DN391" s="116"/>
      <c r="DO391" s="116"/>
      <c r="DP391" s="116"/>
      <c r="DQ391" s="116"/>
      <c r="DR391" s="116"/>
      <c r="DS391" s="116"/>
      <c r="DT391" s="116"/>
      <c r="DU391" s="116"/>
      <c r="DV391" s="116"/>
      <c r="DW391" s="116"/>
      <c r="DX391" s="116"/>
      <c r="DY391" s="116"/>
      <c r="DZ391" s="116"/>
      <c r="EA391" s="116"/>
      <c r="EB391" s="116"/>
      <c r="EC391" s="116"/>
      <c r="ED391" s="116"/>
      <c r="EE391" s="116"/>
      <c r="EF391" s="116"/>
      <c r="EG391" s="116"/>
      <c r="EH391" s="116"/>
      <c r="EI391" s="116"/>
      <c r="EJ391" s="116"/>
      <c r="EK391" s="116"/>
      <c r="EL391" s="116"/>
      <c r="EM391" s="116"/>
      <c r="EN391" s="116"/>
      <c r="EO391" s="116"/>
      <c r="EP391" s="116"/>
      <c r="EQ391" s="116"/>
      <c r="ER391" s="116"/>
      <c r="ES391" s="116"/>
      <c r="ET391" s="11"/>
      <c r="EU391" s="11"/>
      <c r="EV391" s="11"/>
      <c r="EW391" s="11"/>
      <c r="EX391" s="11"/>
      <c r="EY391" s="11"/>
      <c r="EZ391" s="11"/>
      <c r="FA391" s="11"/>
      <c r="FB391" s="11"/>
      <c r="FC391" s="11"/>
      <c r="FD391" s="11"/>
      <c r="FE391" s="11"/>
      <c r="FF391" s="11"/>
      <c r="FG391" s="11"/>
      <c r="FH391" s="17">
        <f t="shared" si="158"/>
        <v>1370130.3</v>
      </c>
      <c r="FI391" s="31">
        <f t="shared" si="159"/>
        <v>3</v>
      </c>
      <c r="FJ391" s="68">
        <f t="shared" si="160"/>
        <v>456710.10000000003</v>
      </c>
    </row>
    <row r="392" spans="1:166" ht="27" x14ac:dyDescent="0.25">
      <c r="A392" s="248">
        <f>Distribución_Reactivos!A392</f>
        <v>390</v>
      </c>
      <c r="B392" s="248" t="str">
        <f>Distribución_Reactivos!B392</f>
        <v>Suero Equino Estéril</v>
      </c>
      <c r="C392" s="248" t="str">
        <f>Distribución_Reactivos!C392</f>
        <v>Sigma</v>
      </c>
      <c r="D392" s="248" t="str">
        <f>Distribución_Reactivos!D392</f>
        <v>Frasco x 500 ml</v>
      </c>
      <c r="E392" s="29">
        <v>1</v>
      </c>
      <c r="F392" s="212">
        <v>750000</v>
      </c>
      <c r="G392" s="214">
        <v>0</v>
      </c>
      <c r="H392" s="221">
        <v>923112.75</v>
      </c>
      <c r="I392" s="221">
        <v>0</v>
      </c>
      <c r="J392" s="221">
        <v>470500</v>
      </c>
      <c r="K392" s="221">
        <v>0</v>
      </c>
      <c r="L392" s="247">
        <f t="shared" si="161"/>
        <v>714537.58333333337</v>
      </c>
      <c r="M392" s="247"/>
      <c r="N392" s="217"/>
      <c r="O392" s="97"/>
      <c r="P392" s="97"/>
      <c r="Q392" s="115"/>
      <c r="R392" s="115"/>
      <c r="S392" s="53"/>
      <c r="T392" s="97"/>
      <c r="U392" s="97"/>
      <c r="V392" s="97"/>
      <c r="W392" s="115"/>
      <c r="X392" s="115"/>
      <c r="Y392" s="11"/>
      <c r="Z392" s="97"/>
      <c r="AA392" s="97"/>
      <c r="AB392" s="97"/>
      <c r="AC392" s="44"/>
      <c r="AD392" s="44"/>
      <c r="AE392" s="11"/>
      <c r="AF392" s="102"/>
      <c r="AG392" s="125"/>
      <c r="AH392" s="97"/>
      <c r="AI392" s="11"/>
      <c r="AJ392" s="11"/>
      <c r="AK392" s="17"/>
      <c r="AL392" s="97"/>
      <c r="AM392" s="97"/>
      <c r="AN392" s="101"/>
      <c r="AO392" s="248"/>
      <c r="AP392" s="17"/>
      <c r="AQ392" s="17"/>
      <c r="AR392" s="252"/>
      <c r="AS392" s="252"/>
      <c r="AT392" s="252"/>
      <c r="AU392" s="52"/>
      <c r="AV392" s="52"/>
      <c r="AW392" s="11"/>
      <c r="AX392" s="100"/>
      <c r="AY392" s="172"/>
      <c r="AZ392" s="124"/>
      <c r="BA392" s="169"/>
      <c r="BB392" s="116"/>
      <c r="BC392" s="116"/>
      <c r="BD392" s="247"/>
      <c r="BE392" s="124"/>
      <c r="BF392" s="124"/>
      <c r="BG392" s="116"/>
      <c r="BH392" s="116"/>
      <c r="BI392" s="116"/>
      <c r="BJ392" s="124"/>
      <c r="BK392" s="124"/>
      <c r="BL392" s="124"/>
      <c r="BM392" s="116"/>
      <c r="BN392" s="116"/>
      <c r="BO392" s="116"/>
      <c r="BP392" s="124"/>
      <c r="BQ392" s="116"/>
      <c r="BR392" s="116"/>
      <c r="BS392" s="116"/>
      <c r="BT392" s="116"/>
      <c r="BU392" s="116"/>
      <c r="BV392" s="236">
        <v>405100</v>
      </c>
      <c r="BW392" s="125">
        <f>BV392*19%</f>
        <v>76969</v>
      </c>
      <c r="BX392" s="97">
        <f>+BV392+BW392</f>
        <v>482069</v>
      </c>
      <c r="BY392" s="237" t="s">
        <v>339</v>
      </c>
      <c r="BZ392" s="237" t="s">
        <v>434</v>
      </c>
      <c r="CA392" s="116"/>
      <c r="CB392" s="247"/>
      <c r="CC392" s="125"/>
      <c r="CD392" s="247"/>
      <c r="CE392" s="116"/>
      <c r="CF392" s="116"/>
      <c r="CG392" s="116"/>
      <c r="CH392" s="236">
        <v>409151</v>
      </c>
      <c r="CI392" s="238">
        <f>+CH392*0.19</f>
        <v>77738.69</v>
      </c>
      <c r="CJ392" s="236">
        <f>+CH392+CI392</f>
        <v>486889.69</v>
      </c>
      <c r="CK392" s="237" t="s">
        <v>339</v>
      </c>
      <c r="CL392" s="237" t="s">
        <v>434</v>
      </c>
      <c r="CM392" s="116"/>
      <c r="CN392" s="247"/>
      <c r="CO392" s="125"/>
      <c r="CP392" s="247"/>
      <c r="CQ392" s="116"/>
      <c r="CR392" s="116"/>
      <c r="CS392" s="116"/>
      <c r="CT392" s="247"/>
      <c r="CU392" s="125"/>
      <c r="CV392" s="247"/>
      <c r="CW392" s="116"/>
      <c r="CX392" s="116"/>
      <c r="CY392" s="116"/>
      <c r="CZ392" s="102"/>
      <c r="DA392" s="125"/>
      <c r="DB392" s="102"/>
      <c r="DC392" s="31"/>
      <c r="DD392" s="17"/>
      <c r="DE392" s="11"/>
      <c r="DF392" s="116"/>
      <c r="DG392" s="116"/>
      <c r="DH392" s="116"/>
      <c r="DI392" s="116"/>
      <c r="DJ392" s="116"/>
      <c r="DK392" s="116"/>
      <c r="DL392" s="116"/>
      <c r="DM392" s="116"/>
      <c r="DN392" s="116"/>
      <c r="DO392" s="116"/>
      <c r="DP392" s="116"/>
      <c r="DQ392" s="116"/>
      <c r="DR392" s="116"/>
      <c r="DS392" s="116"/>
      <c r="DT392" s="116"/>
      <c r="DU392" s="116"/>
      <c r="DV392" s="116"/>
      <c r="DW392" s="116"/>
      <c r="DX392" s="116"/>
      <c r="DY392" s="116"/>
      <c r="DZ392" s="116"/>
      <c r="EA392" s="116"/>
      <c r="EB392" s="116"/>
      <c r="EC392" s="116"/>
      <c r="ED392" s="116"/>
      <c r="EE392" s="116"/>
      <c r="EF392" s="116"/>
      <c r="EG392" s="116"/>
      <c r="EH392" s="116"/>
      <c r="EI392" s="116"/>
      <c r="EJ392" s="116"/>
      <c r="EK392" s="116"/>
      <c r="EL392" s="116"/>
      <c r="EM392" s="116"/>
      <c r="EN392" s="116"/>
      <c r="EO392" s="116"/>
      <c r="EP392" s="116"/>
      <c r="EQ392" s="116"/>
      <c r="ER392" s="116"/>
      <c r="ES392" s="116"/>
      <c r="ET392" s="11"/>
      <c r="EU392" s="11"/>
      <c r="EV392" s="11"/>
      <c r="EW392" s="11"/>
      <c r="EX392" s="11"/>
      <c r="EY392" s="11"/>
      <c r="EZ392" s="11"/>
      <c r="FA392" s="11"/>
      <c r="FB392" s="11"/>
      <c r="FC392" s="11"/>
      <c r="FD392" s="11"/>
      <c r="FE392" s="11"/>
      <c r="FF392" s="11"/>
      <c r="FG392" s="11"/>
      <c r="FH392" s="17">
        <f t="shared" si="158"/>
        <v>968958.69</v>
      </c>
      <c r="FI392" s="31">
        <f t="shared" si="159"/>
        <v>2</v>
      </c>
      <c r="FJ392" s="68">
        <f t="shared" si="160"/>
        <v>484479.34499999997</v>
      </c>
    </row>
    <row r="393" spans="1:166" ht="38.25" x14ac:dyDescent="0.25">
      <c r="A393" s="248">
        <f>Distribución_Reactivos!A393</f>
        <v>391</v>
      </c>
      <c r="B393" s="248" t="str">
        <f>Distribución_Reactivos!B393</f>
        <v>Suero fetal bovino gamma irradiado número de referencia 12103C-500mll</v>
      </c>
      <c r="C393" s="248" t="str">
        <f>Distribución_Reactivos!C393</f>
        <v>Sigma</v>
      </c>
      <c r="D393" s="248" t="str">
        <f>Distribución_Reactivos!D393</f>
        <v>Frasco x 500 ml</v>
      </c>
      <c r="E393" s="29">
        <v>1</v>
      </c>
      <c r="F393" s="212">
        <v>2459766.6666666665</v>
      </c>
      <c r="G393" s="214">
        <v>2398200</v>
      </c>
      <c r="H393" s="221">
        <v>2819786.314683333</v>
      </c>
      <c r="I393" s="221">
        <v>2819705</v>
      </c>
      <c r="J393" s="221">
        <v>1889437.2728845999</v>
      </c>
      <c r="K393" s="221">
        <v>0</v>
      </c>
      <c r="L393" s="247">
        <f t="shared" si="161"/>
        <v>2389663.4180781995</v>
      </c>
      <c r="M393" s="247">
        <f>AVERAGE(G393,I393)*E1</f>
        <v>2687221.0750000002</v>
      </c>
      <c r="N393" s="218"/>
      <c r="O393" s="102"/>
      <c r="P393" s="102"/>
      <c r="Q393" s="44"/>
      <c r="R393" s="44"/>
      <c r="S393" s="5"/>
      <c r="T393" s="102"/>
      <c r="U393" s="102"/>
      <c r="V393" s="102"/>
      <c r="W393" s="11"/>
      <c r="X393" s="11"/>
      <c r="Y393" s="11"/>
      <c r="Z393" s="102"/>
      <c r="AA393" s="102"/>
      <c r="AB393" s="102"/>
      <c r="AC393" s="44"/>
      <c r="AD393" s="44"/>
      <c r="AE393" s="11"/>
      <c r="AF393" s="102"/>
      <c r="AG393" s="125"/>
      <c r="AH393" s="102"/>
      <c r="AI393" s="11"/>
      <c r="AJ393" s="11"/>
      <c r="AK393" s="11"/>
      <c r="AL393" s="102"/>
      <c r="AM393" s="102"/>
      <c r="AN393" s="102"/>
      <c r="AO393" s="248"/>
      <c r="AP393" s="11"/>
      <c r="AQ393" s="11"/>
      <c r="AR393" s="247"/>
      <c r="AS393" s="247"/>
      <c r="AT393" s="247"/>
      <c r="AU393" s="52"/>
      <c r="AV393" s="42"/>
      <c r="AW393" s="11"/>
      <c r="AX393" s="247"/>
      <c r="AY393" s="247"/>
      <c r="AZ393" s="247"/>
      <c r="BA393" s="11"/>
      <c r="BB393" s="11"/>
      <c r="BC393" s="11"/>
      <c r="BD393" s="247"/>
      <c r="BE393" s="247"/>
      <c r="BF393" s="247"/>
      <c r="BG393" s="11"/>
      <c r="BH393" s="11"/>
      <c r="BI393" s="11"/>
      <c r="BJ393" s="247"/>
      <c r="BK393" s="247"/>
      <c r="BL393" s="247"/>
      <c r="BM393" s="11"/>
      <c r="BN393" s="11"/>
      <c r="BO393" s="11"/>
      <c r="BP393" s="247">
        <v>2095662</v>
      </c>
      <c r="BQ393" s="125">
        <f>BP393*19%</f>
        <v>398175.78</v>
      </c>
      <c r="BR393" s="97">
        <f>+BP393+BQ393</f>
        <v>2493837.7800000003</v>
      </c>
      <c r="BS393" s="31" t="s">
        <v>144</v>
      </c>
      <c r="BT393" s="34" t="s">
        <v>435</v>
      </c>
      <c r="BU393" s="5" t="s">
        <v>436</v>
      </c>
      <c r="BV393" s="187"/>
      <c r="BW393" s="125"/>
      <c r="BX393" s="97"/>
      <c r="BY393" s="246"/>
      <c r="BZ393" s="246"/>
      <c r="CA393" s="11"/>
      <c r="CB393" s="247"/>
      <c r="CC393" s="125"/>
      <c r="CD393" s="247"/>
      <c r="CE393" s="11"/>
      <c r="CF393" s="11"/>
      <c r="CG393" s="11"/>
      <c r="CH393" s="187"/>
      <c r="CI393" s="195"/>
      <c r="CJ393" s="187"/>
      <c r="CK393" s="246"/>
      <c r="CL393" s="246"/>
      <c r="CM393" s="11"/>
      <c r="CN393" s="247"/>
      <c r="CO393" s="125"/>
      <c r="CP393" s="247"/>
      <c r="CQ393" s="11"/>
      <c r="CR393" s="11"/>
      <c r="CS393" s="11"/>
      <c r="CT393" s="247"/>
      <c r="CU393" s="125"/>
      <c r="CV393" s="247"/>
      <c r="CW393" s="11"/>
      <c r="CX393" s="11"/>
      <c r="CY393" s="11"/>
      <c r="CZ393" s="102"/>
      <c r="DA393" s="125"/>
      <c r="DB393" s="102"/>
      <c r="DC393" s="31"/>
      <c r="DD393" s="17"/>
      <c r="DE393" s="11"/>
      <c r="DF393" s="11"/>
      <c r="DG393" s="11"/>
      <c r="DH393" s="11"/>
      <c r="DI393" s="11"/>
      <c r="DJ393" s="11"/>
      <c r="DK393" s="11"/>
      <c r="DL393" s="11"/>
      <c r="DM393" s="11"/>
      <c r="DN393" s="11"/>
      <c r="DO393" s="11"/>
      <c r="DP393" s="11"/>
      <c r="DQ393" s="11"/>
      <c r="DR393" s="11"/>
      <c r="DS393" s="11"/>
      <c r="DT393" s="11"/>
      <c r="DU393" s="11"/>
      <c r="DV393" s="11"/>
      <c r="DW393" s="11"/>
      <c r="DX393" s="11"/>
      <c r="DY393" s="11"/>
      <c r="DZ393" s="11"/>
      <c r="EA393" s="11"/>
      <c r="EB393" s="17"/>
      <c r="EC393" s="17"/>
      <c r="ED393" s="17"/>
      <c r="EE393" s="11"/>
      <c r="EF393" s="11"/>
      <c r="EG393" s="17"/>
      <c r="EH393" s="17"/>
      <c r="EI393" s="32"/>
      <c r="EJ393" s="11"/>
      <c r="EK393" s="11"/>
      <c r="EL393" s="11"/>
      <c r="EM393" s="11"/>
      <c r="EN393" s="11"/>
      <c r="EO393" s="11"/>
      <c r="EP393" s="11"/>
      <c r="EQ393" s="17"/>
      <c r="ER393" s="17"/>
      <c r="ES393" s="17"/>
      <c r="ET393" s="11"/>
      <c r="EU393" s="11"/>
      <c r="EV393" s="17"/>
      <c r="EW393" s="17"/>
      <c r="EX393" s="37"/>
      <c r="EY393" s="37"/>
      <c r="EZ393" s="37"/>
      <c r="FA393" s="37"/>
      <c r="FB393" s="37"/>
      <c r="FC393" s="37"/>
      <c r="FD393" s="37"/>
      <c r="FE393" s="37"/>
      <c r="FF393" s="37"/>
      <c r="FG393" s="37"/>
      <c r="FH393" s="17">
        <f t="shared" si="158"/>
        <v>5181058.8550000004</v>
      </c>
      <c r="FI393" s="31">
        <f t="shared" si="159"/>
        <v>2</v>
      </c>
      <c r="FJ393" s="68">
        <f t="shared" si="160"/>
        <v>2590529.4275000002</v>
      </c>
    </row>
    <row r="394" spans="1:166" ht="13.5" x14ac:dyDescent="0.25">
      <c r="A394" s="248">
        <f>Distribución_Reactivos!A394</f>
        <v>392</v>
      </c>
      <c r="B394" s="248" t="str">
        <f>Distribución_Reactivos!B394</f>
        <v>Suero negativo para Brucelosis para FC</v>
      </c>
      <c r="C394" s="248" t="str">
        <f>Distribución_Reactivos!C394</f>
        <v>ID VET</v>
      </c>
      <c r="D394" s="248" t="str">
        <f>Distribución_Reactivos!D394</f>
        <v>Frasco x 1 ml</v>
      </c>
      <c r="E394" s="29">
        <v>1</v>
      </c>
      <c r="F394" s="212">
        <v>480000</v>
      </c>
      <c r="G394" s="214">
        <v>0</v>
      </c>
      <c r="H394" s="221">
        <v>590792.16</v>
      </c>
      <c r="I394" s="221">
        <v>0</v>
      </c>
      <c r="J394" s="221">
        <v>307000</v>
      </c>
      <c r="K394" s="221">
        <v>0</v>
      </c>
      <c r="L394" s="247">
        <f t="shared" si="161"/>
        <v>459264.0533333334</v>
      </c>
      <c r="M394" s="247"/>
      <c r="N394" s="217"/>
      <c r="O394" s="97"/>
      <c r="P394" s="97"/>
      <c r="Q394" s="115"/>
      <c r="R394" s="115"/>
      <c r="S394" s="53"/>
      <c r="T394" s="97"/>
      <c r="U394" s="105"/>
      <c r="V394" s="97"/>
      <c r="W394" s="115"/>
      <c r="X394" s="115"/>
      <c r="Y394" s="11"/>
      <c r="Z394" s="97">
        <v>314000</v>
      </c>
      <c r="AA394" s="97">
        <f>+Z394*0</f>
        <v>0</v>
      </c>
      <c r="AB394" s="97">
        <f>+Z394+AA394</f>
        <v>314000</v>
      </c>
      <c r="AC394" s="44" t="s">
        <v>437</v>
      </c>
      <c r="AD394" s="44" t="s">
        <v>269</v>
      </c>
      <c r="AE394" s="11"/>
      <c r="AF394" s="102"/>
      <c r="AG394" s="125"/>
      <c r="AH394" s="97"/>
      <c r="AI394" s="11"/>
      <c r="AJ394" s="11"/>
      <c r="AK394" s="17"/>
      <c r="AL394" s="97"/>
      <c r="AM394" s="97"/>
      <c r="AN394" s="101"/>
      <c r="AO394" s="248"/>
      <c r="AP394" s="17"/>
      <c r="AQ394" s="17"/>
      <c r="AR394" s="252"/>
      <c r="AS394" s="252"/>
      <c r="AT394" s="252"/>
      <c r="AU394" s="52"/>
      <c r="AV394" s="52"/>
      <c r="AW394" s="11"/>
      <c r="AX394" s="100"/>
      <c r="AY394" s="100"/>
      <c r="AZ394" s="124"/>
      <c r="BA394" s="169"/>
      <c r="BB394" s="116"/>
      <c r="BC394" s="116"/>
      <c r="BD394" s="247"/>
      <c r="BE394" s="124"/>
      <c r="BF394" s="124"/>
      <c r="BG394" s="116"/>
      <c r="BH394" s="116"/>
      <c r="BI394" s="116"/>
      <c r="BJ394" s="124"/>
      <c r="BK394" s="124"/>
      <c r="BL394" s="124"/>
      <c r="BM394" s="116"/>
      <c r="BN394" s="116"/>
      <c r="BO394" s="116"/>
      <c r="BP394" s="124"/>
      <c r="BQ394" s="116"/>
      <c r="BR394" s="116"/>
      <c r="BS394" s="116"/>
      <c r="BT394" s="116"/>
      <c r="BU394" s="116"/>
      <c r="BV394" s="236">
        <v>1172000</v>
      </c>
      <c r="BW394" s="125">
        <f>BV394*0</f>
        <v>0</v>
      </c>
      <c r="BX394" s="97">
        <f>+BV394+BW394</f>
        <v>1172000</v>
      </c>
      <c r="BY394" s="237" t="s">
        <v>438</v>
      </c>
      <c r="BZ394" s="237" t="s">
        <v>439</v>
      </c>
      <c r="CA394" s="116"/>
      <c r="CB394" s="247"/>
      <c r="CC394" s="125"/>
      <c r="CD394" s="247"/>
      <c r="CE394" s="116"/>
      <c r="CF394" s="116"/>
      <c r="CG394" s="116"/>
      <c r="CH394" s="236">
        <v>1230600</v>
      </c>
      <c r="CI394" s="238">
        <f>+CH394*0</f>
        <v>0</v>
      </c>
      <c r="CJ394" s="236">
        <f>+CH394+CI394</f>
        <v>1230600</v>
      </c>
      <c r="CK394" s="237" t="s">
        <v>438</v>
      </c>
      <c r="CL394" s="237" t="s">
        <v>439</v>
      </c>
      <c r="CM394" s="116"/>
      <c r="CN394" s="247"/>
      <c r="CO394" s="125"/>
      <c r="CP394" s="247"/>
      <c r="CQ394" s="116"/>
      <c r="CR394" s="116"/>
      <c r="CS394" s="116"/>
      <c r="CT394" s="247"/>
      <c r="CU394" s="125"/>
      <c r="CV394" s="247"/>
      <c r="CW394" s="116"/>
      <c r="CX394" s="116"/>
      <c r="CY394" s="116"/>
      <c r="CZ394" s="102"/>
      <c r="DA394" s="125"/>
      <c r="DB394" s="102"/>
      <c r="DC394" s="31"/>
      <c r="DD394" s="17"/>
      <c r="DE394" s="11"/>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
      <c r="EU394" s="11"/>
      <c r="EV394" s="11"/>
      <c r="EW394" s="11"/>
      <c r="EX394" s="11"/>
      <c r="EY394" s="11"/>
      <c r="EZ394" s="11"/>
      <c r="FA394" s="11"/>
      <c r="FB394" s="11"/>
      <c r="FC394" s="11"/>
      <c r="FD394" s="11"/>
      <c r="FE394" s="11"/>
      <c r="FF394" s="11"/>
      <c r="FG394" s="11"/>
      <c r="FH394" s="17">
        <f t="shared" si="158"/>
        <v>2716600</v>
      </c>
      <c r="FI394" s="31">
        <f t="shared" si="159"/>
        <v>3</v>
      </c>
      <c r="FJ394" s="68">
        <f t="shared" si="160"/>
        <v>905533.33333333337</v>
      </c>
    </row>
    <row r="395" spans="1:166" ht="13.5" x14ac:dyDescent="0.25">
      <c r="A395" s="248">
        <f>Distribución_Reactivos!A395</f>
        <v>393</v>
      </c>
      <c r="B395" s="248" t="str">
        <f>Distribución_Reactivos!B395</f>
        <v>Suero positivo para Brucelosis para FC</v>
      </c>
      <c r="C395" s="248" t="str">
        <f>Distribución_Reactivos!C395</f>
        <v>ID VET</v>
      </c>
      <c r="D395" s="248" t="str">
        <f>Distribución_Reactivos!D395</f>
        <v>Frasco x 1 ml</v>
      </c>
      <c r="E395" s="29">
        <v>1</v>
      </c>
      <c r="F395" s="212">
        <v>924000</v>
      </c>
      <c r="G395" s="214">
        <v>0</v>
      </c>
      <c r="H395" s="221">
        <v>1137274.9080000001</v>
      </c>
      <c r="I395" s="221">
        <v>0</v>
      </c>
      <c r="J395" s="221">
        <v>307000</v>
      </c>
      <c r="K395" s="221">
        <v>0</v>
      </c>
      <c r="L395" s="247">
        <f t="shared" si="161"/>
        <v>789424.96933333331</v>
      </c>
      <c r="M395" s="247"/>
      <c r="N395" s="217"/>
      <c r="O395" s="97"/>
      <c r="P395" s="97"/>
      <c r="Q395" s="115"/>
      <c r="R395" s="115"/>
      <c r="S395" s="53"/>
      <c r="T395" s="97"/>
      <c r="U395" s="101"/>
      <c r="V395" s="97"/>
      <c r="W395" s="115"/>
      <c r="X395" s="115"/>
      <c r="Y395" s="11"/>
      <c r="Z395" s="97">
        <v>314000</v>
      </c>
      <c r="AA395" s="97">
        <f>+Z395*0</f>
        <v>0</v>
      </c>
      <c r="AB395" s="97">
        <f>+Z395+AA395</f>
        <v>314000</v>
      </c>
      <c r="AC395" s="44" t="s">
        <v>437</v>
      </c>
      <c r="AD395" s="44" t="s">
        <v>269</v>
      </c>
      <c r="AE395" s="11"/>
      <c r="AF395" s="102"/>
      <c r="AG395" s="125"/>
      <c r="AH395" s="97"/>
      <c r="AI395" s="11"/>
      <c r="AJ395" s="11"/>
      <c r="AK395" s="17"/>
      <c r="AL395" s="97"/>
      <c r="AM395" s="97"/>
      <c r="AN395" s="101"/>
      <c r="AO395" s="248"/>
      <c r="AP395" s="17"/>
      <c r="AQ395" s="17"/>
      <c r="AR395" s="252"/>
      <c r="AS395" s="252"/>
      <c r="AT395" s="252"/>
      <c r="AU395" s="52"/>
      <c r="AV395" s="52"/>
      <c r="AW395" s="11"/>
      <c r="AX395" s="100"/>
      <c r="AY395" s="172"/>
      <c r="AZ395" s="124"/>
      <c r="BA395" s="169"/>
      <c r="BB395" s="116"/>
      <c r="BC395" s="116"/>
      <c r="BD395" s="247"/>
      <c r="BE395" s="124"/>
      <c r="BF395" s="124"/>
      <c r="BG395" s="116"/>
      <c r="BH395" s="116"/>
      <c r="BI395" s="116"/>
      <c r="BJ395" s="124"/>
      <c r="BK395" s="124"/>
      <c r="BL395" s="124"/>
      <c r="BM395" s="116"/>
      <c r="BN395" s="116"/>
      <c r="BO395" s="116"/>
      <c r="BP395" s="124"/>
      <c r="BQ395" s="116"/>
      <c r="BR395" s="116"/>
      <c r="BS395" s="116"/>
      <c r="BT395" s="116"/>
      <c r="BU395" s="116"/>
      <c r="BV395" s="236">
        <v>1172000</v>
      </c>
      <c r="BW395" s="125">
        <f>BV395*0</f>
        <v>0</v>
      </c>
      <c r="BX395" s="97">
        <f t="shared" ref="BX395:BX402" si="162">+BV395+BW395</f>
        <v>1172000</v>
      </c>
      <c r="BY395" s="237" t="s">
        <v>438</v>
      </c>
      <c r="BZ395" s="237" t="s">
        <v>439</v>
      </c>
      <c r="CA395" s="116"/>
      <c r="CB395" s="247"/>
      <c r="CC395" s="125"/>
      <c r="CD395" s="247"/>
      <c r="CE395" s="116"/>
      <c r="CF395" s="116"/>
      <c r="CG395" s="116"/>
      <c r="CH395" s="236">
        <v>1230600</v>
      </c>
      <c r="CI395" s="238">
        <f>+CH395*0</f>
        <v>0</v>
      </c>
      <c r="CJ395" s="236">
        <f>+CH395+CI395</f>
        <v>1230600</v>
      </c>
      <c r="CK395" s="237" t="s">
        <v>438</v>
      </c>
      <c r="CL395" s="237" t="s">
        <v>439</v>
      </c>
      <c r="CM395" s="116"/>
      <c r="CN395" s="247"/>
      <c r="CO395" s="125"/>
      <c r="CP395" s="247"/>
      <c r="CQ395" s="116"/>
      <c r="CR395" s="116"/>
      <c r="CS395" s="116"/>
      <c r="CT395" s="247"/>
      <c r="CU395" s="125"/>
      <c r="CV395" s="247"/>
      <c r="CW395" s="116"/>
      <c r="CX395" s="116"/>
      <c r="CY395" s="116"/>
      <c r="CZ395" s="102"/>
      <c r="DA395" s="125"/>
      <c r="DB395" s="102"/>
      <c r="DC395" s="31"/>
      <c r="DD395" s="17"/>
      <c r="DE395" s="11"/>
      <c r="DF395" s="116"/>
      <c r="DG395" s="116"/>
      <c r="DH395" s="116"/>
      <c r="DI395" s="116"/>
      <c r="DJ395" s="116"/>
      <c r="DK395" s="116"/>
      <c r="DL395" s="116"/>
      <c r="DM395" s="116"/>
      <c r="DN395" s="116"/>
      <c r="DO395" s="116"/>
      <c r="DP395" s="116"/>
      <c r="DQ395" s="116"/>
      <c r="DR395" s="116"/>
      <c r="DS395" s="116"/>
      <c r="DT395" s="116"/>
      <c r="DU395" s="116"/>
      <c r="DV395" s="116"/>
      <c r="DW395" s="116"/>
      <c r="DX395" s="116"/>
      <c r="DY395" s="116"/>
      <c r="DZ395" s="116"/>
      <c r="EA395" s="116"/>
      <c r="EB395" s="116"/>
      <c r="EC395" s="116"/>
      <c r="ED395" s="116"/>
      <c r="EE395" s="116"/>
      <c r="EF395" s="116"/>
      <c r="EG395" s="116"/>
      <c r="EH395" s="116"/>
      <c r="EI395" s="116"/>
      <c r="EJ395" s="116"/>
      <c r="EK395" s="116"/>
      <c r="EL395" s="116"/>
      <c r="EM395" s="116"/>
      <c r="EN395" s="116"/>
      <c r="EO395" s="116"/>
      <c r="EP395" s="116"/>
      <c r="EQ395" s="116"/>
      <c r="ER395" s="116"/>
      <c r="ES395" s="116"/>
      <c r="ET395" s="11"/>
      <c r="EU395" s="11"/>
      <c r="EV395" s="11"/>
      <c r="EW395" s="11"/>
      <c r="EX395" s="11"/>
      <c r="EY395" s="11"/>
      <c r="EZ395" s="11"/>
      <c r="FA395" s="11"/>
      <c r="FB395" s="11"/>
      <c r="FC395" s="11"/>
      <c r="FD395" s="11"/>
      <c r="FE395" s="11"/>
      <c r="FF395" s="11"/>
      <c r="FG395" s="11"/>
      <c r="FH395" s="17">
        <f t="shared" si="158"/>
        <v>2716600</v>
      </c>
      <c r="FI395" s="31">
        <f t="shared" si="159"/>
        <v>3</v>
      </c>
      <c r="FJ395" s="68">
        <f t="shared" si="160"/>
        <v>905533.33333333337</v>
      </c>
    </row>
    <row r="396" spans="1:166" ht="27" x14ac:dyDescent="0.25">
      <c r="A396" s="248">
        <f>Distribución_Reactivos!A396</f>
        <v>394</v>
      </c>
      <c r="B396" s="248" t="str">
        <f>Distribución_Reactivos!B396</f>
        <v>Sulfato de amonio, pureza ≥99,5%, trazable a NIST</v>
      </c>
      <c r="C396" s="248" t="str">
        <f>Distribución_Reactivos!C396</f>
        <v>Sigma Flujka 59845</v>
      </c>
      <c r="D396" s="248" t="str">
        <f>Distribución_Reactivos!D396</f>
        <v>Frasco x 25 g</v>
      </c>
      <c r="E396" s="29">
        <v>1</v>
      </c>
      <c r="F396" s="212">
        <v>200000</v>
      </c>
      <c r="G396" s="214">
        <v>200000</v>
      </c>
      <c r="H396" s="221">
        <v>189402.35</v>
      </c>
      <c r="I396" s="221">
        <v>0</v>
      </c>
      <c r="J396" s="221">
        <v>151710</v>
      </c>
      <c r="K396" s="221">
        <v>0</v>
      </c>
      <c r="L396" s="247">
        <f t="shared" si="161"/>
        <v>180370.78333333333</v>
      </c>
      <c r="M396" s="247">
        <f>G396*E1</f>
        <v>206000</v>
      </c>
      <c r="N396" s="217"/>
      <c r="O396" s="97"/>
      <c r="P396" s="97"/>
      <c r="Q396" s="115"/>
      <c r="R396" s="115"/>
      <c r="S396" s="53"/>
      <c r="T396" s="97"/>
      <c r="U396" s="101"/>
      <c r="V396" s="97"/>
      <c r="W396" s="115"/>
      <c r="X396" s="115"/>
      <c r="Y396" s="11"/>
      <c r="Z396" s="97"/>
      <c r="AA396" s="97"/>
      <c r="AB396" s="97"/>
      <c r="AC396" s="44"/>
      <c r="AD396" s="44"/>
      <c r="AE396" s="11"/>
      <c r="AF396" s="102"/>
      <c r="AG396" s="125"/>
      <c r="AH396" s="97"/>
      <c r="AI396" s="11"/>
      <c r="AJ396" s="11"/>
      <c r="AK396" s="17"/>
      <c r="AL396" s="97"/>
      <c r="AM396" s="97"/>
      <c r="AN396" s="101"/>
      <c r="AO396" s="248"/>
      <c r="AP396" s="17"/>
      <c r="AQ396" s="17"/>
      <c r="AR396" s="252"/>
      <c r="AS396" s="124"/>
      <c r="AT396" s="100"/>
      <c r="AU396" s="52"/>
      <c r="AV396" s="52"/>
      <c r="AW396" s="11"/>
      <c r="AX396" s="100"/>
      <c r="AY396" s="100"/>
      <c r="AZ396" s="124"/>
      <c r="BA396" s="169"/>
      <c r="BB396" s="116"/>
      <c r="BC396" s="116"/>
      <c r="BD396" s="247"/>
      <c r="BE396" s="124"/>
      <c r="BF396" s="124"/>
      <c r="BG396" s="116"/>
      <c r="BH396" s="116"/>
      <c r="BI396" s="116"/>
      <c r="BJ396" s="124"/>
      <c r="BK396" s="124"/>
      <c r="BL396" s="124"/>
      <c r="BM396" s="116"/>
      <c r="BN396" s="116"/>
      <c r="BO396" s="116"/>
      <c r="BP396" s="124"/>
      <c r="BQ396" s="116"/>
      <c r="BR396" s="116"/>
      <c r="BS396" s="116"/>
      <c r="BT396" s="116"/>
      <c r="BU396" s="116"/>
      <c r="BV396" s="236">
        <v>329800</v>
      </c>
      <c r="BW396" s="125">
        <f t="shared" ref="BW396:BW402" si="163">BV396*19%</f>
        <v>62662</v>
      </c>
      <c r="BX396" s="97">
        <f t="shared" si="162"/>
        <v>392462</v>
      </c>
      <c r="BY396" s="237" t="s">
        <v>323</v>
      </c>
      <c r="BZ396" s="237" t="s">
        <v>228</v>
      </c>
      <c r="CA396" s="116"/>
      <c r="CB396" s="247"/>
      <c r="CC396" s="125"/>
      <c r="CD396" s="247"/>
      <c r="CE396" s="116"/>
      <c r="CF396" s="116"/>
      <c r="CG396" s="116"/>
      <c r="CH396" s="236">
        <v>342992</v>
      </c>
      <c r="CI396" s="238">
        <f>+CH396*0.19</f>
        <v>65168.480000000003</v>
      </c>
      <c r="CJ396" s="236">
        <f>+CH396+CI396</f>
        <v>408160.48</v>
      </c>
      <c r="CK396" s="237" t="s">
        <v>323</v>
      </c>
      <c r="CL396" s="237" t="s">
        <v>228</v>
      </c>
      <c r="CM396" s="116"/>
      <c r="CN396" s="247"/>
      <c r="CO396" s="125"/>
      <c r="CP396" s="247"/>
      <c r="CQ396" s="116"/>
      <c r="CR396" s="116"/>
      <c r="CS396" s="116"/>
      <c r="CT396" s="247"/>
      <c r="CU396" s="125"/>
      <c r="CV396" s="247"/>
      <c r="CW396" s="116"/>
      <c r="CX396" s="116"/>
      <c r="CY396" s="116"/>
      <c r="CZ396" s="102"/>
      <c r="DA396" s="125"/>
      <c r="DB396" s="102"/>
      <c r="DC396" s="31"/>
      <c r="DD396" s="17"/>
      <c r="DE396" s="11"/>
      <c r="DF396" s="116"/>
      <c r="DG396" s="116"/>
      <c r="DH396" s="116"/>
      <c r="DI396" s="116"/>
      <c r="DJ396" s="116"/>
      <c r="DK396" s="116"/>
      <c r="DL396" s="116"/>
      <c r="DM396" s="116"/>
      <c r="DN396" s="116"/>
      <c r="DO396" s="116"/>
      <c r="DP396" s="116"/>
      <c r="DQ396" s="116"/>
      <c r="DR396" s="116"/>
      <c r="DS396" s="116"/>
      <c r="DT396" s="116"/>
      <c r="DU396" s="116"/>
      <c r="DV396" s="116"/>
      <c r="DW396" s="116"/>
      <c r="DX396" s="116"/>
      <c r="DY396" s="116"/>
      <c r="DZ396" s="116"/>
      <c r="EA396" s="116"/>
      <c r="EB396" s="116"/>
      <c r="EC396" s="116"/>
      <c r="ED396" s="116"/>
      <c r="EE396" s="116"/>
      <c r="EF396" s="116"/>
      <c r="EG396" s="116"/>
      <c r="EH396" s="116"/>
      <c r="EI396" s="116"/>
      <c r="EJ396" s="116"/>
      <c r="EK396" s="116"/>
      <c r="EL396" s="116"/>
      <c r="EM396" s="116"/>
      <c r="EN396" s="116"/>
      <c r="EO396" s="116"/>
      <c r="EP396" s="116"/>
      <c r="EQ396" s="116"/>
      <c r="ER396" s="116"/>
      <c r="ES396" s="116"/>
      <c r="ET396" s="11"/>
      <c r="EU396" s="11"/>
      <c r="EV396" s="11"/>
      <c r="EW396" s="11"/>
      <c r="EX396" s="11"/>
      <c r="EY396" s="11"/>
      <c r="EZ396" s="11"/>
      <c r="FA396" s="11"/>
      <c r="FB396" s="11"/>
      <c r="FC396" s="11"/>
      <c r="FD396" s="11"/>
      <c r="FE396" s="11"/>
      <c r="FF396" s="11"/>
      <c r="FG396" s="11"/>
      <c r="FH396" s="17">
        <f t="shared" si="158"/>
        <v>1006622.48</v>
      </c>
      <c r="FI396" s="31">
        <f t="shared" si="159"/>
        <v>3</v>
      </c>
      <c r="FJ396" s="68">
        <f t="shared" si="160"/>
        <v>335540.82666666666</v>
      </c>
    </row>
    <row r="397" spans="1:166" ht="27" x14ac:dyDescent="0.25">
      <c r="A397" s="248">
        <f>Distribución_Reactivos!A397</f>
        <v>395</v>
      </c>
      <c r="B397" s="248" t="str">
        <f>Distribución_Reactivos!B397</f>
        <v>Sulfato de magnesio anhidro</v>
      </c>
      <c r="C397" s="248" t="str">
        <f>Distribución_Reactivos!C397</f>
        <v>Sigma Aldrich o equivalente</v>
      </c>
      <c r="D397" s="248" t="str">
        <f>Distribución_Reactivos!D397</f>
        <v>Frasco x 1 Kg</v>
      </c>
      <c r="E397" s="29">
        <v>1</v>
      </c>
      <c r="F397" s="212">
        <v>505670.66666666663</v>
      </c>
      <c r="G397" s="214">
        <v>0</v>
      </c>
      <c r="H397" s="221">
        <v>543190.19508888887</v>
      </c>
      <c r="I397" s="221">
        <v>0</v>
      </c>
      <c r="J397" s="221">
        <v>533913.33333333337</v>
      </c>
      <c r="K397" s="221">
        <v>0</v>
      </c>
      <c r="L397" s="247">
        <f t="shared" si="161"/>
        <v>527591.39836296299</v>
      </c>
      <c r="M397" s="247"/>
      <c r="N397" s="217"/>
      <c r="O397" s="97"/>
      <c r="P397" s="97"/>
      <c r="Q397" s="44"/>
      <c r="R397" s="44"/>
      <c r="S397" s="5"/>
      <c r="T397" s="97"/>
      <c r="U397" s="97"/>
      <c r="V397" s="97"/>
      <c r="W397" s="11"/>
      <c r="X397" s="11"/>
      <c r="Y397" s="11"/>
      <c r="Z397" s="97"/>
      <c r="AA397" s="97"/>
      <c r="AB397" s="97"/>
      <c r="AC397" s="44"/>
      <c r="AD397" s="44"/>
      <c r="AE397" s="11"/>
      <c r="AF397" s="102"/>
      <c r="AG397" s="125"/>
      <c r="AH397" s="97"/>
      <c r="AI397" s="11"/>
      <c r="AJ397" s="11"/>
      <c r="AK397" s="11"/>
      <c r="AL397" s="97">
        <v>398000</v>
      </c>
      <c r="AM397" s="97">
        <f>+AL397*0.19</f>
        <v>75620</v>
      </c>
      <c r="AN397" s="103">
        <f t="shared" ref="AN397:AN402" si="164">+AL397+AM397</f>
        <v>473620</v>
      </c>
      <c r="AO397" s="248" t="s">
        <v>99</v>
      </c>
      <c r="AP397" s="11" t="s">
        <v>52</v>
      </c>
      <c r="AQ397" s="11"/>
      <c r="AR397" s="252">
        <v>432000</v>
      </c>
      <c r="AS397" s="124">
        <f t="shared" ref="AS397:AS402" si="165">+AR397*0.19</f>
        <v>82080</v>
      </c>
      <c r="AT397" s="100">
        <f t="shared" ref="AT397:AT402" si="166">+AR397+AS397</f>
        <v>514080</v>
      </c>
      <c r="AU397" s="52" t="s">
        <v>99</v>
      </c>
      <c r="AV397" s="52" t="s">
        <v>42</v>
      </c>
      <c r="AW397" s="11"/>
      <c r="AX397" s="252"/>
      <c r="AY397" s="252"/>
      <c r="AZ397" s="252"/>
      <c r="BA397" s="11"/>
      <c r="BB397" s="11"/>
      <c r="BC397" s="11"/>
      <c r="BD397" s="247"/>
      <c r="BE397" s="124"/>
      <c r="BF397" s="124"/>
      <c r="BG397" s="116"/>
      <c r="BH397" s="11"/>
      <c r="BI397" s="116"/>
      <c r="BJ397" s="124"/>
      <c r="BK397" s="124"/>
      <c r="BL397" s="124"/>
      <c r="BM397" s="116"/>
      <c r="BN397" s="116"/>
      <c r="BO397" s="116"/>
      <c r="BP397" s="124"/>
      <c r="BQ397" s="116"/>
      <c r="BR397" s="116"/>
      <c r="BS397" s="116"/>
      <c r="BT397" s="116"/>
      <c r="BU397" s="116"/>
      <c r="BV397" s="236">
        <v>577900</v>
      </c>
      <c r="BW397" s="125">
        <f t="shared" si="163"/>
        <v>109801</v>
      </c>
      <c r="BX397" s="97">
        <f t="shared" si="162"/>
        <v>687701</v>
      </c>
      <c r="BY397" s="237" t="s">
        <v>329</v>
      </c>
      <c r="BZ397" s="237" t="s">
        <v>83</v>
      </c>
      <c r="CA397" s="116"/>
      <c r="CB397" s="247"/>
      <c r="CC397" s="125"/>
      <c r="CD397" s="247"/>
      <c r="CE397" s="116"/>
      <c r="CF397" s="116"/>
      <c r="CG397" s="116"/>
      <c r="CH397" s="236">
        <v>595237</v>
      </c>
      <c r="CI397" s="238">
        <f>+CH397*0.19</f>
        <v>113095.03</v>
      </c>
      <c r="CJ397" s="236">
        <f>+CH397+CI397</f>
        <v>708332.03</v>
      </c>
      <c r="CK397" s="237" t="s">
        <v>329</v>
      </c>
      <c r="CL397" s="237" t="s">
        <v>83</v>
      </c>
      <c r="CM397" s="116"/>
      <c r="CN397" s="247"/>
      <c r="CO397" s="125"/>
      <c r="CP397" s="247"/>
      <c r="CQ397" s="116"/>
      <c r="CR397" s="116"/>
      <c r="CS397" s="116"/>
      <c r="CT397" s="247"/>
      <c r="CU397" s="125"/>
      <c r="CV397" s="247"/>
      <c r="CW397" s="116"/>
      <c r="CX397" s="116"/>
      <c r="CY397" s="116"/>
      <c r="CZ397" s="102"/>
      <c r="DA397" s="125"/>
      <c r="DB397" s="102"/>
      <c r="DC397" s="31"/>
      <c r="DD397" s="17"/>
      <c r="DE397" s="11"/>
      <c r="DF397" s="116"/>
      <c r="DG397" s="116"/>
      <c r="DH397" s="116"/>
      <c r="DI397" s="116"/>
      <c r="DJ397" s="116"/>
      <c r="DK397" s="116"/>
      <c r="DL397" s="116"/>
      <c r="DM397" s="116"/>
      <c r="DN397" s="116"/>
      <c r="DO397" s="116"/>
      <c r="DP397" s="116"/>
      <c r="DQ397" s="116"/>
      <c r="DR397" s="116"/>
      <c r="DS397" s="116"/>
      <c r="DT397" s="116"/>
      <c r="DU397" s="116"/>
      <c r="DV397" s="116"/>
      <c r="DW397" s="116"/>
      <c r="DX397" s="116"/>
      <c r="DY397" s="116"/>
      <c r="DZ397" s="116"/>
      <c r="EA397" s="116"/>
      <c r="EB397" s="116"/>
      <c r="EC397" s="116"/>
      <c r="ED397" s="116"/>
      <c r="EE397" s="116"/>
      <c r="EF397" s="116"/>
      <c r="EG397" s="116"/>
      <c r="EH397" s="116"/>
      <c r="EI397" s="116"/>
      <c r="EJ397" s="116"/>
      <c r="EK397" s="116"/>
      <c r="EL397" s="116"/>
      <c r="EM397" s="116"/>
      <c r="EN397" s="116"/>
      <c r="EO397" s="116"/>
      <c r="EP397" s="116"/>
      <c r="EQ397" s="116"/>
      <c r="ER397" s="116"/>
      <c r="ES397" s="116"/>
      <c r="ET397" s="11"/>
      <c r="EU397" s="11"/>
      <c r="EV397" s="11"/>
      <c r="EW397" s="11"/>
      <c r="EX397" s="11"/>
      <c r="EY397" s="11"/>
      <c r="EZ397" s="11"/>
      <c r="FA397" s="11"/>
      <c r="FB397" s="11"/>
      <c r="FC397" s="11"/>
      <c r="FD397" s="11"/>
      <c r="FE397" s="11"/>
      <c r="FF397" s="11"/>
      <c r="FG397" s="11"/>
      <c r="FH397" s="17">
        <f t="shared" si="158"/>
        <v>2383733.0300000003</v>
      </c>
      <c r="FI397" s="31">
        <f t="shared" si="159"/>
        <v>4</v>
      </c>
      <c r="FJ397" s="68">
        <f t="shared" si="160"/>
        <v>595933.25750000007</v>
      </c>
    </row>
    <row r="398" spans="1:166" ht="51" x14ac:dyDescent="0.25">
      <c r="A398" s="248">
        <f>Distribución_Reactivos!A398</f>
        <v>396</v>
      </c>
      <c r="B398" s="248" t="str">
        <f>Distribución_Reactivos!B398</f>
        <v>Sulfato de magnesio heptahidratado (MgSO4.7H2O) &gt; 99%</v>
      </c>
      <c r="C398" s="248" t="str">
        <f>Distribución_Reactivos!C398</f>
        <v>Cualquier marca Panreac, sigma Aldrich o equivalente</v>
      </c>
      <c r="D398" s="248" t="str">
        <f>Distribución_Reactivos!D398</f>
        <v>Frasco x 500 g</v>
      </c>
      <c r="E398" s="29">
        <v>1</v>
      </c>
      <c r="F398" s="212">
        <v>0</v>
      </c>
      <c r="G398" s="214">
        <v>0</v>
      </c>
      <c r="H398" s="221">
        <v>0</v>
      </c>
      <c r="I398" s="221">
        <v>0</v>
      </c>
      <c r="J398" s="221">
        <v>0</v>
      </c>
      <c r="K398" s="221">
        <v>0</v>
      </c>
      <c r="L398" s="247"/>
      <c r="M398" s="247"/>
      <c r="N398" s="217"/>
      <c r="O398" s="106"/>
      <c r="P398" s="97"/>
      <c r="Q398" s="115"/>
      <c r="R398" s="115"/>
      <c r="S398" s="53"/>
      <c r="T398" s="97"/>
      <c r="U398" s="97"/>
      <c r="V398" s="97"/>
      <c r="W398" s="115"/>
      <c r="X398" s="115"/>
      <c r="Y398" s="11"/>
      <c r="Z398" s="97"/>
      <c r="AA398" s="97"/>
      <c r="AB398" s="97"/>
      <c r="AC398" s="115"/>
      <c r="AD398" s="44"/>
      <c r="AE398" s="11"/>
      <c r="AF398" s="102">
        <v>220000</v>
      </c>
      <c r="AG398" s="125">
        <f>AF398*19%</f>
        <v>41800</v>
      </c>
      <c r="AH398" s="97">
        <f>+AF398+AG398</f>
        <v>261800</v>
      </c>
      <c r="AI398" s="11"/>
      <c r="AJ398" s="11"/>
      <c r="AK398" s="17"/>
      <c r="AL398" s="97">
        <v>320000</v>
      </c>
      <c r="AM398" s="97">
        <f>+AL398*0.19</f>
        <v>60800</v>
      </c>
      <c r="AN398" s="103">
        <f t="shared" si="164"/>
        <v>380800</v>
      </c>
      <c r="AO398" s="248" t="s">
        <v>99</v>
      </c>
      <c r="AP398" s="17" t="s">
        <v>52</v>
      </c>
      <c r="AQ398" s="17"/>
      <c r="AR398" s="252">
        <v>504000</v>
      </c>
      <c r="AS398" s="124">
        <f t="shared" si="165"/>
        <v>95760</v>
      </c>
      <c r="AT398" s="100">
        <f t="shared" si="166"/>
        <v>599760</v>
      </c>
      <c r="AU398" s="52" t="s">
        <v>77</v>
      </c>
      <c r="AV398" s="52" t="s">
        <v>42</v>
      </c>
      <c r="AW398" s="17"/>
      <c r="AX398" s="100"/>
      <c r="AY398" s="100"/>
      <c r="AZ398" s="124"/>
      <c r="BA398" s="169"/>
      <c r="BB398" s="116"/>
      <c r="BC398" s="116"/>
      <c r="BD398" s="247"/>
      <c r="BE398" s="124"/>
      <c r="BF398" s="124"/>
      <c r="BG398" s="116"/>
      <c r="BH398" s="116"/>
      <c r="BI398" s="116"/>
      <c r="BJ398" s="124"/>
      <c r="BK398" s="124"/>
      <c r="BL398" s="124"/>
      <c r="BM398" s="116"/>
      <c r="BN398" s="116"/>
      <c r="BO398" s="116"/>
      <c r="BP398" s="124"/>
      <c r="BQ398" s="116"/>
      <c r="BR398" s="116"/>
      <c r="BS398" s="116"/>
      <c r="BT398" s="116"/>
      <c r="BU398" s="116"/>
      <c r="BV398" s="236">
        <v>214500</v>
      </c>
      <c r="BW398" s="125">
        <f t="shared" si="163"/>
        <v>40755</v>
      </c>
      <c r="BX398" s="97">
        <f t="shared" si="162"/>
        <v>255255</v>
      </c>
      <c r="BY398" s="237" t="s">
        <v>319</v>
      </c>
      <c r="BZ398" s="237" t="s">
        <v>83</v>
      </c>
      <c r="CA398" s="116"/>
      <c r="CB398" s="247"/>
      <c r="CC398" s="125"/>
      <c r="CD398" s="247"/>
      <c r="CE398" s="17"/>
      <c r="CF398" s="17"/>
      <c r="CG398" s="116"/>
      <c r="CH398" s="236">
        <v>216645</v>
      </c>
      <c r="CI398" s="238">
        <f>+CH398*0.19</f>
        <v>41162.550000000003</v>
      </c>
      <c r="CJ398" s="236">
        <f>+CH398+CI398</f>
        <v>257807.55</v>
      </c>
      <c r="CK398" s="237" t="s">
        <v>319</v>
      </c>
      <c r="CL398" s="237" t="s">
        <v>83</v>
      </c>
      <c r="CM398" s="116"/>
      <c r="CN398" s="247"/>
      <c r="CO398" s="125"/>
      <c r="CP398" s="247"/>
      <c r="CQ398" s="116"/>
      <c r="CR398" s="116"/>
      <c r="CS398" s="116"/>
      <c r="CT398" s="247"/>
      <c r="CU398" s="125"/>
      <c r="CV398" s="247"/>
      <c r="CW398" s="116"/>
      <c r="CX398" s="116"/>
      <c r="CY398" s="116"/>
      <c r="CZ398" s="102"/>
      <c r="DA398" s="125"/>
      <c r="DB398" s="102"/>
      <c r="DC398" s="31"/>
      <c r="DD398" s="17"/>
      <c r="DE398" s="11"/>
      <c r="DF398" s="116"/>
      <c r="DG398" s="116"/>
      <c r="DH398" s="116"/>
      <c r="DI398" s="116"/>
      <c r="DJ398" s="116"/>
      <c r="DK398" s="116"/>
      <c r="DL398" s="116"/>
      <c r="DM398" s="116"/>
      <c r="DN398" s="116"/>
      <c r="DO398" s="116"/>
      <c r="DP398" s="116"/>
      <c r="DQ398" s="116"/>
      <c r="DR398" s="116"/>
      <c r="DS398" s="116"/>
      <c r="DT398" s="116"/>
      <c r="DU398" s="116"/>
      <c r="DV398" s="116"/>
      <c r="DW398" s="116"/>
      <c r="DX398" s="116"/>
      <c r="DY398" s="116"/>
      <c r="DZ398" s="116"/>
      <c r="EA398" s="116"/>
      <c r="EB398" s="116"/>
      <c r="EC398" s="116"/>
      <c r="ED398" s="116"/>
      <c r="EE398" s="116"/>
      <c r="EF398" s="116"/>
      <c r="EG398" s="116"/>
      <c r="EH398" s="116"/>
      <c r="EI398" s="116"/>
      <c r="EJ398" s="116"/>
      <c r="EK398" s="116"/>
      <c r="EL398" s="116"/>
      <c r="EM398" s="116"/>
      <c r="EN398" s="116"/>
      <c r="EO398" s="116"/>
      <c r="EP398" s="116"/>
      <c r="EQ398" s="116"/>
      <c r="ER398" s="116"/>
      <c r="ES398" s="116"/>
      <c r="ET398" s="11"/>
      <c r="EU398" s="11"/>
      <c r="EV398" s="11"/>
      <c r="EW398" s="11"/>
      <c r="EX398" s="11"/>
      <c r="EY398" s="11"/>
      <c r="EZ398" s="11"/>
      <c r="FA398" s="11"/>
      <c r="FB398" s="11"/>
      <c r="FC398" s="11"/>
      <c r="FD398" s="11"/>
      <c r="FE398" s="11"/>
      <c r="FF398" s="252"/>
      <c r="FG398" s="61"/>
      <c r="FH398" s="17">
        <f t="shared" si="158"/>
        <v>1755422.55</v>
      </c>
      <c r="FI398" s="31">
        <f t="shared" si="159"/>
        <v>5</v>
      </c>
      <c r="FJ398" s="68">
        <f t="shared" si="160"/>
        <v>351084.51</v>
      </c>
    </row>
    <row r="399" spans="1:166" ht="40.5" x14ac:dyDescent="0.25">
      <c r="A399" s="248">
        <f>Distribución_Reactivos!A399</f>
        <v>397</v>
      </c>
      <c r="B399" s="248" t="str">
        <f>Distribución_Reactivos!B399</f>
        <v>Sulfato de manganeso II R.A. &gt;= 99%</v>
      </c>
      <c r="C399" s="248" t="str">
        <f>Distribución_Reactivos!C399</f>
        <v>Panreac, Sigma-Aldrich</v>
      </c>
      <c r="D399" s="248" t="str">
        <f>Distribución_Reactivos!D399</f>
        <v xml:space="preserve">Frasco x 500 g </v>
      </c>
      <c r="E399" s="29">
        <v>1</v>
      </c>
      <c r="F399" s="212">
        <v>0</v>
      </c>
      <c r="G399" s="214">
        <v>0</v>
      </c>
      <c r="H399" s="221">
        <v>416818.58333333331</v>
      </c>
      <c r="I399" s="221">
        <v>185045</v>
      </c>
      <c r="J399" s="221">
        <v>418908.4375</v>
      </c>
      <c r="K399" s="221">
        <v>0</v>
      </c>
      <c r="L399" s="247">
        <f>AVERAGE(H399,J399)</f>
        <v>417863.51041666663</v>
      </c>
      <c r="M399" s="247">
        <f>I399*E1</f>
        <v>190596.35</v>
      </c>
      <c r="N399" s="217"/>
      <c r="O399" s="101"/>
      <c r="P399" s="97"/>
      <c r="Q399" s="115"/>
      <c r="R399" s="115"/>
      <c r="S399" s="53"/>
      <c r="T399" s="97"/>
      <c r="U399" s="97"/>
      <c r="V399" s="97"/>
      <c r="W399" s="115"/>
      <c r="X399" s="115"/>
      <c r="Y399" s="11"/>
      <c r="Z399" s="97"/>
      <c r="AA399" s="97"/>
      <c r="AB399" s="97"/>
      <c r="AC399" s="115"/>
      <c r="AD399" s="44"/>
      <c r="AE399" s="11"/>
      <c r="AF399" s="102">
        <v>800000</v>
      </c>
      <c r="AG399" s="125">
        <f>AF399*19%</f>
        <v>152000</v>
      </c>
      <c r="AH399" s="97">
        <f>+AF399+AG399</f>
        <v>952000</v>
      </c>
      <c r="AI399" s="11"/>
      <c r="AJ399" s="11"/>
      <c r="AK399" s="17"/>
      <c r="AL399" s="97">
        <v>398000</v>
      </c>
      <c r="AM399" s="97">
        <f>+AL399*0.19</f>
        <v>75620</v>
      </c>
      <c r="AN399" s="103">
        <f t="shared" si="164"/>
        <v>473620</v>
      </c>
      <c r="AO399" s="248" t="s">
        <v>77</v>
      </c>
      <c r="AP399" s="17" t="s">
        <v>52</v>
      </c>
      <c r="AQ399" s="17"/>
      <c r="AR399" s="252">
        <v>378060</v>
      </c>
      <c r="AS399" s="124">
        <f t="shared" si="165"/>
        <v>71831.399999999994</v>
      </c>
      <c r="AT399" s="100">
        <f t="shared" si="166"/>
        <v>449891.4</v>
      </c>
      <c r="AU399" s="52" t="s">
        <v>77</v>
      </c>
      <c r="AV399" s="52" t="s">
        <v>52</v>
      </c>
      <c r="AW399" s="11"/>
      <c r="AX399" s="100"/>
      <c r="AY399" s="100"/>
      <c r="AZ399" s="124"/>
      <c r="BA399" s="169"/>
      <c r="BB399" s="116"/>
      <c r="BC399" s="116"/>
      <c r="BD399" s="247"/>
      <c r="BE399" s="124"/>
      <c r="BF399" s="124"/>
      <c r="BG399" s="116"/>
      <c r="BH399" s="116"/>
      <c r="BI399" s="116"/>
      <c r="BJ399" s="124"/>
      <c r="BK399" s="124"/>
      <c r="BL399" s="124"/>
      <c r="BM399" s="116"/>
      <c r="BN399" s="116"/>
      <c r="BO399" s="116"/>
      <c r="BP399" s="124"/>
      <c r="BQ399" s="116"/>
      <c r="BR399" s="116"/>
      <c r="BS399" s="116"/>
      <c r="BT399" s="116"/>
      <c r="BU399" s="116"/>
      <c r="BV399" s="236">
        <v>1592000</v>
      </c>
      <c r="BW399" s="125">
        <f t="shared" si="163"/>
        <v>302480</v>
      </c>
      <c r="BX399" s="97">
        <f t="shared" si="162"/>
        <v>1894480</v>
      </c>
      <c r="BY399" s="237" t="s">
        <v>319</v>
      </c>
      <c r="BZ399" s="237" t="s">
        <v>52</v>
      </c>
      <c r="CA399" s="116"/>
      <c r="CB399" s="247"/>
      <c r="CC399" s="125"/>
      <c r="CD399" s="247"/>
      <c r="CE399" s="116"/>
      <c r="CF399" s="116"/>
      <c r="CG399" s="116"/>
      <c r="CH399" s="236"/>
      <c r="CI399" s="238"/>
      <c r="CJ399" s="236"/>
      <c r="CK399" s="237"/>
      <c r="CL399" s="237"/>
      <c r="CM399" s="116"/>
      <c r="CN399" s="247"/>
      <c r="CO399" s="125"/>
      <c r="CP399" s="247"/>
      <c r="CQ399" s="116"/>
      <c r="CR399" s="116"/>
      <c r="CS399" s="116"/>
      <c r="CT399" s="247"/>
      <c r="CU399" s="125"/>
      <c r="CV399" s="247"/>
      <c r="CW399" s="116"/>
      <c r="CX399" s="116"/>
      <c r="CY399" s="116"/>
      <c r="CZ399" s="102"/>
      <c r="DA399" s="125"/>
      <c r="DB399" s="102"/>
      <c r="DC399" s="31"/>
      <c r="DD399" s="17"/>
      <c r="DE399" s="11"/>
      <c r="DF399" s="116"/>
      <c r="DG399" s="116"/>
      <c r="DH399" s="116"/>
      <c r="DI399" s="116"/>
      <c r="DJ399" s="116"/>
      <c r="DK399" s="116"/>
      <c r="DL399" s="116"/>
      <c r="DM399" s="116"/>
      <c r="DN399" s="116"/>
      <c r="DO399" s="116"/>
      <c r="DP399" s="116"/>
      <c r="DQ399" s="116"/>
      <c r="DR399" s="116"/>
      <c r="DS399" s="116"/>
      <c r="DT399" s="116"/>
      <c r="DU399" s="116"/>
      <c r="DV399" s="116"/>
      <c r="DW399" s="116"/>
      <c r="DX399" s="116"/>
      <c r="DY399" s="116"/>
      <c r="DZ399" s="116"/>
      <c r="EA399" s="116"/>
      <c r="EB399" s="116"/>
      <c r="EC399" s="116"/>
      <c r="ED399" s="116"/>
      <c r="EE399" s="116"/>
      <c r="EF399" s="116"/>
      <c r="EG399" s="116"/>
      <c r="EH399" s="116"/>
      <c r="EI399" s="116"/>
      <c r="EJ399" s="116"/>
      <c r="EK399" s="116"/>
      <c r="EL399" s="116"/>
      <c r="EM399" s="116"/>
      <c r="EN399" s="116"/>
      <c r="EO399" s="116"/>
      <c r="EP399" s="116"/>
      <c r="EQ399" s="116"/>
      <c r="ER399" s="116"/>
      <c r="ES399" s="116"/>
      <c r="ET399" s="11"/>
      <c r="EU399" s="11"/>
      <c r="EV399" s="11"/>
      <c r="EW399" s="11"/>
      <c r="EX399" s="11"/>
      <c r="EY399" s="11"/>
      <c r="EZ399" s="11"/>
      <c r="FA399" s="11"/>
      <c r="FB399" s="11"/>
      <c r="FC399" s="11"/>
      <c r="FD399" s="11"/>
      <c r="FE399" s="11"/>
      <c r="FF399" s="11"/>
      <c r="FG399" s="11"/>
      <c r="FH399" s="17">
        <f t="shared" si="158"/>
        <v>3960587.75</v>
      </c>
      <c r="FI399" s="31">
        <f t="shared" si="159"/>
        <v>5</v>
      </c>
      <c r="FJ399" s="68">
        <f t="shared" si="160"/>
        <v>792117.55</v>
      </c>
    </row>
    <row r="400" spans="1:166" ht="38.25" x14ac:dyDescent="0.25">
      <c r="A400" s="248">
        <f>Distribución_Reactivos!A400</f>
        <v>398</v>
      </c>
      <c r="B400" s="248" t="str">
        <f>Distribución_Reactivos!B400</f>
        <v xml:space="preserve">Sulfato de Potasio </v>
      </c>
      <c r="C400" s="248" t="str">
        <f>Distribución_Reactivos!C400</f>
        <v>Merck, JT Baker, Sigma o equivalente</v>
      </c>
      <c r="D400" s="248" t="str">
        <f>Distribución_Reactivos!D400</f>
        <v>Frasco x 1 Kg</v>
      </c>
      <c r="E400" s="29">
        <v>1</v>
      </c>
      <c r="F400" s="212">
        <v>320600</v>
      </c>
      <c r="G400" s="214">
        <v>309300</v>
      </c>
      <c r="H400" s="221">
        <v>308275.99224444444</v>
      </c>
      <c r="I400" s="221">
        <v>0</v>
      </c>
      <c r="J400" s="221">
        <v>341860.35866935481</v>
      </c>
      <c r="K400" s="221">
        <v>333319</v>
      </c>
      <c r="L400" s="247">
        <f>AVERAGE(F400,H400,J400)</f>
        <v>323578.78363793308</v>
      </c>
      <c r="M400" s="247">
        <f>AVERAGE(G400,K400)*E1</f>
        <v>330948.78500000003</v>
      </c>
      <c r="N400" s="217"/>
      <c r="O400" s="97"/>
      <c r="P400" s="97"/>
      <c r="Q400" s="115"/>
      <c r="R400" s="115"/>
      <c r="S400" s="53"/>
      <c r="T400" s="97"/>
      <c r="U400" s="97"/>
      <c r="V400" s="97"/>
      <c r="W400" s="115"/>
      <c r="X400" s="115"/>
      <c r="Y400" s="11"/>
      <c r="Z400" s="97"/>
      <c r="AA400" s="97"/>
      <c r="AB400" s="97"/>
      <c r="AC400" s="44"/>
      <c r="AD400" s="44"/>
      <c r="AE400" s="11"/>
      <c r="AF400" s="102">
        <v>300000</v>
      </c>
      <c r="AG400" s="125">
        <f>AF400*19%</f>
        <v>57000</v>
      </c>
      <c r="AH400" s="97">
        <f>+AF400+AG400</f>
        <v>357000</v>
      </c>
      <c r="AI400" s="11"/>
      <c r="AJ400" s="11"/>
      <c r="AK400" s="17"/>
      <c r="AL400" s="97">
        <v>310000</v>
      </c>
      <c r="AM400" s="97">
        <f>+AL400*0</f>
        <v>0</v>
      </c>
      <c r="AN400" s="103">
        <f t="shared" si="164"/>
        <v>310000</v>
      </c>
      <c r="AO400" s="248" t="s">
        <v>99</v>
      </c>
      <c r="AP400" s="17" t="s">
        <v>52</v>
      </c>
      <c r="AQ400" s="17"/>
      <c r="AR400" s="252">
        <f>525600*2</f>
        <v>1051200</v>
      </c>
      <c r="AS400" s="124">
        <f t="shared" si="165"/>
        <v>199728</v>
      </c>
      <c r="AT400" s="100">
        <f t="shared" si="166"/>
        <v>1250928</v>
      </c>
      <c r="AU400" s="52" t="s">
        <v>77</v>
      </c>
      <c r="AV400" s="52" t="s">
        <v>42</v>
      </c>
      <c r="AW400" s="11"/>
      <c r="AX400" s="100">
        <f>184078.41*2</f>
        <v>368156.82</v>
      </c>
      <c r="AY400" s="100">
        <f>+AX400*0.19</f>
        <v>69949.795800000007</v>
      </c>
      <c r="AZ400" s="124">
        <f>+AX400+AY400</f>
        <v>438106.61580000003</v>
      </c>
      <c r="BA400" s="169" t="s">
        <v>77</v>
      </c>
      <c r="BB400" s="116" t="s">
        <v>72</v>
      </c>
      <c r="BC400" s="116"/>
      <c r="BD400" s="247"/>
      <c r="BE400" s="247"/>
      <c r="BF400" s="247"/>
      <c r="BG400" s="247"/>
      <c r="BH400" s="116"/>
      <c r="BI400" s="116"/>
      <c r="BJ400" s="124"/>
      <c r="BK400" s="124"/>
      <c r="BL400" s="124"/>
      <c r="BM400" s="116"/>
      <c r="BN400" s="116"/>
      <c r="BO400" s="116"/>
      <c r="BP400" s="124"/>
      <c r="BQ400" s="116"/>
      <c r="BR400" s="116"/>
      <c r="BS400" s="116"/>
      <c r="BT400" s="116"/>
      <c r="BU400" s="116"/>
      <c r="BV400" s="236">
        <v>432900</v>
      </c>
      <c r="BW400" s="125">
        <f t="shared" si="163"/>
        <v>82251</v>
      </c>
      <c r="BX400" s="97">
        <f t="shared" si="162"/>
        <v>515151</v>
      </c>
      <c r="BY400" s="237" t="s">
        <v>329</v>
      </c>
      <c r="BZ400" s="237" t="s">
        <v>83</v>
      </c>
      <c r="CA400" s="116"/>
      <c r="CB400" s="247"/>
      <c r="CC400" s="125"/>
      <c r="CD400" s="247"/>
      <c r="CE400" s="116"/>
      <c r="CF400" s="116"/>
      <c r="CG400" s="116"/>
      <c r="CH400" s="236">
        <v>441558</v>
      </c>
      <c r="CI400" s="238">
        <f>+CH400*0.19</f>
        <v>83896.02</v>
      </c>
      <c r="CJ400" s="236">
        <f>+CH400+CI400</f>
        <v>525454.02</v>
      </c>
      <c r="CK400" s="237" t="s">
        <v>329</v>
      </c>
      <c r="CL400" s="237" t="s">
        <v>83</v>
      </c>
      <c r="CM400" s="116"/>
      <c r="CN400" s="247"/>
      <c r="CO400" s="125"/>
      <c r="CP400" s="247"/>
      <c r="CQ400" s="116"/>
      <c r="CR400" s="116"/>
      <c r="CS400" s="116"/>
      <c r="CT400" s="247"/>
      <c r="CU400" s="125"/>
      <c r="CV400" s="247"/>
      <c r="CW400" s="116"/>
      <c r="CX400" s="116"/>
      <c r="CY400" s="116"/>
      <c r="CZ400" s="102"/>
      <c r="DA400" s="125"/>
      <c r="DB400" s="102"/>
      <c r="DC400" s="31"/>
      <c r="DD400" s="17"/>
      <c r="DE400" s="11"/>
      <c r="DF400" s="116"/>
      <c r="DG400" s="116"/>
      <c r="DH400" s="116"/>
      <c r="DI400" s="116"/>
      <c r="DJ400" s="116"/>
      <c r="DK400" s="116"/>
      <c r="DL400" s="116"/>
      <c r="DM400" s="116"/>
      <c r="DN400" s="116"/>
      <c r="DO400" s="116"/>
      <c r="DP400" s="116"/>
      <c r="DQ400" s="116"/>
      <c r="DR400" s="116"/>
      <c r="DS400" s="116"/>
      <c r="DT400" s="116"/>
      <c r="DU400" s="116"/>
      <c r="DV400" s="116"/>
      <c r="DW400" s="116"/>
      <c r="DX400" s="116"/>
      <c r="DY400" s="116"/>
      <c r="DZ400" s="116"/>
      <c r="EA400" s="116"/>
      <c r="EB400" s="116"/>
      <c r="EC400" s="116"/>
      <c r="ED400" s="116"/>
      <c r="EE400" s="116"/>
      <c r="EF400" s="116"/>
      <c r="EG400" s="116"/>
      <c r="EH400" s="116"/>
      <c r="EI400" s="116"/>
      <c r="EJ400" s="116"/>
      <c r="EK400" s="116"/>
      <c r="EL400" s="116"/>
      <c r="EM400" s="116"/>
      <c r="EN400" s="116"/>
      <c r="EO400" s="116"/>
      <c r="EP400" s="116"/>
      <c r="EQ400" s="116"/>
      <c r="ER400" s="116"/>
      <c r="ES400" s="116"/>
      <c r="ET400" s="11"/>
      <c r="EU400" s="11"/>
      <c r="EV400" s="11"/>
      <c r="EW400" s="11"/>
      <c r="EX400" s="11"/>
      <c r="EY400" s="11"/>
      <c r="EZ400" s="11"/>
      <c r="FA400" s="11"/>
      <c r="FB400" s="11"/>
      <c r="FC400" s="11"/>
      <c r="FD400" s="11"/>
      <c r="FE400" s="11"/>
      <c r="FF400" s="11"/>
      <c r="FG400" s="11"/>
      <c r="FH400" s="17">
        <f t="shared" si="158"/>
        <v>3727588.4208</v>
      </c>
      <c r="FI400" s="31">
        <f t="shared" si="159"/>
        <v>7</v>
      </c>
      <c r="FJ400" s="68">
        <f t="shared" si="160"/>
        <v>532512.63154285715</v>
      </c>
    </row>
    <row r="401" spans="1:166" ht="51" x14ac:dyDescent="0.25">
      <c r="A401" s="248">
        <f>Distribución_Reactivos!A401</f>
        <v>399</v>
      </c>
      <c r="B401" s="248" t="str">
        <f>Distribución_Reactivos!B401</f>
        <v>Sulfato de sodio anhidro granulado PA con certificado de análisis trazable por lote y descargable mediante el website del fabricante</v>
      </c>
      <c r="C401" s="248" t="str">
        <f>Distribución_Reactivos!C401</f>
        <v>Cualquier marca</v>
      </c>
      <c r="D401" s="248" t="str">
        <f>Distribución_Reactivos!D401</f>
        <v xml:space="preserve">Frasco x 500 g </v>
      </c>
      <c r="E401" s="29">
        <v>1</v>
      </c>
      <c r="F401" s="212">
        <v>147698.83333333334</v>
      </c>
      <c r="G401" s="214">
        <v>143157</v>
      </c>
      <c r="H401" s="221">
        <v>199797.4892574074</v>
      </c>
      <c r="I401" s="221">
        <v>71400</v>
      </c>
      <c r="J401" s="221">
        <v>236656.15731182796</v>
      </c>
      <c r="K401" s="221">
        <v>230741</v>
      </c>
      <c r="L401" s="247">
        <f>AVERAGE(F401,H401,J401)</f>
        <v>194717.49330085624</v>
      </c>
      <c r="M401" s="247">
        <f>AVERAGE(G401,I401,K401)*E1</f>
        <v>152885.64666666667</v>
      </c>
      <c r="N401" s="217"/>
      <c r="O401" s="97"/>
      <c r="P401" s="97"/>
      <c r="Q401" s="115"/>
      <c r="R401" s="115"/>
      <c r="S401" s="53"/>
      <c r="T401" s="97"/>
      <c r="U401" s="97"/>
      <c r="V401" s="97"/>
      <c r="W401" s="115"/>
      <c r="X401" s="115"/>
      <c r="Y401" s="11"/>
      <c r="Z401" s="97"/>
      <c r="AA401" s="97"/>
      <c r="AB401" s="97"/>
      <c r="AC401" s="44"/>
      <c r="AD401" s="44"/>
      <c r="AE401" s="11"/>
      <c r="AF401" s="102">
        <v>90000</v>
      </c>
      <c r="AG401" s="125">
        <f>AF401*19%</f>
        <v>17100</v>
      </c>
      <c r="AH401" s="97">
        <f>+AF401+AG401</f>
        <v>107100</v>
      </c>
      <c r="AI401" s="11"/>
      <c r="AJ401" s="11"/>
      <c r="AK401" s="17"/>
      <c r="AL401" s="97">
        <v>105000</v>
      </c>
      <c r="AM401" s="97">
        <f>+AL401*0.19</f>
        <v>19950</v>
      </c>
      <c r="AN401" s="103">
        <f t="shared" si="164"/>
        <v>124950</v>
      </c>
      <c r="AO401" s="248" t="s">
        <v>99</v>
      </c>
      <c r="AP401" s="17" t="s">
        <v>52</v>
      </c>
      <c r="AQ401" s="17"/>
      <c r="AR401" s="252">
        <v>439200</v>
      </c>
      <c r="AS401" s="124">
        <f t="shared" si="165"/>
        <v>83448</v>
      </c>
      <c r="AT401" s="100">
        <f t="shared" si="166"/>
        <v>522648</v>
      </c>
      <c r="AU401" s="52" t="s">
        <v>77</v>
      </c>
      <c r="AV401" s="52" t="s">
        <v>42</v>
      </c>
      <c r="AW401" s="11"/>
      <c r="AX401" s="100">
        <v>368251.32</v>
      </c>
      <c r="AY401" s="100">
        <f>+AX401*0.19</f>
        <v>69967.750800000009</v>
      </c>
      <c r="AZ401" s="124">
        <f>+AX401+AY401</f>
        <v>438219.07079999999</v>
      </c>
      <c r="BA401" s="169" t="s">
        <v>77</v>
      </c>
      <c r="BB401" s="116" t="s">
        <v>72</v>
      </c>
      <c r="BC401" s="116"/>
      <c r="BD401" s="247"/>
      <c r="BE401" s="124"/>
      <c r="BF401" s="124"/>
      <c r="BG401" s="116"/>
      <c r="BH401" s="116"/>
      <c r="BI401" s="116"/>
      <c r="BJ401" s="124"/>
      <c r="BK401" s="124"/>
      <c r="BL401" s="124"/>
      <c r="BM401" s="116"/>
      <c r="BN401" s="116"/>
      <c r="BO401" s="116"/>
      <c r="BP401" s="124"/>
      <c r="BQ401" s="116"/>
      <c r="BR401" s="116"/>
      <c r="BS401" s="116"/>
      <c r="BT401" s="116"/>
      <c r="BU401" s="116"/>
      <c r="BV401" s="236">
        <v>218600</v>
      </c>
      <c r="BW401" s="125">
        <f t="shared" si="163"/>
        <v>41534</v>
      </c>
      <c r="BX401" s="97">
        <f t="shared" si="162"/>
        <v>260134</v>
      </c>
      <c r="BY401" s="237" t="s">
        <v>319</v>
      </c>
      <c r="BZ401" s="237" t="s">
        <v>83</v>
      </c>
      <c r="CA401" s="116"/>
      <c r="CB401" s="247">
        <v>79650</v>
      </c>
      <c r="CC401" s="125">
        <f>+CB401*19%</f>
        <v>15133.5</v>
      </c>
      <c r="CD401" s="247">
        <f>+CC401+CB401</f>
        <v>94783.5</v>
      </c>
      <c r="CE401" s="116"/>
      <c r="CF401" s="116"/>
      <c r="CG401" s="116"/>
      <c r="CH401" s="236">
        <v>227344</v>
      </c>
      <c r="CI401" s="238">
        <f>+CH401*0.19</f>
        <v>43195.360000000001</v>
      </c>
      <c r="CJ401" s="236">
        <f>+CH401+CI401</f>
        <v>270539.36</v>
      </c>
      <c r="CK401" s="237" t="s">
        <v>319</v>
      </c>
      <c r="CL401" s="237" t="s">
        <v>83</v>
      </c>
      <c r="CM401" s="116"/>
      <c r="CN401" s="247"/>
      <c r="CO401" s="125"/>
      <c r="CP401" s="247"/>
      <c r="CQ401" s="116"/>
      <c r="CR401" s="116"/>
      <c r="CS401" s="116"/>
      <c r="CT401" s="247"/>
      <c r="CU401" s="125"/>
      <c r="CV401" s="247"/>
      <c r="CW401" s="116"/>
      <c r="CX401" s="116"/>
      <c r="CY401" s="116"/>
      <c r="CZ401" s="102">
        <v>66206</v>
      </c>
      <c r="DA401" s="125">
        <f>+CZ401*0.19</f>
        <v>12579.14</v>
      </c>
      <c r="DB401" s="102">
        <f>+CZ401+DA401</f>
        <v>78785.14</v>
      </c>
      <c r="DC401" s="31" t="s">
        <v>80</v>
      </c>
      <c r="DD401" s="17" t="s">
        <v>65</v>
      </c>
      <c r="DE401" s="11">
        <v>1066570500</v>
      </c>
      <c r="DF401" s="116"/>
      <c r="DG401" s="116"/>
      <c r="DH401" s="116"/>
      <c r="DI401" s="116"/>
      <c r="DJ401" s="116"/>
      <c r="DK401" s="116"/>
      <c r="DL401" s="116"/>
      <c r="DM401" s="116"/>
      <c r="DN401" s="116"/>
      <c r="DO401" s="116"/>
      <c r="DP401" s="116"/>
      <c r="DQ401" s="116"/>
      <c r="DR401" s="116"/>
      <c r="DS401" s="116"/>
      <c r="DT401" s="116"/>
      <c r="DU401" s="116"/>
      <c r="DV401" s="116"/>
      <c r="DW401" s="116"/>
      <c r="DX401" s="116"/>
      <c r="DY401" s="116"/>
      <c r="DZ401" s="116"/>
      <c r="EA401" s="116"/>
      <c r="EB401" s="116"/>
      <c r="EC401" s="116"/>
      <c r="ED401" s="116"/>
      <c r="EE401" s="116"/>
      <c r="EF401" s="116"/>
      <c r="EG401" s="116"/>
      <c r="EH401" s="116"/>
      <c r="EI401" s="116"/>
      <c r="EJ401" s="116"/>
      <c r="EK401" s="116"/>
      <c r="EL401" s="116"/>
      <c r="EM401" s="116"/>
      <c r="EN401" s="116"/>
      <c r="EO401" s="116"/>
      <c r="EP401" s="116"/>
      <c r="EQ401" s="116"/>
      <c r="ER401" s="116"/>
      <c r="ES401" s="116"/>
      <c r="ET401" s="11"/>
      <c r="EU401" s="11"/>
      <c r="EV401" s="11"/>
      <c r="EW401" s="11"/>
      <c r="EX401" s="11"/>
      <c r="EY401" s="11"/>
      <c r="EZ401" s="11"/>
      <c r="FA401" s="11"/>
      <c r="FB401" s="11"/>
      <c r="FC401" s="11"/>
      <c r="FD401" s="11"/>
      <c r="FE401" s="11"/>
      <c r="FF401" s="11"/>
      <c r="FG401" s="11"/>
      <c r="FH401" s="17">
        <f t="shared" si="158"/>
        <v>2050044.7174666666</v>
      </c>
      <c r="FI401" s="31">
        <f t="shared" si="159"/>
        <v>9</v>
      </c>
      <c r="FJ401" s="68">
        <f t="shared" si="160"/>
        <v>227782.74638518516</v>
      </c>
    </row>
    <row r="402" spans="1:166" ht="27" x14ac:dyDescent="0.25">
      <c r="A402" s="248">
        <f>Distribución_Reactivos!A402</f>
        <v>400</v>
      </c>
      <c r="B402" s="248" t="str">
        <f>Distribución_Reactivos!B402</f>
        <v>Sulfito de sodio (Na2SO3)</v>
      </c>
      <c r="C402" s="248" t="str">
        <f>Distribución_Reactivos!C402</f>
        <v>Sigma-Aldrich</v>
      </c>
      <c r="D402" s="248" t="str">
        <f>Distribución_Reactivos!D402</f>
        <v>Frasco x 500 g</v>
      </c>
      <c r="E402" s="29">
        <v>1</v>
      </c>
      <c r="F402" s="212">
        <v>153787.66666666666</v>
      </c>
      <c r="G402" s="214">
        <v>0</v>
      </c>
      <c r="H402" s="221">
        <v>197549.56484814815</v>
      </c>
      <c r="I402" s="221">
        <v>0</v>
      </c>
      <c r="J402" s="221">
        <v>166849.51612903224</v>
      </c>
      <c r="K402" s="221">
        <v>0</v>
      </c>
      <c r="L402" s="247">
        <f>AVERAGE(F402,H402,J402)</f>
        <v>172728.91588128233</v>
      </c>
      <c r="M402" s="247"/>
      <c r="N402" s="217"/>
      <c r="O402" s="97"/>
      <c r="P402" s="97"/>
      <c r="Q402" s="115"/>
      <c r="R402" s="115"/>
      <c r="S402" s="53"/>
      <c r="T402" s="97"/>
      <c r="U402" s="97"/>
      <c r="V402" s="97"/>
      <c r="W402" s="115"/>
      <c r="X402" s="115"/>
      <c r="Y402" s="11"/>
      <c r="Z402" s="97"/>
      <c r="AA402" s="97"/>
      <c r="AB402" s="97"/>
      <c r="AC402" s="44"/>
      <c r="AD402" s="44"/>
      <c r="AE402" s="11"/>
      <c r="AF402" s="102"/>
      <c r="AG402" s="125"/>
      <c r="AH402" s="97"/>
      <c r="AI402" s="11"/>
      <c r="AJ402" s="11"/>
      <c r="AK402" s="17"/>
      <c r="AL402" s="97">
        <v>140000</v>
      </c>
      <c r="AM402" s="97">
        <f>+AL402*0.19</f>
        <v>26600</v>
      </c>
      <c r="AN402" s="103">
        <f t="shared" si="164"/>
        <v>166600</v>
      </c>
      <c r="AO402" s="248" t="s">
        <v>99</v>
      </c>
      <c r="AP402" s="17" t="s">
        <v>52</v>
      </c>
      <c r="AQ402" s="17"/>
      <c r="AR402" s="252">
        <f>216000*2</f>
        <v>432000</v>
      </c>
      <c r="AS402" s="124">
        <f t="shared" si="165"/>
        <v>82080</v>
      </c>
      <c r="AT402" s="100">
        <f t="shared" si="166"/>
        <v>514080</v>
      </c>
      <c r="AU402" s="52" t="s">
        <v>82</v>
      </c>
      <c r="AV402" s="52" t="s">
        <v>42</v>
      </c>
      <c r="AW402" s="11"/>
      <c r="AX402" s="100"/>
      <c r="AY402" s="174"/>
      <c r="AZ402" s="124"/>
      <c r="BA402" s="169"/>
      <c r="BB402" s="116"/>
      <c r="BC402" s="116"/>
      <c r="BD402" s="247"/>
      <c r="BE402" s="124"/>
      <c r="BF402" s="124"/>
      <c r="BG402" s="116"/>
      <c r="BH402" s="116"/>
      <c r="BI402" s="116"/>
      <c r="BJ402" s="124"/>
      <c r="BK402" s="124"/>
      <c r="BL402" s="124"/>
      <c r="BM402" s="116"/>
      <c r="BN402" s="116"/>
      <c r="BO402" s="116"/>
      <c r="BP402" s="124"/>
      <c r="BQ402" s="116"/>
      <c r="BR402" s="116"/>
      <c r="BS402" s="116"/>
      <c r="BT402" s="116"/>
      <c r="BU402" s="116"/>
      <c r="BV402" s="236">
        <v>310900</v>
      </c>
      <c r="BW402" s="125">
        <f t="shared" si="163"/>
        <v>59071</v>
      </c>
      <c r="BX402" s="97">
        <f t="shared" si="162"/>
        <v>369971</v>
      </c>
      <c r="BY402" s="237" t="s">
        <v>319</v>
      </c>
      <c r="BZ402" s="237" t="s">
        <v>434</v>
      </c>
      <c r="CA402" s="116"/>
      <c r="CB402" s="247"/>
      <c r="CC402" s="125"/>
      <c r="CD402" s="247"/>
      <c r="CE402" s="116"/>
      <c r="CF402" s="116"/>
      <c r="CG402" s="116"/>
      <c r="CH402" s="236">
        <v>314009</v>
      </c>
      <c r="CI402" s="238">
        <f>+CH402*0.19</f>
        <v>59661.71</v>
      </c>
      <c r="CJ402" s="236">
        <f>+CH402+CI402</f>
        <v>373670.71</v>
      </c>
      <c r="CK402" s="237" t="s">
        <v>319</v>
      </c>
      <c r="CL402" s="237" t="s">
        <v>434</v>
      </c>
      <c r="CM402" s="116"/>
      <c r="CN402" s="247"/>
      <c r="CO402" s="125"/>
      <c r="CP402" s="247"/>
      <c r="CQ402" s="116"/>
      <c r="CR402" s="116"/>
      <c r="CS402" s="116"/>
      <c r="CT402" s="247"/>
      <c r="CU402" s="125"/>
      <c r="CV402" s="247"/>
      <c r="CW402" s="116"/>
      <c r="CX402" s="116"/>
      <c r="CY402" s="116"/>
      <c r="CZ402" s="102"/>
      <c r="DA402" s="125"/>
      <c r="DB402" s="102"/>
      <c r="DC402" s="31"/>
      <c r="DD402" s="17"/>
      <c r="DE402" s="11"/>
      <c r="DF402" s="116"/>
      <c r="DG402" s="116"/>
      <c r="DH402" s="116"/>
      <c r="DI402" s="116"/>
      <c r="DJ402" s="116"/>
      <c r="DK402" s="116"/>
      <c r="DL402" s="116"/>
      <c r="DM402" s="116"/>
      <c r="DN402" s="116"/>
      <c r="DO402" s="116"/>
      <c r="DP402" s="116"/>
      <c r="DQ402" s="116"/>
      <c r="DR402" s="116"/>
      <c r="DS402" s="116"/>
      <c r="DT402" s="116"/>
      <c r="DU402" s="116"/>
      <c r="DV402" s="116"/>
      <c r="DW402" s="116"/>
      <c r="DX402" s="116"/>
      <c r="DY402" s="116"/>
      <c r="DZ402" s="116"/>
      <c r="EA402" s="116"/>
      <c r="EB402" s="116"/>
      <c r="EC402" s="116"/>
      <c r="ED402" s="116"/>
      <c r="EE402" s="116"/>
      <c r="EF402" s="116"/>
      <c r="EG402" s="116"/>
      <c r="EH402" s="116"/>
      <c r="EI402" s="116"/>
      <c r="EJ402" s="116"/>
      <c r="EK402" s="116"/>
      <c r="EL402" s="116"/>
      <c r="EM402" s="116"/>
      <c r="EN402" s="116"/>
      <c r="EO402" s="116"/>
      <c r="EP402" s="116"/>
      <c r="EQ402" s="116"/>
      <c r="ER402" s="116"/>
      <c r="ES402" s="116"/>
      <c r="ET402" s="11"/>
      <c r="EU402" s="11"/>
      <c r="EV402" s="11"/>
      <c r="EW402" s="11"/>
      <c r="EX402" s="11"/>
      <c r="EY402" s="11"/>
      <c r="EZ402" s="11"/>
      <c r="FA402" s="11"/>
      <c r="FB402" s="11"/>
      <c r="FC402" s="11"/>
      <c r="FD402" s="11"/>
      <c r="FE402" s="11"/>
      <c r="FF402" s="11"/>
      <c r="FG402" s="11"/>
      <c r="FH402" s="17">
        <f t="shared" si="158"/>
        <v>1424321.71</v>
      </c>
      <c r="FI402" s="31">
        <f t="shared" si="159"/>
        <v>4</v>
      </c>
      <c r="FJ402" s="68">
        <f t="shared" si="160"/>
        <v>356080.42749999999</v>
      </c>
    </row>
    <row r="403" spans="1:166" ht="25.5" x14ac:dyDescent="0.25">
      <c r="A403" s="248">
        <f>Distribución_Reactivos!A403</f>
        <v>401</v>
      </c>
      <c r="B403" s="248" t="str">
        <f>Distribución_Reactivos!B403</f>
        <v>Swine influenza 2009 H1N1 positive
control RNA for N1 PCR</v>
      </c>
      <c r="C403" s="248" t="str">
        <f>Distribución_Reactivos!C403</f>
        <v>NVSL. 305-IDV</v>
      </c>
      <c r="D403" s="248">
        <f>Distribución_Reactivos!D403</f>
        <v>0</v>
      </c>
      <c r="E403" s="29">
        <v>1</v>
      </c>
      <c r="F403" s="212">
        <v>0</v>
      </c>
      <c r="G403" s="214">
        <v>0</v>
      </c>
      <c r="H403" s="221">
        <v>0</v>
      </c>
      <c r="I403" s="221">
        <v>0</v>
      </c>
      <c r="J403" s="221">
        <v>0</v>
      </c>
      <c r="K403" s="221">
        <v>0</v>
      </c>
      <c r="L403" s="247"/>
      <c r="M403" s="247"/>
      <c r="N403" s="217"/>
      <c r="O403" s="97"/>
      <c r="P403" s="97"/>
      <c r="Q403" s="115"/>
      <c r="R403" s="115"/>
      <c r="S403" s="53"/>
      <c r="T403" s="97"/>
      <c r="U403" s="105"/>
      <c r="V403" s="97"/>
      <c r="W403" s="115"/>
      <c r="X403" s="115"/>
      <c r="Y403" s="11"/>
      <c r="Z403" s="97"/>
      <c r="AA403" s="97"/>
      <c r="AB403" s="97"/>
      <c r="AC403" s="44"/>
      <c r="AD403" s="44"/>
      <c r="AE403" s="11"/>
      <c r="AF403" s="97"/>
      <c r="AG403" s="125"/>
      <c r="AH403" s="97"/>
      <c r="AI403" s="11"/>
      <c r="AJ403" s="11"/>
      <c r="AK403" s="17"/>
      <c r="AL403" s="97"/>
      <c r="AM403" s="97"/>
      <c r="AN403" s="101"/>
      <c r="AO403" s="248"/>
      <c r="AP403" s="17"/>
      <c r="AQ403" s="17"/>
      <c r="AR403" s="252"/>
      <c r="AS403" s="252"/>
      <c r="AT403" s="252"/>
      <c r="AU403" s="42"/>
      <c r="AV403" s="52"/>
      <c r="AW403" s="11"/>
      <c r="AX403" s="100"/>
      <c r="AY403" s="100"/>
      <c r="AZ403" s="124"/>
      <c r="BA403" s="169"/>
      <c r="BB403" s="116"/>
      <c r="BC403" s="116"/>
      <c r="BD403" s="252"/>
      <c r="BE403" s="124"/>
      <c r="BF403" s="124"/>
      <c r="BG403" s="116"/>
      <c r="BH403" s="116"/>
      <c r="BI403" s="116"/>
      <c r="BJ403" s="124"/>
      <c r="BK403" s="124"/>
      <c r="BL403" s="124"/>
      <c r="BM403" s="116"/>
      <c r="BN403" s="116"/>
      <c r="BO403" s="116"/>
      <c r="BP403" s="124"/>
      <c r="BQ403" s="116"/>
      <c r="BR403" s="116"/>
      <c r="BS403" s="116"/>
      <c r="BT403" s="116"/>
      <c r="BU403" s="116"/>
      <c r="BV403" s="240">
        <v>966000</v>
      </c>
      <c r="BW403" s="125">
        <f>BV403*19%</f>
        <v>183540</v>
      </c>
      <c r="BX403" s="97">
        <f>+BV403+BW403</f>
        <v>1149540</v>
      </c>
      <c r="BY403" s="237" t="s">
        <v>440</v>
      </c>
      <c r="BZ403" s="237" t="s">
        <v>433</v>
      </c>
      <c r="CA403" s="116"/>
      <c r="CB403" s="252"/>
      <c r="CC403" s="124"/>
      <c r="CD403" s="252"/>
      <c r="CE403" s="116"/>
      <c r="CF403" s="116"/>
      <c r="CG403" s="116"/>
      <c r="CH403" s="240">
        <v>975660</v>
      </c>
      <c r="CI403" s="238">
        <f>+CH403*0.19</f>
        <v>185375.4</v>
      </c>
      <c r="CJ403" s="236">
        <f>+CH403+CI403</f>
        <v>1161035.3999999999</v>
      </c>
      <c r="CK403" s="237" t="s">
        <v>440</v>
      </c>
      <c r="CL403" s="237" t="s">
        <v>433</v>
      </c>
      <c r="CM403" s="116"/>
      <c r="CN403" s="252"/>
      <c r="CO403" s="124"/>
      <c r="CP403" s="252"/>
      <c r="CQ403" s="116"/>
      <c r="CR403" s="116"/>
      <c r="CS403" s="116"/>
      <c r="CT403" s="252"/>
      <c r="CU403" s="124"/>
      <c r="CV403" s="252"/>
      <c r="CW403" s="116"/>
      <c r="CX403" s="116"/>
      <c r="CY403" s="116"/>
      <c r="CZ403" s="97"/>
      <c r="DA403" s="124"/>
      <c r="DB403" s="97"/>
      <c r="DC403" s="31"/>
      <c r="DD403" s="17"/>
      <c r="DE403" s="11"/>
      <c r="DF403" s="116"/>
      <c r="DG403" s="116"/>
      <c r="DH403" s="116"/>
      <c r="DI403" s="116"/>
      <c r="DJ403" s="116"/>
      <c r="DK403" s="116"/>
      <c r="DL403" s="116"/>
      <c r="DM403" s="116"/>
      <c r="DN403" s="116"/>
      <c r="DO403" s="116"/>
      <c r="DP403" s="116"/>
      <c r="DQ403" s="116"/>
      <c r="DR403" s="116"/>
      <c r="DS403" s="116"/>
      <c r="DT403" s="116"/>
      <c r="DU403" s="116"/>
      <c r="DV403" s="116"/>
      <c r="DW403" s="116"/>
      <c r="DX403" s="116"/>
      <c r="DY403" s="116"/>
      <c r="DZ403" s="116"/>
      <c r="EA403" s="116"/>
      <c r="EB403" s="116"/>
      <c r="EC403" s="116"/>
      <c r="ED403" s="116"/>
      <c r="EE403" s="116"/>
      <c r="EF403" s="116"/>
      <c r="EG403" s="116"/>
      <c r="EH403" s="116"/>
      <c r="EI403" s="116"/>
      <c r="EJ403" s="116"/>
      <c r="EK403" s="116"/>
      <c r="EL403" s="116"/>
      <c r="EM403" s="116"/>
      <c r="EN403" s="116"/>
      <c r="EO403" s="116"/>
      <c r="EP403" s="116"/>
      <c r="EQ403" s="116"/>
      <c r="ER403" s="116"/>
      <c r="ES403" s="116"/>
      <c r="ET403" s="11"/>
      <c r="EU403" s="11"/>
      <c r="EV403" s="11"/>
      <c r="EW403" s="11"/>
      <c r="EX403" s="11"/>
      <c r="EY403" s="11"/>
      <c r="EZ403" s="11"/>
      <c r="FA403" s="11"/>
      <c r="FB403" s="11"/>
      <c r="FC403" s="11"/>
      <c r="FD403" s="11"/>
      <c r="FE403" s="11"/>
      <c r="FF403" s="11"/>
      <c r="FG403" s="11"/>
      <c r="FH403" s="17">
        <f t="shared" si="158"/>
        <v>2310575.4</v>
      </c>
      <c r="FI403" s="31">
        <f t="shared" si="159"/>
        <v>2</v>
      </c>
      <c r="FJ403" s="68">
        <f t="shared" si="160"/>
        <v>1155287.7</v>
      </c>
    </row>
    <row r="404" spans="1:166" ht="51" x14ac:dyDescent="0.25">
      <c r="A404" s="248">
        <f>Distribución_Reactivos!A404</f>
        <v>402</v>
      </c>
      <c r="B404" s="248" t="str">
        <f>Distribución_Reactivos!B404</f>
        <v>SYBR Green PCR Master Mix®</v>
      </c>
      <c r="C404" s="248" t="str">
        <f>Distribución_Reactivos!C404</f>
        <v>Apply Biosystems No. Cat. 4309155</v>
      </c>
      <c r="D404" s="248" t="str">
        <f>Distribución_Reactivos!D404</f>
        <v xml:space="preserve">1 vial x 5 ml. </v>
      </c>
      <c r="E404" s="29">
        <v>1</v>
      </c>
      <c r="F404" s="212">
        <v>0</v>
      </c>
      <c r="G404" s="214">
        <v>0</v>
      </c>
      <c r="H404" s="221">
        <v>1053150</v>
      </c>
      <c r="I404" s="221">
        <v>0</v>
      </c>
      <c r="J404" s="221">
        <v>1475821.6666666667</v>
      </c>
      <c r="K404" s="221">
        <v>0</v>
      </c>
      <c r="L404" s="247">
        <f>AVERAGE(H404,J404)</f>
        <v>1264485.8333333335</v>
      </c>
      <c r="M404" s="247"/>
      <c r="N404" s="217"/>
      <c r="O404" s="97"/>
      <c r="P404" s="97"/>
      <c r="Q404" s="115"/>
      <c r="R404" s="115"/>
      <c r="S404" s="53"/>
      <c r="T404" s="97">
        <v>2523000</v>
      </c>
      <c r="U404" s="97">
        <f>+T404*0.19</f>
        <v>479370</v>
      </c>
      <c r="V404" s="97">
        <f>+T404+U404</f>
        <v>3002370</v>
      </c>
      <c r="W404" s="115" t="s">
        <v>270</v>
      </c>
      <c r="X404" s="115" t="s">
        <v>441</v>
      </c>
      <c r="Y404" s="11"/>
      <c r="Z404" s="97"/>
      <c r="AA404" s="97"/>
      <c r="AB404" s="97"/>
      <c r="AC404" s="44"/>
      <c r="AD404" s="44"/>
      <c r="AE404" s="11"/>
      <c r="AF404" s="102"/>
      <c r="AG404" s="125"/>
      <c r="AH404" s="97"/>
      <c r="AI404" s="11"/>
      <c r="AJ404" s="11"/>
      <c r="AK404" s="17"/>
      <c r="AL404" s="97"/>
      <c r="AM404" s="97"/>
      <c r="AN404" s="101"/>
      <c r="AO404" s="248"/>
      <c r="AP404" s="17"/>
      <c r="AQ404" s="17"/>
      <c r="AR404" s="252">
        <v>589680</v>
      </c>
      <c r="AS404" s="124">
        <f>+AR404*0.19</f>
        <v>112039.2</v>
      </c>
      <c r="AT404" s="100">
        <f>+AR404+AS404</f>
        <v>701719.2</v>
      </c>
      <c r="AU404" s="52" t="s">
        <v>442</v>
      </c>
      <c r="AV404" s="52" t="s">
        <v>42</v>
      </c>
      <c r="AW404" s="11"/>
      <c r="AX404" s="100"/>
      <c r="AY404" s="100"/>
      <c r="AZ404" s="124"/>
      <c r="BA404" s="169"/>
      <c r="BB404" s="116"/>
      <c r="BC404" s="116"/>
      <c r="BD404" s="247"/>
      <c r="BE404" s="124"/>
      <c r="BF404" s="124"/>
      <c r="BG404" s="116"/>
      <c r="BH404" s="116"/>
      <c r="BI404" s="116"/>
      <c r="BJ404" s="124"/>
      <c r="BK404" s="124"/>
      <c r="BL404" s="124"/>
      <c r="BM404" s="116"/>
      <c r="BN404" s="116"/>
      <c r="BO404" s="116"/>
      <c r="BP404" s="124">
        <v>1552210</v>
      </c>
      <c r="BQ404" s="125">
        <f>BP404*19%</f>
        <v>294919.90000000002</v>
      </c>
      <c r="BR404" s="97">
        <f>+BP404+BQ404</f>
        <v>1847129.9</v>
      </c>
      <c r="BS404" s="31" t="s">
        <v>443</v>
      </c>
      <c r="BT404" s="34" t="s">
        <v>444</v>
      </c>
      <c r="BU404" s="5" t="s">
        <v>445</v>
      </c>
      <c r="BV404" s="187"/>
      <c r="BW404" s="125"/>
      <c r="BX404" s="97"/>
      <c r="BY404" s="246"/>
      <c r="BZ404" s="246"/>
      <c r="CA404" s="116"/>
      <c r="CB404" s="247"/>
      <c r="CC404" s="125"/>
      <c r="CD404" s="247"/>
      <c r="CE404" s="116"/>
      <c r="CF404" s="116"/>
      <c r="CG404" s="116"/>
      <c r="CH404" s="187"/>
      <c r="CI404" s="195"/>
      <c r="CJ404" s="187"/>
      <c r="CK404" s="246"/>
      <c r="CL404" s="246"/>
      <c r="CM404" s="116"/>
      <c r="CN404" s="247"/>
      <c r="CO404" s="125"/>
      <c r="CP404" s="247"/>
      <c r="CQ404" s="116"/>
      <c r="CR404" s="116"/>
      <c r="CS404" s="116"/>
      <c r="CT404" s="247"/>
      <c r="CU404" s="125"/>
      <c r="CV404" s="247"/>
      <c r="CW404" s="116"/>
      <c r="CX404" s="116"/>
      <c r="CY404" s="116"/>
      <c r="CZ404" s="102"/>
      <c r="DA404" s="125"/>
      <c r="DB404" s="102"/>
      <c r="DC404" s="31"/>
      <c r="DD404" s="17"/>
      <c r="DE404" s="11"/>
      <c r="DF404" s="116"/>
      <c r="DG404" s="116"/>
      <c r="DH404" s="116"/>
      <c r="DI404" s="116"/>
      <c r="DJ404" s="116"/>
      <c r="DK404" s="116"/>
      <c r="DL404" s="116"/>
      <c r="DM404" s="116"/>
      <c r="DN404" s="116"/>
      <c r="DO404" s="116"/>
      <c r="DP404" s="116"/>
      <c r="DQ404" s="116"/>
      <c r="DR404" s="116"/>
      <c r="DS404" s="116"/>
      <c r="DT404" s="116"/>
      <c r="DU404" s="116"/>
      <c r="DV404" s="116"/>
      <c r="DW404" s="116"/>
      <c r="DX404" s="116"/>
      <c r="DY404" s="116"/>
      <c r="DZ404" s="116"/>
      <c r="EA404" s="116"/>
      <c r="EB404" s="116"/>
      <c r="EC404" s="116"/>
      <c r="ED404" s="116"/>
      <c r="EE404" s="116"/>
      <c r="EF404" s="116"/>
      <c r="EG404" s="116"/>
      <c r="EH404" s="116"/>
      <c r="EI404" s="116"/>
      <c r="EJ404" s="116"/>
      <c r="EK404" s="116"/>
      <c r="EL404" s="116"/>
      <c r="EM404" s="116"/>
      <c r="EN404" s="116"/>
      <c r="EO404" s="116"/>
      <c r="EP404" s="116"/>
      <c r="EQ404" s="116"/>
      <c r="ER404" s="116"/>
      <c r="ES404" s="116"/>
      <c r="ET404" s="11"/>
      <c r="EU404" s="11"/>
      <c r="EV404" s="11"/>
      <c r="EW404" s="11"/>
      <c r="EX404" s="11"/>
      <c r="EY404" s="11"/>
      <c r="EZ404" s="11"/>
      <c r="FA404" s="11"/>
      <c r="FB404" s="11"/>
      <c r="FC404" s="11"/>
      <c r="FD404" s="11"/>
      <c r="FE404" s="11"/>
      <c r="FF404" s="11"/>
      <c r="FG404" s="11"/>
      <c r="FH404" s="17">
        <f t="shared" si="158"/>
        <v>5551219.0999999996</v>
      </c>
      <c r="FI404" s="31">
        <f t="shared" si="159"/>
        <v>3</v>
      </c>
      <c r="FJ404" s="68">
        <f t="shared" si="160"/>
        <v>1850406.3666666665</v>
      </c>
    </row>
    <row r="405" spans="1:166" ht="38.25" x14ac:dyDescent="0.25">
      <c r="A405" s="248">
        <f>Distribución_Reactivos!A405</f>
        <v>403</v>
      </c>
      <c r="B405" s="248" t="str">
        <f>Distribución_Reactivos!B405</f>
        <v>SYBR Safe para tinción de geles de agarosa (10.000X)</v>
      </c>
      <c r="C405" s="248" t="str">
        <f>Distribución_Reactivos!C405</f>
        <v>Invitrogen</v>
      </c>
      <c r="D405" s="248" t="str">
        <f>Distribución_Reactivos!D405</f>
        <v xml:space="preserve">Vial x 400 µl </v>
      </c>
      <c r="E405" s="29">
        <v>1</v>
      </c>
      <c r="F405" s="212">
        <v>0</v>
      </c>
      <c r="G405" s="214">
        <v>0</v>
      </c>
      <c r="H405" s="221">
        <v>409201.33333333331</v>
      </c>
      <c r="I405" s="221">
        <v>0</v>
      </c>
      <c r="J405" s="221">
        <v>562087.61250000005</v>
      </c>
      <c r="K405" s="221">
        <v>0</v>
      </c>
      <c r="L405" s="247">
        <f>AVERAGE(H405,J405)</f>
        <v>485644.47291666665</v>
      </c>
      <c r="M405" s="247"/>
      <c r="N405" s="217"/>
      <c r="O405" s="97"/>
      <c r="P405" s="97"/>
      <c r="Q405" s="115"/>
      <c r="R405" s="115"/>
      <c r="S405" s="53"/>
      <c r="T405" s="97">
        <v>486000</v>
      </c>
      <c r="U405" s="97">
        <f>+T405*0.19</f>
        <v>92340</v>
      </c>
      <c r="V405" s="97">
        <f>+T405+U405</f>
        <v>578340</v>
      </c>
      <c r="W405" s="115" t="s">
        <v>446</v>
      </c>
      <c r="X405" s="115" t="s">
        <v>129</v>
      </c>
      <c r="Y405" s="11"/>
      <c r="Z405" s="97"/>
      <c r="AA405" s="97"/>
      <c r="AB405" s="97"/>
      <c r="AC405" s="44"/>
      <c r="AD405" s="44"/>
      <c r="AE405" s="11"/>
      <c r="AF405" s="102"/>
      <c r="AG405" s="125"/>
      <c r="AH405" s="97"/>
      <c r="AI405" s="11"/>
      <c r="AJ405" s="11"/>
      <c r="AK405" s="17"/>
      <c r="AL405" s="97"/>
      <c r="AM405" s="97"/>
      <c r="AN405" s="101"/>
      <c r="AO405" s="248"/>
      <c r="AP405" s="17"/>
      <c r="AQ405" s="17"/>
      <c r="AR405" s="252">
        <v>524880</v>
      </c>
      <c r="AS405" s="124">
        <f>+AR405*0.19</f>
        <v>99727.2</v>
      </c>
      <c r="AT405" s="100">
        <f>+AR405+AS405</f>
        <v>624607.19999999995</v>
      </c>
      <c r="AU405" s="52" t="s">
        <v>414</v>
      </c>
      <c r="AV405" s="52" t="s">
        <v>447</v>
      </c>
      <c r="AW405" s="11"/>
      <c r="AX405" s="100"/>
      <c r="AY405" s="174"/>
      <c r="AZ405" s="124"/>
      <c r="BA405" s="169"/>
      <c r="BB405" s="116"/>
      <c r="BC405" s="116"/>
      <c r="BD405" s="247"/>
      <c r="BE405" s="124"/>
      <c r="BF405" s="124"/>
      <c r="BG405" s="116"/>
      <c r="BH405" s="116"/>
      <c r="BI405" s="116"/>
      <c r="BJ405" s="124"/>
      <c r="BK405" s="124"/>
      <c r="BL405" s="124"/>
      <c r="BM405" s="116"/>
      <c r="BN405" s="116"/>
      <c r="BO405" s="116"/>
      <c r="BP405" s="124">
        <v>789655</v>
      </c>
      <c r="BQ405" s="125">
        <f>BP405*19%</f>
        <v>150034.45000000001</v>
      </c>
      <c r="BR405" s="97">
        <f>+BP405+BQ405</f>
        <v>939689.45</v>
      </c>
      <c r="BS405" s="31" t="s">
        <v>448</v>
      </c>
      <c r="BT405" s="182" t="s">
        <v>449</v>
      </c>
      <c r="BU405" s="5" t="s">
        <v>450</v>
      </c>
      <c r="BV405" s="187"/>
      <c r="BW405" s="125"/>
      <c r="BX405" s="97"/>
      <c r="BY405" s="246"/>
      <c r="BZ405" s="246"/>
      <c r="CA405" s="116"/>
      <c r="CB405" s="247"/>
      <c r="CC405" s="125"/>
      <c r="CD405" s="247"/>
      <c r="CE405" s="116"/>
      <c r="CF405" s="116"/>
      <c r="CG405" s="116"/>
      <c r="CH405" s="187"/>
      <c r="CI405" s="195"/>
      <c r="CJ405" s="187"/>
      <c r="CK405" s="246"/>
      <c r="CL405" s="246"/>
      <c r="CM405" s="116"/>
      <c r="CN405" s="247"/>
      <c r="CO405" s="125"/>
      <c r="CP405" s="247"/>
      <c r="CQ405" s="116"/>
      <c r="CR405" s="116"/>
      <c r="CS405" s="116"/>
      <c r="CT405" s="247"/>
      <c r="CU405" s="125"/>
      <c r="CV405" s="247"/>
      <c r="CW405" s="116"/>
      <c r="CX405" s="116"/>
      <c r="CY405" s="116"/>
      <c r="CZ405" s="102"/>
      <c r="DA405" s="125"/>
      <c r="DB405" s="102"/>
      <c r="DC405" s="31"/>
      <c r="DD405" s="17"/>
      <c r="DE405" s="11"/>
      <c r="DF405" s="116"/>
      <c r="DG405" s="116"/>
      <c r="DH405" s="116"/>
      <c r="DI405" s="116"/>
      <c r="DJ405" s="116"/>
      <c r="DK405" s="116"/>
      <c r="DL405" s="116"/>
      <c r="DM405" s="116"/>
      <c r="DN405" s="116"/>
      <c r="DO405" s="116"/>
      <c r="DP405" s="116"/>
      <c r="DQ405" s="116"/>
      <c r="DR405" s="116"/>
      <c r="DS405" s="116"/>
      <c r="DT405" s="116"/>
      <c r="DU405" s="116"/>
      <c r="DV405" s="116"/>
      <c r="DW405" s="116"/>
      <c r="DX405" s="116"/>
      <c r="DY405" s="116"/>
      <c r="DZ405" s="116"/>
      <c r="EA405" s="116"/>
      <c r="EB405" s="116"/>
      <c r="EC405" s="116"/>
      <c r="ED405" s="116"/>
      <c r="EE405" s="116"/>
      <c r="EF405" s="116"/>
      <c r="EG405" s="116"/>
      <c r="EH405" s="116"/>
      <c r="EI405" s="116"/>
      <c r="EJ405" s="116"/>
      <c r="EK405" s="116"/>
      <c r="EL405" s="116"/>
      <c r="EM405" s="116"/>
      <c r="EN405" s="116"/>
      <c r="EO405" s="116"/>
      <c r="EP405" s="116"/>
      <c r="EQ405" s="116"/>
      <c r="ER405" s="116"/>
      <c r="ES405" s="116"/>
      <c r="ET405" s="11"/>
      <c r="EU405" s="11"/>
      <c r="EV405" s="11"/>
      <c r="EW405" s="11"/>
      <c r="EX405" s="11"/>
      <c r="EY405" s="11"/>
      <c r="EZ405" s="11"/>
      <c r="FA405" s="11"/>
      <c r="FB405" s="11"/>
      <c r="FC405" s="11"/>
      <c r="FD405" s="11"/>
      <c r="FE405" s="11"/>
      <c r="FF405" s="11"/>
      <c r="FG405" s="11"/>
      <c r="FH405" s="17">
        <f t="shared" si="158"/>
        <v>2142636.65</v>
      </c>
      <c r="FI405" s="31">
        <f t="shared" si="159"/>
        <v>3</v>
      </c>
      <c r="FJ405" s="68">
        <f t="shared" si="160"/>
        <v>714212.21666666667</v>
      </c>
    </row>
    <row r="406" spans="1:166" ht="13.5" x14ac:dyDescent="0.25">
      <c r="A406" s="248">
        <f>Distribución_Reactivos!A406</f>
        <v>404</v>
      </c>
      <c r="B406" s="248" t="str">
        <f>Distribución_Reactivos!B406</f>
        <v>Tego 51</v>
      </c>
      <c r="C406" s="248" t="str">
        <f>Distribución_Reactivos!C406</f>
        <v>Merck</v>
      </c>
      <c r="D406" s="248" t="str">
        <f>Distribución_Reactivos!D406</f>
        <v>Frasco x 5 litros</v>
      </c>
      <c r="E406" s="29">
        <v>1</v>
      </c>
      <c r="F406" s="212">
        <v>268900</v>
      </c>
      <c r="G406" s="214">
        <v>262100</v>
      </c>
      <c r="H406" s="221">
        <v>260051.67282500002</v>
      </c>
      <c r="I406" s="221">
        <v>0</v>
      </c>
      <c r="J406" s="221">
        <v>312602.5</v>
      </c>
      <c r="K406" s="221">
        <v>0</v>
      </c>
      <c r="L406" s="247">
        <f>AVERAGE(F406,H406,J406)</f>
        <v>280518.05760833336</v>
      </c>
      <c r="M406" s="247">
        <f>G406*E1</f>
        <v>269963</v>
      </c>
      <c r="N406" s="217"/>
      <c r="O406" s="101"/>
      <c r="P406" s="97"/>
      <c r="Q406" s="115"/>
      <c r="R406" s="115"/>
      <c r="S406" s="53"/>
      <c r="T406" s="97"/>
      <c r="U406" s="97"/>
      <c r="V406" s="97"/>
      <c r="W406" s="115"/>
      <c r="X406" s="115"/>
      <c r="Y406" s="11"/>
      <c r="Z406" s="97"/>
      <c r="AA406" s="97"/>
      <c r="AB406" s="97"/>
      <c r="AC406" s="44"/>
      <c r="AD406" s="44"/>
      <c r="AE406" s="11"/>
      <c r="AF406" s="102">
        <v>350000</v>
      </c>
      <c r="AG406" s="125">
        <v>0</v>
      </c>
      <c r="AH406" s="97">
        <f>+AF406+AG406</f>
        <v>350000</v>
      </c>
      <c r="AI406" s="11"/>
      <c r="AJ406" s="11"/>
      <c r="AK406" s="17"/>
      <c r="AL406" s="97"/>
      <c r="AM406" s="97"/>
      <c r="AN406" s="101"/>
      <c r="AO406" s="248"/>
      <c r="AP406" s="17"/>
      <c r="AQ406" s="17"/>
      <c r="AR406" s="252"/>
      <c r="AS406" s="252"/>
      <c r="AT406" s="252"/>
      <c r="AU406" s="52"/>
      <c r="AV406" s="52"/>
      <c r="AW406" s="11"/>
      <c r="AX406" s="100"/>
      <c r="AY406" s="174"/>
      <c r="AZ406" s="124"/>
      <c r="BA406" s="169"/>
      <c r="BB406" s="116"/>
      <c r="BC406" s="116"/>
      <c r="BD406" s="247"/>
      <c r="BE406" s="124"/>
      <c r="BF406" s="124"/>
      <c r="BG406" s="116"/>
      <c r="BH406" s="116"/>
      <c r="BI406" s="116"/>
      <c r="BJ406" s="124"/>
      <c r="BK406" s="124"/>
      <c r="BL406" s="124"/>
      <c r="BM406" s="116"/>
      <c r="BN406" s="116"/>
      <c r="BO406" s="116"/>
      <c r="BP406" s="124"/>
      <c r="BQ406" s="116"/>
      <c r="BR406" s="116"/>
      <c r="BS406" s="116"/>
      <c r="BT406" s="116"/>
      <c r="BU406" s="116"/>
      <c r="BV406" s="236">
        <v>450000</v>
      </c>
      <c r="BW406" s="125">
        <f>BV406*0</f>
        <v>0</v>
      </c>
      <c r="BX406" s="97">
        <f>+BV406+BW406</f>
        <v>450000</v>
      </c>
      <c r="BY406" s="237" t="s">
        <v>313</v>
      </c>
      <c r="BZ406" s="237" t="s">
        <v>93</v>
      </c>
      <c r="CA406" s="116"/>
      <c r="CB406" s="247"/>
      <c r="CC406" s="125"/>
      <c r="CD406" s="247"/>
      <c r="CE406" s="116"/>
      <c r="CF406" s="116"/>
      <c r="CG406" s="116"/>
      <c r="CH406" s="236">
        <v>472500</v>
      </c>
      <c r="CI406" s="238">
        <f>+CH406*0</f>
        <v>0</v>
      </c>
      <c r="CJ406" s="236">
        <f>+CH406+CI406</f>
        <v>472500</v>
      </c>
      <c r="CK406" s="237" t="s">
        <v>313</v>
      </c>
      <c r="CL406" s="237" t="s">
        <v>93</v>
      </c>
      <c r="CM406" s="116"/>
      <c r="CN406" s="247"/>
      <c r="CO406" s="125"/>
      <c r="CP406" s="247"/>
      <c r="CQ406" s="116"/>
      <c r="CR406" s="116"/>
      <c r="CS406" s="116"/>
      <c r="CT406" s="247"/>
      <c r="CU406" s="125"/>
      <c r="CV406" s="247"/>
      <c r="CW406" s="116"/>
      <c r="CX406" s="116"/>
      <c r="CY406" s="116"/>
      <c r="CZ406" s="102"/>
      <c r="DA406" s="125"/>
      <c r="DB406" s="102"/>
      <c r="DC406" s="31"/>
      <c r="DD406" s="17"/>
      <c r="DE406" s="11"/>
      <c r="DF406" s="116"/>
      <c r="DG406" s="116"/>
      <c r="DH406" s="116"/>
      <c r="DI406" s="116"/>
      <c r="DJ406" s="116"/>
      <c r="DK406" s="116"/>
      <c r="DL406" s="116"/>
      <c r="DM406" s="116"/>
      <c r="DN406" s="116"/>
      <c r="DO406" s="116"/>
      <c r="DP406" s="116"/>
      <c r="DQ406" s="116"/>
      <c r="DR406" s="116"/>
      <c r="DS406" s="116"/>
      <c r="DT406" s="116"/>
      <c r="DU406" s="116"/>
      <c r="DV406" s="116"/>
      <c r="DW406" s="116"/>
      <c r="DX406" s="116"/>
      <c r="DY406" s="116"/>
      <c r="DZ406" s="116"/>
      <c r="EA406" s="116"/>
      <c r="EB406" s="116"/>
      <c r="EC406" s="116"/>
      <c r="ED406" s="116"/>
      <c r="EE406" s="116"/>
      <c r="EF406" s="116"/>
      <c r="EG406" s="116"/>
      <c r="EH406" s="116"/>
      <c r="EI406" s="116"/>
      <c r="EJ406" s="116"/>
      <c r="EK406" s="116"/>
      <c r="EL406" s="116"/>
      <c r="EM406" s="116"/>
      <c r="EN406" s="116"/>
      <c r="EO406" s="116"/>
      <c r="EP406" s="116"/>
      <c r="EQ406" s="116"/>
      <c r="ER406" s="116"/>
      <c r="ES406" s="116"/>
      <c r="ET406" s="11"/>
      <c r="EU406" s="11"/>
      <c r="EV406" s="11"/>
      <c r="EW406" s="11"/>
      <c r="EX406" s="11"/>
      <c r="EY406" s="11"/>
      <c r="EZ406" s="11"/>
      <c r="FA406" s="11"/>
      <c r="FB406" s="11"/>
      <c r="FC406" s="11"/>
      <c r="FD406" s="11"/>
      <c r="FE406" s="11"/>
      <c r="FF406" s="11"/>
      <c r="FG406" s="11"/>
      <c r="FH406" s="17">
        <f t="shared" si="158"/>
        <v>1542463</v>
      </c>
      <c r="FI406" s="31">
        <f t="shared" si="159"/>
        <v>4</v>
      </c>
      <c r="FJ406" s="68">
        <f t="shared" si="160"/>
        <v>385615.75</v>
      </c>
    </row>
    <row r="407" spans="1:166" ht="63" customHeight="1" x14ac:dyDescent="0.25">
      <c r="A407" s="248">
        <f>Distribución_Reactivos!A407</f>
        <v>405</v>
      </c>
      <c r="B407" s="248" t="str">
        <f>Distribución_Reactivos!B407</f>
        <v>Test de inmunodifusión en Gel de Agar para la detección de anticuerpos contra el virus de Anemia Infecciosa Equina</v>
      </c>
      <c r="C407" s="248" t="str">
        <f>Distribución_Reactivos!C407</f>
        <v>IDVET</v>
      </c>
      <c r="D407" s="248" t="str">
        <f>Distribución_Reactivos!D407</f>
        <v>200 reacciones</v>
      </c>
      <c r="E407" s="29">
        <v>1</v>
      </c>
      <c r="F407" s="212">
        <v>0</v>
      </c>
      <c r="G407" s="214">
        <v>0</v>
      </c>
      <c r="H407" s="221">
        <v>0</v>
      </c>
      <c r="I407" s="221">
        <v>0</v>
      </c>
      <c r="J407" s="221">
        <v>672000</v>
      </c>
      <c r="K407" s="221">
        <v>670000</v>
      </c>
      <c r="L407" s="247">
        <f>J407</f>
        <v>672000</v>
      </c>
      <c r="M407" s="247">
        <f>K407*E1</f>
        <v>690100</v>
      </c>
      <c r="N407" s="217"/>
      <c r="O407" s="97"/>
      <c r="P407" s="97"/>
      <c r="Q407" s="115"/>
      <c r="R407" s="115"/>
      <c r="S407" s="53"/>
      <c r="T407" s="97"/>
      <c r="U407" s="97"/>
      <c r="V407" s="97"/>
      <c r="W407" s="115"/>
      <c r="X407" s="115"/>
      <c r="Y407" s="11"/>
      <c r="Z407" s="97">
        <v>700000</v>
      </c>
      <c r="AA407" s="97">
        <v>0</v>
      </c>
      <c r="AB407" s="97">
        <f>+Z407+AA407</f>
        <v>700000</v>
      </c>
      <c r="AC407" s="44" t="s">
        <v>451</v>
      </c>
      <c r="AD407" s="44" t="s">
        <v>269</v>
      </c>
      <c r="AE407" s="11"/>
      <c r="AF407" s="102"/>
      <c r="AG407" s="125"/>
      <c r="AH407" s="97"/>
      <c r="AI407" s="11"/>
      <c r="AJ407" s="11"/>
      <c r="AK407" s="17"/>
      <c r="AL407" s="97"/>
      <c r="AM407" s="97"/>
      <c r="AN407" s="103"/>
      <c r="AO407" s="248"/>
      <c r="AP407" s="17"/>
      <c r="AQ407" s="17"/>
      <c r="AR407" s="252"/>
      <c r="AS407" s="252"/>
      <c r="AT407" s="252"/>
      <c r="AU407" s="52"/>
      <c r="AV407" s="52"/>
      <c r="AW407" s="11"/>
      <c r="AX407" s="100"/>
      <c r="AY407" s="174"/>
      <c r="AZ407" s="124"/>
      <c r="BA407" s="169"/>
      <c r="BB407" s="116"/>
      <c r="BC407" s="116"/>
      <c r="BD407" s="247"/>
      <c r="BE407" s="124"/>
      <c r="BF407" s="124"/>
      <c r="BG407" s="116"/>
      <c r="BH407" s="116"/>
      <c r="BI407" s="116"/>
      <c r="BJ407" s="124"/>
      <c r="BK407" s="124"/>
      <c r="BL407" s="124"/>
      <c r="BM407" s="116"/>
      <c r="BN407" s="116"/>
      <c r="BO407" s="116"/>
      <c r="BP407" s="124"/>
      <c r="BQ407" s="116"/>
      <c r="BR407" s="116"/>
      <c r="BS407" s="116"/>
      <c r="BT407" s="116"/>
      <c r="BU407" s="116"/>
      <c r="BV407" s="236"/>
      <c r="BW407" s="125"/>
      <c r="BX407" s="97"/>
      <c r="BY407" s="237"/>
      <c r="BZ407" s="237"/>
      <c r="CA407" s="116"/>
      <c r="CB407" s="247"/>
      <c r="CC407" s="125"/>
      <c r="CD407" s="247"/>
      <c r="CE407" s="116"/>
      <c r="CF407" s="116"/>
      <c r="CG407" s="116"/>
      <c r="CH407" s="236"/>
      <c r="CI407" s="238"/>
      <c r="CJ407" s="236"/>
      <c r="CK407" s="237"/>
      <c r="CL407" s="237"/>
      <c r="CM407" s="116"/>
      <c r="CN407" s="247"/>
      <c r="CO407" s="125"/>
      <c r="CP407" s="247"/>
      <c r="CQ407" s="116"/>
      <c r="CR407" s="116"/>
      <c r="CS407" s="116"/>
      <c r="CT407" s="247">
        <v>686000</v>
      </c>
      <c r="CU407" s="125">
        <f>CT407*0</f>
        <v>0</v>
      </c>
      <c r="CV407" s="125">
        <f>CU407+CT407</f>
        <v>686000</v>
      </c>
      <c r="CW407" s="116"/>
      <c r="CX407" s="116"/>
      <c r="CY407" s="116"/>
      <c r="CZ407" s="102"/>
      <c r="DA407" s="125"/>
      <c r="DB407" s="102"/>
      <c r="DC407" s="31"/>
      <c r="DD407" s="17"/>
      <c r="DE407" s="11"/>
      <c r="DF407" s="116"/>
      <c r="DG407" s="116"/>
      <c r="DH407" s="116"/>
      <c r="DI407" s="116"/>
      <c r="DJ407" s="116"/>
      <c r="DK407" s="116"/>
      <c r="DL407" s="116"/>
      <c r="DM407" s="116"/>
      <c r="DN407" s="116"/>
      <c r="DO407" s="116"/>
      <c r="DP407" s="116"/>
      <c r="DQ407" s="116"/>
      <c r="DR407" s="116"/>
      <c r="DS407" s="116"/>
      <c r="DT407" s="116"/>
      <c r="DU407" s="116"/>
      <c r="DV407" s="116"/>
      <c r="DW407" s="116"/>
      <c r="DX407" s="116"/>
      <c r="DY407" s="116"/>
      <c r="DZ407" s="116"/>
      <c r="EA407" s="116"/>
      <c r="EB407" s="116"/>
      <c r="EC407" s="116"/>
      <c r="ED407" s="116"/>
      <c r="EE407" s="116"/>
      <c r="EF407" s="116"/>
      <c r="EG407" s="116"/>
      <c r="EH407" s="116"/>
      <c r="EI407" s="116"/>
      <c r="EJ407" s="116"/>
      <c r="EK407" s="116"/>
      <c r="EL407" s="116"/>
      <c r="EM407" s="116"/>
      <c r="EN407" s="116"/>
      <c r="EO407" s="116"/>
      <c r="EP407" s="116"/>
      <c r="EQ407" s="116"/>
      <c r="ER407" s="116"/>
      <c r="ES407" s="116"/>
      <c r="ET407" s="11"/>
      <c r="EU407" s="11"/>
      <c r="EV407" s="11"/>
      <c r="EW407" s="11"/>
      <c r="EX407" s="11"/>
      <c r="EY407" s="11"/>
      <c r="EZ407" s="11"/>
      <c r="FA407" s="11"/>
      <c r="FB407" s="11"/>
      <c r="FC407" s="11"/>
      <c r="FD407" s="11"/>
      <c r="FE407" s="11"/>
      <c r="FF407" s="11"/>
      <c r="FG407" s="11"/>
      <c r="FH407" s="17">
        <f t="shared" si="158"/>
        <v>2076100</v>
      </c>
      <c r="FI407" s="31">
        <f t="shared" si="159"/>
        <v>3</v>
      </c>
      <c r="FJ407" s="68">
        <f t="shared" si="160"/>
        <v>692033.33333333337</v>
      </c>
    </row>
    <row r="408" spans="1:166" ht="25.5" x14ac:dyDescent="0.25">
      <c r="A408" s="248">
        <f>Distribución_Reactivos!A408</f>
        <v>406</v>
      </c>
      <c r="B408" s="248" t="str">
        <f>Distribución_Reactivos!B408</f>
        <v>Tetraborato de sodio reactivo analítico</v>
      </c>
      <c r="C408" s="248" t="str">
        <f>Distribución_Reactivos!C408</f>
        <v xml:space="preserve">Merck </v>
      </c>
      <c r="D408" s="248" t="str">
        <f>Distribución_Reactivos!D408</f>
        <v>Frasco x 100 g</v>
      </c>
      <c r="E408" s="29">
        <v>1</v>
      </c>
      <c r="F408" s="212">
        <v>1850450</v>
      </c>
      <c r="G408" s="214">
        <v>0</v>
      </c>
      <c r="H408" s="221">
        <v>573956.73916666664</v>
      </c>
      <c r="I408" s="221">
        <v>0</v>
      </c>
      <c r="J408" s="221">
        <v>0</v>
      </c>
      <c r="K408" s="221">
        <v>0</v>
      </c>
      <c r="L408" s="247">
        <f>AVERAGE(F408,H408)</f>
        <v>1212203.3695833334</v>
      </c>
      <c r="M408" s="247"/>
      <c r="N408" s="217"/>
      <c r="O408" s="97"/>
      <c r="P408" s="97"/>
      <c r="Q408" s="115"/>
      <c r="R408" s="115"/>
      <c r="S408" s="53"/>
      <c r="T408" s="97"/>
      <c r="U408" s="97"/>
      <c r="V408" s="97"/>
      <c r="W408" s="115"/>
      <c r="X408" s="115"/>
      <c r="Y408" s="11"/>
      <c r="Z408" s="105"/>
      <c r="AA408" s="97"/>
      <c r="AB408" s="97"/>
      <c r="AC408" s="115"/>
      <c r="AD408" s="44"/>
      <c r="AE408" s="11"/>
      <c r="AF408" s="102">
        <v>400000</v>
      </c>
      <c r="AG408" s="125">
        <f>AF408*19%</f>
        <v>76000</v>
      </c>
      <c r="AH408" s="97">
        <f t="shared" ref="AH408:AH413" si="167">+AF408+AG408</f>
        <v>476000</v>
      </c>
      <c r="AI408" s="11"/>
      <c r="AJ408" s="11"/>
      <c r="AK408" s="17"/>
      <c r="AL408" s="97">
        <v>275000</v>
      </c>
      <c r="AM408" s="97">
        <f>+AL408*0.19</f>
        <v>52250</v>
      </c>
      <c r="AN408" s="103">
        <f>+AL408+AM408</f>
        <v>327250</v>
      </c>
      <c r="AO408" s="248" t="s">
        <v>77</v>
      </c>
      <c r="AP408" s="17" t="s">
        <v>52</v>
      </c>
      <c r="AQ408" s="17"/>
      <c r="AR408" s="252">
        <v>648000</v>
      </c>
      <c r="AS408" s="124">
        <f>+AR408*0.19</f>
        <v>123120</v>
      </c>
      <c r="AT408" s="100">
        <f>+AR408+AS408</f>
        <v>771120</v>
      </c>
      <c r="AU408" s="52" t="s">
        <v>61</v>
      </c>
      <c r="AV408" s="52" t="s">
        <v>42</v>
      </c>
      <c r="AW408" s="17"/>
      <c r="AX408" s="100"/>
      <c r="AY408" s="100"/>
      <c r="AZ408" s="124"/>
      <c r="BA408" s="169"/>
      <c r="BB408" s="116"/>
      <c r="BC408" s="116"/>
      <c r="BD408" s="247"/>
      <c r="BE408" s="124"/>
      <c r="BF408" s="124"/>
      <c r="BG408" s="116"/>
      <c r="BH408" s="116"/>
      <c r="BI408" s="116"/>
      <c r="BJ408" s="124"/>
      <c r="BK408" s="124"/>
      <c r="BL408" s="124"/>
      <c r="BM408" s="116"/>
      <c r="BN408" s="116"/>
      <c r="BO408" s="116"/>
      <c r="BP408" s="124"/>
      <c r="BQ408" s="116"/>
      <c r="BR408" s="116"/>
      <c r="BS408" s="116"/>
      <c r="BT408" s="116"/>
      <c r="BU408" s="116"/>
      <c r="BV408" s="236">
        <v>890500</v>
      </c>
      <c r="BW408" s="125">
        <f>BV408*19%</f>
        <v>169195</v>
      </c>
      <c r="BX408" s="97">
        <f t="shared" ref="BX408:BX418" si="168">+BV408+BW408</f>
        <v>1059695</v>
      </c>
      <c r="BY408" s="237" t="s">
        <v>305</v>
      </c>
      <c r="BZ408" s="237" t="s">
        <v>93</v>
      </c>
      <c r="CA408" s="116"/>
      <c r="CB408" s="247"/>
      <c r="CC408" s="125"/>
      <c r="CD408" s="247"/>
      <c r="CE408" s="116"/>
      <c r="CF408" s="116"/>
      <c r="CG408" s="116"/>
      <c r="CH408" s="236">
        <v>952835</v>
      </c>
      <c r="CI408" s="238">
        <f>+CH408*0.19</f>
        <v>181038.65</v>
      </c>
      <c r="CJ408" s="236">
        <f>+CH408+CI408</f>
        <v>1133873.6499999999</v>
      </c>
      <c r="CK408" s="237" t="s">
        <v>305</v>
      </c>
      <c r="CL408" s="237" t="s">
        <v>93</v>
      </c>
      <c r="CM408" s="116"/>
      <c r="CN408" s="247"/>
      <c r="CO408" s="125"/>
      <c r="CP408" s="247"/>
      <c r="CQ408" s="116"/>
      <c r="CR408" s="116"/>
      <c r="CS408" s="116"/>
      <c r="CT408" s="247"/>
      <c r="CU408" s="125"/>
      <c r="CV408" s="247"/>
      <c r="CW408" s="116"/>
      <c r="CX408" s="116"/>
      <c r="CY408" s="116"/>
      <c r="CZ408" s="102"/>
      <c r="DA408" s="125"/>
      <c r="DB408" s="102"/>
      <c r="DC408" s="31"/>
      <c r="DD408" s="17"/>
      <c r="DE408" s="11"/>
      <c r="DF408" s="116"/>
      <c r="DG408" s="116"/>
      <c r="DH408" s="116"/>
      <c r="DI408" s="116"/>
      <c r="DJ408" s="116"/>
      <c r="DK408" s="116"/>
      <c r="DL408" s="116"/>
      <c r="DM408" s="116"/>
      <c r="DN408" s="116"/>
      <c r="DO408" s="116"/>
      <c r="DP408" s="116"/>
      <c r="DQ408" s="116"/>
      <c r="DR408" s="116"/>
      <c r="DS408" s="116"/>
      <c r="DT408" s="116"/>
      <c r="DU408" s="116"/>
      <c r="DV408" s="116"/>
      <c r="DW408" s="116"/>
      <c r="DX408" s="116"/>
      <c r="DY408" s="116"/>
      <c r="DZ408" s="116"/>
      <c r="EA408" s="116"/>
      <c r="EB408" s="116"/>
      <c r="EC408" s="116"/>
      <c r="ED408" s="116"/>
      <c r="EE408" s="116"/>
      <c r="EF408" s="116"/>
      <c r="EG408" s="116"/>
      <c r="EH408" s="116"/>
      <c r="EI408" s="116"/>
      <c r="EJ408" s="116"/>
      <c r="EK408" s="116"/>
      <c r="EL408" s="116"/>
      <c r="EM408" s="116"/>
      <c r="EN408" s="116"/>
      <c r="EO408" s="116"/>
      <c r="EP408" s="116"/>
      <c r="EQ408" s="116"/>
      <c r="ER408" s="116"/>
      <c r="ES408" s="116"/>
      <c r="ET408" s="11"/>
      <c r="EU408" s="11"/>
      <c r="EV408" s="11"/>
      <c r="EW408" s="11"/>
      <c r="EX408" s="11"/>
      <c r="EY408" s="11"/>
      <c r="EZ408" s="11"/>
      <c r="FA408" s="11"/>
      <c r="FB408" s="11"/>
      <c r="FC408" s="11"/>
      <c r="FD408" s="11"/>
      <c r="FE408" s="11"/>
      <c r="FF408" s="252"/>
      <c r="FG408" s="61"/>
      <c r="FH408" s="17">
        <f t="shared" si="158"/>
        <v>3767938.65</v>
      </c>
      <c r="FI408" s="31">
        <f t="shared" si="159"/>
        <v>5</v>
      </c>
      <c r="FJ408" s="68">
        <f t="shared" si="160"/>
        <v>753587.73</v>
      </c>
    </row>
    <row r="409" spans="1:166" ht="13.5" x14ac:dyDescent="0.25">
      <c r="A409" s="248">
        <f>Distribución_Reactivos!A409</f>
        <v>407</v>
      </c>
      <c r="B409" s="248" t="str">
        <f>Distribución_Reactivos!B409</f>
        <v>Tetrahidrofurano para análisis</v>
      </c>
      <c r="C409" s="248" t="str">
        <f>Distribución_Reactivos!C409</f>
        <v>Cualquier marca</v>
      </c>
      <c r="D409" s="248" t="str">
        <f>Distribución_Reactivos!D409</f>
        <v>Frasco x 500 ml</v>
      </c>
      <c r="E409" s="29">
        <v>1</v>
      </c>
      <c r="F409" s="212">
        <v>245774.66666666669</v>
      </c>
      <c r="G409" s="214">
        <v>238357</v>
      </c>
      <c r="H409" s="221">
        <v>254884.05943333334</v>
      </c>
      <c r="I409" s="221">
        <v>151130</v>
      </c>
      <c r="J409" s="221">
        <v>301337.75</v>
      </c>
      <c r="K409" s="221">
        <v>0</v>
      </c>
      <c r="L409" s="247">
        <f>AVERAGE(F409,H409,J409)</f>
        <v>267332.15870000003</v>
      </c>
      <c r="M409" s="247">
        <f>AVERAGE(G409,I409)*E1</f>
        <v>200585.80499999999</v>
      </c>
      <c r="N409" s="217"/>
      <c r="O409" s="97"/>
      <c r="P409" s="97"/>
      <c r="Q409" s="115"/>
      <c r="R409" s="115"/>
      <c r="S409" s="53"/>
      <c r="T409" s="97"/>
      <c r="U409" s="97"/>
      <c r="V409" s="97"/>
      <c r="W409" s="115"/>
      <c r="X409" s="115"/>
      <c r="Y409" s="11"/>
      <c r="Z409" s="103"/>
      <c r="AA409" s="97"/>
      <c r="AB409" s="97"/>
      <c r="AC409" s="115"/>
      <c r="AD409" s="44"/>
      <c r="AE409" s="11"/>
      <c r="AF409" s="102">
        <v>200000</v>
      </c>
      <c r="AG409" s="125">
        <f>AF409*19%</f>
        <v>38000</v>
      </c>
      <c r="AH409" s="97">
        <f t="shared" si="167"/>
        <v>238000</v>
      </c>
      <c r="AI409" s="11"/>
      <c r="AJ409" s="11"/>
      <c r="AK409" s="17"/>
      <c r="AL409" s="97">
        <v>187000</v>
      </c>
      <c r="AM409" s="97">
        <f>+AL409*0.19</f>
        <v>35530</v>
      </c>
      <c r="AN409" s="103">
        <f>+AL409+AM409</f>
        <v>222530</v>
      </c>
      <c r="AO409" s="248" t="s">
        <v>56</v>
      </c>
      <c r="AP409" s="17" t="s">
        <v>52</v>
      </c>
      <c r="AQ409" s="17"/>
      <c r="AR409" s="252">
        <v>188024</v>
      </c>
      <c r="AS409" s="124">
        <f>+AR409*0.19</f>
        <v>35724.559999999998</v>
      </c>
      <c r="AT409" s="100">
        <f>+AR409+AS409</f>
        <v>223748.56</v>
      </c>
      <c r="AU409" s="52" t="s">
        <v>56</v>
      </c>
      <c r="AV409" s="52" t="s">
        <v>52</v>
      </c>
      <c r="AW409" s="11"/>
      <c r="AX409" s="100"/>
      <c r="AY409" s="174"/>
      <c r="AZ409" s="124"/>
      <c r="BA409" s="169"/>
      <c r="BB409" s="116"/>
      <c r="BC409" s="116"/>
      <c r="BD409" s="247"/>
      <c r="BE409" s="124"/>
      <c r="BF409" s="124"/>
      <c r="BG409" s="116"/>
      <c r="BH409" s="116"/>
      <c r="BI409" s="116"/>
      <c r="BJ409" s="124"/>
      <c r="BK409" s="124"/>
      <c r="BL409" s="124"/>
      <c r="BM409" s="116"/>
      <c r="BN409" s="116"/>
      <c r="BO409" s="116"/>
      <c r="BP409" s="124"/>
      <c r="BQ409" s="116"/>
      <c r="BR409" s="116"/>
      <c r="BS409" s="116"/>
      <c r="BT409" s="116"/>
      <c r="BU409" s="116"/>
      <c r="BV409" s="236">
        <v>321700</v>
      </c>
      <c r="BW409" s="125">
        <f>BV409*19%</f>
        <v>61123</v>
      </c>
      <c r="BX409" s="97">
        <f t="shared" si="168"/>
        <v>382823</v>
      </c>
      <c r="BY409" s="237" t="s">
        <v>308</v>
      </c>
      <c r="BZ409" s="237" t="s">
        <v>93</v>
      </c>
      <c r="CA409" s="116"/>
      <c r="CB409" s="247">
        <v>125600</v>
      </c>
      <c r="CC409" s="125">
        <f>+CB409*19%</f>
        <v>23864</v>
      </c>
      <c r="CD409" s="247">
        <f>+CC409+CB409</f>
        <v>149464</v>
      </c>
      <c r="CE409" s="116"/>
      <c r="CF409" s="116"/>
      <c r="CG409" s="116"/>
      <c r="CH409" s="236">
        <v>334568</v>
      </c>
      <c r="CI409" s="238">
        <f>+CH409*0.19</f>
        <v>63567.92</v>
      </c>
      <c r="CJ409" s="236">
        <f>+CH409+CI409</f>
        <v>398135.92</v>
      </c>
      <c r="CK409" s="237" t="s">
        <v>308</v>
      </c>
      <c r="CL409" s="237" t="s">
        <v>93</v>
      </c>
      <c r="CM409" s="116"/>
      <c r="CN409" s="247"/>
      <c r="CO409" s="125"/>
      <c r="CP409" s="247"/>
      <c r="CQ409" s="116"/>
      <c r="CR409" s="116"/>
      <c r="CS409" s="116"/>
      <c r="CT409" s="247"/>
      <c r="CU409" s="125"/>
      <c r="CV409" s="247"/>
      <c r="CW409" s="116"/>
      <c r="CX409" s="116"/>
      <c r="CY409" s="116"/>
      <c r="CZ409" s="102"/>
      <c r="DA409" s="125"/>
      <c r="DB409" s="102"/>
      <c r="DC409" s="31"/>
      <c r="DD409" s="17"/>
      <c r="DE409" s="11"/>
      <c r="DF409" s="116"/>
      <c r="DG409" s="116"/>
      <c r="DH409" s="116"/>
      <c r="DI409" s="116"/>
      <c r="DJ409" s="116"/>
      <c r="DK409" s="116"/>
      <c r="DL409" s="116"/>
      <c r="DM409" s="116"/>
      <c r="DN409" s="116"/>
      <c r="DO409" s="116"/>
      <c r="DP409" s="116"/>
      <c r="DQ409" s="116"/>
      <c r="DR409" s="116"/>
      <c r="DS409" s="116"/>
      <c r="DT409" s="116"/>
      <c r="DU409" s="116"/>
      <c r="DV409" s="116"/>
      <c r="DW409" s="116"/>
      <c r="DX409" s="116"/>
      <c r="DY409" s="116"/>
      <c r="DZ409" s="116"/>
      <c r="EA409" s="116"/>
      <c r="EB409" s="116"/>
      <c r="EC409" s="116"/>
      <c r="ED409" s="116"/>
      <c r="EE409" s="116"/>
      <c r="EF409" s="116"/>
      <c r="EG409" s="116"/>
      <c r="EH409" s="116"/>
      <c r="EI409" s="116"/>
      <c r="EJ409" s="116"/>
      <c r="EK409" s="116"/>
      <c r="EL409" s="116"/>
      <c r="EM409" s="116"/>
      <c r="EN409" s="116"/>
      <c r="EO409" s="116"/>
      <c r="EP409" s="116"/>
      <c r="EQ409" s="116"/>
      <c r="ER409" s="116"/>
      <c r="ES409" s="116"/>
      <c r="ET409" s="11"/>
      <c r="EU409" s="11"/>
      <c r="EV409" s="11"/>
      <c r="EW409" s="11"/>
      <c r="EX409" s="11"/>
      <c r="EY409" s="11"/>
      <c r="EZ409" s="11"/>
      <c r="FA409" s="11"/>
      <c r="FB409" s="11"/>
      <c r="FC409" s="11"/>
      <c r="FD409" s="11"/>
      <c r="FE409" s="11"/>
      <c r="FF409" s="11"/>
      <c r="FG409" s="11"/>
      <c r="FH409" s="17">
        <f t="shared" si="158"/>
        <v>1815287.2849999999</v>
      </c>
      <c r="FI409" s="31">
        <f t="shared" si="159"/>
        <v>7</v>
      </c>
      <c r="FJ409" s="68">
        <f t="shared" si="160"/>
        <v>259326.75499999998</v>
      </c>
    </row>
    <row r="410" spans="1:166" ht="27" customHeight="1" x14ac:dyDescent="0.25">
      <c r="A410" s="248">
        <f>Distribución_Reactivos!A410</f>
        <v>408</v>
      </c>
      <c r="B410" s="248" t="str">
        <f>Distribución_Reactivos!B410</f>
        <v>Timolftaleína</v>
      </c>
      <c r="C410" s="248" t="str">
        <f>Distribución_Reactivos!C410</f>
        <v>Merck, Código del reactivo 1081750025</v>
      </c>
      <c r="D410" s="248" t="str">
        <f>Distribución_Reactivos!D410</f>
        <v>Frasco X 25 g</v>
      </c>
      <c r="E410" s="29">
        <v>1</v>
      </c>
      <c r="F410" s="212">
        <v>0</v>
      </c>
      <c r="G410" s="214">
        <v>0</v>
      </c>
      <c r="H410" s="221">
        <v>836376.625</v>
      </c>
      <c r="I410" s="221">
        <v>836332</v>
      </c>
      <c r="J410" s="221">
        <v>608245.59250000003</v>
      </c>
      <c r="K410" s="221">
        <v>0</v>
      </c>
      <c r="L410" s="247">
        <f>AVERAGE(H410,J410)</f>
        <v>722311.10875000001</v>
      </c>
      <c r="M410" s="247">
        <f>I410*E1</f>
        <v>861421.96000000008</v>
      </c>
      <c r="N410" s="217"/>
      <c r="O410" s="97"/>
      <c r="P410" s="97"/>
      <c r="Q410" s="115"/>
      <c r="R410" s="115"/>
      <c r="S410" s="53"/>
      <c r="T410" s="97"/>
      <c r="U410" s="97"/>
      <c r="V410" s="97"/>
      <c r="W410" s="115"/>
      <c r="X410" s="115"/>
      <c r="Y410" s="11"/>
      <c r="Z410" s="101"/>
      <c r="AA410" s="97"/>
      <c r="AB410" s="97"/>
      <c r="AC410" s="115"/>
      <c r="AD410" s="44"/>
      <c r="AE410" s="11"/>
      <c r="AF410" s="102">
        <v>920000</v>
      </c>
      <c r="AG410" s="125">
        <f>AF410*19%</f>
        <v>174800</v>
      </c>
      <c r="AH410" s="97">
        <f t="shared" si="167"/>
        <v>1094800</v>
      </c>
      <c r="AI410" s="11"/>
      <c r="AJ410" s="11"/>
      <c r="AK410" s="17"/>
      <c r="AL410" s="97">
        <f>299000*5</f>
        <v>1495000</v>
      </c>
      <c r="AM410" s="97">
        <f>+AL410*0.19</f>
        <v>284050</v>
      </c>
      <c r="AN410" s="103">
        <f>+AL410+AM410</f>
        <v>1779050</v>
      </c>
      <c r="AO410" s="248" t="s">
        <v>157</v>
      </c>
      <c r="AP410" s="17" t="s">
        <v>52</v>
      </c>
      <c r="AQ410" s="17"/>
      <c r="AR410" s="252">
        <f>279523*5</f>
        <v>1397615</v>
      </c>
      <c r="AS410" s="124">
        <f>+AR410*0.19</f>
        <v>265546.84999999998</v>
      </c>
      <c r="AT410" s="100">
        <f>+AR410+AS410</f>
        <v>1663161.85</v>
      </c>
      <c r="AU410" s="52" t="s">
        <v>157</v>
      </c>
      <c r="AV410" s="52" t="s">
        <v>52</v>
      </c>
      <c r="AW410" s="17"/>
      <c r="AX410" s="100"/>
      <c r="AY410" s="172"/>
      <c r="AZ410" s="124"/>
      <c r="BA410" s="169"/>
      <c r="BB410" s="116"/>
      <c r="BC410" s="116"/>
      <c r="BD410" s="247"/>
      <c r="BE410" s="124"/>
      <c r="BF410" s="124"/>
      <c r="BG410" s="116"/>
      <c r="BH410" s="116"/>
      <c r="BI410" s="116"/>
      <c r="BJ410" s="124"/>
      <c r="BK410" s="124"/>
      <c r="BL410" s="124"/>
      <c r="BM410" s="116"/>
      <c r="BN410" s="116"/>
      <c r="BO410" s="116"/>
      <c r="BP410" s="124"/>
      <c r="BQ410" s="116"/>
      <c r="BR410" s="116"/>
      <c r="BS410" s="116"/>
      <c r="BT410" s="116"/>
      <c r="BU410" s="116"/>
      <c r="BV410" s="236">
        <v>1246700</v>
      </c>
      <c r="BW410" s="125">
        <f>BV410*19%</f>
        <v>236873</v>
      </c>
      <c r="BX410" s="97">
        <f t="shared" si="168"/>
        <v>1483573</v>
      </c>
      <c r="BY410" s="237" t="s">
        <v>323</v>
      </c>
      <c r="BZ410" s="237" t="s">
        <v>93</v>
      </c>
      <c r="CA410" s="116"/>
      <c r="CB410" s="247"/>
      <c r="CC410" s="125"/>
      <c r="CD410" s="247"/>
      <c r="CE410" s="116"/>
      <c r="CF410" s="116"/>
      <c r="CG410" s="116"/>
      <c r="CH410" s="241"/>
      <c r="CI410" s="238"/>
      <c r="CJ410" s="236"/>
      <c r="CK410" s="237"/>
      <c r="CL410" s="237"/>
      <c r="CM410" s="116"/>
      <c r="CN410" s="247"/>
      <c r="CO410" s="125"/>
      <c r="CP410" s="247"/>
      <c r="CQ410" s="116"/>
      <c r="CR410" s="116"/>
      <c r="CS410" s="116"/>
      <c r="CT410" s="125">
        <v>938000</v>
      </c>
      <c r="CU410" s="125">
        <f>CT410*0.19</f>
        <v>178220</v>
      </c>
      <c r="CV410" s="125">
        <f>CU410+CT410</f>
        <v>1116220</v>
      </c>
      <c r="CW410" s="116"/>
      <c r="CX410" s="116"/>
      <c r="CY410" s="116"/>
      <c r="CZ410" s="102">
        <v>517517</v>
      </c>
      <c r="DA410" s="125">
        <f>+CZ410*0.19</f>
        <v>98328.23</v>
      </c>
      <c r="DB410" s="102">
        <f>+CZ410+DA410</f>
        <v>615845.23</v>
      </c>
      <c r="DC410" s="31" t="s">
        <v>452</v>
      </c>
      <c r="DD410" s="17" t="s">
        <v>65</v>
      </c>
      <c r="DE410" s="11">
        <v>1081750025</v>
      </c>
      <c r="DF410" s="116"/>
      <c r="DG410" s="116"/>
      <c r="DH410" s="116"/>
      <c r="DI410" s="116"/>
      <c r="DJ410" s="116"/>
      <c r="DK410" s="116"/>
      <c r="DL410" s="116"/>
      <c r="DM410" s="116"/>
      <c r="DN410" s="116"/>
      <c r="DO410" s="116"/>
      <c r="DP410" s="116"/>
      <c r="DQ410" s="116"/>
      <c r="DR410" s="116"/>
      <c r="DS410" s="116"/>
      <c r="DT410" s="116"/>
      <c r="DU410" s="116"/>
      <c r="DV410" s="116"/>
      <c r="DW410" s="116"/>
      <c r="DX410" s="116"/>
      <c r="DY410" s="116"/>
      <c r="DZ410" s="116"/>
      <c r="EA410" s="116"/>
      <c r="EB410" s="116"/>
      <c r="EC410" s="116"/>
      <c r="ED410" s="116"/>
      <c r="EE410" s="116"/>
      <c r="EF410" s="116"/>
      <c r="EG410" s="116"/>
      <c r="EH410" s="116"/>
      <c r="EI410" s="116"/>
      <c r="EJ410" s="116"/>
      <c r="EK410" s="116"/>
      <c r="EL410" s="116"/>
      <c r="EM410" s="116"/>
      <c r="EN410" s="116"/>
      <c r="EO410" s="116"/>
      <c r="EP410" s="116"/>
      <c r="EQ410" s="116"/>
      <c r="ER410" s="116"/>
      <c r="ES410" s="116"/>
      <c r="ET410" s="11"/>
      <c r="EU410" s="11"/>
      <c r="EV410" s="11"/>
      <c r="EW410" s="11"/>
      <c r="EX410" s="11"/>
      <c r="EY410" s="11"/>
      <c r="EZ410" s="11"/>
      <c r="FA410" s="11"/>
      <c r="FB410" s="11"/>
      <c r="FC410" s="11"/>
      <c r="FD410" s="11"/>
      <c r="FE410" s="11"/>
      <c r="FF410" s="252"/>
      <c r="FG410" s="61"/>
      <c r="FH410" s="17">
        <f t="shared" si="158"/>
        <v>8614072.040000001</v>
      </c>
      <c r="FI410" s="31">
        <f t="shared" si="159"/>
        <v>7</v>
      </c>
      <c r="FJ410" s="68">
        <f t="shared" si="160"/>
        <v>1230581.7200000002</v>
      </c>
    </row>
    <row r="411" spans="1:166" ht="27" customHeight="1" x14ac:dyDescent="0.25">
      <c r="A411" s="248">
        <f>Distribución_Reactivos!A411</f>
        <v>409</v>
      </c>
      <c r="B411" s="248" t="str">
        <f>Distribución_Reactivos!B411</f>
        <v>Timsen</v>
      </c>
      <c r="C411" s="248" t="str">
        <f>Distribución_Reactivos!C411</f>
        <v>Cualquier marca</v>
      </c>
      <c r="D411" s="248" t="str">
        <f>Distribución_Reactivos!D411</f>
        <v>Frasco x 1 Kg</v>
      </c>
      <c r="E411" s="29">
        <v>1</v>
      </c>
      <c r="F411" s="212">
        <v>0</v>
      </c>
      <c r="G411" s="214">
        <v>0</v>
      </c>
      <c r="H411" s="221">
        <v>0</v>
      </c>
      <c r="I411" s="221">
        <v>0</v>
      </c>
      <c r="J411" s="221">
        <v>300125</v>
      </c>
      <c r="K411" s="221">
        <v>249000</v>
      </c>
      <c r="L411" s="247">
        <f>J411</f>
        <v>300125</v>
      </c>
      <c r="M411" s="247">
        <f>K411*E1</f>
        <v>256470</v>
      </c>
      <c r="N411" s="217"/>
      <c r="O411" s="97"/>
      <c r="P411" s="97"/>
      <c r="Q411" s="115"/>
      <c r="R411" s="115"/>
      <c r="S411" s="53"/>
      <c r="T411" s="97"/>
      <c r="U411" s="97"/>
      <c r="V411" s="97"/>
      <c r="W411" s="115"/>
      <c r="X411" s="115"/>
      <c r="Y411" s="11"/>
      <c r="Z411" s="101"/>
      <c r="AA411" s="97"/>
      <c r="AB411" s="97"/>
      <c r="AC411" s="115"/>
      <c r="AD411" s="44"/>
      <c r="AE411" s="11"/>
      <c r="AF411" s="102">
        <v>350000</v>
      </c>
      <c r="AG411" s="125">
        <v>0</v>
      </c>
      <c r="AH411" s="97">
        <f t="shared" si="167"/>
        <v>350000</v>
      </c>
      <c r="AI411" s="11"/>
      <c r="AJ411" s="11"/>
      <c r="AK411" s="17"/>
      <c r="AL411" s="97"/>
      <c r="AM411" s="97"/>
      <c r="AN411" s="101"/>
      <c r="AO411" s="248"/>
      <c r="AP411" s="17"/>
      <c r="AQ411" s="17"/>
      <c r="AR411" s="252"/>
      <c r="AS411" s="252"/>
      <c r="AT411" s="252"/>
      <c r="AU411" s="52"/>
      <c r="AV411" s="52"/>
      <c r="AW411" s="11"/>
      <c r="AX411" s="100"/>
      <c r="AY411" s="100"/>
      <c r="AZ411" s="124"/>
      <c r="BA411" s="169"/>
      <c r="BB411" s="116"/>
      <c r="BC411" s="116"/>
      <c r="BD411" s="247"/>
      <c r="BE411" s="124"/>
      <c r="BF411" s="124"/>
      <c r="BG411" s="116"/>
      <c r="BH411" s="116"/>
      <c r="BI411" s="116"/>
      <c r="BJ411" s="124"/>
      <c r="BK411" s="124"/>
      <c r="BL411" s="124"/>
      <c r="BM411" s="116"/>
      <c r="BN411" s="116"/>
      <c r="BO411" s="116"/>
      <c r="BP411" s="124"/>
      <c r="BQ411" s="116"/>
      <c r="BR411" s="116"/>
      <c r="BS411" s="116"/>
      <c r="BT411" s="116"/>
      <c r="BU411" s="116"/>
      <c r="BV411" s="236">
        <v>660000</v>
      </c>
      <c r="BW411" s="125">
        <f>BV411*0</f>
        <v>0</v>
      </c>
      <c r="BX411" s="97">
        <f t="shared" si="168"/>
        <v>660000</v>
      </c>
      <c r="BY411" s="237" t="s">
        <v>329</v>
      </c>
      <c r="BZ411" s="237" t="s">
        <v>153</v>
      </c>
      <c r="CA411" s="116"/>
      <c r="CB411" s="247">
        <v>856000</v>
      </c>
      <c r="CC411" s="125">
        <f>+CB411*19%</f>
        <v>162640</v>
      </c>
      <c r="CD411" s="247">
        <f>+CC411+CB411</f>
        <v>1018640</v>
      </c>
      <c r="CE411" s="116"/>
      <c r="CF411" s="116"/>
      <c r="CG411" s="116"/>
      <c r="CH411" s="236">
        <v>699600</v>
      </c>
      <c r="CI411" s="238">
        <f>+CH411*0</f>
        <v>0</v>
      </c>
      <c r="CJ411" s="236">
        <f>+CH411+CI411</f>
        <v>699600</v>
      </c>
      <c r="CK411" s="237" t="s">
        <v>329</v>
      </c>
      <c r="CL411" s="237" t="s">
        <v>153</v>
      </c>
      <c r="CM411" s="116"/>
      <c r="CN411" s="247"/>
      <c r="CO411" s="125"/>
      <c r="CP411" s="247"/>
      <c r="CQ411" s="116"/>
      <c r="CR411" s="116"/>
      <c r="CS411" s="116"/>
      <c r="CT411" s="247"/>
      <c r="CU411" s="125"/>
      <c r="CV411" s="247"/>
      <c r="CW411" s="116"/>
      <c r="CX411" s="116"/>
      <c r="CY411" s="116"/>
      <c r="CZ411" s="102"/>
      <c r="DA411" s="125"/>
      <c r="DB411" s="102"/>
      <c r="DC411" s="31"/>
      <c r="DD411" s="17"/>
      <c r="DE411" s="11"/>
      <c r="DF411" s="116"/>
      <c r="DG411" s="116"/>
      <c r="DH411" s="116"/>
      <c r="DI411" s="116"/>
      <c r="DJ411" s="116"/>
      <c r="DK411" s="116"/>
      <c r="DL411" s="116"/>
      <c r="DM411" s="116"/>
      <c r="DN411" s="116"/>
      <c r="DO411" s="116"/>
      <c r="DP411" s="116"/>
      <c r="DQ411" s="116"/>
      <c r="DR411" s="116"/>
      <c r="DS411" s="116"/>
      <c r="DT411" s="116"/>
      <c r="DU411" s="116"/>
      <c r="DV411" s="116"/>
      <c r="DW411" s="116"/>
      <c r="DX411" s="116"/>
      <c r="DY411" s="116"/>
      <c r="DZ411" s="116"/>
      <c r="EA411" s="116"/>
      <c r="EB411" s="116"/>
      <c r="EC411" s="116"/>
      <c r="ED411" s="116"/>
      <c r="EE411" s="116"/>
      <c r="EF411" s="116"/>
      <c r="EG411" s="116"/>
      <c r="EH411" s="116"/>
      <c r="EI411" s="116"/>
      <c r="EJ411" s="116"/>
      <c r="EK411" s="116"/>
      <c r="EL411" s="116"/>
      <c r="EM411" s="116"/>
      <c r="EN411" s="116"/>
      <c r="EO411" s="116"/>
      <c r="EP411" s="116"/>
      <c r="EQ411" s="116"/>
      <c r="ER411" s="116"/>
      <c r="ES411" s="116"/>
      <c r="ET411" s="11"/>
      <c r="EU411" s="11"/>
      <c r="EV411" s="11"/>
      <c r="EW411" s="11"/>
      <c r="EX411" s="11"/>
      <c r="EY411" s="11"/>
      <c r="EZ411" s="11"/>
      <c r="FA411" s="11"/>
      <c r="FB411" s="11"/>
      <c r="FC411" s="11"/>
      <c r="FD411" s="11"/>
      <c r="FE411" s="11"/>
      <c r="FF411" s="252"/>
      <c r="FG411" s="61"/>
      <c r="FH411" s="17">
        <f t="shared" si="158"/>
        <v>2984710</v>
      </c>
      <c r="FI411" s="31">
        <f t="shared" si="159"/>
        <v>5</v>
      </c>
      <c r="FJ411" s="68">
        <f t="shared" si="160"/>
        <v>596942</v>
      </c>
    </row>
    <row r="412" spans="1:166" ht="27" customHeight="1" x14ac:dyDescent="0.25">
      <c r="A412" s="248">
        <f>Distribución_Reactivos!A412</f>
        <v>410</v>
      </c>
      <c r="B412" s="248" t="str">
        <f>Distribución_Reactivos!B412</f>
        <v xml:space="preserve">Tiosulfato de sodio pentahidratado PA con certificado de análisis trazable por lote </v>
      </c>
      <c r="C412" s="248" t="str">
        <f>Distribución_Reactivos!C412</f>
        <v>Cualquier marca</v>
      </c>
      <c r="D412" s="248" t="str">
        <f>Distribución_Reactivos!D412</f>
        <v xml:space="preserve">Frasco x 500 g </v>
      </c>
      <c r="E412" s="29">
        <v>1</v>
      </c>
      <c r="F412" s="212">
        <v>167224.75</v>
      </c>
      <c r="G412" s="214">
        <v>161364</v>
      </c>
      <c r="H412" s="221">
        <v>132902.07984642856</v>
      </c>
      <c r="I412" s="221">
        <v>73185</v>
      </c>
      <c r="J412" s="221">
        <v>231034.6283870968</v>
      </c>
      <c r="K412" s="221">
        <v>225267</v>
      </c>
      <c r="L412" s="247">
        <f>AVERAGE(F412,H412,J412)</f>
        <v>177053.81941117512</v>
      </c>
      <c r="M412" s="247">
        <f>AVERAGE(G412,I412,K412)*E1</f>
        <v>157870.16</v>
      </c>
      <c r="N412" s="217"/>
      <c r="O412" s="97"/>
      <c r="P412" s="97"/>
      <c r="Q412" s="115"/>
      <c r="R412" s="115"/>
      <c r="S412" s="53"/>
      <c r="T412" s="97"/>
      <c r="U412" s="101"/>
      <c r="V412" s="97"/>
      <c r="W412" s="115"/>
      <c r="X412" s="115"/>
      <c r="Y412" s="11"/>
      <c r="Z412" s="97"/>
      <c r="AA412" s="97"/>
      <c r="AB412" s="97"/>
      <c r="AC412" s="115"/>
      <c r="AD412" s="44"/>
      <c r="AE412" s="11"/>
      <c r="AF412" s="102">
        <v>130000</v>
      </c>
      <c r="AG412" s="125">
        <f>AF412*19%</f>
        <v>24700</v>
      </c>
      <c r="AH412" s="97">
        <f t="shared" si="167"/>
        <v>154700</v>
      </c>
      <c r="AI412" s="11"/>
      <c r="AJ412" s="11"/>
      <c r="AK412" s="17"/>
      <c r="AL412" s="97">
        <v>130000</v>
      </c>
      <c r="AM412" s="97">
        <f>+AL412*0.19</f>
        <v>24700</v>
      </c>
      <c r="AN412" s="103">
        <f>+AL412+AM412</f>
        <v>154700</v>
      </c>
      <c r="AO412" s="248" t="s">
        <v>99</v>
      </c>
      <c r="AP412" s="17" t="s">
        <v>52</v>
      </c>
      <c r="AQ412" s="17"/>
      <c r="AR412" s="252">
        <v>381600</v>
      </c>
      <c r="AS412" s="124">
        <f>+AR412*0.19</f>
        <v>72504</v>
      </c>
      <c r="AT412" s="100">
        <f>+AR412+AS412</f>
        <v>454104</v>
      </c>
      <c r="AU412" s="52" t="s">
        <v>77</v>
      </c>
      <c r="AV412" s="34" t="s">
        <v>42</v>
      </c>
      <c r="AW412" s="17"/>
      <c r="AX412" s="100"/>
      <c r="AY412" s="100"/>
      <c r="AZ412" s="124"/>
      <c r="BA412" s="169"/>
      <c r="BB412" s="116"/>
      <c r="BC412" s="116"/>
      <c r="BD412" s="247"/>
      <c r="BE412" s="124"/>
      <c r="BF412" s="124"/>
      <c r="BG412" s="116"/>
      <c r="BH412" s="116"/>
      <c r="BI412" s="116"/>
      <c r="BJ412" s="124"/>
      <c r="BK412" s="124"/>
      <c r="BL412" s="124"/>
      <c r="BM412" s="116"/>
      <c r="BN412" s="116"/>
      <c r="BO412" s="116"/>
      <c r="BP412" s="124"/>
      <c r="BQ412" s="116"/>
      <c r="BR412" s="116"/>
      <c r="BS412" s="116"/>
      <c r="BT412" s="116"/>
      <c r="BU412" s="116"/>
      <c r="BV412" s="236">
        <v>171100</v>
      </c>
      <c r="BW412" s="125">
        <f>BV412*19%</f>
        <v>32509</v>
      </c>
      <c r="BX412" s="97">
        <f t="shared" si="168"/>
        <v>203609</v>
      </c>
      <c r="BY412" s="237" t="s">
        <v>319</v>
      </c>
      <c r="BZ412" s="237" t="s">
        <v>83</v>
      </c>
      <c r="CA412" s="116"/>
      <c r="CB412" s="247"/>
      <c r="CC412" s="125"/>
      <c r="CD412" s="247"/>
      <c r="CE412" s="17"/>
      <c r="CF412" s="17"/>
      <c r="CG412" s="116"/>
      <c r="CH412" s="236">
        <v>179655</v>
      </c>
      <c r="CI412" s="238">
        <f>+CH412*0</f>
        <v>0</v>
      </c>
      <c r="CJ412" s="236">
        <f>+CH412+CI412</f>
        <v>179655</v>
      </c>
      <c r="CK412" s="237" t="s">
        <v>319</v>
      </c>
      <c r="CL412" s="237" t="s">
        <v>83</v>
      </c>
      <c r="CM412" s="116"/>
      <c r="CN412" s="247"/>
      <c r="CO412" s="125"/>
      <c r="CP412" s="247"/>
      <c r="CQ412" s="116"/>
      <c r="CR412" s="116"/>
      <c r="CS412" s="116"/>
      <c r="CT412" s="247"/>
      <c r="CU412" s="125"/>
      <c r="CV412" s="247"/>
      <c r="CW412" s="116"/>
      <c r="CX412" s="116"/>
      <c r="CY412" s="116"/>
      <c r="CZ412" s="102"/>
      <c r="DA412" s="125"/>
      <c r="DB412" s="102"/>
      <c r="DC412" s="31"/>
      <c r="DD412" s="17"/>
      <c r="DE412" s="11"/>
      <c r="DF412" s="116"/>
      <c r="DG412" s="116"/>
      <c r="DH412" s="116"/>
      <c r="DI412" s="116"/>
      <c r="DJ412" s="116"/>
      <c r="DK412" s="116"/>
      <c r="DL412" s="116"/>
      <c r="DM412" s="116"/>
      <c r="DN412" s="116"/>
      <c r="DO412" s="116"/>
      <c r="DP412" s="116"/>
      <c r="DQ412" s="116"/>
      <c r="DR412" s="116"/>
      <c r="DS412" s="116"/>
      <c r="DT412" s="116"/>
      <c r="DU412" s="116"/>
      <c r="DV412" s="116"/>
      <c r="DW412" s="116"/>
      <c r="DX412" s="116"/>
      <c r="DY412" s="116"/>
      <c r="DZ412" s="116"/>
      <c r="EA412" s="116"/>
      <c r="EB412" s="116"/>
      <c r="EC412" s="116"/>
      <c r="ED412" s="116"/>
      <c r="EE412" s="116"/>
      <c r="EF412" s="116"/>
      <c r="EG412" s="116"/>
      <c r="EH412" s="116"/>
      <c r="EI412" s="116"/>
      <c r="EJ412" s="116"/>
      <c r="EK412" s="116"/>
      <c r="EL412" s="116"/>
      <c r="EM412" s="116"/>
      <c r="EN412" s="116"/>
      <c r="EO412" s="116"/>
      <c r="EP412" s="116"/>
      <c r="EQ412" s="116"/>
      <c r="ER412" s="116"/>
      <c r="ES412" s="116"/>
      <c r="ET412" s="11"/>
      <c r="EU412" s="11"/>
      <c r="EV412" s="11"/>
      <c r="EW412" s="11"/>
      <c r="EX412" s="11"/>
      <c r="EY412" s="11"/>
      <c r="EZ412" s="11"/>
      <c r="FA412" s="11"/>
      <c r="FB412" s="11"/>
      <c r="FC412" s="11"/>
      <c r="FD412" s="11"/>
      <c r="FE412" s="11"/>
      <c r="FF412" s="252"/>
      <c r="FG412" s="61"/>
      <c r="FH412" s="17">
        <f t="shared" si="158"/>
        <v>1304638.1600000001</v>
      </c>
      <c r="FI412" s="31">
        <f t="shared" si="159"/>
        <v>6</v>
      </c>
      <c r="FJ412" s="68">
        <f t="shared" si="160"/>
        <v>217439.69333333336</v>
      </c>
    </row>
    <row r="413" spans="1:166" ht="27" customHeight="1" x14ac:dyDescent="0.25">
      <c r="A413" s="248">
        <f>Distribución_Reactivos!A413</f>
        <v>411</v>
      </c>
      <c r="B413" s="248" t="str">
        <f>Distribución_Reactivos!B413</f>
        <v>Tiras para prueba de oxidasa</v>
      </c>
      <c r="C413" s="248" t="str">
        <f>Distribución_Reactivos!C413</f>
        <v>Merck</v>
      </c>
      <c r="D413" s="248" t="str">
        <f>Distribución_Reactivos!D413</f>
        <v xml:space="preserve">Frasco x 50 tiras </v>
      </c>
      <c r="E413" s="29">
        <v>1</v>
      </c>
      <c r="F413" s="212">
        <v>130658.33333333333</v>
      </c>
      <c r="G413" s="214">
        <v>127300</v>
      </c>
      <c r="H413" s="221">
        <v>182350.29957166666</v>
      </c>
      <c r="I413" s="221">
        <v>182308</v>
      </c>
      <c r="J413" s="221">
        <v>181341.25</v>
      </c>
      <c r="K413" s="221">
        <v>149300</v>
      </c>
      <c r="L413" s="247">
        <f>AVERAGE(F413,H413,J413)</f>
        <v>164783.29430166667</v>
      </c>
      <c r="M413" s="247">
        <f>AVERAGE(G413,I413,K413)*E1</f>
        <v>157558.41333333336</v>
      </c>
      <c r="N413" s="219">
        <v>291000</v>
      </c>
      <c r="O413" s="97">
        <f>+N413*0</f>
        <v>0</v>
      </c>
      <c r="P413" s="97">
        <f>+O413+N413</f>
        <v>291000</v>
      </c>
      <c r="Q413" s="34" t="s">
        <v>453</v>
      </c>
      <c r="R413" s="116" t="s">
        <v>119</v>
      </c>
      <c r="S413" s="53"/>
      <c r="T413" s="97"/>
      <c r="U413" s="101"/>
      <c r="V413" s="97"/>
      <c r="W413" s="115"/>
      <c r="X413" s="115"/>
      <c r="Y413" s="11"/>
      <c r="Z413" s="97"/>
      <c r="AA413" s="97"/>
      <c r="AB413" s="97"/>
      <c r="AC413" s="44"/>
      <c r="AD413" s="44"/>
      <c r="AE413" s="11"/>
      <c r="AF413" s="102">
        <v>130000</v>
      </c>
      <c r="AG413" s="125">
        <v>0</v>
      </c>
      <c r="AH413" s="97">
        <f t="shared" si="167"/>
        <v>130000</v>
      </c>
      <c r="AI413" s="11"/>
      <c r="AJ413" s="11"/>
      <c r="AK413" s="17"/>
      <c r="AL413" s="97"/>
      <c r="AM413" s="97"/>
      <c r="AN413" s="101"/>
      <c r="AO413" s="248"/>
      <c r="AP413" s="17"/>
      <c r="AQ413" s="17"/>
      <c r="AR413" s="252"/>
      <c r="AS413" s="252"/>
      <c r="AT413" s="252"/>
      <c r="AU413" s="52"/>
      <c r="AV413" s="52"/>
      <c r="AW413" s="11"/>
      <c r="AX413" s="100"/>
      <c r="AY413" s="100"/>
      <c r="AZ413" s="124"/>
      <c r="BA413" s="169"/>
      <c r="BB413" s="116"/>
      <c r="BC413" s="116"/>
      <c r="BD413" s="247"/>
      <c r="BE413" s="124"/>
      <c r="BF413" s="124"/>
      <c r="BG413" s="116"/>
      <c r="BH413" s="116"/>
      <c r="BI413" s="116"/>
      <c r="BJ413" s="124"/>
      <c r="BK413" s="124"/>
      <c r="BL413" s="124"/>
      <c r="BM413" s="116"/>
      <c r="BN413" s="116"/>
      <c r="BO413" s="116"/>
      <c r="BP413" s="124"/>
      <c r="BQ413" s="116"/>
      <c r="BR413" s="116"/>
      <c r="BS413" s="116"/>
      <c r="BT413" s="116"/>
      <c r="BU413" s="116"/>
      <c r="BV413" s="236">
        <v>465600</v>
      </c>
      <c r="BW413" s="125">
        <f>BV413*0</f>
        <v>0</v>
      </c>
      <c r="BX413" s="97">
        <f t="shared" si="168"/>
        <v>465600</v>
      </c>
      <c r="BY413" s="237" t="s">
        <v>454</v>
      </c>
      <c r="BZ413" s="237" t="s">
        <v>119</v>
      </c>
      <c r="CA413" s="116"/>
      <c r="CB413" s="247"/>
      <c r="CC413" s="125"/>
      <c r="CD413" s="247"/>
      <c r="CE413" s="17"/>
      <c r="CF413" s="11"/>
      <c r="CG413" s="116"/>
      <c r="CH413" s="236"/>
      <c r="CI413" s="238"/>
      <c r="CJ413" s="236"/>
      <c r="CK413" s="237"/>
      <c r="CL413" s="237"/>
      <c r="CM413" s="116"/>
      <c r="CN413" s="247"/>
      <c r="CO413" s="125"/>
      <c r="CP413" s="247"/>
      <c r="CQ413" s="116"/>
      <c r="CR413" s="116"/>
      <c r="CS413" s="116"/>
      <c r="CT413" s="247"/>
      <c r="CU413" s="125"/>
      <c r="CV413" s="247"/>
      <c r="CW413" s="116"/>
      <c r="CX413" s="116"/>
      <c r="CY413" s="116"/>
      <c r="CZ413" s="102">
        <v>98351</v>
      </c>
      <c r="DA413" s="125">
        <f>+CZ413*0.19</f>
        <v>18686.689999999999</v>
      </c>
      <c r="DB413" s="102">
        <f>+CZ413+DA413</f>
        <v>117037.69</v>
      </c>
      <c r="DC413" s="31" t="s">
        <v>455</v>
      </c>
      <c r="DD413" s="17" t="s">
        <v>65</v>
      </c>
      <c r="DE413" s="11">
        <v>1133000001</v>
      </c>
      <c r="DF413" s="116"/>
      <c r="DG413" s="116"/>
      <c r="DH413" s="116"/>
      <c r="DI413" s="116"/>
      <c r="DJ413" s="116"/>
      <c r="DK413" s="116"/>
      <c r="DL413" s="116"/>
      <c r="DM413" s="116"/>
      <c r="DN413" s="116"/>
      <c r="DO413" s="116"/>
      <c r="DP413" s="116"/>
      <c r="DQ413" s="116"/>
      <c r="DR413" s="116"/>
      <c r="DS413" s="116"/>
      <c r="DT413" s="116"/>
      <c r="DU413" s="116"/>
      <c r="DV413" s="116"/>
      <c r="DW413" s="116"/>
      <c r="DX413" s="116"/>
      <c r="DY413" s="116"/>
      <c r="DZ413" s="116"/>
      <c r="EA413" s="116"/>
      <c r="EB413" s="116"/>
      <c r="EC413" s="116"/>
      <c r="ED413" s="116"/>
      <c r="EE413" s="116"/>
      <c r="EF413" s="116"/>
      <c r="EG413" s="116"/>
      <c r="EH413" s="116"/>
      <c r="EI413" s="116"/>
      <c r="EJ413" s="116"/>
      <c r="EK413" s="116"/>
      <c r="EL413" s="116"/>
      <c r="EM413" s="116"/>
      <c r="EN413" s="116"/>
      <c r="EO413" s="116"/>
      <c r="EP413" s="116"/>
      <c r="EQ413" s="116"/>
      <c r="ER413" s="116"/>
      <c r="ES413" s="116"/>
      <c r="ET413" s="11"/>
      <c r="EU413" s="11"/>
      <c r="EV413" s="11"/>
      <c r="EW413" s="11"/>
      <c r="EX413" s="11"/>
      <c r="EY413" s="11"/>
      <c r="EZ413" s="11"/>
      <c r="FA413" s="11"/>
      <c r="FB413" s="11"/>
      <c r="FC413" s="11"/>
      <c r="FD413" s="11"/>
      <c r="FE413" s="11"/>
      <c r="FF413" s="11"/>
      <c r="FG413" s="11"/>
      <c r="FH413" s="17">
        <f t="shared" si="158"/>
        <v>1161196.1033333333</v>
      </c>
      <c r="FI413" s="31">
        <f t="shared" si="159"/>
        <v>5</v>
      </c>
      <c r="FJ413" s="68">
        <f t="shared" si="160"/>
        <v>232239.22066666666</v>
      </c>
    </row>
    <row r="414" spans="1:166" ht="27" customHeight="1" x14ac:dyDescent="0.25">
      <c r="A414" s="248">
        <f>Distribución_Reactivos!A414</f>
        <v>412</v>
      </c>
      <c r="B414" s="248" t="str">
        <f>Distribución_Reactivos!B414</f>
        <v>Trehalosa</v>
      </c>
      <c r="C414" s="248" t="str">
        <f>Distribución_Reactivos!C414</f>
        <v>Merck</v>
      </c>
      <c r="D414" s="248" t="str">
        <f>Distribución_Reactivos!D414</f>
        <v>Frasco x 5g</v>
      </c>
      <c r="E414" s="29">
        <v>1</v>
      </c>
      <c r="F414" s="212">
        <v>0</v>
      </c>
      <c r="G414" s="214">
        <v>0</v>
      </c>
      <c r="H414" s="221">
        <v>4343500</v>
      </c>
      <c r="I414" s="221">
        <v>0</v>
      </c>
      <c r="J414" s="221">
        <v>0</v>
      </c>
      <c r="K414" s="221">
        <v>0</v>
      </c>
      <c r="L414" s="247">
        <f>H414</f>
        <v>4343500</v>
      </c>
      <c r="M414" s="247"/>
      <c r="N414" s="217"/>
      <c r="O414" s="97"/>
      <c r="P414" s="97"/>
      <c r="Q414" s="115"/>
      <c r="R414" s="115"/>
      <c r="S414" s="53"/>
      <c r="T414" s="97"/>
      <c r="U414" s="105"/>
      <c r="V414" s="97"/>
      <c r="W414" s="115"/>
      <c r="X414" s="115"/>
      <c r="Y414" s="11"/>
      <c r="Z414" s="97"/>
      <c r="AA414" s="97"/>
      <c r="AB414" s="97"/>
      <c r="AC414" s="44"/>
      <c r="AD414" s="44"/>
      <c r="AE414" s="11"/>
      <c r="AF414" s="97"/>
      <c r="AG414" s="125"/>
      <c r="AH414" s="97"/>
      <c r="AI414" s="11"/>
      <c r="AJ414" s="11"/>
      <c r="AK414" s="17"/>
      <c r="AL414" s="97"/>
      <c r="AM414" s="97"/>
      <c r="AN414" s="103"/>
      <c r="AO414" s="248"/>
      <c r="AP414" s="17"/>
      <c r="AQ414" s="17"/>
      <c r="AR414" s="252"/>
      <c r="AS414" s="252"/>
      <c r="AT414" s="252"/>
      <c r="AU414" s="52"/>
      <c r="AV414" s="52"/>
      <c r="AW414" s="17"/>
      <c r="AX414" s="100"/>
      <c r="AY414" s="100"/>
      <c r="AZ414" s="124"/>
      <c r="BA414" s="169"/>
      <c r="BB414" s="116"/>
      <c r="BC414" s="116"/>
      <c r="BD414" s="252"/>
      <c r="BE414" s="124"/>
      <c r="BF414" s="124"/>
      <c r="BG414" s="116"/>
      <c r="BH414" s="116"/>
      <c r="BI414" s="116"/>
      <c r="BJ414" s="124"/>
      <c r="BK414" s="124"/>
      <c r="BL414" s="124"/>
      <c r="BM414" s="116"/>
      <c r="BN414" s="116"/>
      <c r="BO414" s="116"/>
      <c r="BP414" s="124"/>
      <c r="BQ414" s="116"/>
      <c r="BR414" s="116"/>
      <c r="BS414" s="116"/>
      <c r="BT414" s="116"/>
      <c r="BU414" s="116"/>
      <c r="BV414" s="240">
        <f>50880000/100</f>
        <v>508800</v>
      </c>
      <c r="BW414" s="125">
        <f>BV414*19%</f>
        <v>96672</v>
      </c>
      <c r="BX414" s="97">
        <f t="shared" si="168"/>
        <v>605472</v>
      </c>
      <c r="BY414" s="237" t="s">
        <v>456</v>
      </c>
      <c r="BZ414" s="237" t="s">
        <v>93</v>
      </c>
      <c r="CA414" s="116"/>
      <c r="CB414" s="252"/>
      <c r="CC414" s="124"/>
      <c r="CD414" s="252"/>
      <c r="CE414" s="17"/>
      <c r="CF414" s="17"/>
      <c r="CG414" s="116"/>
      <c r="CH414" s="240">
        <f>52915200/100</f>
        <v>529152</v>
      </c>
      <c r="CI414" s="238">
        <f>+CH414*0.19</f>
        <v>100538.88</v>
      </c>
      <c r="CJ414" s="236">
        <f>+CH414+CI414</f>
        <v>629690.88</v>
      </c>
      <c r="CK414" s="237" t="s">
        <v>456</v>
      </c>
      <c r="CL414" s="237" t="s">
        <v>93</v>
      </c>
      <c r="CM414" s="116"/>
      <c r="CN414" s="252"/>
      <c r="CO414" s="124"/>
      <c r="CP414" s="252"/>
      <c r="CQ414" s="116"/>
      <c r="CR414" s="116"/>
      <c r="CS414" s="116"/>
      <c r="CT414" s="252"/>
      <c r="CU414" s="124"/>
      <c r="CV414" s="252"/>
      <c r="CW414" s="116"/>
      <c r="CX414" s="116"/>
      <c r="CY414" s="116"/>
      <c r="CZ414" s="97"/>
      <c r="DA414" s="124"/>
      <c r="DB414" s="97"/>
      <c r="DC414" s="31"/>
      <c r="DD414" s="17"/>
      <c r="DE414" s="11"/>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
      <c r="EU414" s="11"/>
      <c r="EV414" s="11"/>
      <c r="EW414" s="11"/>
      <c r="EX414" s="11"/>
      <c r="EY414" s="11"/>
      <c r="EZ414" s="11"/>
      <c r="FA414" s="11"/>
      <c r="FB414" s="11"/>
      <c r="FC414" s="11"/>
      <c r="FD414" s="11"/>
      <c r="FE414" s="11"/>
      <c r="FF414" s="252"/>
      <c r="FG414" s="61"/>
      <c r="FH414" s="17">
        <f t="shared" si="158"/>
        <v>1235162.8799999999</v>
      </c>
      <c r="FI414" s="31">
        <f t="shared" si="159"/>
        <v>2</v>
      </c>
      <c r="FJ414" s="68">
        <f t="shared" si="160"/>
        <v>617581.43999999994</v>
      </c>
    </row>
    <row r="415" spans="1:166" ht="27" customHeight="1" x14ac:dyDescent="0.25">
      <c r="A415" s="248">
        <f>Distribución_Reactivos!A415</f>
        <v>413</v>
      </c>
      <c r="B415" s="248" t="str">
        <f>Distribución_Reactivos!B415</f>
        <v>Triphenyl Phosphate (Trifenilo fosfato) para síntesis, pureza ≥ 99%,  CAS 115-86-6</v>
      </c>
      <c r="C415" s="248" t="str">
        <f>Distribución_Reactivos!C415</f>
        <v>Sigma -Aldrich/ Merck Colombia</v>
      </c>
      <c r="D415" s="248" t="str">
        <f>Distribución_Reactivos!D415</f>
        <v>Frasco de vidrio x 50g/ Frasco plástico X 100g</v>
      </c>
      <c r="E415" s="29">
        <v>1</v>
      </c>
      <c r="F415" s="212">
        <v>0</v>
      </c>
      <c r="G415" s="214">
        <v>0</v>
      </c>
      <c r="H415" s="221">
        <v>0</v>
      </c>
      <c r="I415" s="221">
        <v>0</v>
      </c>
      <c r="J415" s="221">
        <v>0</v>
      </c>
      <c r="K415" s="221">
        <v>0</v>
      </c>
      <c r="L415" s="247"/>
      <c r="M415" s="247"/>
      <c r="N415" s="217"/>
      <c r="O415" s="97"/>
      <c r="P415" s="97"/>
      <c r="Q415" s="115"/>
      <c r="R415" s="115"/>
      <c r="S415" s="53"/>
      <c r="T415" s="97"/>
      <c r="U415" s="97"/>
      <c r="V415" s="97"/>
      <c r="W415" s="115"/>
      <c r="X415" s="115"/>
      <c r="Y415" s="11"/>
      <c r="Z415" s="97"/>
      <c r="AA415" s="97"/>
      <c r="AB415" s="97"/>
      <c r="AC415" s="44"/>
      <c r="AD415" s="44"/>
      <c r="AE415" s="11"/>
      <c r="AF415" s="102"/>
      <c r="AG415" s="125"/>
      <c r="AH415" s="97"/>
      <c r="AI415" s="11"/>
      <c r="AJ415" s="11"/>
      <c r="AK415" s="17"/>
      <c r="AL415" s="97"/>
      <c r="AM415" s="97"/>
      <c r="AN415" s="101"/>
      <c r="AO415" s="248"/>
      <c r="AP415" s="17"/>
      <c r="AQ415" s="17"/>
      <c r="AR415" s="252"/>
      <c r="AS415" s="252"/>
      <c r="AT415" s="252"/>
      <c r="AU415" s="52"/>
      <c r="AV415" s="52"/>
      <c r="AW415" s="11"/>
      <c r="AX415" s="100"/>
      <c r="AY415" s="174"/>
      <c r="AZ415" s="124"/>
      <c r="BA415" s="169"/>
      <c r="BB415" s="116"/>
      <c r="BC415" s="116"/>
      <c r="BD415" s="247"/>
      <c r="BE415" s="124"/>
      <c r="BF415" s="124"/>
      <c r="BG415" s="116"/>
      <c r="BH415" s="116"/>
      <c r="BI415" s="116"/>
      <c r="BJ415" s="124"/>
      <c r="BK415" s="124"/>
      <c r="BL415" s="124"/>
      <c r="BM415" s="116"/>
      <c r="BN415" s="116"/>
      <c r="BO415" s="116"/>
      <c r="BP415" s="124"/>
      <c r="BQ415" s="116"/>
      <c r="BR415" s="116"/>
      <c r="BS415" s="116"/>
      <c r="BT415" s="116"/>
      <c r="BU415" s="116"/>
      <c r="BV415" s="236">
        <v>393200</v>
      </c>
      <c r="BW415" s="125">
        <f>BV415*19%</f>
        <v>74708</v>
      </c>
      <c r="BX415" s="97">
        <f t="shared" si="168"/>
        <v>467908</v>
      </c>
      <c r="BY415" s="237" t="s">
        <v>317</v>
      </c>
      <c r="BZ415" s="237" t="s">
        <v>93</v>
      </c>
      <c r="CA415" s="116"/>
      <c r="CB415" s="247"/>
      <c r="CC415" s="125"/>
      <c r="CD415" s="247"/>
      <c r="CE415" s="116"/>
      <c r="CF415" s="116"/>
      <c r="CG415" s="116"/>
      <c r="CH415" s="236">
        <v>416792</v>
      </c>
      <c r="CI415" s="238">
        <f>+CH415*0.19</f>
        <v>79190.48</v>
      </c>
      <c r="CJ415" s="236">
        <f>+CH415+CI415</f>
        <v>495982.48</v>
      </c>
      <c r="CK415" s="237" t="s">
        <v>317</v>
      </c>
      <c r="CL415" s="237" t="s">
        <v>93</v>
      </c>
      <c r="CM415" s="116"/>
      <c r="CN415" s="247"/>
      <c r="CO415" s="125"/>
      <c r="CP415" s="247"/>
      <c r="CQ415" s="116"/>
      <c r="CR415" s="116"/>
      <c r="CS415" s="116"/>
      <c r="CT415" s="247"/>
      <c r="CU415" s="125"/>
      <c r="CV415" s="247"/>
      <c r="CW415" s="116"/>
      <c r="CX415" s="116"/>
      <c r="CY415" s="116"/>
      <c r="CZ415" s="102">
        <v>91034</v>
      </c>
      <c r="DA415" s="125">
        <f>+CZ415*0.19</f>
        <v>17296.46</v>
      </c>
      <c r="DB415" s="102">
        <f>+CZ415+DA415</f>
        <v>108330.45999999999</v>
      </c>
      <c r="DC415" s="31" t="s">
        <v>64</v>
      </c>
      <c r="DD415" s="17" t="s">
        <v>65</v>
      </c>
      <c r="DE415" s="11">
        <v>8211970100</v>
      </c>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
      <c r="EU415" s="11"/>
      <c r="EV415" s="11"/>
      <c r="EW415" s="11"/>
      <c r="EX415" s="11"/>
      <c r="EY415" s="11"/>
      <c r="EZ415" s="11"/>
      <c r="FA415" s="11"/>
      <c r="FB415" s="11"/>
      <c r="FC415" s="11"/>
      <c r="FD415" s="11"/>
      <c r="FE415" s="11"/>
      <c r="FF415" s="11"/>
      <c r="FG415" s="11"/>
      <c r="FH415" s="17">
        <f t="shared" si="158"/>
        <v>1072220.94</v>
      </c>
      <c r="FI415" s="31">
        <f t="shared" si="159"/>
        <v>3</v>
      </c>
      <c r="FJ415" s="68">
        <f t="shared" si="160"/>
        <v>357406.98</v>
      </c>
    </row>
    <row r="416" spans="1:166" ht="27" customHeight="1" x14ac:dyDescent="0.25">
      <c r="A416" s="248">
        <f>Distribución_Reactivos!A416</f>
        <v>414</v>
      </c>
      <c r="B416" s="248" t="str">
        <f>Distribución_Reactivos!B416</f>
        <v>Triptona</v>
      </c>
      <c r="C416" s="248" t="str">
        <f>Distribución_Reactivos!C416</f>
        <v>Merck o cualquier marca</v>
      </c>
      <c r="D416" s="248" t="str">
        <f>Distribución_Reactivos!D416</f>
        <v>Frasco x 500 g</v>
      </c>
      <c r="E416" s="29">
        <v>1</v>
      </c>
      <c r="F416" s="212">
        <v>0</v>
      </c>
      <c r="G416" s="214">
        <v>0</v>
      </c>
      <c r="H416" s="221">
        <v>0</v>
      </c>
      <c r="I416" s="221">
        <v>0</v>
      </c>
      <c r="J416" s="221">
        <v>547400</v>
      </c>
      <c r="K416" s="221">
        <v>535500</v>
      </c>
      <c r="L416" s="247">
        <f>J416</f>
        <v>547400</v>
      </c>
      <c r="M416" s="247">
        <f>K416*E1</f>
        <v>551565</v>
      </c>
      <c r="N416" s="217"/>
      <c r="O416" s="97"/>
      <c r="P416" s="97"/>
      <c r="Q416" s="115"/>
      <c r="R416" s="115"/>
      <c r="S416" s="53"/>
      <c r="T416" s="97"/>
      <c r="U416" s="97"/>
      <c r="V416" s="97"/>
      <c r="W416" s="115"/>
      <c r="X416" s="115"/>
      <c r="Y416" s="11"/>
      <c r="Z416" s="97"/>
      <c r="AA416" s="97"/>
      <c r="AB416" s="97"/>
      <c r="AC416" s="44"/>
      <c r="AD416" s="44"/>
      <c r="AE416" s="11"/>
      <c r="AF416" s="102"/>
      <c r="AG416" s="125"/>
      <c r="AH416" s="97"/>
      <c r="AI416" s="11"/>
      <c r="AJ416" s="11"/>
      <c r="AK416" s="17"/>
      <c r="AL416" s="97"/>
      <c r="AM416" s="97"/>
      <c r="AN416" s="101"/>
      <c r="AO416" s="248"/>
      <c r="AP416" s="17"/>
      <c r="AQ416" s="17"/>
      <c r="AR416" s="252">
        <v>720000</v>
      </c>
      <c r="AS416" s="124">
        <f>+AR416*0.19</f>
        <v>136800</v>
      </c>
      <c r="AT416" s="100">
        <f>+AR416+AS416</f>
        <v>856800</v>
      </c>
      <c r="AU416" s="52" t="s">
        <v>77</v>
      </c>
      <c r="AV416" s="34" t="s">
        <v>42</v>
      </c>
      <c r="AW416" s="11"/>
      <c r="AX416" s="100"/>
      <c r="AY416" s="174"/>
      <c r="AZ416" s="124"/>
      <c r="BA416" s="169"/>
      <c r="BB416" s="116"/>
      <c r="BC416" s="116"/>
      <c r="BD416" s="247"/>
      <c r="BE416" s="124"/>
      <c r="BF416" s="124"/>
      <c r="BG416" s="116"/>
      <c r="BH416" s="116"/>
      <c r="BI416" s="116"/>
      <c r="BJ416" s="124"/>
      <c r="BK416" s="124"/>
      <c r="BL416" s="124"/>
      <c r="BM416" s="116"/>
      <c r="BN416" s="116"/>
      <c r="BO416" s="116"/>
      <c r="BP416" s="124"/>
      <c r="BQ416" s="116"/>
      <c r="BR416" s="116"/>
      <c r="BS416" s="116"/>
      <c r="BT416" s="116"/>
      <c r="BU416" s="116"/>
      <c r="BV416" s="236">
        <f>2762900/2</f>
        <v>1381450</v>
      </c>
      <c r="BW416" s="125">
        <f>BV416*19%</f>
        <v>262475.5</v>
      </c>
      <c r="BX416" s="97">
        <f t="shared" si="168"/>
        <v>1643925.5</v>
      </c>
      <c r="BY416" s="237" t="s">
        <v>329</v>
      </c>
      <c r="BZ416" s="237" t="s">
        <v>93</v>
      </c>
      <c r="CA416" s="116"/>
      <c r="CB416" s="247"/>
      <c r="CC416" s="125"/>
      <c r="CD416" s="247"/>
      <c r="CE416" s="116"/>
      <c r="CF416" s="116"/>
      <c r="CG416" s="116"/>
      <c r="CH416" s="241"/>
      <c r="CI416" s="238"/>
      <c r="CJ416" s="236"/>
      <c r="CK416" s="237"/>
      <c r="CL416" s="237"/>
      <c r="CM416" s="116"/>
      <c r="CN416" s="247"/>
      <c r="CO416" s="125"/>
      <c r="CP416" s="247"/>
      <c r="CQ416" s="116"/>
      <c r="CR416" s="116"/>
      <c r="CS416" s="116"/>
      <c r="CT416" s="247"/>
      <c r="CU416" s="125"/>
      <c r="CV416" s="247"/>
      <c r="CW416" s="116"/>
      <c r="CX416" s="116"/>
      <c r="CY416" s="116"/>
      <c r="CZ416" s="102"/>
      <c r="DA416" s="125"/>
      <c r="DB416" s="102"/>
      <c r="DC416" s="31"/>
      <c r="DD416" s="17"/>
      <c r="DE416" s="11"/>
      <c r="DF416" s="116"/>
      <c r="DG416" s="116"/>
      <c r="DH416" s="116"/>
      <c r="DI416" s="116"/>
      <c r="DJ416" s="116"/>
      <c r="DK416" s="116"/>
      <c r="DL416" s="116"/>
      <c r="DM416" s="116"/>
      <c r="DN416" s="116"/>
      <c r="DO416" s="116"/>
      <c r="DP416" s="116"/>
      <c r="DQ416" s="116"/>
      <c r="DR416" s="116"/>
      <c r="DS416" s="116"/>
      <c r="DT416" s="116"/>
      <c r="DU416" s="116"/>
      <c r="DV416" s="116"/>
      <c r="DW416" s="116"/>
      <c r="DX416" s="116"/>
      <c r="DY416" s="116"/>
      <c r="DZ416" s="116"/>
      <c r="EA416" s="116"/>
      <c r="EB416" s="116"/>
      <c r="EC416" s="116"/>
      <c r="ED416" s="116"/>
      <c r="EE416" s="116"/>
      <c r="EF416" s="116"/>
      <c r="EG416" s="116"/>
      <c r="EH416" s="116"/>
      <c r="EI416" s="116"/>
      <c r="EJ416" s="116"/>
      <c r="EK416" s="116"/>
      <c r="EL416" s="116"/>
      <c r="EM416" s="116"/>
      <c r="EN416" s="116"/>
      <c r="EO416" s="116"/>
      <c r="EP416" s="116"/>
      <c r="EQ416" s="116"/>
      <c r="ER416" s="116"/>
      <c r="ES416" s="116"/>
      <c r="ET416" s="11"/>
      <c r="EU416" s="11"/>
      <c r="EV416" s="11"/>
      <c r="EW416" s="11"/>
      <c r="EX416" s="11"/>
      <c r="EY416" s="11"/>
      <c r="EZ416" s="11"/>
      <c r="FA416" s="11"/>
      <c r="FB416" s="11"/>
      <c r="FC416" s="11"/>
      <c r="FD416" s="11"/>
      <c r="FE416" s="11"/>
      <c r="FF416" s="11"/>
      <c r="FG416" s="11"/>
      <c r="FH416" s="17">
        <f t="shared" si="158"/>
        <v>3052290.5</v>
      </c>
      <c r="FI416" s="31">
        <f t="shared" si="159"/>
        <v>3</v>
      </c>
      <c r="FJ416" s="68">
        <f t="shared" si="160"/>
        <v>1017430.1666666666</v>
      </c>
    </row>
    <row r="417" spans="1:166" ht="38.25" x14ac:dyDescent="0.25">
      <c r="A417" s="248">
        <f>Distribución_Reactivos!A417</f>
        <v>415</v>
      </c>
      <c r="B417" s="248" t="str">
        <f>Distribución_Reactivos!B417</f>
        <v>Tris - HCL (Listo para usar en Polvo)</v>
      </c>
      <c r="C417" s="248" t="str">
        <f>Distribución_Reactivos!C417</f>
        <v>Amresco o equivalente</v>
      </c>
      <c r="D417" s="248" t="str">
        <f>Distribución_Reactivos!D417</f>
        <v>Frasco X 1 Kg</v>
      </c>
      <c r="E417" s="29">
        <v>1</v>
      </c>
      <c r="F417" s="212">
        <v>0</v>
      </c>
      <c r="G417" s="214">
        <v>0</v>
      </c>
      <c r="H417" s="221">
        <v>1222189.5</v>
      </c>
      <c r="I417" s="221">
        <v>0</v>
      </c>
      <c r="J417" s="221">
        <v>1122586.4655376</v>
      </c>
      <c r="K417" s="221">
        <v>0</v>
      </c>
      <c r="L417" s="247">
        <f>AVERAGE(H417,J417)</f>
        <v>1172387.9827688001</v>
      </c>
      <c r="M417" s="247"/>
      <c r="N417" s="217"/>
      <c r="O417" s="97"/>
      <c r="P417" s="97"/>
      <c r="Q417" s="115"/>
      <c r="R417" s="115"/>
      <c r="S417" s="53"/>
      <c r="T417" s="97"/>
      <c r="U417" s="97"/>
      <c r="V417" s="97"/>
      <c r="W417" s="115"/>
      <c r="X417" s="115"/>
      <c r="Y417" s="11"/>
      <c r="Z417" s="97"/>
      <c r="AA417" s="97"/>
      <c r="AB417" s="97"/>
      <c r="AC417" s="44"/>
      <c r="AD417" s="44"/>
      <c r="AE417" s="11"/>
      <c r="AF417" s="102"/>
      <c r="AG417" s="125"/>
      <c r="AH417" s="97"/>
      <c r="AI417" s="11"/>
      <c r="AJ417" s="11"/>
      <c r="AK417" s="17"/>
      <c r="AL417" s="97"/>
      <c r="AM417" s="97"/>
      <c r="AN417" s="101"/>
      <c r="AO417" s="248"/>
      <c r="AP417" s="17"/>
      <c r="AQ417" s="17"/>
      <c r="AR417" s="252">
        <v>648000</v>
      </c>
      <c r="AS417" s="124">
        <f>+AR417*0.19</f>
        <v>123120</v>
      </c>
      <c r="AT417" s="100">
        <f>+AR417+AS417</f>
        <v>771120</v>
      </c>
      <c r="AU417" s="52" t="s">
        <v>99</v>
      </c>
      <c r="AV417" s="34" t="s">
        <v>42</v>
      </c>
      <c r="AW417" s="11"/>
      <c r="AX417" s="100"/>
      <c r="AY417" s="174"/>
      <c r="AZ417" s="124"/>
      <c r="BA417" s="169"/>
      <c r="BB417" s="116"/>
      <c r="BC417" s="116"/>
      <c r="BD417" s="247"/>
      <c r="BE417" s="124"/>
      <c r="BF417" s="124"/>
      <c r="BG417" s="116"/>
      <c r="BH417" s="116"/>
      <c r="BI417" s="116"/>
      <c r="BJ417" s="124"/>
      <c r="BK417" s="124"/>
      <c r="BL417" s="124"/>
      <c r="BM417" s="116"/>
      <c r="BN417" s="116"/>
      <c r="BO417" s="116"/>
      <c r="BP417" s="124">
        <v>1062805</v>
      </c>
      <c r="BQ417" s="125">
        <f>BP417*19%</f>
        <v>201932.95</v>
      </c>
      <c r="BR417" s="97">
        <f>+BP417+BQ417</f>
        <v>1264737.95</v>
      </c>
      <c r="BS417" s="31" t="s">
        <v>457</v>
      </c>
      <c r="BT417" s="34" t="s">
        <v>458</v>
      </c>
      <c r="BU417" s="5" t="s">
        <v>459</v>
      </c>
      <c r="BV417" s="236">
        <v>3170100</v>
      </c>
      <c r="BW417" s="125">
        <f>BV417*19%</f>
        <v>602319</v>
      </c>
      <c r="BX417" s="97">
        <f t="shared" si="168"/>
        <v>3772419</v>
      </c>
      <c r="BY417" s="237" t="s">
        <v>329</v>
      </c>
      <c r="BZ417" s="237" t="s">
        <v>316</v>
      </c>
      <c r="CA417" s="116"/>
      <c r="CB417" s="247"/>
      <c r="CC417" s="125"/>
      <c r="CD417" s="247"/>
      <c r="CE417" s="116"/>
      <c r="CF417" s="116"/>
      <c r="CG417" s="116"/>
      <c r="CH417" s="241"/>
      <c r="CI417" s="238"/>
      <c r="CJ417" s="236"/>
      <c r="CK417" s="237"/>
      <c r="CL417" s="237"/>
      <c r="CM417" s="116"/>
      <c r="CN417" s="247"/>
      <c r="CO417" s="125"/>
      <c r="CP417" s="247"/>
      <c r="CQ417" s="116"/>
      <c r="CR417" s="116"/>
      <c r="CS417" s="116"/>
      <c r="CT417" s="247"/>
      <c r="CU417" s="125"/>
      <c r="CV417" s="247"/>
      <c r="CW417" s="116"/>
      <c r="CX417" s="116"/>
      <c r="CY417" s="116"/>
      <c r="CZ417" s="102"/>
      <c r="DA417" s="125"/>
      <c r="DB417" s="102"/>
      <c r="DC417" s="31"/>
      <c r="DD417" s="17"/>
      <c r="DE417" s="11"/>
      <c r="DF417" s="116"/>
      <c r="DG417" s="116"/>
      <c r="DH417" s="116"/>
      <c r="DI417" s="116"/>
      <c r="DJ417" s="116"/>
      <c r="DK417" s="116"/>
      <c r="DL417" s="116"/>
      <c r="DM417" s="116"/>
      <c r="DN417" s="116"/>
      <c r="DO417" s="116"/>
      <c r="DP417" s="116"/>
      <c r="DQ417" s="116"/>
      <c r="DR417" s="116"/>
      <c r="DS417" s="116"/>
      <c r="DT417" s="116"/>
      <c r="DU417" s="116"/>
      <c r="DV417" s="116"/>
      <c r="DW417" s="116"/>
      <c r="DX417" s="116"/>
      <c r="DY417" s="116"/>
      <c r="DZ417" s="116"/>
      <c r="EA417" s="116"/>
      <c r="EB417" s="116"/>
      <c r="EC417" s="116"/>
      <c r="ED417" s="116"/>
      <c r="EE417" s="116"/>
      <c r="EF417" s="116"/>
      <c r="EG417" s="116"/>
      <c r="EH417" s="116"/>
      <c r="EI417" s="116"/>
      <c r="EJ417" s="116"/>
      <c r="EK417" s="116"/>
      <c r="EL417" s="116"/>
      <c r="EM417" s="116"/>
      <c r="EN417" s="116"/>
      <c r="EO417" s="116"/>
      <c r="EP417" s="116"/>
      <c r="EQ417" s="116"/>
      <c r="ER417" s="116"/>
      <c r="ES417" s="116"/>
      <c r="ET417" s="11"/>
      <c r="EU417" s="11"/>
      <c r="EV417" s="11"/>
      <c r="EW417" s="11"/>
      <c r="EX417" s="11"/>
      <c r="EY417" s="11"/>
      <c r="EZ417" s="11"/>
      <c r="FA417" s="11"/>
      <c r="FB417" s="11"/>
      <c r="FC417" s="11"/>
      <c r="FD417" s="11"/>
      <c r="FE417" s="11"/>
      <c r="FF417" s="11"/>
      <c r="FG417" s="11"/>
      <c r="FH417" s="17">
        <f t="shared" si="158"/>
        <v>5808276.9500000002</v>
      </c>
      <c r="FI417" s="31">
        <f t="shared" si="159"/>
        <v>3</v>
      </c>
      <c r="FJ417" s="68">
        <f t="shared" si="160"/>
        <v>1936092.3166666667</v>
      </c>
    </row>
    <row r="418" spans="1:166" ht="27" x14ac:dyDescent="0.25">
      <c r="A418" s="248">
        <f>Distribución_Reactivos!A418</f>
        <v>416</v>
      </c>
      <c r="B418" s="248" t="str">
        <f>Distribución_Reactivos!B418</f>
        <v xml:space="preserve">Tris base. Grado ACS </v>
      </c>
      <c r="C418" s="248" t="str">
        <f>Distribución_Reactivos!C418</f>
        <v>Sigma</v>
      </c>
      <c r="D418" s="248" t="str">
        <f>Distribución_Reactivos!D418</f>
        <v>Frasco x 500 g</v>
      </c>
      <c r="E418" s="29">
        <v>1</v>
      </c>
      <c r="F418" s="212">
        <v>298372.66666666669</v>
      </c>
      <c r="G418" s="214">
        <v>297500</v>
      </c>
      <c r="H418" s="221">
        <v>622330.36982666666</v>
      </c>
      <c r="I418" s="221">
        <v>0</v>
      </c>
      <c r="J418" s="221">
        <v>512073.20564213331</v>
      </c>
      <c r="K418" s="221">
        <v>506940</v>
      </c>
      <c r="L418" s="247">
        <f>AVERAGE(F418,H418,J418)</f>
        <v>477592.0807118222</v>
      </c>
      <c r="M418" s="247">
        <f>AVERAGE(G418,K418)*E1</f>
        <v>414286.60000000003</v>
      </c>
      <c r="N418" s="217"/>
      <c r="O418" s="97"/>
      <c r="P418" s="97"/>
      <c r="Q418" s="115"/>
      <c r="R418" s="115"/>
      <c r="S418" s="53"/>
      <c r="T418" s="97"/>
      <c r="U418" s="97"/>
      <c r="V418" s="97"/>
      <c r="W418" s="115"/>
      <c r="X418" s="115"/>
      <c r="Y418" s="11"/>
      <c r="Z418" s="97"/>
      <c r="AA418" s="97"/>
      <c r="AB418" s="97"/>
      <c r="AC418" s="44"/>
      <c r="AD418" s="44"/>
      <c r="AE418" s="11"/>
      <c r="AF418" s="102"/>
      <c r="AG418" s="125"/>
      <c r="AH418" s="97"/>
      <c r="AI418" s="11"/>
      <c r="AJ418" s="11"/>
      <c r="AK418" s="17"/>
      <c r="AL418" s="97">
        <v>334000</v>
      </c>
      <c r="AM418" s="97">
        <f>+AL418*0.19</f>
        <v>63460</v>
      </c>
      <c r="AN418" s="103">
        <f>+AL418+AM418</f>
        <v>397460</v>
      </c>
      <c r="AO418" s="248" t="s">
        <v>77</v>
      </c>
      <c r="AP418" s="17" t="s">
        <v>52</v>
      </c>
      <c r="AQ418" s="17"/>
      <c r="AR418" s="252">
        <v>194400</v>
      </c>
      <c r="AS418" s="124">
        <f>+AR418*0.19</f>
        <v>36936</v>
      </c>
      <c r="AT418" s="100">
        <f>+AR418+AS418</f>
        <v>231336</v>
      </c>
      <c r="AU418" s="52" t="s">
        <v>77</v>
      </c>
      <c r="AV418" s="34" t="s">
        <v>42</v>
      </c>
      <c r="AW418" s="11"/>
      <c r="AX418" s="100"/>
      <c r="AY418" s="174"/>
      <c r="AZ418" s="124"/>
      <c r="BA418" s="169"/>
      <c r="BB418" s="116"/>
      <c r="BC418" s="116"/>
      <c r="BD418" s="247"/>
      <c r="BE418" s="124"/>
      <c r="BF418" s="124"/>
      <c r="BG418" s="116"/>
      <c r="BH418" s="116"/>
      <c r="BI418" s="116"/>
      <c r="BJ418" s="124"/>
      <c r="BK418" s="124"/>
      <c r="BL418" s="124"/>
      <c r="BM418" s="116"/>
      <c r="BN418" s="116"/>
      <c r="BO418" s="116"/>
      <c r="BP418" s="124">
        <v>407243</v>
      </c>
      <c r="BQ418" s="125">
        <f>BP418*19%</f>
        <v>77376.17</v>
      </c>
      <c r="BR418" s="97">
        <f>+BP418+BQ418</f>
        <v>484619.17</v>
      </c>
      <c r="BS418" s="31" t="s">
        <v>123</v>
      </c>
      <c r="BT418" s="34" t="s">
        <v>460</v>
      </c>
      <c r="BU418" s="5" t="s">
        <v>461</v>
      </c>
      <c r="BV418" s="236">
        <v>644500</v>
      </c>
      <c r="BW418" s="125">
        <f>BV418*19%</f>
        <v>122455</v>
      </c>
      <c r="BX418" s="97">
        <f t="shared" si="168"/>
        <v>766955</v>
      </c>
      <c r="BY418" s="237" t="s">
        <v>319</v>
      </c>
      <c r="BZ418" s="237" t="s">
        <v>434</v>
      </c>
      <c r="CA418" s="116"/>
      <c r="CB418" s="247"/>
      <c r="CC418" s="125"/>
      <c r="CD418" s="247"/>
      <c r="CE418" s="116"/>
      <c r="CF418" s="116"/>
      <c r="CG418" s="116"/>
      <c r="CH418" s="236">
        <v>670280</v>
      </c>
      <c r="CI418" s="238">
        <f>+CH418*0.19</f>
        <v>127353.2</v>
      </c>
      <c r="CJ418" s="236">
        <f>+CH418+CI418</f>
        <v>797633.2</v>
      </c>
      <c r="CK418" s="237" t="s">
        <v>319</v>
      </c>
      <c r="CL418" s="237" t="s">
        <v>434</v>
      </c>
      <c r="CM418" s="116"/>
      <c r="CN418" s="247"/>
      <c r="CO418" s="125"/>
      <c r="CP418" s="247"/>
      <c r="CQ418" s="116"/>
      <c r="CR418" s="116"/>
      <c r="CS418" s="116"/>
      <c r="CT418" s="247"/>
      <c r="CU418" s="125"/>
      <c r="CV418" s="247"/>
      <c r="CW418" s="116"/>
      <c r="CX418" s="116"/>
      <c r="CY418" s="116"/>
      <c r="CZ418" s="102"/>
      <c r="DA418" s="125"/>
      <c r="DB418" s="102"/>
      <c r="DC418" s="31"/>
      <c r="DD418" s="17"/>
      <c r="DE418" s="11"/>
      <c r="DF418" s="116"/>
      <c r="DG418" s="116"/>
      <c r="DH418" s="116"/>
      <c r="DI418" s="116"/>
      <c r="DJ418" s="116"/>
      <c r="DK418" s="116"/>
      <c r="DL418" s="116"/>
      <c r="DM418" s="116"/>
      <c r="DN418" s="116"/>
      <c r="DO418" s="116"/>
      <c r="DP418" s="116"/>
      <c r="DQ418" s="116"/>
      <c r="DR418" s="116"/>
      <c r="DS418" s="116"/>
      <c r="DT418" s="116"/>
      <c r="DU418" s="116"/>
      <c r="DV418" s="116"/>
      <c r="DW418" s="116"/>
      <c r="DX418" s="116"/>
      <c r="DY418" s="116"/>
      <c r="DZ418" s="116"/>
      <c r="EA418" s="116"/>
      <c r="EB418" s="116"/>
      <c r="EC418" s="116"/>
      <c r="ED418" s="116"/>
      <c r="EE418" s="116"/>
      <c r="EF418" s="116"/>
      <c r="EG418" s="116"/>
      <c r="EH418" s="116"/>
      <c r="EI418" s="116"/>
      <c r="EJ418" s="116"/>
      <c r="EK418" s="116"/>
      <c r="EL418" s="116"/>
      <c r="EM418" s="116"/>
      <c r="EN418" s="116"/>
      <c r="EO418" s="116"/>
      <c r="EP418" s="116"/>
      <c r="EQ418" s="116"/>
      <c r="ER418" s="116"/>
      <c r="ES418" s="116"/>
      <c r="ET418" s="11"/>
      <c r="EU418" s="11"/>
      <c r="EV418" s="11"/>
      <c r="EW418" s="11"/>
      <c r="EX418" s="11"/>
      <c r="EY418" s="11"/>
      <c r="EZ418" s="11"/>
      <c r="FA418" s="11"/>
      <c r="FB418" s="11"/>
      <c r="FC418" s="11"/>
      <c r="FD418" s="11"/>
      <c r="FE418" s="11"/>
      <c r="FF418" s="11"/>
      <c r="FG418" s="11"/>
      <c r="FH418" s="17">
        <f t="shared" ref="FH418:FH457" si="169">SUM(M418,P418,V418,AB418,AH418,AN418,AT418,AZ418,BF418,BL418,BR418,BX418,CD418,CJ418,CP418,CV418,DB418,DH418,DN418,DT418,DZ418,EF418,EL418,ER418,EX418,FD418)</f>
        <v>3092289.9699999997</v>
      </c>
      <c r="FI418" s="31">
        <f t="shared" ref="FI418:FI457" si="170">COUNTA(M418,N418,T418,Z418,AF418,AL418,AR418,AX418,BD418,BJ418,BP418,BV418,CB418,CH418,CN418,CT418,CZ418,DF418,DL418,DR418,DX418,ED418,EJ418,EP418,EV418,FB418)</f>
        <v>6</v>
      </c>
      <c r="FJ418" s="68">
        <f t="shared" ref="FJ418:FJ457" si="171">IFERROR(FH418/FI418," ")</f>
        <v>515381.66166666662</v>
      </c>
    </row>
    <row r="419" spans="1:166" ht="25.5" x14ac:dyDescent="0.25">
      <c r="A419" s="248">
        <f>Distribución_Reactivos!A419</f>
        <v>417</v>
      </c>
      <c r="B419" s="248" t="str">
        <f>Distribución_Reactivos!B419</f>
        <v>Trizol LS Reagent  Ref 10296028</v>
      </c>
      <c r="C419" s="248" t="str">
        <f>Distribución_Reactivos!C419</f>
        <v>Ambion Ref 10296028</v>
      </c>
      <c r="D419" s="248" t="str">
        <f>Distribución_Reactivos!D419</f>
        <v>Frasco x 200mL</v>
      </c>
      <c r="E419" s="29">
        <v>1</v>
      </c>
      <c r="F419" s="212">
        <v>0</v>
      </c>
      <c r="G419" s="214">
        <v>0</v>
      </c>
      <c r="H419" s="221">
        <v>1879491</v>
      </c>
      <c r="I419" s="221">
        <v>0</v>
      </c>
      <c r="J419" s="221">
        <v>2365690.25</v>
      </c>
      <c r="K419" s="221">
        <v>0</v>
      </c>
      <c r="L419" s="247">
        <f>AVERAGE(H419,J419)</f>
        <v>2122590.625</v>
      </c>
      <c r="M419" s="247"/>
      <c r="N419" s="217"/>
      <c r="O419" s="97"/>
      <c r="P419" s="97"/>
      <c r="Q419" s="115"/>
      <c r="R419" s="115"/>
      <c r="S419" s="53"/>
      <c r="T419" s="97">
        <v>2444000</v>
      </c>
      <c r="U419" s="97">
        <f>+T419*0.19</f>
        <v>464360</v>
      </c>
      <c r="V419" s="97">
        <f>+T419+U419</f>
        <v>2908360</v>
      </c>
      <c r="W419" s="115" t="s">
        <v>341</v>
      </c>
      <c r="X419" s="115" t="s">
        <v>129</v>
      </c>
      <c r="Y419" s="11"/>
      <c r="Z419" s="97"/>
      <c r="AA419" s="97"/>
      <c r="AB419" s="97"/>
      <c r="AC419" s="44"/>
      <c r="AD419" s="44"/>
      <c r="AE419" s="11"/>
      <c r="AF419" s="102"/>
      <c r="AG419" s="125"/>
      <c r="AH419" s="97"/>
      <c r="AI419" s="11"/>
      <c r="AJ419" s="17"/>
      <c r="AK419" s="17"/>
      <c r="AL419" s="97"/>
      <c r="AM419" s="97"/>
      <c r="AN419" s="127"/>
      <c r="AO419" s="248"/>
      <c r="AP419" s="17"/>
      <c r="AQ419" s="17"/>
      <c r="AR419" s="252"/>
      <c r="AS419" s="252"/>
      <c r="AT419" s="252"/>
      <c r="AU419" s="52"/>
      <c r="AV419" s="52"/>
      <c r="AW419" s="11"/>
      <c r="AX419" s="100"/>
      <c r="AY419" s="174"/>
      <c r="AZ419" s="124"/>
      <c r="BA419" s="169"/>
      <c r="BB419" s="116"/>
      <c r="BC419" s="116"/>
      <c r="BD419" s="247"/>
      <c r="BE419" s="124"/>
      <c r="BF419" s="124"/>
      <c r="BG419" s="116"/>
      <c r="BH419" s="116"/>
      <c r="BI419" s="116"/>
      <c r="BJ419" s="124"/>
      <c r="BK419" s="124"/>
      <c r="BL419" s="124"/>
      <c r="BM419" s="116"/>
      <c r="BN419" s="116"/>
      <c r="BO419" s="116"/>
      <c r="BP419" s="124"/>
      <c r="BQ419" s="116"/>
      <c r="BR419" s="116"/>
      <c r="BS419" s="17"/>
      <c r="BT419" s="17"/>
      <c r="BU419" s="17"/>
      <c r="BV419" s="187"/>
      <c r="BW419" s="125"/>
      <c r="BX419" s="97"/>
      <c r="BY419" s="246"/>
      <c r="BZ419" s="246"/>
      <c r="CA419" s="116"/>
      <c r="CB419" s="247"/>
      <c r="CC419" s="125"/>
      <c r="CD419" s="247"/>
      <c r="CE419" s="116"/>
      <c r="CF419" s="116"/>
      <c r="CG419" s="116"/>
      <c r="CH419" s="187"/>
      <c r="CI419" s="195"/>
      <c r="CJ419" s="187"/>
      <c r="CK419" s="246"/>
      <c r="CL419" s="246"/>
      <c r="CM419" s="116"/>
      <c r="CN419" s="247"/>
      <c r="CO419" s="125"/>
      <c r="CP419" s="247"/>
      <c r="CQ419" s="116"/>
      <c r="CR419" s="116"/>
      <c r="CS419" s="116"/>
      <c r="CT419" s="247"/>
      <c r="CU419" s="125"/>
      <c r="CV419" s="247"/>
      <c r="CW419" s="116"/>
      <c r="CX419" s="116"/>
      <c r="CY419" s="116"/>
      <c r="CZ419" s="102"/>
      <c r="DA419" s="125"/>
      <c r="DB419" s="102"/>
      <c r="DC419" s="31"/>
      <c r="DD419" s="17"/>
      <c r="DE419" s="11"/>
      <c r="DF419" s="116"/>
      <c r="DG419" s="116"/>
      <c r="DH419" s="116"/>
      <c r="DI419" s="116"/>
      <c r="DJ419" s="116"/>
      <c r="DK419" s="116"/>
      <c r="DL419" s="97">
        <v>2003000</v>
      </c>
      <c r="DM419" s="105">
        <f>+DL419*0.19</f>
        <v>380570</v>
      </c>
      <c r="DN419" s="97">
        <f>+DL419+DM419</f>
        <v>2383570</v>
      </c>
      <c r="DO419" s="115" t="s">
        <v>140</v>
      </c>
      <c r="DP419" s="116"/>
      <c r="DQ419" s="116"/>
      <c r="DR419" s="116"/>
      <c r="DS419" s="116"/>
      <c r="DT419" s="116"/>
      <c r="DU419" s="116"/>
      <c r="DV419" s="116"/>
      <c r="DW419" s="116"/>
      <c r="DX419" s="116"/>
      <c r="DY419" s="116"/>
      <c r="DZ419" s="116"/>
      <c r="EA419" s="116"/>
      <c r="EB419" s="116"/>
      <c r="EC419" s="116"/>
      <c r="ED419" s="116"/>
      <c r="EE419" s="116"/>
      <c r="EF419" s="116"/>
      <c r="EG419" s="116"/>
      <c r="EH419" s="116"/>
      <c r="EI419" s="116"/>
      <c r="EJ419" s="116"/>
      <c r="EK419" s="116"/>
      <c r="EL419" s="116"/>
      <c r="EM419" s="116"/>
      <c r="EN419" s="116"/>
      <c r="EO419" s="116"/>
      <c r="EP419" s="116"/>
      <c r="EQ419" s="116"/>
      <c r="ER419" s="116"/>
      <c r="ES419" s="116"/>
      <c r="ET419" s="11"/>
      <c r="EU419" s="11"/>
      <c r="EV419" s="11"/>
      <c r="EW419" s="11"/>
      <c r="EX419" s="11"/>
      <c r="EY419" s="11"/>
      <c r="EZ419" s="11"/>
      <c r="FA419" s="11"/>
      <c r="FB419" s="11"/>
      <c r="FC419" s="11"/>
      <c r="FD419" s="11"/>
      <c r="FE419" s="11"/>
      <c r="FF419" s="11"/>
      <c r="FG419" s="11"/>
      <c r="FH419" s="17">
        <f t="shared" si="169"/>
        <v>5291930</v>
      </c>
      <c r="FI419" s="31">
        <f t="shared" si="170"/>
        <v>2</v>
      </c>
      <c r="FJ419" s="68">
        <f t="shared" si="171"/>
        <v>2645965</v>
      </c>
    </row>
    <row r="420" spans="1:166" ht="38.25" x14ac:dyDescent="0.25">
      <c r="A420" s="248">
        <f>Distribución_Reactivos!A420</f>
        <v>418</v>
      </c>
      <c r="B420" s="248" t="str">
        <f>Distribución_Reactivos!B420</f>
        <v>Trizol Reagent  Ref 15596018</v>
      </c>
      <c r="C420" s="248" t="str">
        <f>Distribución_Reactivos!C420</f>
        <v>Ambion o Invitrogen 15596018</v>
      </c>
      <c r="D420" s="248" t="str">
        <f>Distribución_Reactivos!D420</f>
        <v>Frasco x 200mL</v>
      </c>
      <c r="E420" s="29">
        <v>1</v>
      </c>
      <c r="F420" s="212">
        <v>0</v>
      </c>
      <c r="G420" s="214">
        <v>0</v>
      </c>
      <c r="H420" s="221">
        <v>1707804.3333333333</v>
      </c>
      <c r="I420" s="221">
        <v>0</v>
      </c>
      <c r="J420" s="221">
        <v>2357845</v>
      </c>
      <c r="K420" s="221">
        <v>0</v>
      </c>
      <c r="L420" s="247">
        <f>AVERAGE(H420,J420)</f>
        <v>2032824.6666666665</v>
      </c>
      <c r="M420" s="247"/>
      <c r="N420" s="217"/>
      <c r="O420" s="97"/>
      <c r="P420" s="97"/>
      <c r="Q420" s="44"/>
      <c r="R420" s="44"/>
      <c r="S420" s="5"/>
      <c r="T420" s="97">
        <v>2003000</v>
      </c>
      <c r="U420" s="97">
        <f>+T420*0.19</f>
        <v>380570</v>
      </c>
      <c r="V420" s="97">
        <f>+T420+U420</f>
        <v>2383570</v>
      </c>
      <c r="W420" s="115" t="s">
        <v>341</v>
      </c>
      <c r="X420" s="115" t="s">
        <v>129</v>
      </c>
      <c r="Y420" s="11"/>
      <c r="Z420" s="97"/>
      <c r="AA420" s="97"/>
      <c r="AB420" s="97"/>
      <c r="AC420" s="44"/>
      <c r="AD420" s="44"/>
      <c r="AE420" s="11"/>
      <c r="AF420" s="102"/>
      <c r="AG420" s="125"/>
      <c r="AH420" s="97"/>
      <c r="AI420" s="11"/>
      <c r="AJ420" s="11"/>
      <c r="AK420" s="11"/>
      <c r="AL420" s="97"/>
      <c r="AM420" s="97"/>
      <c r="AN420" s="97"/>
      <c r="AO420" s="248"/>
      <c r="AP420" s="11"/>
      <c r="AQ420" s="11"/>
      <c r="AR420" s="252"/>
      <c r="AS420" s="252"/>
      <c r="AT420" s="252"/>
      <c r="AU420" s="52"/>
      <c r="AV420" s="42"/>
      <c r="AW420" s="11"/>
      <c r="AX420" s="252"/>
      <c r="AY420" s="252"/>
      <c r="AZ420" s="252"/>
      <c r="BA420" s="11"/>
      <c r="BB420" s="11"/>
      <c r="BC420" s="11"/>
      <c r="BD420" s="247"/>
      <c r="BE420" s="124"/>
      <c r="BF420" s="124"/>
      <c r="BG420" s="116"/>
      <c r="BH420" s="11"/>
      <c r="BI420" s="116"/>
      <c r="BJ420" s="124"/>
      <c r="BK420" s="124"/>
      <c r="BL420" s="124"/>
      <c r="BM420" s="116"/>
      <c r="BN420" s="116"/>
      <c r="BO420" s="116"/>
      <c r="BP420" s="124"/>
      <c r="BQ420" s="116"/>
      <c r="BR420" s="116"/>
      <c r="BS420" s="116"/>
      <c r="BT420" s="116"/>
      <c r="BU420" s="116"/>
      <c r="BV420" s="187"/>
      <c r="BW420" s="125"/>
      <c r="BX420" s="97"/>
      <c r="BY420" s="246"/>
      <c r="BZ420" s="246"/>
      <c r="CA420" s="116"/>
      <c r="CB420" s="247"/>
      <c r="CC420" s="125"/>
      <c r="CD420" s="247"/>
      <c r="CE420" s="116"/>
      <c r="CF420" s="116"/>
      <c r="CG420" s="116"/>
      <c r="CH420" s="187"/>
      <c r="CI420" s="195"/>
      <c r="CJ420" s="187"/>
      <c r="CK420" s="246"/>
      <c r="CL420" s="246"/>
      <c r="CM420" s="116"/>
      <c r="CN420" s="247"/>
      <c r="CO420" s="125"/>
      <c r="CP420" s="247"/>
      <c r="CQ420" s="116"/>
      <c r="CR420" s="116"/>
      <c r="CS420" s="116"/>
      <c r="CT420" s="247"/>
      <c r="CU420" s="125"/>
      <c r="CV420" s="247"/>
      <c r="CW420" s="116"/>
      <c r="CX420" s="116"/>
      <c r="CY420" s="116"/>
      <c r="CZ420" s="102"/>
      <c r="DA420" s="125"/>
      <c r="DB420" s="102"/>
      <c r="DC420" s="31"/>
      <c r="DD420" s="17"/>
      <c r="DE420" s="11"/>
      <c r="DF420" s="116"/>
      <c r="DG420" s="116"/>
      <c r="DH420" s="116"/>
      <c r="DI420" s="116"/>
      <c r="DJ420" s="116"/>
      <c r="DK420" s="116"/>
      <c r="DL420" s="116"/>
      <c r="DM420" s="116"/>
      <c r="DN420" s="116"/>
      <c r="DO420" s="116"/>
      <c r="DP420" s="116"/>
      <c r="DQ420" s="116"/>
      <c r="DR420" s="116"/>
      <c r="DS420" s="116"/>
      <c r="DT420" s="116"/>
      <c r="DU420" s="116"/>
      <c r="DV420" s="116"/>
      <c r="DW420" s="116"/>
      <c r="DX420" s="116"/>
      <c r="DY420" s="116"/>
      <c r="DZ420" s="116"/>
      <c r="EA420" s="116"/>
      <c r="EB420" s="116"/>
      <c r="EC420" s="116"/>
      <c r="ED420" s="116"/>
      <c r="EE420" s="116"/>
      <c r="EF420" s="116"/>
      <c r="EG420" s="116"/>
      <c r="EH420" s="116"/>
      <c r="EI420" s="116"/>
      <c r="EJ420" s="116"/>
      <c r="EK420" s="116"/>
      <c r="EL420" s="116"/>
      <c r="EM420" s="116"/>
      <c r="EN420" s="116"/>
      <c r="EO420" s="116"/>
      <c r="EP420" s="116"/>
      <c r="EQ420" s="116"/>
      <c r="ER420" s="116"/>
      <c r="ES420" s="116"/>
      <c r="ET420" s="11"/>
      <c r="EU420" s="11"/>
      <c r="EV420" s="11"/>
      <c r="EW420" s="11"/>
      <c r="EX420" s="11"/>
      <c r="EY420" s="11"/>
      <c r="EZ420" s="11"/>
      <c r="FA420" s="11"/>
      <c r="FB420" s="11"/>
      <c r="FC420" s="11"/>
      <c r="FD420" s="11"/>
      <c r="FE420" s="11"/>
      <c r="FF420" s="11"/>
      <c r="FG420" s="11"/>
      <c r="FH420" s="17">
        <f t="shared" si="169"/>
        <v>2383570</v>
      </c>
      <c r="FI420" s="31">
        <f t="shared" si="170"/>
        <v>1</v>
      </c>
      <c r="FJ420" s="68">
        <f t="shared" si="171"/>
        <v>2383570</v>
      </c>
    </row>
    <row r="421" spans="1:166" ht="27" x14ac:dyDescent="0.25">
      <c r="A421" s="248">
        <f>Distribución_Reactivos!A421</f>
        <v>419</v>
      </c>
      <c r="B421" s="248" t="str">
        <f>Distribución_Reactivos!B421</f>
        <v>Tween 20</v>
      </c>
      <c r="C421" s="248" t="str">
        <f>Distribución_Reactivos!C421</f>
        <v>Sigma P-1379</v>
      </c>
      <c r="D421" s="248" t="str">
        <f>Distribución_Reactivos!D421</f>
        <v>Frasco x 500 ml</v>
      </c>
      <c r="E421" s="29">
        <v>1</v>
      </c>
      <c r="F421" s="212">
        <v>282654.75</v>
      </c>
      <c r="G421" s="214">
        <v>274057</v>
      </c>
      <c r="H421" s="221">
        <v>336094.03849062498</v>
      </c>
      <c r="I421" s="221">
        <v>336056</v>
      </c>
      <c r="J421" s="221">
        <v>318443.4405504</v>
      </c>
      <c r="K421" s="221">
        <v>315350</v>
      </c>
      <c r="L421" s="247">
        <f>AVERAGE(F421,H421,J421)</f>
        <v>312397.40968034166</v>
      </c>
      <c r="M421" s="247">
        <f>AVERAGE(G421,I421,K421)*E1</f>
        <v>317742.29666666669</v>
      </c>
      <c r="N421" s="217"/>
      <c r="O421" s="97"/>
      <c r="P421" s="97"/>
      <c r="Q421" s="115"/>
      <c r="R421" s="115"/>
      <c r="S421" s="53"/>
      <c r="T421" s="97">
        <v>356000</v>
      </c>
      <c r="U421" s="97">
        <f>+T421*0.19</f>
        <v>67640</v>
      </c>
      <c r="V421" s="97">
        <f>+T421+U421</f>
        <v>423640</v>
      </c>
      <c r="W421" s="115" t="s">
        <v>173</v>
      </c>
      <c r="X421" s="115" t="s">
        <v>284</v>
      </c>
      <c r="Y421" s="11"/>
      <c r="Z421" s="97"/>
      <c r="AA421" s="97"/>
      <c r="AB421" s="97"/>
      <c r="AC421" s="44"/>
      <c r="AD421" s="44"/>
      <c r="AE421" s="11"/>
      <c r="AF421" s="102"/>
      <c r="AG421" s="125"/>
      <c r="AH421" s="97"/>
      <c r="AI421" s="11"/>
      <c r="AJ421" s="11"/>
      <c r="AK421" s="17"/>
      <c r="AL421" s="97">
        <v>290000</v>
      </c>
      <c r="AM421" s="97">
        <f>+AL421*0.19</f>
        <v>55100</v>
      </c>
      <c r="AN421" s="103">
        <f>+AL421+AM421</f>
        <v>345100</v>
      </c>
      <c r="AO421" s="248" t="s">
        <v>236</v>
      </c>
      <c r="AP421" s="17" t="s">
        <v>52</v>
      </c>
      <c r="AQ421" s="17"/>
      <c r="AR421" s="252">
        <v>216000</v>
      </c>
      <c r="AS421" s="124">
        <f>+AR421*0.19</f>
        <v>41040</v>
      </c>
      <c r="AT421" s="100">
        <f>+AR421+AS421</f>
        <v>257040</v>
      </c>
      <c r="AU421" s="52" t="s">
        <v>144</v>
      </c>
      <c r="AV421" s="34" t="s">
        <v>42</v>
      </c>
      <c r="AW421" s="11"/>
      <c r="AX421" s="100">
        <v>1385001.57</v>
      </c>
      <c r="AY421" s="100">
        <f>+AX421*0.19</f>
        <v>263150.29830000002</v>
      </c>
      <c r="AZ421" s="124">
        <f>+AX421+AY421</f>
        <v>1648151.8683000002</v>
      </c>
      <c r="BA421" s="169" t="s">
        <v>236</v>
      </c>
      <c r="BB421" s="116" t="s">
        <v>72</v>
      </c>
      <c r="BC421" s="116"/>
      <c r="BD421" s="247"/>
      <c r="BE421" s="124"/>
      <c r="BF421" s="124"/>
      <c r="BG421" s="116"/>
      <c r="BH421" s="116"/>
      <c r="BI421" s="116"/>
      <c r="BJ421" s="124"/>
      <c r="BK421" s="124"/>
      <c r="BL421" s="124"/>
      <c r="BM421" s="116"/>
      <c r="BN421" s="116"/>
      <c r="BO421" s="116"/>
      <c r="BP421" s="124">
        <v>407243</v>
      </c>
      <c r="BQ421" s="125">
        <f>BP421*19%</f>
        <v>77376.17</v>
      </c>
      <c r="BR421" s="97">
        <f>+BP421+BQ421</f>
        <v>484619.17</v>
      </c>
      <c r="BS421" s="31" t="s">
        <v>462</v>
      </c>
      <c r="BT421" s="34" t="s">
        <v>463</v>
      </c>
      <c r="BU421" s="5" t="s">
        <v>464</v>
      </c>
      <c r="BV421" s="236">
        <v>368000</v>
      </c>
      <c r="BW421" s="125">
        <f>BV421*19%</f>
        <v>69920</v>
      </c>
      <c r="BX421" s="97">
        <f>+BV421+BW421</f>
        <v>437920</v>
      </c>
      <c r="BY421" s="237" t="s">
        <v>339</v>
      </c>
      <c r="BZ421" s="237" t="s">
        <v>434</v>
      </c>
      <c r="CA421" s="116"/>
      <c r="CB421" s="247"/>
      <c r="CC421" s="125"/>
      <c r="CD421" s="247"/>
      <c r="CE421" s="116"/>
      <c r="CF421" s="116"/>
      <c r="CG421" s="116"/>
      <c r="CH421" s="236">
        <v>393760</v>
      </c>
      <c r="CI421" s="238">
        <f>+CH421*0.19</f>
        <v>74814.399999999994</v>
      </c>
      <c r="CJ421" s="236">
        <f>+CH421+CI421</f>
        <v>468574.4</v>
      </c>
      <c r="CK421" s="237" t="s">
        <v>339</v>
      </c>
      <c r="CL421" s="237" t="s">
        <v>434</v>
      </c>
      <c r="CM421" s="116"/>
      <c r="CN421" s="247"/>
      <c r="CO421" s="125"/>
      <c r="CP421" s="247"/>
      <c r="CQ421" s="116"/>
      <c r="CR421" s="116"/>
      <c r="CS421" s="116"/>
      <c r="CT421" s="247"/>
      <c r="CU421" s="125"/>
      <c r="CV421" s="247"/>
      <c r="CW421" s="116"/>
      <c r="CX421" s="116"/>
      <c r="CY421" s="116"/>
      <c r="CZ421" s="102">
        <v>108457</v>
      </c>
      <c r="DA421" s="125">
        <f>+CZ421*0.19</f>
        <v>20606.830000000002</v>
      </c>
      <c r="DB421" s="102">
        <f>+CZ421+DA421</f>
        <v>129063.83</v>
      </c>
      <c r="DC421" s="31" t="s">
        <v>180</v>
      </c>
      <c r="DD421" s="17" t="s">
        <v>65</v>
      </c>
      <c r="DE421" s="11" t="s">
        <v>465</v>
      </c>
      <c r="DF421" s="116"/>
      <c r="DG421" s="116"/>
      <c r="DH421" s="116"/>
      <c r="DI421" s="116"/>
      <c r="DJ421" s="116"/>
      <c r="DK421" s="116"/>
      <c r="DL421" s="116"/>
      <c r="DM421" s="116"/>
      <c r="DN421" s="116"/>
      <c r="DO421" s="116"/>
      <c r="DP421" s="116"/>
      <c r="DQ421" s="116"/>
      <c r="DR421" s="116"/>
      <c r="DS421" s="116"/>
      <c r="DT421" s="116"/>
      <c r="DU421" s="116"/>
      <c r="DV421" s="116"/>
      <c r="DW421" s="116"/>
      <c r="DX421" s="116"/>
      <c r="DY421" s="116"/>
      <c r="DZ421" s="116"/>
      <c r="EA421" s="116"/>
      <c r="EB421" s="116"/>
      <c r="EC421" s="116"/>
      <c r="ED421" s="116"/>
      <c r="EE421" s="116"/>
      <c r="EF421" s="116"/>
      <c r="EG421" s="116"/>
      <c r="EH421" s="116"/>
      <c r="EI421" s="116"/>
      <c r="EJ421" s="116"/>
      <c r="EK421" s="116"/>
      <c r="EL421" s="116"/>
      <c r="EM421" s="116"/>
      <c r="EN421" s="116"/>
      <c r="EO421" s="116"/>
      <c r="EP421" s="116"/>
      <c r="EQ421" s="116"/>
      <c r="ER421" s="116"/>
      <c r="ES421" s="116"/>
      <c r="ET421" s="11"/>
      <c r="EU421" s="11"/>
      <c r="EV421" s="11"/>
      <c r="EW421" s="11"/>
      <c r="EX421" s="11"/>
      <c r="EY421" s="11"/>
      <c r="EZ421" s="11"/>
      <c r="FA421" s="11"/>
      <c r="FB421" s="11"/>
      <c r="FC421" s="11"/>
      <c r="FD421" s="11"/>
      <c r="FE421" s="11"/>
      <c r="FF421" s="11"/>
      <c r="FG421" s="11"/>
      <c r="FH421" s="17">
        <f t="shared" si="169"/>
        <v>4511851.5649666674</v>
      </c>
      <c r="FI421" s="31">
        <f t="shared" si="170"/>
        <v>9</v>
      </c>
      <c r="FJ421" s="68">
        <f t="shared" si="171"/>
        <v>501316.84055185196</v>
      </c>
    </row>
    <row r="422" spans="1:166" ht="25.5" x14ac:dyDescent="0.25">
      <c r="A422" s="248">
        <f>Distribución_Reactivos!A422</f>
        <v>420</v>
      </c>
      <c r="B422" s="248" t="str">
        <f>Distribución_Reactivos!B422</f>
        <v>Tween 80</v>
      </c>
      <c r="C422" s="248" t="str">
        <f>Distribución_Reactivos!C422</f>
        <v>Merck, Sigma-Aldrich</v>
      </c>
      <c r="D422" s="248" t="str">
        <f>Distribución_Reactivos!D422</f>
        <v>Frasco x 500 ml</v>
      </c>
      <c r="E422" s="29">
        <v>1</v>
      </c>
      <c r="F422" s="212">
        <v>374612</v>
      </c>
      <c r="G422" s="214">
        <v>363307</v>
      </c>
      <c r="H422" s="221">
        <v>316620.96145</v>
      </c>
      <c r="I422" s="221">
        <v>316540</v>
      </c>
      <c r="J422" s="221">
        <v>375936.47000000003</v>
      </c>
      <c r="K422" s="221">
        <v>0</v>
      </c>
      <c r="L422" s="247">
        <f>AVERAGE(F422,H422,J422)</f>
        <v>355723.14381666668</v>
      </c>
      <c r="M422" s="247">
        <f>AVERAGE(G422,I422)*E1</f>
        <v>350121.20500000002</v>
      </c>
      <c r="N422" s="217"/>
      <c r="O422" s="97"/>
      <c r="P422" s="97"/>
      <c r="Q422" s="115"/>
      <c r="R422" s="115"/>
      <c r="S422" s="53"/>
      <c r="T422" s="97"/>
      <c r="U422" s="101"/>
      <c r="V422" s="97"/>
      <c r="W422" s="115"/>
      <c r="X422" s="115"/>
      <c r="Y422" s="11"/>
      <c r="Z422" s="97"/>
      <c r="AA422" s="97"/>
      <c r="AB422" s="97"/>
      <c r="AC422" s="44"/>
      <c r="AD422" s="44"/>
      <c r="AE422" s="11"/>
      <c r="AF422" s="102">
        <v>420000</v>
      </c>
      <c r="AG422" s="125">
        <f>AF422*19%</f>
        <v>79800</v>
      </c>
      <c r="AH422" s="97">
        <f>+AF422+AG422</f>
        <v>499800</v>
      </c>
      <c r="AI422" s="11"/>
      <c r="AJ422" s="11"/>
      <c r="AK422" s="17"/>
      <c r="AL422" s="97">
        <v>345000</v>
      </c>
      <c r="AM422" s="97">
        <f>+AL422*0.19</f>
        <v>65550</v>
      </c>
      <c r="AN422" s="103">
        <f>+AL422+AM422</f>
        <v>410550</v>
      </c>
      <c r="AO422" s="248" t="s">
        <v>236</v>
      </c>
      <c r="AP422" s="17" t="s">
        <v>52</v>
      </c>
      <c r="AQ422" s="17"/>
      <c r="AR422" s="252">
        <v>288000</v>
      </c>
      <c r="AS422" s="124">
        <f>+AR422*0.19</f>
        <v>54720</v>
      </c>
      <c r="AT422" s="100">
        <f>+AR422+AS422</f>
        <v>342720</v>
      </c>
      <c r="AU422" s="52" t="s">
        <v>144</v>
      </c>
      <c r="AV422" s="34" t="s">
        <v>42</v>
      </c>
      <c r="AW422" s="11"/>
      <c r="AX422" s="100">
        <v>1042794.36</v>
      </c>
      <c r="AY422" s="100">
        <f>+AX422*0.19</f>
        <v>198130.9284</v>
      </c>
      <c r="AZ422" s="124">
        <f>+AX422+AY422</f>
        <v>1240925.2884</v>
      </c>
      <c r="BA422" s="169" t="s">
        <v>236</v>
      </c>
      <c r="BB422" s="116" t="s">
        <v>72</v>
      </c>
      <c r="BC422" s="116"/>
      <c r="BD422" s="247"/>
      <c r="BE422" s="124"/>
      <c r="BF422" s="124"/>
      <c r="BG422" s="116"/>
      <c r="BH422" s="116"/>
      <c r="BI422" s="116"/>
      <c r="BJ422" s="124"/>
      <c r="BK422" s="124"/>
      <c r="BL422" s="124"/>
      <c r="BM422" s="116"/>
      <c r="BN422" s="116"/>
      <c r="BO422" s="116"/>
      <c r="BP422" s="124"/>
      <c r="BQ422" s="116"/>
      <c r="BR422" s="116"/>
      <c r="BS422" s="116"/>
      <c r="BT422" s="116"/>
      <c r="BU422" s="116"/>
      <c r="BV422" s="236">
        <v>537100</v>
      </c>
      <c r="BW422" s="125">
        <f>BV422*19%</f>
        <v>102049</v>
      </c>
      <c r="BX422" s="97">
        <f>+BV422+BW422</f>
        <v>639149</v>
      </c>
      <c r="BY422" s="237" t="s">
        <v>339</v>
      </c>
      <c r="BZ422" s="237" t="s">
        <v>93</v>
      </c>
      <c r="CA422" s="116"/>
      <c r="CB422" s="247"/>
      <c r="CC422" s="125"/>
      <c r="CD422" s="247"/>
      <c r="CE422" s="116"/>
      <c r="CF422" s="116"/>
      <c r="CG422" s="116"/>
      <c r="CH422" s="236">
        <v>553213</v>
      </c>
      <c r="CI422" s="238">
        <f>+CH422*0.19</f>
        <v>105110.47</v>
      </c>
      <c r="CJ422" s="236">
        <f>+CH422+CI422</f>
        <v>658323.47</v>
      </c>
      <c r="CK422" s="237" t="s">
        <v>339</v>
      </c>
      <c r="CL422" s="237" t="s">
        <v>93</v>
      </c>
      <c r="CM422" s="116"/>
      <c r="CN422" s="247"/>
      <c r="CO422" s="125"/>
      <c r="CP422" s="247"/>
      <c r="CQ422" s="116"/>
      <c r="CR422" s="116"/>
      <c r="CS422" s="116"/>
      <c r="CT422" s="247"/>
      <c r="CU422" s="125"/>
      <c r="CV422" s="247"/>
      <c r="CW422" s="116"/>
      <c r="CX422" s="116"/>
      <c r="CY422" s="116"/>
      <c r="CZ422" s="102">
        <v>433000</v>
      </c>
      <c r="DA422" s="125">
        <f>+CZ422*0.19</f>
        <v>82270</v>
      </c>
      <c r="DB422" s="102">
        <f>+CZ422+DA422</f>
        <v>515270</v>
      </c>
      <c r="DC422" s="31" t="s">
        <v>466</v>
      </c>
      <c r="DD422" s="17" t="s">
        <v>65</v>
      </c>
      <c r="DE422" s="11">
        <v>8221870500</v>
      </c>
      <c r="DF422" s="116"/>
      <c r="DG422" s="116"/>
      <c r="DH422" s="116"/>
      <c r="DI422" s="116"/>
      <c r="DJ422" s="116"/>
      <c r="DK422" s="116"/>
      <c r="DL422" s="116"/>
      <c r="DM422" s="116"/>
      <c r="DN422" s="116"/>
      <c r="DO422" s="116"/>
      <c r="DP422" s="116"/>
      <c r="DQ422" s="116"/>
      <c r="DR422" s="116"/>
      <c r="DS422" s="116"/>
      <c r="DT422" s="116"/>
      <c r="DU422" s="116"/>
      <c r="DV422" s="116"/>
      <c r="DW422" s="116"/>
      <c r="DX422" s="116"/>
      <c r="DY422" s="116"/>
      <c r="DZ422" s="116"/>
      <c r="EA422" s="116"/>
      <c r="EB422" s="116"/>
      <c r="EC422" s="116"/>
      <c r="ED422" s="116"/>
      <c r="EE422" s="116"/>
      <c r="EF422" s="116"/>
      <c r="EG422" s="116"/>
      <c r="EH422" s="116"/>
      <c r="EI422" s="116"/>
      <c r="EJ422" s="116"/>
      <c r="EK422" s="116"/>
      <c r="EL422" s="116"/>
      <c r="EM422" s="116"/>
      <c r="EN422" s="116"/>
      <c r="EO422" s="116"/>
      <c r="EP422" s="116"/>
      <c r="EQ422" s="116"/>
      <c r="ER422" s="116"/>
      <c r="ES422" s="116"/>
      <c r="ET422" s="11"/>
      <c r="EU422" s="11"/>
      <c r="EV422" s="11"/>
      <c r="EW422" s="11"/>
      <c r="EX422" s="11"/>
      <c r="EY422" s="11"/>
      <c r="EZ422" s="11"/>
      <c r="FA422" s="11"/>
      <c r="FB422" s="11"/>
      <c r="FC422" s="11"/>
      <c r="FD422" s="11"/>
      <c r="FE422" s="11"/>
      <c r="FF422" s="11"/>
      <c r="FG422" s="11"/>
      <c r="FH422" s="17">
        <f t="shared" si="169"/>
        <v>4656858.9633999998</v>
      </c>
      <c r="FI422" s="31">
        <f t="shared" si="170"/>
        <v>8</v>
      </c>
      <c r="FJ422" s="68">
        <f t="shared" si="171"/>
        <v>582107.37042499997</v>
      </c>
    </row>
    <row r="423" spans="1:166" ht="38.25" x14ac:dyDescent="0.25">
      <c r="A423" s="248">
        <f>Distribución_Reactivos!A423</f>
        <v>421</v>
      </c>
      <c r="B423" s="248" t="str">
        <f>Distribución_Reactivos!B423</f>
        <v>Urea</v>
      </c>
      <c r="C423" s="248" t="str">
        <f>Distribución_Reactivos!C423</f>
        <v>J.T Baker, panreac o equivalente</v>
      </c>
      <c r="D423" s="248" t="str">
        <f>Distribución_Reactivos!D423</f>
        <v>Frasco x 500 g</v>
      </c>
      <c r="E423" s="29">
        <v>1</v>
      </c>
      <c r="F423" s="212">
        <v>0</v>
      </c>
      <c r="G423" s="214">
        <v>0</v>
      </c>
      <c r="H423" s="221">
        <v>180782.4</v>
      </c>
      <c r="I423" s="221">
        <v>0</v>
      </c>
      <c r="J423" s="221">
        <v>307841.53470117023</v>
      </c>
      <c r="K423" s="221">
        <v>300118</v>
      </c>
      <c r="L423" s="247">
        <f>AVERAGE(H423,J423)</f>
        <v>244311.9673505851</v>
      </c>
      <c r="M423" s="247">
        <f>K423*E1</f>
        <v>309121.53999999998</v>
      </c>
      <c r="N423" s="217"/>
      <c r="O423" s="97"/>
      <c r="P423" s="97"/>
      <c r="Q423" s="115"/>
      <c r="R423" s="115"/>
      <c r="S423" s="53"/>
      <c r="T423" s="97">
        <v>341000</v>
      </c>
      <c r="U423" s="97">
        <f>+T423*0.19</f>
        <v>64790</v>
      </c>
      <c r="V423" s="97">
        <f>+T423+U423</f>
        <v>405790</v>
      </c>
      <c r="W423" s="115" t="s">
        <v>77</v>
      </c>
      <c r="X423" s="115" t="s">
        <v>129</v>
      </c>
      <c r="Y423" s="11"/>
      <c r="Z423" s="97"/>
      <c r="AA423" s="97"/>
      <c r="AB423" s="97"/>
      <c r="AC423" s="44"/>
      <c r="AD423" s="44"/>
      <c r="AE423" s="11"/>
      <c r="AF423" s="102">
        <v>250000</v>
      </c>
      <c r="AG423" s="125">
        <f>AF423*19%</f>
        <v>47500</v>
      </c>
      <c r="AH423" s="97">
        <f>+AF423+AG423</f>
        <v>297500</v>
      </c>
      <c r="AI423" s="11"/>
      <c r="AJ423" s="11"/>
      <c r="AK423" s="17"/>
      <c r="AL423" s="97">
        <v>138000</v>
      </c>
      <c r="AM423" s="97">
        <f>+AL423*0</f>
        <v>0</v>
      </c>
      <c r="AN423" s="103">
        <f>+AL423+AM423</f>
        <v>138000</v>
      </c>
      <c r="AO423" s="248" t="s">
        <v>99</v>
      </c>
      <c r="AP423" s="17" t="s">
        <v>52</v>
      </c>
      <c r="AQ423" s="17"/>
      <c r="AR423" s="252">
        <f>144000/2</f>
        <v>72000</v>
      </c>
      <c r="AS423" s="124">
        <f>+AR423*0.19</f>
        <v>13680</v>
      </c>
      <c r="AT423" s="100">
        <f>+AR423+AS423</f>
        <v>85680</v>
      </c>
      <c r="AU423" s="52" t="s">
        <v>467</v>
      </c>
      <c r="AV423" s="34" t="s">
        <v>42</v>
      </c>
      <c r="AW423" s="11"/>
      <c r="AX423" s="100"/>
      <c r="AY423" s="174"/>
      <c r="AZ423" s="124"/>
      <c r="BA423" s="169"/>
      <c r="BB423" s="116"/>
      <c r="BC423" s="116"/>
      <c r="BD423" s="247"/>
      <c r="BE423" s="124"/>
      <c r="BF423" s="124"/>
      <c r="BG423" s="116"/>
      <c r="BH423" s="116"/>
      <c r="BI423" s="116"/>
      <c r="BJ423" s="124"/>
      <c r="BK423" s="124"/>
      <c r="BL423" s="124"/>
      <c r="BM423" s="116"/>
      <c r="BN423" s="116"/>
      <c r="BO423" s="116"/>
      <c r="BP423" s="124">
        <v>285617</v>
      </c>
      <c r="BQ423" s="125">
        <f>BP423*19%</f>
        <v>54267.23</v>
      </c>
      <c r="BR423" s="97">
        <f>+BP423+BQ423</f>
        <v>339884.23</v>
      </c>
      <c r="BS423" s="116" t="s">
        <v>77</v>
      </c>
      <c r="BT423" s="34" t="s">
        <v>468</v>
      </c>
      <c r="BU423" s="5" t="s">
        <v>469</v>
      </c>
      <c r="BV423" s="236">
        <v>215900</v>
      </c>
      <c r="BW423" s="125">
        <f>BV423*19%</f>
        <v>41021</v>
      </c>
      <c r="BX423" s="97">
        <f>+BV423+BW423</f>
        <v>256921</v>
      </c>
      <c r="BY423" s="237" t="s">
        <v>319</v>
      </c>
      <c r="BZ423" s="237" t="s">
        <v>83</v>
      </c>
      <c r="CA423" s="116"/>
      <c r="CB423" s="247"/>
      <c r="CC423" s="125"/>
      <c r="CD423" s="247"/>
      <c r="CE423" s="116"/>
      <c r="CF423" s="116"/>
      <c r="CG423" s="116"/>
      <c r="CH423" s="236">
        <v>222377</v>
      </c>
      <c r="CI423" s="238">
        <f>+CH423*0.19</f>
        <v>42251.63</v>
      </c>
      <c r="CJ423" s="236">
        <f>+CH423+CI423</f>
        <v>264628.63</v>
      </c>
      <c r="CK423" s="237" t="s">
        <v>319</v>
      </c>
      <c r="CL423" s="237" t="s">
        <v>83</v>
      </c>
      <c r="CM423" s="116"/>
      <c r="CN423" s="247"/>
      <c r="CO423" s="125"/>
      <c r="CP423" s="247"/>
      <c r="CQ423" s="116"/>
      <c r="CR423" s="116"/>
      <c r="CS423" s="116"/>
      <c r="CT423" s="247"/>
      <c r="CU423" s="125"/>
      <c r="CV423" s="247"/>
      <c r="CW423" s="116"/>
      <c r="CX423" s="116"/>
      <c r="CY423" s="116"/>
      <c r="CZ423" s="102"/>
      <c r="DA423" s="125"/>
      <c r="DB423" s="102"/>
      <c r="DC423" s="31"/>
      <c r="DD423" s="17"/>
      <c r="DE423" s="11"/>
      <c r="DF423" s="116"/>
      <c r="DG423" s="116"/>
      <c r="DH423" s="116"/>
      <c r="DI423" s="116"/>
      <c r="DJ423" s="116"/>
      <c r="DK423" s="116"/>
      <c r="DL423" s="116"/>
      <c r="DM423" s="116"/>
      <c r="DN423" s="116"/>
      <c r="DO423" s="116"/>
      <c r="DP423" s="116"/>
      <c r="DQ423" s="116"/>
      <c r="DR423" s="116"/>
      <c r="DS423" s="116"/>
      <c r="DT423" s="116"/>
      <c r="DU423" s="116"/>
      <c r="DV423" s="116"/>
      <c r="DW423" s="116"/>
      <c r="DX423" s="116"/>
      <c r="DY423" s="116"/>
      <c r="DZ423" s="116"/>
      <c r="EA423" s="116"/>
      <c r="EB423" s="116"/>
      <c r="EC423" s="116"/>
      <c r="ED423" s="116"/>
      <c r="EE423" s="116"/>
      <c r="EF423" s="116"/>
      <c r="EG423" s="116"/>
      <c r="EH423" s="116"/>
      <c r="EI423" s="116"/>
      <c r="EJ423" s="116"/>
      <c r="EK423" s="116"/>
      <c r="EL423" s="116"/>
      <c r="EM423" s="116"/>
      <c r="EN423" s="116"/>
      <c r="EO423" s="116"/>
      <c r="EP423" s="116"/>
      <c r="EQ423" s="116"/>
      <c r="ER423" s="116"/>
      <c r="ES423" s="116"/>
      <c r="ET423" s="11"/>
      <c r="EU423" s="11"/>
      <c r="EV423" s="11"/>
      <c r="EW423" s="11"/>
      <c r="EX423" s="11"/>
      <c r="EY423" s="11"/>
      <c r="EZ423" s="11"/>
      <c r="FA423" s="11"/>
      <c r="FB423" s="11"/>
      <c r="FC423" s="11"/>
      <c r="FD423" s="11"/>
      <c r="FE423" s="11"/>
      <c r="FF423" s="11"/>
      <c r="FG423" s="11"/>
      <c r="FH423" s="17">
        <f t="shared" si="169"/>
        <v>2097525.4</v>
      </c>
      <c r="FI423" s="31">
        <f t="shared" si="170"/>
        <v>8</v>
      </c>
      <c r="FJ423" s="68">
        <f t="shared" si="171"/>
        <v>262190.67499999999</v>
      </c>
    </row>
    <row r="424" spans="1:166" x14ac:dyDescent="0.25">
      <c r="A424" s="248">
        <f>Distribución_Reactivos!A424</f>
        <v>422</v>
      </c>
      <c r="B424" s="248" t="str">
        <f>Distribución_Reactivos!B424</f>
        <v>Varsol</v>
      </c>
      <c r="C424" s="248" t="str">
        <f>Distribución_Reactivos!C424</f>
        <v>Bioequipos</v>
      </c>
      <c r="D424" s="248" t="str">
        <f>Distribución_Reactivos!D424</f>
        <v>Frasco x 1 litro</v>
      </c>
      <c r="E424" s="29">
        <v>1</v>
      </c>
      <c r="F424" s="212">
        <v>23582.825000000001</v>
      </c>
      <c r="G424" s="214">
        <v>23205</v>
      </c>
      <c r="H424" s="221">
        <v>42724.117948750005</v>
      </c>
      <c r="I424" s="221">
        <v>0</v>
      </c>
      <c r="J424" s="221">
        <v>77292.88</v>
      </c>
      <c r="K424" s="221">
        <v>0</v>
      </c>
      <c r="L424" s="247">
        <f>AVERAGE(F424,H424,J424)</f>
        <v>47866.607649583333</v>
      </c>
      <c r="M424" s="247">
        <f>G424*E1</f>
        <v>23901.15</v>
      </c>
      <c r="N424" s="217"/>
      <c r="O424" s="97"/>
      <c r="P424" s="97"/>
      <c r="Q424" s="115"/>
      <c r="R424" s="115"/>
      <c r="S424" s="53"/>
      <c r="T424" s="97"/>
      <c r="U424" s="106"/>
      <c r="V424" s="97"/>
      <c r="W424" s="115"/>
      <c r="X424" s="115"/>
      <c r="Y424" s="11"/>
      <c r="Z424" s="97"/>
      <c r="AA424" s="97"/>
      <c r="AB424" s="97"/>
      <c r="AC424" s="44"/>
      <c r="AD424" s="44"/>
      <c r="AE424" s="11"/>
      <c r="AF424" s="102">
        <v>20000</v>
      </c>
      <c r="AG424" s="125">
        <f>AF424*19%</f>
        <v>3800</v>
      </c>
      <c r="AH424" s="97">
        <f>+AF424+AG424</f>
        <v>23800</v>
      </c>
      <c r="AI424" s="11"/>
      <c r="AJ424" s="11"/>
      <c r="AK424" s="17"/>
      <c r="AL424" s="97">
        <v>186000</v>
      </c>
      <c r="AM424" s="97">
        <f>+AL424*0.19</f>
        <v>35340</v>
      </c>
      <c r="AN424" s="103">
        <f>+AL424+AM424</f>
        <v>221340</v>
      </c>
      <c r="AO424" s="248" t="s">
        <v>470</v>
      </c>
      <c r="AP424" s="17" t="s">
        <v>57</v>
      </c>
      <c r="AQ424" s="17"/>
      <c r="AR424" s="252"/>
      <c r="AS424" s="252"/>
      <c r="AT424" s="252"/>
      <c r="AU424" s="52"/>
      <c r="AV424" s="42"/>
      <c r="AW424" s="11"/>
      <c r="AX424" s="100"/>
      <c r="AY424" s="172"/>
      <c r="AZ424" s="124"/>
      <c r="BA424" s="169"/>
      <c r="BB424" s="116"/>
      <c r="BC424" s="116"/>
      <c r="BD424" s="247"/>
      <c r="BE424" s="124"/>
      <c r="BF424" s="124"/>
      <c r="BG424" s="116"/>
      <c r="BH424" s="116"/>
      <c r="BI424" s="116"/>
      <c r="BJ424" s="124"/>
      <c r="BK424" s="124"/>
      <c r="BL424" s="124"/>
      <c r="BM424" s="116"/>
      <c r="BN424" s="116"/>
      <c r="BO424" s="116"/>
      <c r="BP424" s="124"/>
      <c r="BQ424" s="116"/>
      <c r="BR424" s="116"/>
      <c r="BS424" s="116"/>
      <c r="BT424" s="116"/>
      <c r="BU424" s="116"/>
      <c r="BV424" s="187"/>
      <c r="BW424" s="125"/>
      <c r="BX424" s="97"/>
      <c r="BY424" s="246"/>
      <c r="BZ424" s="246"/>
      <c r="CA424" s="116"/>
      <c r="CB424" s="247"/>
      <c r="CC424" s="125"/>
      <c r="CD424" s="247"/>
      <c r="CE424" s="116"/>
      <c r="CF424" s="116"/>
      <c r="CG424" s="116"/>
      <c r="CH424" s="187"/>
      <c r="CI424" s="195"/>
      <c r="CJ424" s="187"/>
      <c r="CK424" s="246"/>
      <c r="CL424" s="246"/>
      <c r="CM424" s="116"/>
      <c r="CN424" s="247"/>
      <c r="CO424" s="125"/>
      <c r="CP424" s="247"/>
      <c r="CQ424" s="116"/>
      <c r="CR424" s="116"/>
      <c r="CS424" s="116"/>
      <c r="CT424" s="247"/>
      <c r="CU424" s="125"/>
      <c r="CV424" s="247"/>
      <c r="CW424" s="116"/>
      <c r="CX424" s="116"/>
      <c r="CY424" s="116"/>
      <c r="CZ424" s="102"/>
      <c r="DA424" s="125"/>
      <c r="DB424" s="102"/>
      <c r="DC424" s="31"/>
      <c r="DD424" s="17"/>
      <c r="DE424" s="11"/>
      <c r="DF424" s="116"/>
      <c r="DG424" s="116"/>
      <c r="DH424" s="116"/>
      <c r="DI424" s="116"/>
      <c r="DJ424" s="116"/>
      <c r="DK424" s="116"/>
      <c r="DL424" s="116"/>
      <c r="DM424" s="116"/>
      <c r="DN424" s="116"/>
      <c r="DO424" s="116"/>
      <c r="DP424" s="116"/>
      <c r="DQ424" s="116"/>
      <c r="DR424" s="116"/>
      <c r="DS424" s="116"/>
      <c r="DT424" s="116"/>
      <c r="DU424" s="116"/>
      <c r="DV424" s="116"/>
      <c r="DW424" s="116"/>
      <c r="DX424" s="116"/>
      <c r="DY424" s="116"/>
      <c r="DZ424" s="116"/>
      <c r="EA424" s="116"/>
      <c r="EB424" s="116"/>
      <c r="EC424" s="116"/>
      <c r="ED424" s="116"/>
      <c r="EE424" s="116"/>
      <c r="EF424" s="116"/>
      <c r="EG424" s="116"/>
      <c r="EH424" s="116"/>
      <c r="EI424" s="116"/>
      <c r="EJ424" s="116"/>
      <c r="EK424" s="116"/>
      <c r="EL424" s="116"/>
      <c r="EM424" s="116"/>
      <c r="EN424" s="116"/>
      <c r="EO424" s="116"/>
      <c r="EP424" s="116"/>
      <c r="EQ424" s="116"/>
      <c r="ER424" s="116"/>
      <c r="ES424" s="116"/>
      <c r="ET424" s="11"/>
      <c r="EU424" s="11"/>
      <c r="EV424" s="11"/>
      <c r="EW424" s="11"/>
      <c r="EX424" s="11"/>
      <c r="EY424" s="11"/>
      <c r="EZ424" s="11"/>
      <c r="FA424" s="11"/>
      <c r="FB424" s="11"/>
      <c r="FC424" s="11"/>
      <c r="FD424" s="11"/>
      <c r="FE424" s="11"/>
      <c r="FF424" s="11"/>
      <c r="FG424" s="11"/>
      <c r="FH424" s="17">
        <f t="shared" si="169"/>
        <v>269041.15000000002</v>
      </c>
      <c r="FI424" s="31">
        <f t="shared" si="170"/>
        <v>3</v>
      </c>
      <c r="FJ424" s="68">
        <f t="shared" si="171"/>
        <v>89680.383333333346</v>
      </c>
    </row>
    <row r="425" spans="1:166" ht="40.5" x14ac:dyDescent="0.25">
      <c r="A425" s="248">
        <f>Distribución_Reactivos!A425</f>
        <v>423</v>
      </c>
      <c r="B425" s="248" t="str">
        <f>Distribución_Reactivos!B425</f>
        <v>Vaselina</v>
      </c>
      <c r="C425" s="248" t="str">
        <f>Distribución_Reactivos!C425</f>
        <v>Cualquier marca</v>
      </c>
      <c r="D425" s="248" t="str">
        <f>Distribución_Reactivos!D425</f>
        <v>Frasco x 500 g</v>
      </c>
      <c r="E425" s="29">
        <v>1</v>
      </c>
      <c r="F425" s="212">
        <v>17850</v>
      </c>
      <c r="G425" s="214">
        <v>0</v>
      </c>
      <c r="H425" s="221">
        <v>17104.085000000003</v>
      </c>
      <c r="I425" s="221">
        <v>0</v>
      </c>
      <c r="J425" s="221">
        <v>14875</v>
      </c>
      <c r="K425" s="221">
        <v>0</v>
      </c>
      <c r="L425" s="247">
        <f>AVERAGE(F425,H425,J425)</f>
        <v>16609.695000000003</v>
      </c>
      <c r="M425" s="247"/>
      <c r="N425" s="217"/>
      <c r="O425" s="97"/>
      <c r="P425" s="97"/>
      <c r="Q425" s="115"/>
      <c r="R425" s="115"/>
      <c r="S425" s="53"/>
      <c r="T425" s="97"/>
      <c r="U425" s="97"/>
      <c r="V425" s="97"/>
      <c r="W425" s="115"/>
      <c r="X425" s="115"/>
      <c r="Y425" s="11"/>
      <c r="Z425" s="97"/>
      <c r="AA425" s="97"/>
      <c r="AB425" s="97"/>
      <c r="AC425" s="44"/>
      <c r="AD425" s="44"/>
      <c r="AE425" s="11"/>
      <c r="AF425" s="102">
        <v>13500</v>
      </c>
      <c r="AG425" s="125">
        <f>AF425*19%</f>
        <v>2565</v>
      </c>
      <c r="AH425" s="97">
        <f>+AF425+AG425</f>
        <v>16065</v>
      </c>
      <c r="AI425" s="11"/>
      <c r="AJ425" s="11"/>
      <c r="AK425" s="17"/>
      <c r="AL425" s="97"/>
      <c r="AM425" s="97"/>
      <c r="AN425" s="97"/>
      <c r="AO425" s="248"/>
      <c r="AP425" s="11"/>
      <c r="AQ425" s="11"/>
      <c r="AR425" s="252"/>
      <c r="AS425" s="252"/>
      <c r="AT425" s="252"/>
      <c r="AU425" s="52"/>
      <c r="AV425" s="42"/>
      <c r="AW425" s="11"/>
      <c r="AX425" s="100"/>
      <c r="AY425" s="172"/>
      <c r="AZ425" s="124"/>
      <c r="BA425" s="169"/>
      <c r="BB425" s="116"/>
      <c r="BC425" s="116"/>
      <c r="BD425" s="247"/>
      <c r="BE425" s="124"/>
      <c r="BF425" s="124"/>
      <c r="BG425" s="116"/>
      <c r="BH425" s="116"/>
      <c r="BI425" s="116"/>
      <c r="BJ425" s="124"/>
      <c r="BK425" s="124"/>
      <c r="BL425" s="124"/>
      <c r="BM425" s="116"/>
      <c r="BN425" s="116"/>
      <c r="BO425" s="116"/>
      <c r="BP425" s="124"/>
      <c r="BQ425" s="116"/>
      <c r="BR425" s="116"/>
      <c r="BS425" s="116"/>
      <c r="BT425" s="116"/>
      <c r="BU425" s="116"/>
      <c r="BV425" s="236">
        <v>27600</v>
      </c>
      <c r="BW425" s="125">
        <f>BV425*19%</f>
        <v>5244</v>
      </c>
      <c r="BX425" s="97">
        <f>+BV425+BW425</f>
        <v>32844</v>
      </c>
      <c r="BY425" s="237" t="s">
        <v>319</v>
      </c>
      <c r="BZ425" s="237" t="s">
        <v>153</v>
      </c>
      <c r="CA425" s="116"/>
      <c r="CB425" s="247">
        <v>65200</v>
      </c>
      <c r="CC425" s="125">
        <f>+CB425*19%</f>
        <v>12388</v>
      </c>
      <c r="CD425" s="247">
        <f>+CC425+CB425</f>
        <v>77588</v>
      </c>
      <c r="CE425" s="116"/>
      <c r="CF425" s="116"/>
      <c r="CG425" s="116"/>
      <c r="CH425" s="236">
        <v>28980</v>
      </c>
      <c r="CI425" s="238">
        <f>+CH425*0.19</f>
        <v>5506.2</v>
      </c>
      <c r="CJ425" s="236">
        <f>+CH425+CI425</f>
        <v>34486.199999999997</v>
      </c>
      <c r="CK425" s="237" t="s">
        <v>319</v>
      </c>
      <c r="CL425" s="237" t="s">
        <v>153</v>
      </c>
      <c r="CM425" s="116"/>
      <c r="CN425" s="247"/>
      <c r="CO425" s="125"/>
      <c r="CP425" s="247"/>
      <c r="CQ425" s="116"/>
      <c r="CR425" s="116"/>
      <c r="CS425" s="116"/>
      <c r="CT425" s="247"/>
      <c r="CU425" s="125"/>
      <c r="CV425" s="247"/>
      <c r="CW425" s="116"/>
      <c r="CX425" s="116"/>
      <c r="CY425" s="116"/>
      <c r="CZ425" s="102"/>
      <c r="DA425" s="125"/>
      <c r="DB425" s="102"/>
      <c r="DC425" s="31"/>
      <c r="DD425" s="17"/>
      <c r="DE425" s="11"/>
      <c r="DF425" s="116"/>
      <c r="DG425" s="116"/>
      <c r="DH425" s="116"/>
      <c r="DI425" s="116"/>
      <c r="DJ425" s="116"/>
      <c r="DK425" s="116"/>
      <c r="DL425" s="116"/>
      <c r="DM425" s="116"/>
      <c r="DN425" s="116"/>
      <c r="DO425" s="116"/>
      <c r="DP425" s="116"/>
      <c r="DQ425" s="116"/>
      <c r="DR425" s="116"/>
      <c r="DS425" s="116"/>
      <c r="DT425" s="116"/>
      <c r="DU425" s="116"/>
      <c r="DV425" s="116"/>
      <c r="DW425" s="116"/>
      <c r="DX425" s="116"/>
      <c r="DY425" s="116"/>
      <c r="DZ425" s="116"/>
      <c r="EA425" s="116"/>
      <c r="EB425" s="116"/>
      <c r="EC425" s="116"/>
      <c r="ED425" s="116"/>
      <c r="EE425" s="116"/>
      <c r="EF425" s="116"/>
      <c r="EG425" s="116"/>
      <c r="EH425" s="116"/>
      <c r="EI425" s="116"/>
      <c r="EJ425" s="116"/>
      <c r="EK425" s="116"/>
      <c r="EL425" s="116"/>
      <c r="EM425" s="116"/>
      <c r="EN425" s="116"/>
      <c r="EO425" s="116"/>
      <c r="EP425" s="116"/>
      <c r="EQ425" s="116"/>
      <c r="ER425" s="116"/>
      <c r="ES425" s="116"/>
      <c r="ET425" s="11"/>
      <c r="EU425" s="11"/>
      <c r="EV425" s="11"/>
      <c r="EW425" s="11"/>
      <c r="EX425" s="11"/>
      <c r="EY425" s="11"/>
      <c r="EZ425" s="11"/>
      <c r="FA425" s="11"/>
      <c r="FB425" s="11"/>
      <c r="FC425" s="11"/>
      <c r="FD425" s="11"/>
      <c r="FE425" s="11"/>
      <c r="FF425" s="11"/>
      <c r="FG425" s="11"/>
      <c r="FH425" s="17">
        <f t="shared" si="169"/>
        <v>160983.20000000001</v>
      </c>
      <c r="FI425" s="31">
        <f t="shared" si="170"/>
        <v>4</v>
      </c>
      <c r="FJ425" s="68">
        <f t="shared" si="171"/>
        <v>40245.800000000003</v>
      </c>
    </row>
    <row r="426" spans="1:166" ht="13.5" x14ac:dyDescent="0.25">
      <c r="A426" s="248">
        <f>Distribución_Reactivos!A426</f>
        <v>424</v>
      </c>
      <c r="B426" s="248" t="str">
        <f>Distribución_Reactivos!B426</f>
        <v>Verde malaquita oxalato</v>
      </c>
      <c r="C426" s="248" t="str">
        <f>Distribución_Reactivos!C426</f>
        <v>Merck</v>
      </c>
      <c r="D426" s="248" t="str">
        <f>Distribución_Reactivos!D426</f>
        <v>Frasco x 10g</v>
      </c>
      <c r="E426" s="29">
        <v>1</v>
      </c>
      <c r="F426" s="212">
        <v>0</v>
      </c>
      <c r="G426" s="214">
        <v>0</v>
      </c>
      <c r="H426" s="221">
        <v>0</v>
      </c>
      <c r="I426" s="221">
        <v>0</v>
      </c>
      <c r="J426" s="221">
        <v>295120</v>
      </c>
      <c r="K426" s="221">
        <v>0</v>
      </c>
      <c r="L426" s="247">
        <f>J426</f>
        <v>295120</v>
      </c>
      <c r="M426" s="247"/>
      <c r="N426" s="218"/>
      <c r="O426" s="102"/>
      <c r="P426" s="102"/>
      <c r="Q426" s="44"/>
      <c r="R426" s="44"/>
      <c r="S426" s="5"/>
      <c r="T426" s="102"/>
      <c r="U426" s="102"/>
      <c r="V426" s="102"/>
      <c r="W426" s="11"/>
      <c r="X426" s="11"/>
      <c r="Y426" s="11"/>
      <c r="Z426" s="102"/>
      <c r="AA426" s="102"/>
      <c r="AB426" s="102"/>
      <c r="AC426" s="44"/>
      <c r="AD426" s="44"/>
      <c r="AE426" s="11"/>
      <c r="AF426" s="102"/>
      <c r="AG426" s="125"/>
      <c r="AH426" s="242"/>
      <c r="AI426" s="11"/>
      <c r="AJ426" s="11"/>
      <c r="AK426" s="11"/>
      <c r="AL426" s="102">
        <v>213000</v>
      </c>
      <c r="AM426" s="97">
        <f>+AL426*0.19</f>
        <v>40470</v>
      </c>
      <c r="AN426" s="103">
        <f>+AL426+AM426</f>
        <v>253470</v>
      </c>
      <c r="AO426" s="248" t="s">
        <v>41</v>
      </c>
      <c r="AP426" s="11" t="s">
        <v>52</v>
      </c>
      <c r="AQ426" s="11"/>
      <c r="AR426" s="247"/>
      <c r="AS426" s="247"/>
      <c r="AT426" s="247"/>
      <c r="AU426" s="52"/>
      <c r="AV426" s="42"/>
      <c r="AW426" s="11"/>
      <c r="AX426" s="247"/>
      <c r="AY426" s="247"/>
      <c r="AZ426" s="247"/>
      <c r="BA426" s="11"/>
      <c r="BB426" s="11"/>
      <c r="BC426" s="11"/>
      <c r="BD426" s="247"/>
      <c r="BE426" s="247"/>
      <c r="BF426" s="247"/>
      <c r="BG426" s="11"/>
      <c r="BH426" s="11"/>
      <c r="BI426" s="11"/>
      <c r="BJ426" s="247"/>
      <c r="BK426" s="247"/>
      <c r="BL426" s="247"/>
      <c r="BM426" s="11"/>
      <c r="BN426" s="11"/>
      <c r="BO426" s="11"/>
      <c r="BP426" s="247"/>
      <c r="BQ426" s="11"/>
      <c r="BR426" s="11"/>
      <c r="BS426" s="11"/>
      <c r="BT426" s="11"/>
      <c r="BU426" s="11"/>
      <c r="BV426" s="236">
        <f>+(269800/25)*10</f>
        <v>107920</v>
      </c>
      <c r="BW426" s="125">
        <f>BV426*19%</f>
        <v>20504.8</v>
      </c>
      <c r="BX426" s="97">
        <f>+BV426+BW426</f>
        <v>128424.8</v>
      </c>
      <c r="BY426" s="237" t="s">
        <v>323</v>
      </c>
      <c r="BZ426" s="237" t="s">
        <v>93</v>
      </c>
      <c r="CA426" s="11"/>
      <c r="CB426" s="247"/>
      <c r="CC426" s="247"/>
      <c r="CD426" s="247"/>
      <c r="CE426" s="11"/>
      <c r="CF426" s="11"/>
      <c r="CG426" s="11"/>
      <c r="CH426" s="236">
        <v>285988</v>
      </c>
      <c r="CI426" s="238">
        <f>+CH426*0.19</f>
        <v>54337.72</v>
      </c>
      <c r="CJ426" s="236">
        <f>+CH426+CI426</f>
        <v>340325.72</v>
      </c>
      <c r="CK426" s="237" t="s">
        <v>323</v>
      </c>
      <c r="CL426" s="237" t="s">
        <v>93</v>
      </c>
      <c r="CM426" s="11"/>
      <c r="CN426" s="247"/>
      <c r="CO426" s="125"/>
      <c r="CP426" s="247"/>
      <c r="CQ426" s="11"/>
      <c r="CR426" s="11"/>
      <c r="CS426" s="11"/>
      <c r="CT426" s="247"/>
      <c r="CU426" s="125"/>
      <c r="CV426" s="247"/>
      <c r="CW426" s="11"/>
      <c r="CX426" s="11"/>
      <c r="CY426" s="11"/>
      <c r="CZ426" s="102"/>
      <c r="DA426" s="125"/>
      <c r="DB426" s="102"/>
      <c r="DC426" s="31"/>
      <c r="DD426" s="17"/>
      <c r="DE426" s="11"/>
      <c r="DF426" s="11"/>
      <c r="DG426" s="11"/>
      <c r="DH426" s="11"/>
      <c r="DI426" s="11"/>
      <c r="DJ426" s="11"/>
      <c r="DK426" s="11"/>
      <c r="DL426" s="11"/>
      <c r="DM426" s="11"/>
      <c r="DN426" s="11"/>
      <c r="DO426" s="11"/>
      <c r="DP426" s="11"/>
      <c r="DQ426" s="11"/>
      <c r="DR426" s="11"/>
      <c r="DS426" s="11"/>
      <c r="DT426" s="11"/>
      <c r="DU426" s="11"/>
      <c r="DV426" s="11"/>
      <c r="DW426" s="11"/>
      <c r="DX426" s="11"/>
      <c r="DY426" s="11"/>
      <c r="DZ426" s="11"/>
      <c r="EA426" s="11"/>
      <c r="EB426" s="11"/>
      <c r="EC426" s="11"/>
      <c r="ED426" s="11"/>
      <c r="EE426" s="11"/>
      <c r="EF426" s="11"/>
      <c r="EG426" s="11"/>
      <c r="EH426" s="11"/>
      <c r="EI426" s="11"/>
      <c r="EJ426" s="11"/>
      <c r="EK426" s="11"/>
      <c r="EL426" s="11"/>
      <c r="EM426" s="11"/>
      <c r="EN426" s="11"/>
      <c r="EO426" s="11"/>
      <c r="EP426" s="11"/>
      <c r="EQ426" s="11"/>
      <c r="ER426" s="11"/>
      <c r="ES426" s="11"/>
      <c r="ET426" s="11"/>
      <c r="EU426" s="11"/>
      <c r="EV426" s="11"/>
      <c r="EW426" s="11"/>
      <c r="EX426" s="11"/>
      <c r="EY426" s="11"/>
      <c r="EZ426" s="11"/>
      <c r="FA426" s="11"/>
      <c r="FB426" s="11"/>
      <c r="FC426" s="11"/>
      <c r="FD426" s="11"/>
      <c r="FE426" s="11"/>
      <c r="FF426" s="11"/>
      <c r="FG426" s="11"/>
      <c r="FH426" s="17">
        <f t="shared" si="169"/>
        <v>722220.52</v>
      </c>
      <c r="FI426" s="31">
        <f t="shared" si="170"/>
        <v>3</v>
      </c>
      <c r="FJ426" s="68">
        <f t="shared" si="171"/>
        <v>240740.17333333334</v>
      </c>
    </row>
    <row r="427" spans="1:166" x14ac:dyDescent="0.25">
      <c r="A427" s="248">
        <f>Distribución_Reactivos!A427</f>
        <v>425</v>
      </c>
      <c r="B427" s="248" t="str">
        <f>Distribución_Reactivos!B427</f>
        <v xml:space="preserve">Vermiculita </v>
      </c>
      <c r="C427" s="248" t="str">
        <f>Distribución_Reactivos!C427</f>
        <v>Cualquier marca</v>
      </c>
      <c r="D427" s="248" t="str">
        <f>Distribución_Reactivos!D427</f>
        <v>Bulto x 30 Kg</v>
      </c>
      <c r="E427" s="29">
        <v>1</v>
      </c>
      <c r="F427" s="212">
        <v>49980</v>
      </c>
      <c r="G427" s="214">
        <v>0</v>
      </c>
      <c r="H427" s="221">
        <v>51694.313999999998</v>
      </c>
      <c r="I427" s="221">
        <v>0</v>
      </c>
      <c r="J427" s="221">
        <v>499056.25</v>
      </c>
      <c r="K427" s="221">
        <v>0</v>
      </c>
      <c r="L427" s="247">
        <f>AVERAGE(F427,H427,J427)</f>
        <v>200243.52133333334</v>
      </c>
      <c r="M427" s="247"/>
      <c r="N427" s="218"/>
      <c r="O427" s="102"/>
      <c r="P427" s="102"/>
      <c r="Q427" s="44"/>
      <c r="R427" s="44"/>
      <c r="S427" s="5"/>
      <c r="T427" s="102"/>
      <c r="U427" s="102"/>
      <c r="V427" s="102"/>
      <c r="W427" s="11"/>
      <c r="X427" s="11"/>
      <c r="Y427" s="11"/>
      <c r="Z427" s="102"/>
      <c r="AA427" s="102"/>
      <c r="AB427" s="102"/>
      <c r="AC427" s="44"/>
      <c r="AD427" s="44"/>
      <c r="AE427" s="11"/>
      <c r="AF427" s="102">
        <v>550000</v>
      </c>
      <c r="AG427" s="125">
        <f>AF427*19%</f>
        <v>104500</v>
      </c>
      <c r="AH427" s="97">
        <f>+AF427+AG427</f>
        <v>654500</v>
      </c>
      <c r="AI427" s="11"/>
      <c r="AJ427" s="11"/>
      <c r="AK427" s="11"/>
      <c r="AL427" s="102"/>
      <c r="AM427" s="102"/>
      <c r="AN427" s="102"/>
      <c r="AO427" s="248"/>
      <c r="AP427" s="11"/>
      <c r="AQ427" s="11"/>
      <c r="AR427" s="247"/>
      <c r="AS427" s="247"/>
      <c r="AT427" s="247"/>
      <c r="AU427" s="52"/>
      <c r="AV427" s="42"/>
      <c r="AW427" s="11"/>
      <c r="AX427" s="247"/>
      <c r="AY427" s="247"/>
      <c r="AZ427" s="247"/>
      <c r="BA427" s="11"/>
      <c r="BB427" s="11"/>
      <c r="BC427" s="11"/>
      <c r="BD427" s="247"/>
      <c r="BE427" s="247"/>
      <c r="BF427" s="247"/>
      <c r="BG427" s="11"/>
      <c r="BH427" s="11"/>
      <c r="BI427" s="11"/>
      <c r="BJ427" s="247"/>
      <c r="BK427" s="247"/>
      <c r="BL427" s="247"/>
      <c r="BM427" s="11"/>
      <c r="BN427" s="11"/>
      <c r="BO427" s="11"/>
      <c r="BP427" s="247"/>
      <c r="BQ427" s="11"/>
      <c r="BR427" s="11"/>
      <c r="BS427" s="11"/>
      <c r="BT427" s="11"/>
      <c r="BU427" s="11"/>
      <c r="BV427" s="187"/>
      <c r="BW427" s="125"/>
      <c r="BX427" s="97"/>
      <c r="BY427" s="246"/>
      <c r="BZ427" s="246"/>
      <c r="CA427" s="11"/>
      <c r="CB427" s="247"/>
      <c r="CC427" s="247"/>
      <c r="CD427" s="247"/>
      <c r="CE427" s="11"/>
      <c r="CF427" s="11"/>
      <c r="CG427" s="11"/>
      <c r="CH427" s="187"/>
      <c r="CI427" s="195"/>
      <c r="CJ427" s="187"/>
      <c r="CK427" s="246"/>
      <c r="CL427" s="246"/>
      <c r="CM427" s="11"/>
      <c r="CN427" s="247"/>
      <c r="CO427" s="125"/>
      <c r="CP427" s="247"/>
      <c r="CQ427" s="11"/>
      <c r="CR427" s="11"/>
      <c r="CS427" s="11"/>
      <c r="CT427" s="247"/>
      <c r="CU427" s="125"/>
      <c r="CV427" s="247"/>
      <c r="CW427" s="11"/>
      <c r="CX427" s="11"/>
      <c r="CY427" s="11"/>
      <c r="CZ427" s="102"/>
      <c r="DA427" s="125"/>
      <c r="DB427" s="102"/>
      <c r="DC427" s="31"/>
      <c r="DD427" s="17"/>
      <c r="DE427" s="11"/>
      <c r="DF427" s="11"/>
      <c r="DG427" s="11"/>
      <c r="DH427" s="11"/>
      <c r="DI427" s="11"/>
      <c r="DJ427" s="11"/>
      <c r="DK427" s="11"/>
      <c r="DL427" s="11"/>
      <c r="DM427" s="11"/>
      <c r="DN427" s="11"/>
      <c r="DO427" s="11"/>
      <c r="DP427" s="11"/>
      <c r="DQ427" s="11"/>
      <c r="DR427" s="11"/>
      <c r="DS427" s="11"/>
      <c r="DT427" s="11"/>
      <c r="DU427" s="11"/>
      <c r="DV427" s="11"/>
      <c r="DW427" s="11"/>
      <c r="DX427" s="11"/>
      <c r="DY427" s="11"/>
      <c r="DZ427" s="11"/>
      <c r="EA427" s="11"/>
      <c r="EB427" s="11"/>
      <c r="EC427" s="11"/>
      <c r="ED427" s="11"/>
      <c r="EE427" s="11"/>
      <c r="EF427" s="11"/>
      <c r="EG427" s="11"/>
      <c r="EH427" s="11"/>
      <c r="EI427" s="11"/>
      <c r="EJ427" s="11"/>
      <c r="EK427" s="11"/>
      <c r="EL427" s="11"/>
      <c r="EM427" s="11"/>
      <c r="EN427" s="11"/>
      <c r="EO427" s="11"/>
      <c r="EP427" s="11"/>
      <c r="EQ427" s="11"/>
      <c r="ER427" s="11"/>
      <c r="ES427" s="11"/>
      <c r="ET427" s="11"/>
      <c r="EU427" s="11"/>
      <c r="EV427" s="11"/>
      <c r="EW427" s="11"/>
      <c r="EX427" s="11"/>
      <c r="EY427" s="11"/>
      <c r="EZ427" s="11"/>
      <c r="FA427" s="11"/>
      <c r="FB427" s="11"/>
      <c r="FC427" s="11"/>
      <c r="FD427" s="11"/>
      <c r="FE427" s="11"/>
      <c r="FF427" s="11"/>
      <c r="FG427" s="11"/>
      <c r="FH427" s="17">
        <f t="shared" si="169"/>
        <v>654500</v>
      </c>
      <c r="FI427" s="31">
        <f t="shared" si="170"/>
        <v>1</v>
      </c>
      <c r="FJ427" s="68">
        <f t="shared" si="171"/>
        <v>654500</v>
      </c>
    </row>
    <row r="428" spans="1:166" ht="41.25" customHeight="1" x14ac:dyDescent="0.25">
      <c r="A428" s="248">
        <f>Distribución_Reactivos!A428</f>
        <v>426</v>
      </c>
      <c r="B428" s="248" t="str">
        <f>Distribución_Reactivos!B428</f>
        <v>Virkons</v>
      </c>
      <c r="C428" s="248" t="str">
        <f>Distribución_Reactivos!C428</f>
        <v>Lanxess</v>
      </c>
      <c r="D428" s="248" t="str">
        <f>Distribución_Reactivos!D428</f>
        <v>Tarro x 5 kg</v>
      </c>
      <c r="E428" s="29">
        <v>1</v>
      </c>
      <c r="F428" s="212">
        <v>0</v>
      </c>
      <c r="G428" s="214">
        <v>0</v>
      </c>
      <c r="H428" s="221">
        <v>1279250</v>
      </c>
      <c r="I428" s="221">
        <v>1279250</v>
      </c>
      <c r="J428" s="221">
        <v>450000</v>
      </c>
      <c r="K428" s="221">
        <v>450000</v>
      </c>
      <c r="L428" s="247">
        <f>AVERAGE(H428,J428)</f>
        <v>864625</v>
      </c>
      <c r="M428" s="247">
        <f>AVERAGE(I428,K428)*E1</f>
        <v>890563.75</v>
      </c>
      <c r="N428" s="218"/>
      <c r="O428" s="102"/>
      <c r="P428" s="102"/>
      <c r="Q428" s="44"/>
      <c r="R428" s="44"/>
      <c r="S428" s="5"/>
      <c r="T428" s="102"/>
      <c r="U428" s="102"/>
      <c r="V428" s="102"/>
      <c r="W428" s="11"/>
      <c r="X428" s="11"/>
      <c r="Y428" s="11"/>
      <c r="Z428" s="102"/>
      <c r="AA428" s="102"/>
      <c r="AB428" s="102"/>
      <c r="AC428" s="44"/>
      <c r="AD428" s="44"/>
      <c r="AE428" s="11"/>
      <c r="AF428" s="102">
        <v>450000</v>
      </c>
      <c r="AG428" s="125">
        <f>AF428*19%</f>
        <v>85500</v>
      </c>
      <c r="AH428" s="97">
        <f>+AF428+AG428</f>
        <v>535500</v>
      </c>
      <c r="AI428" s="11"/>
      <c r="AJ428" s="11"/>
      <c r="AK428" s="11"/>
      <c r="AL428" s="102"/>
      <c r="AM428" s="102"/>
      <c r="AN428" s="102"/>
      <c r="AO428" s="248"/>
      <c r="AP428" s="11"/>
      <c r="AQ428" s="11"/>
      <c r="AR428" s="247"/>
      <c r="AS428" s="247"/>
      <c r="AT428" s="247"/>
      <c r="AU428" s="52"/>
      <c r="AV428" s="42"/>
      <c r="AW428" s="11"/>
      <c r="AX428" s="247"/>
      <c r="AY428" s="247"/>
      <c r="AZ428" s="247"/>
      <c r="BA428" s="11"/>
      <c r="BB428" s="11"/>
      <c r="BC428" s="11"/>
      <c r="BD428" s="247"/>
      <c r="BE428" s="247"/>
      <c r="BF428" s="247"/>
      <c r="BG428" s="11"/>
      <c r="BH428" s="11"/>
      <c r="BI428" s="11"/>
      <c r="BJ428" s="247"/>
      <c r="BK428" s="247"/>
      <c r="BL428" s="247"/>
      <c r="BM428" s="11"/>
      <c r="BN428" s="11"/>
      <c r="BO428" s="11"/>
      <c r="BP428" s="247"/>
      <c r="BQ428" s="11"/>
      <c r="BR428" s="11"/>
      <c r="BS428" s="11"/>
      <c r="BT428" s="11"/>
      <c r="BU428" s="11"/>
      <c r="BV428" s="236">
        <v>1142900</v>
      </c>
      <c r="BW428" s="125">
        <f>BV428*0</f>
        <v>0</v>
      </c>
      <c r="BX428" s="97">
        <f t="shared" ref="BX428:BX433" si="172">+BV428+BW428</f>
        <v>1142900</v>
      </c>
      <c r="BY428" s="237" t="s">
        <v>471</v>
      </c>
      <c r="BZ428" s="237" t="s">
        <v>472</v>
      </c>
      <c r="CA428" s="11"/>
      <c r="CB428" s="247"/>
      <c r="CC428" s="247"/>
      <c r="CD428" s="247"/>
      <c r="CE428" s="11"/>
      <c r="CF428" s="11"/>
      <c r="CG428" s="11"/>
      <c r="CH428" s="236"/>
      <c r="CI428" s="238"/>
      <c r="CJ428" s="236"/>
      <c r="CK428" s="237"/>
      <c r="CL428" s="237"/>
      <c r="CM428" s="11"/>
      <c r="CN428" s="247"/>
      <c r="CO428" s="125"/>
      <c r="CP428" s="247"/>
      <c r="CQ428" s="11"/>
      <c r="CR428" s="11"/>
      <c r="CS428" s="11"/>
      <c r="CT428" s="247"/>
      <c r="CU428" s="125"/>
      <c r="CV428" s="247"/>
      <c r="CW428" s="11"/>
      <c r="CX428" s="11"/>
      <c r="CY428" s="11"/>
      <c r="CZ428" s="102"/>
      <c r="DA428" s="125"/>
      <c r="DB428" s="102"/>
      <c r="DC428" s="31"/>
      <c r="DD428" s="17"/>
      <c r="DE428" s="11"/>
      <c r="DF428" s="11"/>
      <c r="DG428" s="11"/>
      <c r="DH428" s="11"/>
      <c r="DI428" s="11"/>
      <c r="DJ428" s="11"/>
      <c r="DK428" s="11"/>
      <c r="DL428" s="11"/>
      <c r="DM428" s="11"/>
      <c r="DN428" s="11"/>
      <c r="DO428" s="11"/>
      <c r="DP428" s="11"/>
      <c r="DQ428" s="11"/>
      <c r="DR428" s="11"/>
      <c r="DS428" s="11"/>
      <c r="DT428" s="11"/>
      <c r="DU428" s="11"/>
      <c r="DV428" s="11"/>
      <c r="DW428" s="11"/>
      <c r="DX428" s="11"/>
      <c r="DY428" s="11"/>
      <c r="DZ428" s="11"/>
      <c r="EA428" s="11"/>
      <c r="EB428" s="11"/>
      <c r="EC428" s="11"/>
      <c r="ED428" s="11"/>
      <c r="EE428" s="11"/>
      <c r="EF428" s="11"/>
      <c r="EG428" s="11"/>
      <c r="EH428" s="11"/>
      <c r="EI428" s="11"/>
      <c r="EJ428" s="11"/>
      <c r="EK428" s="11"/>
      <c r="EL428" s="11"/>
      <c r="EM428" s="11"/>
      <c r="EN428" s="11"/>
      <c r="EO428" s="11"/>
      <c r="EP428" s="11"/>
      <c r="EQ428" s="11"/>
      <c r="ER428" s="11"/>
      <c r="ES428" s="11"/>
      <c r="ET428" s="11"/>
      <c r="EU428" s="11"/>
      <c r="EV428" s="11"/>
      <c r="EW428" s="11"/>
      <c r="EX428" s="11"/>
      <c r="EY428" s="11"/>
      <c r="EZ428" s="11"/>
      <c r="FA428" s="11"/>
      <c r="FB428" s="11"/>
      <c r="FC428" s="11"/>
      <c r="FD428" s="11"/>
      <c r="FE428" s="11"/>
      <c r="FF428" s="11"/>
      <c r="FG428" s="11"/>
      <c r="FH428" s="17">
        <f t="shared" si="169"/>
        <v>2568963.75</v>
      </c>
      <c r="FI428" s="31">
        <f t="shared" si="170"/>
        <v>3</v>
      </c>
      <c r="FJ428" s="68">
        <f t="shared" si="171"/>
        <v>856321.25</v>
      </c>
    </row>
    <row r="429" spans="1:166" ht="41.25" customHeight="1" x14ac:dyDescent="0.25">
      <c r="A429" s="248">
        <f>Distribución_Reactivos!A429</f>
        <v>427</v>
      </c>
      <c r="B429" s="248" t="str">
        <f>Distribución_Reactivos!B429</f>
        <v>Xylenes (Xilol)</v>
      </c>
      <c r="C429" s="248" t="str">
        <f>Distribución_Reactivos!C429</f>
        <v>JT baker o equivalente</v>
      </c>
      <c r="D429" s="248" t="str">
        <f>Distribución_Reactivos!D429</f>
        <v>Frasco x 500 ml</v>
      </c>
      <c r="E429" s="29">
        <v>1</v>
      </c>
      <c r="F429" s="212">
        <v>241847.66666666669</v>
      </c>
      <c r="G429" s="214">
        <v>232169</v>
      </c>
      <c r="H429" s="221">
        <v>273225.00832666666</v>
      </c>
      <c r="I429" s="221">
        <v>273224</v>
      </c>
      <c r="J429" s="221">
        <v>224993.06967741935</v>
      </c>
      <c r="K429" s="221">
        <v>219317</v>
      </c>
      <c r="L429" s="247">
        <f>AVERAGE(F429,H429,J429)</f>
        <v>246688.58155691755</v>
      </c>
      <c r="M429" s="247">
        <f>AVERAGE(G429,I429,K429)*E1</f>
        <v>248817.1</v>
      </c>
      <c r="N429" s="218"/>
      <c r="O429" s="102"/>
      <c r="P429" s="102"/>
      <c r="Q429" s="44"/>
      <c r="R429" s="44"/>
      <c r="S429" s="5"/>
      <c r="T429" s="102"/>
      <c r="U429" s="102"/>
      <c r="V429" s="102"/>
      <c r="W429" s="11"/>
      <c r="X429" s="11"/>
      <c r="Y429" s="11"/>
      <c r="Z429" s="102"/>
      <c r="AA429" s="102"/>
      <c r="AB429" s="102"/>
      <c r="AC429" s="44"/>
      <c r="AD429" s="44"/>
      <c r="AE429" s="11"/>
      <c r="AF429" s="102"/>
      <c r="AG429" s="125"/>
      <c r="AH429" s="242"/>
      <c r="AI429" s="11"/>
      <c r="AJ429" s="11"/>
      <c r="AK429" s="11"/>
      <c r="AL429" s="102">
        <v>150000</v>
      </c>
      <c r="AM429" s="97">
        <f>+AL429*0.19</f>
        <v>28500</v>
      </c>
      <c r="AN429" s="103">
        <f>+AL429+AM429</f>
        <v>178500</v>
      </c>
      <c r="AO429" s="248" t="s">
        <v>56</v>
      </c>
      <c r="AP429" s="11" t="s">
        <v>52</v>
      </c>
      <c r="AQ429" s="11"/>
      <c r="AR429" s="247">
        <f>146800/2</f>
        <v>73400</v>
      </c>
      <c r="AS429" s="124">
        <f>+AR429*0.19</f>
        <v>13946</v>
      </c>
      <c r="AT429" s="100">
        <f>+AR429+AS429</f>
        <v>87346</v>
      </c>
      <c r="AU429" s="52" t="s">
        <v>56</v>
      </c>
      <c r="AV429" s="42" t="s">
        <v>52</v>
      </c>
      <c r="AW429" s="11"/>
      <c r="AX429" s="247"/>
      <c r="AY429" s="247"/>
      <c r="AZ429" s="247"/>
      <c r="BA429" s="11"/>
      <c r="BB429" s="11"/>
      <c r="BC429" s="11"/>
      <c r="BD429" s="247"/>
      <c r="BE429" s="247"/>
      <c r="BF429" s="247"/>
      <c r="BG429" s="11"/>
      <c r="BH429" s="11"/>
      <c r="BI429" s="11"/>
      <c r="BJ429" s="247"/>
      <c r="BK429" s="247"/>
      <c r="BL429" s="247"/>
      <c r="BM429" s="11"/>
      <c r="BN429" s="11"/>
      <c r="BO429" s="11"/>
      <c r="BP429" s="247"/>
      <c r="BQ429" s="11"/>
      <c r="BR429" s="11"/>
      <c r="BS429" s="11"/>
      <c r="BT429" s="11"/>
      <c r="BU429" s="11"/>
      <c r="BV429" s="236">
        <f>391900/8</f>
        <v>48987.5</v>
      </c>
      <c r="BW429" s="125">
        <f>BV429*19%</f>
        <v>9307.625</v>
      </c>
      <c r="BX429" s="97">
        <f t="shared" si="172"/>
        <v>58295.125</v>
      </c>
      <c r="BY429" s="237" t="s">
        <v>306</v>
      </c>
      <c r="BZ429" s="237" t="s">
        <v>83</v>
      </c>
      <c r="CA429" s="11"/>
      <c r="CB429" s="247"/>
      <c r="CC429" s="247"/>
      <c r="CD429" s="247"/>
      <c r="CE429" s="11"/>
      <c r="CF429" s="11"/>
      <c r="CG429" s="11"/>
      <c r="CH429" s="236">
        <f>415414/8</f>
        <v>51926.75</v>
      </c>
      <c r="CI429" s="238">
        <f>+CH429*0.19</f>
        <v>9866.0825000000004</v>
      </c>
      <c r="CJ429" s="236">
        <f>+CH429+CI429</f>
        <v>61792.832500000004</v>
      </c>
      <c r="CK429" s="237" t="s">
        <v>306</v>
      </c>
      <c r="CL429" s="237" t="s">
        <v>83</v>
      </c>
      <c r="CM429" s="11"/>
      <c r="CN429" s="247"/>
      <c r="CO429" s="125"/>
      <c r="CP429" s="247"/>
      <c r="CQ429" s="11"/>
      <c r="CR429" s="11"/>
      <c r="CS429" s="11"/>
      <c r="CT429" s="247"/>
      <c r="CU429" s="125"/>
      <c r="CV429" s="247"/>
      <c r="CW429" s="11"/>
      <c r="CX429" s="11"/>
      <c r="CY429" s="11"/>
      <c r="CZ429" s="102"/>
      <c r="DA429" s="125"/>
      <c r="DB429" s="102"/>
      <c r="DC429" s="31"/>
      <c r="DD429" s="17"/>
      <c r="DE429" s="11"/>
      <c r="DF429" s="11"/>
      <c r="DG429" s="11"/>
      <c r="DH429" s="11"/>
      <c r="DI429" s="11"/>
      <c r="DJ429" s="11"/>
      <c r="DK429" s="11"/>
      <c r="DL429" s="11"/>
      <c r="DM429" s="11"/>
      <c r="DN429" s="11"/>
      <c r="DO429" s="11"/>
      <c r="DP429" s="11"/>
      <c r="DQ429" s="11"/>
      <c r="DR429" s="11"/>
      <c r="DS429" s="11"/>
      <c r="DT429" s="11"/>
      <c r="DU429" s="11"/>
      <c r="DV429" s="11"/>
      <c r="DW429" s="11"/>
      <c r="DX429" s="11"/>
      <c r="DY429" s="11"/>
      <c r="DZ429" s="11"/>
      <c r="EA429" s="11"/>
      <c r="EB429" s="11"/>
      <c r="EC429" s="11"/>
      <c r="ED429" s="11"/>
      <c r="EE429" s="11"/>
      <c r="EF429" s="11"/>
      <c r="EG429" s="11"/>
      <c r="EH429" s="11"/>
      <c r="EI429" s="11"/>
      <c r="EJ429" s="11"/>
      <c r="EK429" s="11"/>
      <c r="EL429" s="11"/>
      <c r="EM429" s="11"/>
      <c r="EN429" s="11"/>
      <c r="EO429" s="11"/>
      <c r="EP429" s="11"/>
      <c r="EQ429" s="11"/>
      <c r="ER429" s="11"/>
      <c r="ES429" s="11"/>
      <c r="ET429" s="11"/>
      <c r="EU429" s="11"/>
      <c r="EV429" s="11"/>
      <c r="EW429" s="11"/>
      <c r="EX429" s="11"/>
      <c r="EY429" s="11"/>
      <c r="EZ429" s="11"/>
      <c r="FA429" s="11"/>
      <c r="FB429" s="11"/>
      <c r="FC429" s="11"/>
      <c r="FD429" s="11"/>
      <c r="FE429" s="11"/>
      <c r="FF429" s="11"/>
      <c r="FG429" s="11"/>
      <c r="FH429" s="17">
        <f t="shared" si="169"/>
        <v>634751.0575</v>
      </c>
      <c r="FI429" s="31">
        <f t="shared" si="170"/>
        <v>5</v>
      </c>
      <c r="FJ429" s="68">
        <f t="shared" si="171"/>
        <v>126950.2115</v>
      </c>
    </row>
    <row r="430" spans="1:166" ht="41.25" customHeight="1" x14ac:dyDescent="0.25">
      <c r="A430" s="248">
        <f>Distribución_Reactivos!A430</f>
        <v>428</v>
      </c>
      <c r="B430" s="248" t="str">
        <f>Distribución_Reactivos!B430</f>
        <v>Yeast hydrolysate enzymatic</v>
      </c>
      <c r="C430" s="248" t="str">
        <f>Distribución_Reactivos!C430</f>
        <v xml:space="preserve">MP Biomedicals </v>
      </c>
      <c r="D430" s="248" t="str">
        <f>Distribución_Reactivos!D430</f>
        <v>Caneca x 5 libras</v>
      </c>
      <c r="E430" s="29">
        <v>1</v>
      </c>
      <c r="F430" s="212">
        <v>0</v>
      </c>
      <c r="G430" s="214">
        <v>0</v>
      </c>
      <c r="H430" s="221">
        <v>0</v>
      </c>
      <c r="I430" s="221">
        <v>0</v>
      </c>
      <c r="J430" s="221">
        <v>293335</v>
      </c>
      <c r="K430" s="221">
        <v>0</v>
      </c>
      <c r="L430" s="247">
        <f>J430</f>
        <v>293335</v>
      </c>
      <c r="M430" s="247"/>
      <c r="N430" s="218"/>
      <c r="O430" s="102"/>
      <c r="P430" s="102"/>
      <c r="Q430" s="44"/>
      <c r="R430" s="44"/>
      <c r="S430" s="5"/>
      <c r="T430" s="102"/>
      <c r="U430" s="102"/>
      <c r="V430" s="102"/>
      <c r="W430" s="11"/>
      <c r="X430" s="11"/>
      <c r="Y430" s="11"/>
      <c r="Z430" s="102"/>
      <c r="AA430" s="102"/>
      <c r="AB430" s="102"/>
      <c r="AC430" s="44"/>
      <c r="AD430" s="44"/>
      <c r="AE430" s="11"/>
      <c r="AF430" s="102"/>
      <c r="AG430" s="125"/>
      <c r="AH430" s="242"/>
      <c r="AI430" s="11"/>
      <c r="AJ430" s="11"/>
      <c r="AK430" s="11"/>
      <c r="AL430" s="102"/>
      <c r="AM430" s="102"/>
      <c r="AN430" s="102"/>
      <c r="AO430" s="248"/>
      <c r="AP430" s="11"/>
      <c r="AQ430" s="11"/>
      <c r="AR430" s="247"/>
      <c r="AS430" s="247"/>
      <c r="AT430" s="247"/>
      <c r="AU430" s="52"/>
      <c r="AV430" s="42"/>
      <c r="AW430" s="11"/>
      <c r="AX430" s="247"/>
      <c r="AY430" s="247"/>
      <c r="AZ430" s="247"/>
      <c r="BA430" s="11"/>
      <c r="BB430" s="11"/>
      <c r="BC430" s="11"/>
      <c r="BD430" s="125">
        <v>1404000</v>
      </c>
      <c r="BE430" s="100">
        <f>+BD430*0.19</f>
        <v>266760</v>
      </c>
      <c r="BF430" s="124">
        <f>+BD430+BE430</f>
        <v>1670760</v>
      </c>
      <c r="BG430" s="31" t="s">
        <v>473</v>
      </c>
      <c r="BH430" s="116" t="s">
        <v>130</v>
      </c>
      <c r="BI430" s="11"/>
      <c r="BJ430" s="247"/>
      <c r="BK430" s="247"/>
      <c r="BL430" s="247"/>
      <c r="BM430" s="11"/>
      <c r="BN430" s="11"/>
      <c r="BO430" s="11"/>
      <c r="BP430" s="247"/>
      <c r="BQ430" s="11"/>
      <c r="BR430" s="11"/>
      <c r="BS430" s="11"/>
      <c r="BT430" s="11"/>
      <c r="BU430" s="11"/>
      <c r="BV430" s="240">
        <v>2737700</v>
      </c>
      <c r="BW430" s="125">
        <f>BV430*19%</f>
        <v>520163</v>
      </c>
      <c r="BX430" s="97">
        <f t="shared" si="172"/>
        <v>3257863</v>
      </c>
      <c r="BY430" s="237" t="s">
        <v>474</v>
      </c>
      <c r="BZ430" s="237" t="s">
        <v>475</v>
      </c>
      <c r="CA430" s="11"/>
      <c r="CB430" s="247"/>
      <c r="CC430" s="247"/>
      <c r="CD430" s="247"/>
      <c r="CE430" s="11"/>
      <c r="CF430" s="11"/>
      <c r="CG430" s="11"/>
      <c r="CH430" s="236">
        <v>2792454</v>
      </c>
      <c r="CI430" s="238">
        <f>+CH430*0.19</f>
        <v>530566.26</v>
      </c>
      <c r="CJ430" s="236">
        <f>+CH430+CI430</f>
        <v>3323020.26</v>
      </c>
      <c r="CK430" s="237" t="s">
        <v>474</v>
      </c>
      <c r="CL430" s="237" t="s">
        <v>475</v>
      </c>
      <c r="CM430" s="11"/>
      <c r="CN430" s="247"/>
      <c r="CO430" s="125"/>
      <c r="CP430" s="247"/>
      <c r="CQ430" s="11"/>
      <c r="CR430" s="11"/>
      <c r="CS430" s="11"/>
      <c r="CT430" s="247"/>
      <c r="CU430" s="125"/>
      <c r="CV430" s="247"/>
      <c r="CW430" s="11"/>
      <c r="CX430" s="11"/>
      <c r="CY430" s="11"/>
      <c r="CZ430" s="102"/>
      <c r="DA430" s="125"/>
      <c r="DB430" s="102"/>
      <c r="DC430" s="31"/>
      <c r="DD430" s="17"/>
      <c r="DE430" s="11"/>
      <c r="DF430" s="11"/>
      <c r="DG430" s="11"/>
      <c r="DH430" s="11"/>
      <c r="DI430" s="11"/>
      <c r="DJ430" s="11"/>
      <c r="DK430" s="11"/>
      <c r="DL430" s="11"/>
      <c r="DM430" s="11"/>
      <c r="DN430" s="11"/>
      <c r="DO430" s="11"/>
      <c r="DP430" s="11"/>
      <c r="DQ430" s="11"/>
      <c r="DR430" s="11"/>
      <c r="DS430" s="11"/>
      <c r="DT430" s="11"/>
      <c r="DU430" s="11"/>
      <c r="DV430" s="11"/>
      <c r="DW430" s="11"/>
      <c r="DX430" s="11"/>
      <c r="DY430" s="11"/>
      <c r="DZ430" s="11"/>
      <c r="EA430" s="11"/>
      <c r="EB430" s="11"/>
      <c r="EC430" s="11"/>
      <c r="ED430" s="11"/>
      <c r="EE430" s="11"/>
      <c r="EF430" s="11"/>
      <c r="EG430" s="11"/>
      <c r="EH430" s="11"/>
      <c r="EI430" s="11"/>
      <c r="EJ430" s="11"/>
      <c r="EK430" s="11"/>
      <c r="EL430" s="11"/>
      <c r="EM430" s="11"/>
      <c r="EN430" s="11"/>
      <c r="EO430" s="11"/>
      <c r="EP430" s="11"/>
      <c r="EQ430" s="11"/>
      <c r="ER430" s="11"/>
      <c r="ES430" s="11"/>
      <c r="ET430" s="11"/>
      <c r="EU430" s="11"/>
      <c r="EV430" s="11"/>
      <c r="EW430" s="11"/>
      <c r="EX430" s="11"/>
      <c r="EY430" s="11"/>
      <c r="EZ430" s="11"/>
      <c r="FA430" s="11"/>
      <c r="FB430" s="11"/>
      <c r="FC430" s="11"/>
      <c r="FD430" s="11"/>
      <c r="FE430" s="11"/>
      <c r="FF430" s="11"/>
      <c r="FG430" s="11"/>
      <c r="FH430" s="17">
        <f t="shared" si="169"/>
        <v>8251643.2599999998</v>
      </c>
      <c r="FI430" s="31">
        <f t="shared" si="170"/>
        <v>3</v>
      </c>
      <c r="FJ430" s="68">
        <f t="shared" si="171"/>
        <v>2750547.7533333334</v>
      </c>
    </row>
    <row r="431" spans="1:166" ht="41.25" customHeight="1" x14ac:dyDescent="0.25">
      <c r="A431" s="248">
        <f>Distribución_Reactivos!A431</f>
        <v>429</v>
      </c>
      <c r="B431" s="248" t="str">
        <f>Distribución_Reactivos!B431</f>
        <v xml:space="preserve">Yeast Torula </v>
      </c>
      <c r="C431" s="248" t="str">
        <f>Distribución_Reactivos!C431</f>
        <v xml:space="preserve">MP Biomedicals </v>
      </c>
      <c r="D431" s="248" t="str">
        <f>Distribución_Reactivos!D431</f>
        <v>Caneca x 5 libras</v>
      </c>
      <c r="E431" s="29">
        <v>1</v>
      </c>
      <c r="F431" s="212">
        <v>0</v>
      </c>
      <c r="G431" s="214">
        <v>0</v>
      </c>
      <c r="H431" s="221">
        <v>2424709.4900000002</v>
      </c>
      <c r="I431" s="221">
        <v>0</v>
      </c>
      <c r="J431" s="221">
        <v>3272500</v>
      </c>
      <c r="K431" s="221">
        <v>0</v>
      </c>
      <c r="L431" s="247">
        <f>AVERAGE(H431,J431)</f>
        <v>2848604.7450000001</v>
      </c>
      <c r="M431" s="247"/>
      <c r="N431" s="218"/>
      <c r="O431" s="102"/>
      <c r="P431" s="102"/>
      <c r="Q431" s="44"/>
      <c r="R431" s="44"/>
      <c r="S431" s="5"/>
      <c r="T431" s="102"/>
      <c r="U431" s="102"/>
      <c r="V431" s="102"/>
      <c r="W431" s="11"/>
      <c r="X431" s="11"/>
      <c r="Y431" s="11"/>
      <c r="Z431" s="102"/>
      <c r="AA431" s="102"/>
      <c r="AB431" s="102"/>
      <c r="AC431" s="44"/>
      <c r="AD431" s="44"/>
      <c r="AE431" s="11"/>
      <c r="AF431" s="102"/>
      <c r="AG431" s="125"/>
      <c r="AH431" s="242"/>
      <c r="AI431" s="11"/>
      <c r="AJ431" s="11"/>
      <c r="AK431" s="11"/>
      <c r="AL431" s="102"/>
      <c r="AM431" s="102"/>
      <c r="AN431" s="102"/>
      <c r="AO431" s="248"/>
      <c r="AP431" s="11"/>
      <c r="AQ431" s="11"/>
      <c r="AR431" s="247"/>
      <c r="AS431" s="247"/>
      <c r="AT431" s="247"/>
      <c r="AU431" s="52"/>
      <c r="AV431" s="42"/>
      <c r="AW431" s="11"/>
      <c r="AX431" s="247"/>
      <c r="AY431" s="247"/>
      <c r="AZ431" s="247"/>
      <c r="BA431" s="11"/>
      <c r="BB431" s="11"/>
      <c r="BC431" s="11"/>
      <c r="BD431" s="125">
        <v>1854000</v>
      </c>
      <c r="BE431" s="100">
        <f>+BD431*0.19</f>
        <v>352260</v>
      </c>
      <c r="BF431" s="124">
        <f>+BD431+BE431</f>
        <v>2206260</v>
      </c>
      <c r="BG431" s="31" t="s">
        <v>473</v>
      </c>
      <c r="BH431" s="116" t="s">
        <v>130</v>
      </c>
      <c r="BI431" s="11"/>
      <c r="BJ431" s="247"/>
      <c r="BK431" s="247"/>
      <c r="BL431" s="247"/>
      <c r="BM431" s="11"/>
      <c r="BN431" s="11"/>
      <c r="BO431" s="11"/>
      <c r="BP431" s="247"/>
      <c r="BQ431" s="11"/>
      <c r="BR431" s="11"/>
      <c r="BS431" s="11"/>
      <c r="BT431" s="11"/>
      <c r="BU431" s="11"/>
      <c r="BV431" s="240">
        <v>3320500</v>
      </c>
      <c r="BW431" s="125">
        <f>BV431*19%</f>
        <v>630895</v>
      </c>
      <c r="BX431" s="97">
        <f t="shared" si="172"/>
        <v>3951395</v>
      </c>
      <c r="BY431" s="237" t="s">
        <v>476</v>
      </c>
      <c r="BZ431" s="237" t="s">
        <v>475</v>
      </c>
      <c r="CA431" s="11"/>
      <c r="CB431" s="247"/>
      <c r="CC431" s="247"/>
      <c r="CD431" s="247"/>
      <c r="CE431" s="11"/>
      <c r="CF431" s="11"/>
      <c r="CG431" s="11"/>
      <c r="CH431" s="236">
        <v>3420115</v>
      </c>
      <c r="CI431" s="238">
        <f>+CH431*0.19</f>
        <v>649821.85</v>
      </c>
      <c r="CJ431" s="236">
        <f>+CH431+CI431</f>
        <v>4069936.85</v>
      </c>
      <c r="CK431" s="237" t="s">
        <v>476</v>
      </c>
      <c r="CL431" s="237" t="s">
        <v>475</v>
      </c>
      <c r="CM431" s="11"/>
      <c r="CN431" s="247"/>
      <c r="CO431" s="125"/>
      <c r="CP431" s="247"/>
      <c r="CQ431" s="11"/>
      <c r="CR431" s="11"/>
      <c r="CS431" s="11"/>
      <c r="CT431" s="247"/>
      <c r="CU431" s="125"/>
      <c r="CV431" s="247"/>
      <c r="CW431" s="11"/>
      <c r="CX431" s="11"/>
      <c r="CY431" s="11"/>
      <c r="CZ431" s="102"/>
      <c r="DA431" s="125"/>
      <c r="DB431" s="102"/>
      <c r="DC431" s="31"/>
      <c r="DD431" s="17"/>
      <c r="DE431" s="11"/>
      <c r="DF431" s="11"/>
      <c r="DG431" s="11"/>
      <c r="DH431" s="11"/>
      <c r="DI431" s="11"/>
      <c r="DJ431" s="11"/>
      <c r="DK431" s="11"/>
      <c r="DL431" s="11"/>
      <c r="DM431" s="11"/>
      <c r="DN431" s="11"/>
      <c r="DO431" s="11"/>
      <c r="DP431" s="11"/>
      <c r="DQ431" s="11"/>
      <c r="DR431" s="11"/>
      <c r="DS431" s="11"/>
      <c r="DT431" s="11"/>
      <c r="DU431" s="11"/>
      <c r="DV431" s="11"/>
      <c r="DW431" s="11"/>
      <c r="DX431" s="11"/>
      <c r="DY431" s="11"/>
      <c r="DZ431" s="11"/>
      <c r="EA431" s="11"/>
      <c r="EB431" s="11"/>
      <c r="EC431" s="11"/>
      <c r="ED431" s="11"/>
      <c r="EE431" s="11"/>
      <c r="EF431" s="11"/>
      <c r="EG431" s="11"/>
      <c r="EH431" s="11"/>
      <c r="EI431" s="11"/>
      <c r="EJ431" s="11"/>
      <c r="EK431" s="11"/>
      <c r="EL431" s="11"/>
      <c r="EM431" s="11"/>
      <c r="EN431" s="11"/>
      <c r="EO431" s="11"/>
      <c r="EP431" s="11"/>
      <c r="EQ431" s="11"/>
      <c r="ER431" s="11"/>
      <c r="ES431" s="11"/>
      <c r="ET431" s="11"/>
      <c r="EU431" s="11"/>
      <c r="EV431" s="11"/>
      <c r="EW431" s="11"/>
      <c r="EX431" s="11"/>
      <c r="EY431" s="11"/>
      <c r="EZ431" s="11"/>
      <c r="FA431" s="11"/>
      <c r="FB431" s="11"/>
      <c r="FC431" s="11"/>
      <c r="FD431" s="11"/>
      <c r="FE431" s="11"/>
      <c r="FF431" s="11"/>
      <c r="FG431" s="11"/>
      <c r="FH431" s="17">
        <f t="shared" si="169"/>
        <v>10227591.85</v>
      </c>
      <c r="FI431" s="31">
        <f t="shared" si="170"/>
        <v>3</v>
      </c>
      <c r="FJ431" s="68">
        <f t="shared" si="171"/>
        <v>3409197.2833333332</v>
      </c>
    </row>
    <row r="432" spans="1:166" ht="38.25" x14ac:dyDescent="0.25">
      <c r="A432" s="248">
        <f>Distribución_Reactivos!A432</f>
        <v>430</v>
      </c>
      <c r="B432" s="248" t="str">
        <f>Distribución_Reactivos!B432</f>
        <v>Yodo con certificado de análisis del lote, ficha de seguridad y fecha de vencimiento no inferior a 3 años</v>
      </c>
      <c r="C432" s="248" t="str">
        <f>Distribución_Reactivos!C432</f>
        <v>Cualquier marca</v>
      </c>
      <c r="D432" s="248" t="str">
        <f>Distribución_Reactivos!D432</f>
        <v>Frasco x 25 g</v>
      </c>
      <c r="E432" s="29">
        <v>1</v>
      </c>
      <c r="F432" s="212">
        <v>348075</v>
      </c>
      <c r="G432" s="214">
        <v>339269</v>
      </c>
      <c r="H432" s="221">
        <v>260406.125</v>
      </c>
      <c r="I432" s="221">
        <v>260372</v>
      </c>
      <c r="J432" s="221">
        <v>347984.32199999999</v>
      </c>
      <c r="K432" s="221">
        <v>339150</v>
      </c>
      <c r="L432" s="247">
        <f>AVERAGE(F432,H432,J432)</f>
        <v>318821.81566666666</v>
      </c>
      <c r="M432" s="247">
        <f>AVERAGE(G432,I432,K432)*E1</f>
        <v>322318.24333333335</v>
      </c>
      <c r="N432" s="218"/>
      <c r="O432" s="102"/>
      <c r="P432" s="102"/>
      <c r="Q432" s="44"/>
      <c r="R432" s="44"/>
      <c r="S432" s="5"/>
      <c r="T432" s="102"/>
      <c r="U432" s="102"/>
      <c r="V432" s="102"/>
      <c r="W432" s="11"/>
      <c r="X432" s="11"/>
      <c r="Y432" s="11"/>
      <c r="Z432" s="102"/>
      <c r="AA432" s="102"/>
      <c r="AB432" s="102"/>
      <c r="AC432" s="44"/>
      <c r="AD432" s="44"/>
      <c r="AE432" s="11"/>
      <c r="AF432" s="102">
        <v>350000</v>
      </c>
      <c r="AG432" s="125">
        <f>AF432*19%</f>
        <v>66500</v>
      </c>
      <c r="AH432" s="97">
        <f>+AF432+AG432</f>
        <v>416500</v>
      </c>
      <c r="AI432" s="11"/>
      <c r="AJ432" s="11"/>
      <c r="AK432" s="11"/>
      <c r="AL432" s="102"/>
      <c r="AM432" s="102"/>
      <c r="AN432" s="102"/>
      <c r="AO432" s="248"/>
      <c r="AP432" s="11"/>
      <c r="AQ432" s="11"/>
      <c r="AR432" s="247">
        <f>323764/4</f>
        <v>80941</v>
      </c>
      <c r="AS432" s="124">
        <f>+AR432*0.19</f>
        <v>15378.79</v>
      </c>
      <c r="AT432" s="100">
        <f>+AR432+AS432</f>
        <v>96319.790000000008</v>
      </c>
      <c r="AU432" s="52" t="s">
        <v>61</v>
      </c>
      <c r="AV432" s="42" t="s">
        <v>52</v>
      </c>
      <c r="AW432" s="11"/>
      <c r="AX432" s="247"/>
      <c r="AY432" s="247"/>
      <c r="AZ432" s="247"/>
      <c r="BA432" s="11"/>
      <c r="BB432" s="11"/>
      <c r="BC432" s="11"/>
      <c r="BD432" s="247"/>
      <c r="BE432" s="247"/>
      <c r="BF432" s="247"/>
      <c r="BG432" s="11"/>
      <c r="BH432" s="11"/>
      <c r="BI432" s="11"/>
      <c r="BJ432" s="247"/>
      <c r="BK432" s="247"/>
      <c r="BL432" s="247"/>
      <c r="BM432" s="11"/>
      <c r="BN432" s="11"/>
      <c r="BO432" s="11"/>
      <c r="BP432" s="247"/>
      <c r="BQ432" s="11"/>
      <c r="BR432" s="11"/>
      <c r="BS432" s="11"/>
      <c r="BT432" s="11"/>
      <c r="BU432" s="11"/>
      <c r="BV432" s="236">
        <f>732400/2</f>
        <v>366200</v>
      </c>
      <c r="BW432" s="125">
        <f>BV432*19%</f>
        <v>69578</v>
      </c>
      <c r="BX432" s="97">
        <f t="shared" si="172"/>
        <v>435778</v>
      </c>
      <c r="BY432" s="237" t="s">
        <v>227</v>
      </c>
      <c r="BZ432" s="237" t="s">
        <v>93</v>
      </c>
      <c r="CA432" s="11"/>
      <c r="CB432" s="247"/>
      <c r="CC432" s="247"/>
      <c r="CD432" s="247"/>
      <c r="CE432" s="11"/>
      <c r="CF432" s="11"/>
      <c r="CG432" s="11"/>
      <c r="CH432" s="236">
        <f>776344/2</f>
        <v>388172</v>
      </c>
      <c r="CI432" s="238">
        <f>+CH432*0.19</f>
        <v>73752.680000000008</v>
      </c>
      <c r="CJ432" s="236">
        <f>+CH432+CI432</f>
        <v>461924.68</v>
      </c>
      <c r="CK432" s="237" t="s">
        <v>227</v>
      </c>
      <c r="CL432" s="237" t="s">
        <v>93</v>
      </c>
      <c r="CM432" s="11"/>
      <c r="CN432" s="247"/>
      <c r="CO432" s="125"/>
      <c r="CP432" s="247"/>
      <c r="CQ432" s="11"/>
      <c r="CR432" s="11"/>
      <c r="CS432" s="11"/>
      <c r="CT432" s="247"/>
      <c r="CU432" s="125"/>
      <c r="CV432" s="247"/>
      <c r="CW432" s="11"/>
      <c r="CX432" s="11"/>
      <c r="CY432" s="11"/>
      <c r="CZ432" s="102"/>
      <c r="DA432" s="125"/>
      <c r="DB432" s="102"/>
      <c r="DC432" s="31"/>
      <c r="DD432" s="17"/>
      <c r="DE432" s="11"/>
      <c r="DF432" s="11"/>
      <c r="DG432" s="11"/>
      <c r="DH432" s="11"/>
      <c r="DI432" s="11"/>
      <c r="DJ432" s="11"/>
      <c r="DK432" s="11"/>
      <c r="DL432" s="11"/>
      <c r="DM432" s="11"/>
      <c r="DN432" s="11"/>
      <c r="DO432" s="11"/>
      <c r="DP432" s="11"/>
      <c r="DQ432" s="11"/>
      <c r="DR432" s="11"/>
      <c r="DS432" s="11"/>
      <c r="DT432" s="11"/>
      <c r="DU432" s="11"/>
      <c r="DV432" s="11"/>
      <c r="DW432" s="11"/>
      <c r="DX432" s="11"/>
      <c r="DY432" s="11"/>
      <c r="DZ432" s="11"/>
      <c r="EA432" s="11"/>
      <c r="EB432" s="11"/>
      <c r="EC432" s="11"/>
      <c r="ED432" s="11"/>
      <c r="EE432" s="11"/>
      <c r="EF432" s="11"/>
      <c r="EG432" s="11"/>
      <c r="EH432" s="11"/>
      <c r="EI432" s="11"/>
      <c r="EJ432" s="11"/>
      <c r="EK432" s="11"/>
      <c r="EL432" s="11"/>
      <c r="EM432" s="11"/>
      <c r="EN432" s="11"/>
      <c r="EO432" s="11"/>
      <c r="EP432" s="11"/>
      <c r="EQ432" s="11"/>
      <c r="ER432" s="11"/>
      <c r="ES432" s="11"/>
      <c r="ET432" s="11"/>
      <c r="EU432" s="11"/>
      <c r="EV432" s="11"/>
      <c r="EW432" s="11"/>
      <c r="EX432" s="11"/>
      <c r="EY432" s="11"/>
      <c r="EZ432" s="11"/>
      <c r="FA432" s="11"/>
      <c r="FB432" s="11"/>
      <c r="FC432" s="11"/>
      <c r="FD432" s="11"/>
      <c r="FE432" s="11"/>
      <c r="FF432" s="11"/>
      <c r="FG432" s="11"/>
      <c r="FH432" s="17">
        <f t="shared" si="169"/>
        <v>1732840.7133333334</v>
      </c>
      <c r="FI432" s="31">
        <f t="shared" si="170"/>
        <v>5</v>
      </c>
      <c r="FJ432" s="68">
        <f t="shared" si="171"/>
        <v>346568.14266666665</v>
      </c>
    </row>
    <row r="433" spans="1:166" ht="51" x14ac:dyDescent="0.25">
      <c r="A433" s="248">
        <f>Distribución_Reactivos!A433</f>
        <v>431</v>
      </c>
      <c r="B433" s="248" t="str">
        <f>Distribución_Reactivos!B433</f>
        <v>Diamonio hidrogeno fosfato (NH₄)₂HPO₄</v>
      </c>
      <c r="C433" s="248" t="str">
        <f>Distribución_Reactivos!C433</f>
        <v xml:space="preserve">Panreac, Sigma-Aldrich, merck(1012070500) </v>
      </c>
      <c r="D433" s="248" t="str">
        <f>Distribución_Reactivos!D433</f>
        <v>Frasco x 500 g</v>
      </c>
      <c r="E433" s="29">
        <v>1</v>
      </c>
      <c r="F433" s="212">
        <v>0</v>
      </c>
      <c r="G433" s="214">
        <v>0</v>
      </c>
      <c r="H433" s="221">
        <v>0</v>
      </c>
      <c r="I433" s="221">
        <v>0</v>
      </c>
      <c r="J433" s="221">
        <v>0</v>
      </c>
      <c r="K433" s="221">
        <v>0</v>
      </c>
      <c r="L433" s="247"/>
      <c r="M433" s="247"/>
      <c r="N433" s="218"/>
      <c r="O433" s="102"/>
      <c r="P433" s="102"/>
      <c r="Q433" s="44"/>
      <c r="R433" s="44"/>
      <c r="S433" s="5"/>
      <c r="T433" s="102"/>
      <c r="U433" s="102"/>
      <c r="V433" s="102"/>
      <c r="W433" s="11"/>
      <c r="X433" s="11"/>
      <c r="Y433" s="11"/>
      <c r="Z433" s="102"/>
      <c r="AA433" s="102"/>
      <c r="AB433" s="102"/>
      <c r="AC433" s="44"/>
      <c r="AD433" s="44"/>
      <c r="AE433" s="11"/>
      <c r="AF433" s="102"/>
      <c r="AG433" s="102"/>
      <c r="AH433" s="102"/>
      <c r="AI433" s="11"/>
      <c r="AJ433" s="11"/>
      <c r="AK433" s="11"/>
      <c r="AL433" s="102"/>
      <c r="AM433" s="102"/>
      <c r="AN433" s="102"/>
      <c r="AO433" s="248"/>
      <c r="AP433" s="11"/>
      <c r="AQ433" s="11"/>
      <c r="AR433" s="247"/>
      <c r="AS433" s="247"/>
      <c r="AT433" s="247"/>
      <c r="AU433" s="52"/>
      <c r="AV433" s="42"/>
      <c r="AW433" s="11"/>
      <c r="AX433" s="247"/>
      <c r="AY433" s="247"/>
      <c r="AZ433" s="247"/>
      <c r="BA433" s="11"/>
      <c r="BB433" s="11"/>
      <c r="BC433" s="11"/>
      <c r="BD433" s="247"/>
      <c r="BE433" s="247"/>
      <c r="BF433" s="247"/>
      <c r="BG433" s="11"/>
      <c r="BH433" s="11"/>
      <c r="BI433" s="11"/>
      <c r="BJ433" s="247"/>
      <c r="BK433" s="247"/>
      <c r="BL433" s="247"/>
      <c r="BM433" s="11"/>
      <c r="BN433" s="11"/>
      <c r="BO433" s="11"/>
      <c r="BP433" s="247"/>
      <c r="BQ433" s="11"/>
      <c r="BR433" s="11"/>
      <c r="BS433" s="11"/>
      <c r="BT433" s="11"/>
      <c r="BU433" s="11"/>
      <c r="BV433" s="243">
        <v>584800</v>
      </c>
      <c r="BW433" s="125">
        <f>BV433*0</f>
        <v>0</v>
      </c>
      <c r="BX433" s="97">
        <f t="shared" si="172"/>
        <v>584800</v>
      </c>
      <c r="BY433" s="244" t="s">
        <v>319</v>
      </c>
      <c r="BZ433" s="244" t="s">
        <v>93</v>
      </c>
      <c r="CA433" s="11"/>
      <c r="CB433" s="247"/>
      <c r="CC433" s="247"/>
      <c r="CD433" s="247"/>
      <c r="CE433" s="11"/>
      <c r="CF433" s="11"/>
      <c r="CG433" s="11"/>
      <c r="CH433" s="243">
        <v>602344</v>
      </c>
      <c r="CI433" s="238">
        <f>+CH433*0.19</f>
        <v>114445.36</v>
      </c>
      <c r="CJ433" s="236">
        <f>+CH433+CI433</f>
        <v>716789.36</v>
      </c>
      <c r="CK433" s="244" t="s">
        <v>319</v>
      </c>
      <c r="CL433" s="244" t="s">
        <v>93</v>
      </c>
      <c r="CM433" s="11"/>
      <c r="CN433" s="204"/>
      <c r="CO433" s="204"/>
      <c r="CP433" s="205"/>
      <c r="CQ433" s="11"/>
      <c r="CR433" s="11"/>
      <c r="CS433" s="11"/>
      <c r="CT433" s="125">
        <v>440000</v>
      </c>
      <c r="CU433" s="125">
        <f>+CT433*0</f>
        <v>0</v>
      </c>
      <c r="CV433" s="125">
        <f>CT433</f>
        <v>440000</v>
      </c>
      <c r="CW433" s="11"/>
      <c r="CX433" s="11"/>
      <c r="CY433" s="11"/>
      <c r="CZ433" s="124"/>
      <c r="DA433" s="124"/>
      <c r="DB433" s="231"/>
      <c r="DC433" s="204"/>
      <c r="DD433" s="63"/>
      <c r="DE433" s="11"/>
      <c r="DF433" s="11"/>
      <c r="DG433" s="11"/>
      <c r="DH433" s="11"/>
      <c r="DI433" s="11"/>
      <c r="DJ433" s="11"/>
      <c r="DK433" s="11"/>
      <c r="DL433" s="11"/>
      <c r="DM433" s="11"/>
      <c r="DN433" s="11"/>
      <c r="DO433" s="11"/>
      <c r="DP433" s="11"/>
      <c r="DQ433" s="11"/>
      <c r="DR433" s="11"/>
      <c r="DS433" s="11"/>
      <c r="DT433" s="11"/>
      <c r="DU433" s="11"/>
      <c r="DV433" s="11"/>
      <c r="DW433" s="11"/>
      <c r="DX433" s="11"/>
      <c r="DY433" s="11"/>
      <c r="DZ433" s="11"/>
      <c r="EA433" s="11"/>
      <c r="EB433" s="11"/>
      <c r="EC433" s="11"/>
      <c r="ED433" s="11"/>
      <c r="EE433" s="11"/>
      <c r="EF433" s="11"/>
      <c r="EG433" s="11"/>
      <c r="EH433" s="11"/>
      <c r="EI433" s="11"/>
      <c r="EJ433" s="11"/>
      <c r="EK433" s="11"/>
      <c r="EL433" s="11"/>
      <c r="EM433" s="11"/>
      <c r="EN433" s="11"/>
      <c r="EO433" s="11"/>
      <c r="EP433" s="11"/>
      <c r="EQ433" s="11"/>
      <c r="ER433" s="11"/>
      <c r="ES433" s="11"/>
      <c r="ET433" s="11"/>
      <c r="EU433" s="11"/>
      <c r="EV433" s="11"/>
      <c r="EW433" s="11"/>
      <c r="EX433" s="11"/>
      <c r="EY433" s="11"/>
      <c r="EZ433" s="11"/>
      <c r="FA433" s="11"/>
      <c r="FB433" s="11"/>
      <c r="FC433" s="11"/>
      <c r="FD433" s="11"/>
      <c r="FE433" s="11"/>
      <c r="FF433" s="11"/>
      <c r="FG433" s="11"/>
      <c r="FH433" s="17">
        <f t="shared" si="169"/>
        <v>1741589.3599999999</v>
      </c>
      <c r="FI433" s="31">
        <f t="shared" si="170"/>
        <v>3</v>
      </c>
      <c r="FJ433" s="68">
        <f t="shared" si="171"/>
        <v>580529.78666666662</v>
      </c>
    </row>
    <row r="434" spans="1:166" ht="25.5" x14ac:dyDescent="0.25">
      <c r="A434" s="248">
        <f>Distribución_Reactivos!A434</f>
        <v>432</v>
      </c>
      <c r="B434" s="248" t="str">
        <f>Distribución_Reactivos!B434</f>
        <v>Antisuero Salmonella  somático O  Factor 9</v>
      </c>
      <c r="C434" s="248" t="str">
        <f>Distribución_Reactivos!C434</f>
        <v xml:space="preserve">Difco </v>
      </c>
      <c r="D434" s="248" t="str">
        <f>Distribución_Reactivos!D434</f>
        <v xml:space="preserve">3 ml </v>
      </c>
      <c r="E434" s="29">
        <v>1</v>
      </c>
      <c r="F434" s="212">
        <v>0</v>
      </c>
      <c r="G434" s="214">
        <v>0</v>
      </c>
      <c r="H434" s="221">
        <v>0</v>
      </c>
      <c r="I434" s="221">
        <v>0</v>
      </c>
      <c r="J434" s="221">
        <v>0</v>
      </c>
      <c r="K434" s="221">
        <v>0</v>
      </c>
      <c r="L434" s="247"/>
      <c r="M434" s="247"/>
      <c r="N434" s="219">
        <v>1115000</v>
      </c>
      <c r="O434" s="97">
        <f>+N434*0</f>
        <v>0</v>
      </c>
      <c r="P434" s="97">
        <f>+O434+N434</f>
        <v>1115000</v>
      </c>
      <c r="Q434" s="34" t="s">
        <v>477</v>
      </c>
      <c r="R434" s="116" t="s">
        <v>193</v>
      </c>
      <c r="S434" s="5" t="s">
        <v>209</v>
      </c>
      <c r="T434" s="102"/>
      <c r="U434" s="102"/>
      <c r="V434" s="102"/>
      <c r="W434" s="11"/>
      <c r="X434" s="11"/>
      <c r="Y434" s="11"/>
      <c r="Z434" s="102"/>
      <c r="AA434" s="102"/>
      <c r="AB434" s="102"/>
      <c r="AC434" s="44"/>
      <c r="AD434" s="44"/>
      <c r="AE434" s="11"/>
      <c r="AF434" s="102"/>
      <c r="AG434" s="102"/>
      <c r="AH434" s="102"/>
      <c r="AI434" s="11"/>
      <c r="AJ434" s="11"/>
      <c r="AK434" s="11"/>
      <c r="AL434" s="102"/>
      <c r="AM434" s="102"/>
      <c r="AN434" s="102"/>
      <c r="AO434" s="248"/>
      <c r="AP434" s="11"/>
      <c r="AQ434" s="11"/>
      <c r="AR434" s="247"/>
      <c r="AS434" s="247"/>
      <c r="AT434" s="247"/>
      <c r="AU434" s="42"/>
      <c r="AV434" s="42"/>
      <c r="AW434" s="11"/>
      <c r="AX434" s="247"/>
      <c r="AY434" s="247"/>
      <c r="AZ434" s="247"/>
      <c r="BA434" s="11"/>
      <c r="BB434" s="11"/>
      <c r="BC434" s="11"/>
      <c r="BD434" s="247"/>
      <c r="BE434" s="247"/>
      <c r="BF434" s="247"/>
      <c r="BG434" s="11"/>
      <c r="BH434" s="11"/>
      <c r="BI434" s="11"/>
      <c r="BJ434" s="247"/>
      <c r="BK434" s="247"/>
      <c r="BL434" s="247"/>
      <c r="BM434" s="11"/>
      <c r="BN434" s="11"/>
      <c r="BO434" s="11"/>
      <c r="BP434" s="247"/>
      <c r="BQ434" s="11"/>
      <c r="BR434" s="11"/>
      <c r="BS434" s="11"/>
      <c r="BT434" s="11"/>
      <c r="BU434" s="11"/>
      <c r="BV434" s="187"/>
      <c r="BW434" s="125"/>
      <c r="BX434" s="97"/>
      <c r="BY434" s="246"/>
      <c r="BZ434" s="246"/>
      <c r="CA434" s="11"/>
      <c r="CB434" s="247"/>
      <c r="CC434" s="247"/>
      <c r="CD434" s="247"/>
      <c r="CE434" s="11"/>
      <c r="CF434" s="11"/>
      <c r="CG434" s="11"/>
      <c r="CH434" s="187"/>
      <c r="CI434" s="195"/>
      <c r="CJ434" s="187"/>
      <c r="CK434" s="246"/>
      <c r="CL434" s="246"/>
      <c r="CM434" s="11"/>
      <c r="CN434" s="247"/>
      <c r="CO434" s="247"/>
      <c r="CP434" s="205"/>
      <c r="CQ434" s="11"/>
      <c r="CR434" s="11"/>
      <c r="CS434" s="11"/>
      <c r="CT434" s="247"/>
      <c r="CU434" s="247"/>
      <c r="CV434" s="205"/>
      <c r="CW434" s="11"/>
      <c r="CX434" s="11"/>
      <c r="CY434" s="11"/>
      <c r="CZ434" s="102"/>
      <c r="DA434" s="102"/>
      <c r="DB434" s="231"/>
      <c r="DC434" s="31"/>
      <c r="DD434" s="63"/>
      <c r="DE434" s="11"/>
      <c r="DF434" s="11"/>
      <c r="DG434" s="11"/>
      <c r="DH434" s="11"/>
      <c r="DI434" s="11"/>
      <c r="DJ434" s="11"/>
      <c r="DK434" s="11"/>
      <c r="DL434" s="11"/>
      <c r="DM434" s="11"/>
      <c r="DN434" s="11"/>
      <c r="DO434" s="11"/>
      <c r="DP434" s="11"/>
      <c r="DQ434" s="11"/>
      <c r="DR434" s="11"/>
      <c r="DS434" s="11"/>
      <c r="DT434" s="11"/>
      <c r="DU434" s="11"/>
      <c r="DV434" s="11"/>
      <c r="DW434" s="11"/>
      <c r="DX434" s="11"/>
      <c r="DY434" s="11"/>
      <c r="DZ434" s="11"/>
      <c r="EA434" s="11"/>
      <c r="EB434" s="11"/>
      <c r="EC434" s="11"/>
      <c r="ED434" s="11"/>
      <c r="EE434" s="11"/>
      <c r="EF434" s="11"/>
      <c r="EG434" s="11"/>
      <c r="EH434" s="11"/>
      <c r="EI434" s="11"/>
      <c r="EJ434" s="11"/>
      <c r="EK434" s="11"/>
      <c r="EL434" s="11"/>
      <c r="EM434" s="11"/>
      <c r="EN434" s="11"/>
      <c r="EO434" s="11"/>
      <c r="EP434" s="11"/>
      <c r="EQ434" s="11"/>
      <c r="ER434" s="11"/>
      <c r="ES434" s="11"/>
      <c r="ET434" s="11"/>
      <c r="EU434" s="11"/>
      <c r="EV434" s="11"/>
      <c r="EW434" s="11"/>
      <c r="EX434" s="11"/>
      <c r="EY434" s="11"/>
      <c r="EZ434" s="11"/>
      <c r="FA434" s="11"/>
      <c r="FB434" s="11"/>
      <c r="FC434" s="11"/>
      <c r="FD434" s="11"/>
      <c r="FE434" s="11"/>
      <c r="FF434" s="11"/>
      <c r="FG434" s="11"/>
      <c r="FH434" s="17">
        <f t="shared" si="169"/>
        <v>1115000</v>
      </c>
      <c r="FI434" s="31">
        <f t="shared" si="170"/>
        <v>1</v>
      </c>
      <c r="FJ434" s="68">
        <f t="shared" si="171"/>
        <v>1115000</v>
      </c>
    </row>
    <row r="435" spans="1:166" ht="25.5" x14ac:dyDescent="0.25">
      <c r="A435" s="248">
        <f>Distribución_Reactivos!A435</f>
        <v>433</v>
      </c>
      <c r="B435" s="248" t="str">
        <f>Distribución_Reactivos!B435</f>
        <v xml:space="preserve">Antisuero Salmonella  somático  O Grupo  B ( Factor 4) </v>
      </c>
      <c r="C435" s="248" t="str">
        <f>Distribución_Reactivos!C435</f>
        <v xml:space="preserve">Difco </v>
      </c>
      <c r="D435" s="248" t="str">
        <f>Distribución_Reactivos!D435</f>
        <v xml:space="preserve">3 ml </v>
      </c>
      <c r="E435" s="29">
        <v>1</v>
      </c>
      <c r="F435" s="212">
        <v>0</v>
      </c>
      <c r="G435" s="214">
        <v>0</v>
      </c>
      <c r="H435" s="221">
        <v>0</v>
      </c>
      <c r="I435" s="221">
        <v>0</v>
      </c>
      <c r="J435" s="221">
        <v>0</v>
      </c>
      <c r="K435" s="221">
        <v>0</v>
      </c>
      <c r="L435" s="247"/>
      <c r="M435" s="247"/>
      <c r="N435" s="219">
        <v>1115000</v>
      </c>
      <c r="O435" s="97">
        <f>+N435*0</f>
        <v>0</v>
      </c>
      <c r="P435" s="97">
        <f>+O435+N435</f>
        <v>1115000</v>
      </c>
      <c r="Q435" s="34" t="s">
        <v>477</v>
      </c>
      <c r="R435" s="116" t="s">
        <v>193</v>
      </c>
      <c r="S435" s="5" t="s">
        <v>209</v>
      </c>
      <c r="T435" s="102"/>
      <c r="U435" s="102"/>
      <c r="V435" s="102"/>
      <c r="W435" s="11"/>
      <c r="X435" s="11"/>
      <c r="Y435" s="11"/>
      <c r="Z435" s="102"/>
      <c r="AA435" s="102"/>
      <c r="AB435" s="102"/>
      <c r="AC435" s="44"/>
      <c r="AD435" s="44"/>
      <c r="AE435" s="11"/>
      <c r="AF435" s="102"/>
      <c r="AG435" s="102"/>
      <c r="AH435" s="102"/>
      <c r="AI435" s="11"/>
      <c r="AJ435" s="11"/>
      <c r="AK435" s="11"/>
      <c r="AL435" s="102"/>
      <c r="AM435" s="102"/>
      <c r="AN435" s="102"/>
      <c r="AO435" s="248"/>
      <c r="AP435" s="11"/>
      <c r="AQ435" s="11"/>
      <c r="AR435" s="247"/>
      <c r="AS435" s="247"/>
      <c r="AT435" s="247"/>
      <c r="AU435" s="42"/>
      <c r="AV435" s="42"/>
      <c r="AW435" s="11"/>
      <c r="AX435" s="247"/>
      <c r="AY435" s="247"/>
      <c r="AZ435" s="247"/>
      <c r="BA435" s="11"/>
      <c r="BB435" s="11"/>
      <c r="BC435" s="11"/>
      <c r="BD435" s="247"/>
      <c r="BE435" s="247"/>
      <c r="BF435" s="247"/>
      <c r="BG435" s="11"/>
      <c r="BH435" s="11"/>
      <c r="BI435" s="11"/>
      <c r="BJ435" s="247"/>
      <c r="BK435" s="247"/>
      <c r="BL435" s="247"/>
      <c r="BM435" s="11"/>
      <c r="BN435" s="11"/>
      <c r="BO435" s="11"/>
      <c r="BP435" s="247"/>
      <c r="BQ435" s="11"/>
      <c r="BR435" s="11"/>
      <c r="BS435" s="11"/>
      <c r="BT435" s="11"/>
      <c r="BU435" s="11"/>
      <c r="BV435" s="187"/>
      <c r="BW435" s="125"/>
      <c r="BX435" s="97"/>
      <c r="BY435" s="246"/>
      <c r="BZ435" s="246"/>
      <c r="CA435" s="11"/>
      <c r="CB435" s="247"/>
      <c r="CC435" s="247"/>
      <c r="CD435" s="247"/>
      <c r="CE435" s="11"/>
      <c r="CF435" s="11"/>
      <c r="CG435" s="11"/>
      <c r="CH435" s="187"/>
      <c r="CI435" s="195"/>
      <c r="CJ435" s="187"/>
      <c r="CK435" s="246"/>
      <c r="CL435" s="246"/>
      <c r="CM435" s="11"/>
      <c r="CN435" s="247"/>
      <c r="CO435" s="247"/>
      <c r="CP435" s="247"/>
      <c r="CQ435" s="11"/>
      <c r="CR435" s="11"/>
      <c r="CS435" s="11"/>
      <c r="CT435" s="247"/>
      <c r="CU435" s="247"/>
      <c r="CV435" s="247"/>
      <c r="CW435" s="11"/>
      <c r="CX435" s="11"/>
      <c r="CY435" s="11"/>
      <c r="CZ435" s="102"/>
      <c r="DA435" s="102"/>
      <c r="DB435" s="102"/>
      <c r="DC435" s="31"/>
      <c r="DD435" s="64"/>
      <c r="DE435" s="11"/>
      <c r="DF435" s="11"/>
      <c r="DG435" s="11"/>
      <c r="DH435" s="11"/>
      <c r="DI435" s="11"/>
      <c r="DJ435" s="11"/>
      <c r="DK435" s="11"/>
      <c r="DL435" s="11"/>
      <c r="DM435" s="11"/>
      <c r="DN435" s="11"/>
      <c r="DO435" s="11"/>
      <c r="DP435" s="11"/>
      <c r="DQ435" s="11"/>
      <c r="DR435" s="11"/>
      <c r="DS435" s="11"/>
      <c r="DT435" s="11"/>
      <c r="DU435" s="11"/>
      <c r="DV435" s="11"/>
      <c r="DW435" s="11"/>
      <c r="DX435" s="11"/>
      <c r="DY435" s="11"/>
      <c r="DZ435" s="11"/>
      <c r="EA435" s="11"/>
      <c r="EB435" s="11"/>
      <c r="EC435" s="11"/>
      <c r="ED435" s="11"/>
      <c r="EE435" s="11"/>
      <c r="EF435" s="11"/>
      <c r="EG435" s="11"/>
      <c r="EH435" s="11"/>
      <c r="EI435" s="11"/>
      <c r="EJ435" s="11"/>
      <c r="EK435" s="11"/>
      <c r="EL435" s="11"/>
      <c r="EM435" s="11"/>
      <c r="EN435" s="11"/>
      <c r="EO435" s="11"/>
      <c r="EP435" s="11"/>
      <c r="EQ435" s="11"/>
      <c r="ER435" s="11"/>
      <c r="ES435" s="11"/>
      <c r="ET435" s="11"/>
      <c r="EU435" s="11"/>
      <c r="EV435" s="11"/>
      <c r="EW435" s="11"/>
      <c r="EX435" s="11"/>
      <c r="EY435" s="11"/>
      <c r="EZ435" s="11"/>
      <c r="FA435" s="11"/>
      <c r="FB435" s="11"/>
      <c r="FC435" s="11"/>
      <c r="FD435" s="11"/>
      <c r="FE435" s="11"/>
      <c r="FF435" s="11"/>
      <c r="FG435" s="11"/>
      <c r="FH435" s="17">
        <f t="shared" si="169"/>
        <v>1115000</v>
      </c>
      <c r="FI435" s="31">
        <f t="shared" si="170"/>
        <v>1</v>
      </c>
      <c r="FJ435" s="68">
        <f t="shared" si="171"/>
        <v>1115000</v>
      </c>
    </row>
    <row r="436" spans="1:166" ht="25.5" x14ac:dyDescent="0.25">
      <c r="A436" s="248">
        <f>Distribución_Reactivos!A436</f>
        <v>434</v>
      </c>
      <c r="B436" s="248" t="str">
        <f>Distribución_Reactivos!B436</f>
        <v>ESCHERICHIA COLI DERIVADA DE ATCC® 700728™</v>
      </c>
      <c r="C436" s="248" t="str">
        <f>Distribución_Reactivos!C436</f>
        <v>Microbiologics o equivalente</v>
      </c>
      <c r="D436" s="248" t="str">
        <f>Distribución_Reactivos!D436</f>
        <v>KWIK-STIK x 2</v>
      </c>
      <c r="E436" s="29">
        <v>1</v>
      </c>
      <c r="F436" s="212">
        <v>0</v>
      </c>
      <c r="G436" s="214">
        <v>0</v>
      </c>
      <c r="H436" s="221">
        <v>0</v>
      </c>
      <c r="I436" s="221">
        <v>0</v>
      </c>
      <c r="J436" s="221">
        <v>0</v>
      </c>
      <c r="K436" s="221">
        <v>0</v>
      </c>
      <c r="L436" s="247"/>
      <c r="M436" s="247"/>
      <c r="N436" s="218"/>
      <c r="O436" s="102"/>
      <c r="P436" s="102"/>
      <c r="Q436" s="44"/>
      <c r="R436" s="44"/>
      <c r="S436" s="5"/>
      <c r="T436" s="102"/>
      <c r="U436" s="102"/>
      <c r="V436" s="102"/>
      <c r="W436" s="11"/>
      <c r="X436" s="11"/>
      <c r="Y436" s="11"/>
      <c r="Z436" s="102"/>
      <c r="AA436" s="102"/>
      <c r="AB436" s="102"/>
      <c r="AC436" s="44"/>
      <c r="AD436" s="44"/>
      <c r="AE436" s="11"/>
      <c r="AF436" s="102"/>
      <c r="AG436" s="102"/>
      <c r="AH436" s="102"/>
      <c r="AI436" s="11"/>
      <c r="AJ436" s="11"/>
      <c r="AK436" s="11"/>
      <c r="AL436" s="102"/>
      <c r="AM436" s="102"/>
      <c r="AN436" s="102"/>
      <c r="AO436" s="248"/>
      <c r="AP436" s="11"/>
      <c r="AQ436" s="11"/>
      <c r="AR436" s="247"/>
      <c r="AS436" s="247"/>
      <c r="AT436" s="247"/>
      <c r="AU436" s="52"/>
      <c r="AV436" s="42"/>
      <c r="AW436" s="11"/>
      <c r="AX436" s="247"/>
      <c r="AY436" s="247"/>
      <c r="AZ436" s="247"/>
      <c r="BA436" s="11"/>
      <c r="BB436" s="11"/>
      <c r="BC436" s="11"/>
      <c r="BD436" s="247"/>
      <c r="BE436" s="247"/>
      <c r="BF436" s="247"/>
      <c r="BG436" s="11"/>
      <c r="BH436" s="11"/>
      <c r="BI436" s="11"/>
      <c r="BJ436" s="247"/>
      <c r="BK436" s="247"/>
      <c r="BL436" s="247"/>
      <c r="BM436" s="11"/>
      <c r="BN436" s="11"/>
      <c r="BO436" s="11"/>
      <c r="BP436" s="247"/>
      <c r="BQ436" s="11"/>
      <c r="BR436" s="11"/>
      <c r="BS436" s="11"/>
      <c r="BT436" s="11"/>
      <c r="BU436" s="11"/>
      <c r="BV436" s="236">
        <v>510000</v>
      </c>
      <c r="BW436" s="125">
        <f>BV436*0</f>
        <v>0</v>
      </c>
      <c r="BX436" s="97">
        <f>+BV436+BW436</f>
        <v>510000</v>
      </c>
      <c r="BY436" s="245" t="s">
        <v>478</v>
      </c>
      <c r="BZ436" s="245" t="s">
        <v>479</v>
      </c>
      <c r="CA436" s="11"/>
      <c r="CB436" s="247"/>
      <c r="CC436" s="247"/>
      <c r="CD436" s="247"/>
      <c r="CE436" s="11"/>
      <c r="CF436" s="11"/>
      <c r="CG436" s="11"/>
      <c r="CH436" s="236">
        <v>535500</v>
      </c>
      <c r="CI436" s="238">
        <f>+CH436*0</f>
        <v>0</v>
      </c>
      <c r="CJ436" s="236">
        <f t="shared" ref="CJ436:CJ442" si="173">+CH436+CI436</f>
        <v>535500</v>
      </c>
      <c r="CK436" s="245" t="s">
        <v>478</v>
      </c>
      <c r="CL436" s="245" t="s">
        <v>479</v>
      </c>
      <c r="CM436" s="11"/>
      <c r="CN436" s="247"/>
      <c r="CO436" s="247"/>
      <c r="CP436" s="247"/>
      <c r="CQ436" s="11"/>
      <c r="CR436" s="11"/>
      <c r="CS436" s="11"/>
      <c r="CT436" s="247"/>
      <c r="CU436" s="247"/>
      <c r="CV436" s="247"/>
      <c r="CW436" s="11"/>
      <c r="CX436" s="11"/>
      <c r="CY436" s="11"/>
      <c r="CZ436" s="102"/>
      <c r="DA436" s="102"/>
      <c r="DB436" s="102"/>
      <c r="DC436" s="31"/>
      <c r="DD436" s="11"/>
      <c r="DE436" s="11"/>
      <c r="DF436" s="11"/>
      <c r="DG436" s="11"/>
      <c r="DH436" s="11"/>
      <c r="DI436" s="11"/>
      <c r="DJ436" s="11"/>
      <c r="DK436" s="11"/>
      <c r="DL436" s="11"/>
      <c r="DM436" s="11"/>
      <c r="DN436" s="11"/>
      <c r="DO436" s="11"/>
      <c r="DP436" s="11"/>
      <c r="DQ436" s="11"/>
      <c r="DR436" s="11"/>
      <c r="DS436" s="11"/>
      <c r="DT436" s="11"/>
      <c r="DU436" s="11"/>
      <c r="DV436" s="11"/>
      <c r="DW436" s="11"/>
      <c r="DX436" s="11"/>
      <c r="DY436" s="11"/>
      <c r="DZ436" s="11"/>
      <c r="EA436" s="11"/>
      <c r="EB436" s="11"/>
      <c r="EC436" s="11"/>
      <c r="ED436" s="11"/>
      <c r="EE436" s="11"/>
      <c r="EF436" s="11"/>
      <c r="EG436" s="11"/>
      <c r="EH436" s="11"/>
      <c r="EI436" s="11"/>
      <c r="EJ436" s="11"/>
      <c r="EK436" s="11"/>
      <c r="EL436" s="11"/>
      <c r="EM436" s="11"/>
      <c r="EN436" s="11"/>
      <c r="EO436" s="11"/>
      <c r="EP436" s="11"/>
      <c r="EQ436" s="11"/>
      <c r="ER436" s="11"/>
      <c r="ES436" s="11"/>
      <c r="ET436" s="11"/>
      <c r="EU436" s="11"/>
      <c r="EV436" s="11"/>
      <c r="EW436" s="11"/>
      <c r="EX436" s="11"/>
      <c r="EY436" s="11"/>
      <c r="EZ436" s="11"/>
      <c r="FA436" s="11"/>
      <c r="FB436" s="11"/>
      <c r="FC436" s="11"/>
      <c r="FD436" s="11"/>
      <c r="FE436" s="11"/>
      <c r="FF436" s="11"/>
      <c r="FG436" s="11"/>
      <c r="FH436" s="17">
        <f t="shared" si="169"/>
        <v>1045500</v>
      </c>
      <c r="FI436" s="31">
        <f t="shared" si="170"/>
        <v>2</v>
      </c>
      <c r="FJ436" s="68">
        <f t="shared" si="171"/>
        <v>522750</v>
      </c>
    </row>
    <row r="437" spans="1:166" ht="38.25" x14ac:dyDescent="0.25">
      <c r="A437" s="248">
        <f>Distribución_Reactivos!A437</f>
        <v>435</v>
      </c>
      <c r="B437" s="248" t="str">
        <f>Distribución_Reactivos!B437</f>
        <v>Dicromato de potasio reactivo analítico con certificado de análisis. Estandar primario</v>
      </c>
      <c r="C437" s="248" t="str">
        <f>Distribución_Reactivos!C437</f>
        <v>cualquier marca</v>
      </c>
      <c r="D437" s="248" t="str">
        <f>Distribución_Reactivos!D437</f>
        <v>Frasco x 100g</v>
      </c>
      <c r="E437" s="29">
        <v>1</v>
      </c>
      <c r="F437" s="212">
        <v>0</v>
      </c>
      <c r="G437" s="214">
        <v>0</v>
      </c>
      <c r="H437" s="221">
        <v>0</v>
      </c>
      <c r="I437" s="221">
        <v>0</v>
      </c>
      <c r="J437" s="221">
        <v>0</v>
      </c>
      <c r="K437" s="221">
        <v>0</v>
      </c>
      <c r="L437" s="247"/>
      <c r="M437" s="247"/>
      <c r="N437" s="218"/>
      <c r="O437" s="102"/>
      <c r="P437" s="102"/>
      <c r="Q437" s="44"/>
      <c r="R437" s="44"/>
      <c r="S437" s="5"/>
      <c r="T437" s="102"/>
      <c r="U437" s="102"/>
      <c r="V437" s="102"/>
      <c r="W437" s="11"/>
      <c r="X437" s="11"/>
      <c r="Y437" s="11"/>
      <c r="Z437" s="102"/>
      <c r="AA437" s="102"/>
      <c r="AB437" s="102"/>
      <c r="AC437" s="44"/>
      <c r="AD437" s="44"/>
      <c r="AE437" s="11"/>
      <c r="AF437" s="102"/>
      <c r="AG437" s="102"/>
      <c r="AH437" s="102"/>
      <c r="AI437" s="11"/>
      <c r="AJ437" s="11"/>
      <c r="AK437" s="11"/>
      <c r="AL437" s="102">
        <v>470000</v>
      </c>
      <c r="AM437" s="97">
        <f>+AL437*0.19</f>
        <v>89300</v>
      </c>
      <c r="AN437" s="103">
        <f>+AL437+AM437</f>
        <v>559300</v>
      </c>
      <c r="AO437" s="248" t="s">
        <v>61</v>
      </c>
      <c r="AP437" s="11" t="s">
        <v>52</v>
      </c>
      <c r="AQ437" s="11"/>
      <c r="AR437" s="247"/>
      <c r="AS437" s="247"/>
      <c r="AT437" s="247"/>
      <c r="AU437" s="42"/>
      <c r="AV437" s="42"/>
      <c r="AW437" s="11"/>
      <c r="AX437" s="247"/>
      <c r="AY437" s="247"/>
      <c r="AZ437" s="247"/>
      <c r="BA437" s="11"/>
      <c r="BB437" s="11"/>
      <c r="BC437" s="11"/>
      <c r="BD437" s="247"/>
      <c r="BE437" s="247"/>
      <c r="BF437" s="247"/>
      <c r="BG437" s="11"/>
      <c r="BH437" s="11"/>
      <c r="BI437" s="11"/>
      <c r="BJ437" s="247"/>
      <c r="BK437" s="247"/>
      <c r="BL437" s="247"/>
      <c r="BM437" s="11"/>
      <c r="BN437" s="11"/>
      <c r="BO437" s="11"/>
      <c r="BP437" s="247"/>
      <c r="BQ437" s="11"/>
      <c r="BR437" s="11"/>
      <c r="BS437" s="11"/>
      <c r="BT437" s="11"/>
      <c r="BU437" s="11"/>
      <c r="BV437" s="236">
        <v>1316000</v>
      </c>
      <c r="BW437" s="125">
        <f>BV437*19%</f>
        <v>250040</v>
      </c>
      <c r="BX437" s="97">
        <f>+BV437+BW437</f>
        <v>1566040</v>
      </c>
      <c r="BY437" s="245" t="s">
        <v>317</v>
      </c>
      <c r="BZ437" s="245" t="s">
        <v>52</v>
      </c>
      <c r="CA437" s="11"/>
      <c r="CB437" s="247"/>
      <c r="CC437" s="247"/>
      <c r="CD437" s="247"/>
      <c r="CE437" s="11"/>
      <c r="CF437" s="11"/>
      <c r="CG437" s="11"/>
      <c r="CH437" s="241">
        <v>1329160</v>
      </c>
      <c r="CI437" s="238">
        <f t="shared" ref="CI437:CI442" si="174">+CH437*0.19</f>
        <v>252540.4</v>
      </c>
      <c r="CJ437" s="236">
        <f t="shared" si="173"/>
        <v>1581700.4</v>
      </c>
      <c r="CK437" s="245" t="s">
        <v>317</v>
      </c>
      <c r="CL437" s="245" t="s">
        <v>52</v>
      </c>
      <c r="CM437" s="11"/>
      <c r="CN437" s="247"/>
      <c r="CO437" s="247"/>
      <c r="CP437" s="247"/>
      <c r="CQ437" s="11"/>
      <c r="CR437" s="11"/>
      <c r="CS437" s="11"/>
      <c r="CT437" s="247"/>
      <c r="CU437" s="247"/>
      <c r="CV437" s="247"/>
      <c r="CW437" s="11"/>
      <c r="CX437" s="11"/>
      <c r="CY437" s="11"/>
      <c r="CZ437" s="102"/>
      <c r="DA437" s="102"/>
      <c r="DB437" s="102"/>
      <c r="DC437" s="31"/>
      <c r="DD437" s="11"/>
      <c r="DE437" s="11"/>
      <c r="DF437" s="11"/>
      <c r="DG437" s="11"/>
      <c r="DH437" s="11"/>
      <c r="DI437" s="11"/>
      <c r="DJ437" s="11"/>
      <c r="DK437" s="11"/>
      <c r="DL437" s="11"/>
      <c r="DM437" s="11"/>
      <c r="DN437" s="11"/>
      <c r="DO437" s="11"/>
      <c r="DP437" s="11"/>
      <c r="DQ437" s="11"/>
      <c r="DR437" s="11"/>
      <c r="DS437" s="11"/>
      <c r="DT437" s="11"/>
      <c r="DU437" s="11"/>
      <c r="DV437" s="11"/>
      <c r="DW437" s="11"/>
      <c r="DX437" s="11"/>
      <c r="DY437" s="11"/>
      <c r="DZ437" s="11"/>
      <c r="EA437" s="11"/>
      <c r="EB437" s="11"/>
      <c r="EC437" s="11"/>
      <c r="ED437" s="11"/>
      <c r="EE437" s="11"/>
      <c r="EF437" s="11"/>
      <c r="EG437" s="11"/>
      <c r="EH437" s="11"/>
      <c r="EI437" s="11"/>
      <c r="EJ437" s="11"/>
      <c r="EK437" s="11"/>
      <c r="EL437" s="11"/>
      <c r="EM437" s="11"/>
      <c r="EN437" s="11"/>
      <c r="EO437" s="11"/>
      <c r="EP437" s="11"/>
      <c r="EQ437" s="11"/>
      <c r="ER437" s="11"/>
      <c r="ES437" s="11"/>
      <c r="ET437" s="11"/>
      <c r="EU437" s="11"/>
      <c r="EV437" s="11"/>
      <c r="EW437" s="11"/>
      <c r="EX437" s="11"/>
      <c r="EY437" s="11"/>
      <c r="EZ437" s="11"/>
      <c r="FA437" s="11"/>
      <c r="FB437" s="11"/>
      <c r="FC437" s="11"/>
      <c r="FD437" s="11"/>
      <c r="FE437" s="11"/>
      <c r="FF437" s="11"/>
      <c r="FG437" s="11"/>
      <c r="FH437" s="17">
        <f t="shared" si="169"/>
        <v>3707040.4</v>
      </c>
      <c r="FI437" s="31">
        <f t="shared" si="170"/>
        <v>3</v>
      </c>
      <c r="FJ437" s="68">
        <f t="shared" si="171"/>
        <v>1235680.1333333333</v>
      </c>
    </row>
    <row r="438" spans="1:166" ht="51" x14ac:dyDescent="0.25">
      <c r="A438" s="248">
        <f>Distribución_Reactivos!A438</f>
        <v>436</v>
      </c>
      <c r="B438" s="248" t="str">
        <f>Distribución_Reactivos!B438</f>
        <v>Atrazina D5, estandar deuterado con certificado de análisis y fecha de vencimiento superior a 6 meses
CAS 16316-75-1</v>
      </c>
      <c r="C438" s="248" t="str">
        <f>Distribución_Reactivos!C438</f>
        <v xml:space="preserve">Dr Ehrenstorfer, HPC Standars, Sigma o equivalentes </v>
      </c>
      <c r="D438" s="248" t="str">
        <f>Distribución_Reactivos!D438</f>
        <v>frasco x 10 mg</v>
      </c>
      <c r="E438" s="29">
        <v>1</v>
      </c>
      <c r="F438" s="212">
        <v>0</v>
      </c>
      <c r="G438" s="214">
        <v>0</v>
      </c>
      <c r="H438" s="221">
        <v>0</v>
      </c>
      <c r="I438" s="221">
        <v>0</v>
      </c>
      <c r="J438" s="221">
        <v>0</v>
      </c>
      <c r="K438" s="221">
        <v>0</v>
      </c>
      <c r="L438" s="247"/>
      <c r="M438" s="247"/>
      <c r="N438" s="218"/>
      <c r="O438" s="102"/>
      <c r="P438" s="102"/>
      <c r="Q438" s="44"/>
      <c r="R438" s="44"/>
      <c r="S438" s="5"/>
      <c r="T438" s="102"/>
      <c r="U438" s="102"/>
      <c r="V438" s="102"/>
      <c r="W438" s="11"/>
      <c r="X438" s="11"/>
      <c r="Y438" s="11"/>
      <c r="Z438" s="102"/>
      <c r="AA438" s="102"/>
      <c r="AB438" s="102"/>
      <c r="AC438" s="44"/>
      <c r="AD438" s="44"/>
      <c r="AE438" s="11"/>
      <c r="AF438" s="102"/>
      <c r="AG438" s="102"/>
      <c r="AH438" s="102"/>
      <c r="AI438" s="11"/>
      <c r="AJ438" s="11"/>
      <c r="AK438" s="11"/>
      <c r="AL438" s="102"/>
      <c r="AM438" s="102"/>
      <c r="AN438" s="102"/>
      <c r="AO438" s="248"/>
      <c r="AP438" s="11"/>
      <c r="AQ438" s="11"/>
      <c r="AR438" s="247"/>
      <c r="AS438" s="247"/>
      <c r="AT438" s="247"/>
      <c r="AU438" s="52"/>
      <c r="AV438" s="42"/>
      <c r="AW438" s="11"/>
      <c r="AX438" s="247"/>
      <c r="AY438" s="247"/>
      <c r="AZ438" s="247"/>
      <c r="BA438" s="11"/>
      <c r="BB438" s="11"/>
      <c r="BC438" s="11"/>
      <c r="BD438" s="247"/>
      <c r="BE438" s="247"/>
      <c r="BF438" s="247"/>
      <c r="BG438" s="11"/>
      <c r="BH438" s="11"/>
      <c r="BI438" s="11"/>
      <c r="BJ438" s="247"/>
      <c r="BK438" s="247"/>
      <c r="BL438" s="247"/>
      <c r="BM438" s="11"/>
      <c r="BN438" s="11"/>
      <c r="BO438" s="11"/>
      <c r="BP438" s="247"/>
      <c r="BQ438" s="11"/>
      <c r="BR438" s="11"/>
      <c r="BS438" s="11"/>
      <c r="BT438" s="11"/>
      <c r="BU438" s="11"/>
      <c r="BV438" s="236">
        <v>1915200</v>
      </c>
      <c r="BW438" s="125">
        <f>BV438*19%</f>
        <v>363888</v>
      </c>
      <c r="BX438" s="97">
        <f>+BV438+BW438</f>
        <v>2279088</v>
      </c>
      <c r="BY438" s="245" t="s">
        <v>304</v>
      </c>
      <c r="BZ438" s="245" t="s">
        <v>480</v>
      </c>
      <c r="CA438" s="11"/>
      <c r="CB438" s="247"/>
      <c r="CC438" s="247"/>
      <c r="CD438" s="247"/>
      <c r="CE438" s="11"/>
      <c r="CF438" s="11"/>
      <c r="CG438" s="11"/>
      <c r="CH438" s="241">
        <v>1934352</v>
      </c>
      <c r="CI438" s="238">
        <f t="shared" si="174"/>
        <v>367526.88</v>
      </c>
      <c r="CJ438" s="236">
        <f t="shared" si="173"/>
        <v>2301878.88</v>
      </c>
      <c r="CK438" s="245" t="s">
        <v>304</v>
      </c>
      <c r="CL438" s="245" t="s">
        <v>480</v>
      </c>
      <c r="CM438" s="11"/>
      <c r="CN438" s="247">
        <v>1315789</v>
      </c>
      <c r="CO438" s="247">
        <f>+CN438*0.19</f>
        <v>249999.91</v>
      </c>
      <c r="CP438" s="247">
        <f>+CO438+CN438</f>
        <v>1565788.91</v>
      </c>
      <c r="CQ438" s="11"/>
      <c r="CR438" s="11"/>
      <c r="CS438" s="11"/>
      <c r="CT438" s="247"/>
      <c r="CU438" s="247"/>
      <c r="CV438" s="247"/>
      <c r="CW438" s="11"/>
      <c r="CX438" s="11"/>
      <c r="CY438" s="11"/>
      <c r="CZ438" s="102"/>
      <c r="DA438" s="102"/>
      <c r="DB438" s="102"/>
      <c r="DC438" s="31"/>
      <c r="DD438" s="11"/>
      <c r="DE438" s="11"/>
      <c r="DF438" s="11"/>
      <c r="DG438" s="11"/>
      <c r="DH438" s="11"/>
      <c r="DI438" s="11"/>
      <c r="DJ438" s="11"/>
      <c r="DK438" s="11"/>
      <c r="DL438" s="11"/>
      <c r="DM438" s="11"/>
      <c r="DN438" s="11"/>
      <c r="DO438" s="11"/>
      <c r="DP438" s="11"/>
      <c r="DQ438" s="11"/>
      <c r="DR438" s="11"/>
      <c r="DS438" s="11"/>
      <c r="DT438" s="11"/>
      <c r="DU438" s="11"/>
      <c r="DV438" s="11"/>
      <c r="DW438" s="11"/>
      <c r="DX438" s="11"/>
      <c r="DY438" s="11"/>
      <c r="DZ438" s="11"/>
      <c r="EA438" s="11"/>
      <c r="EB438" s="11"/>
      <c r="EC438" s="11"/>
      <c r="ED438" s="11"/>
      <c r="EE438" s="11"/>
      <c r="EF438" s="11"/>
      <c r="EG438" s="11"/>
      <c r="EH438" s="11"/>
      <c r="EI438" s="11"/>
      <c r="EJ438" s="11"/>
      <c r="EK438" s="11"/>
      <c r="EL438" s="11"/>
      <c r="EM438" s="11"/>
      <c r="EN438" s="11"/>
      <c r="EO438" s="11"/>
      <c r="EP438" s="11"/>
      <c r="EQ438" s="11"/>
      <c r="ER438" s="11"/>
      <c r="ES438" s="11"/>
      <c r="ET438" s="11"/>
      <c r="EU438" s="11"/>
      <c r="EV438" s="11"/>
      <c r="EW438" s="11"/>
      <c r="EX438" s="11"/>
      <c r="EY438" s="11"/>
      <c r="EZ438" s="11"/>
      <c r="FA438" s="11"/>
      <c r="FB438" s="11"/>
      <c r="FC438" s="11"/>
      <c r="FD438" s="11"/>
      <c r="FE438" s="11"/>
      <c r="FF438" s="11"/>
      <c r="FG438" s="11"/>
      <c r="FH438" s="17">
        <f t="shared" si="169"/>
        <v>6146755.79</v>
      </c>
      <c r="FI438" s="31">
        <f t="shared" si="170"/>
        <v>3</v>
      </c>
      <c r="FJ438" s="68">
        <f t="shared" si="171"/>
        <v>2048918.5966666667</v>
      </c>
    </row>
    <row r="439" spans="1:166" ht="51" x14ac:dyDescent="0.25">
      <c r="A439" s="248">
        <f>Distribución_Reactivos!A439</f>
        <v>437</v>
      </c>
      <c r="B439" s="248" t="str">
        <f>Distribución_Reactivos!B439</f>
        <v>Estandar PCB 28 con certificado de análisis y fecha de vencimiento inferior a 6 meses</v>
      </c>
      <c r="C439" s="248" t="str">
        <f>Distribución_Reactivos!C439</f>
        <v xml:space="preserve">Dr Ehrenstorfer, HPC Standars, Sigma o equivalentes </v>
      </c>
      <c r="D439" s="248" t="str">
        <f>Distribución_Reactivos!D439</f>
        <v>frasco x 10 mg</v>
      </c>
      <c r="E439" s="29">
        <v>1</v>
      </c>
      <c r="F439" s="212">
        <v>0</v>
      </c>
      <c r="G439" s="214">
        <v>0</v>
      </c>
      <c r="H439" s="221">
        <v>0</v>
      </c>
      <c r="I439" s="221">
        <v>0</v>
      </c>
      <c r="J439" s="221">
        <v>0</v>
      </c>
      <c r="K439" s="221">
        <v>0</v>
      </c>
      <c r="L439" s="247"/>
      <c r="M439" s="247"/>
      <c r="N439" s="218"/>
      <c r="O439" s="102"/>
      <c r="P439" s="102"/>
      <c r="Q439" s="44"/>
      <c r="R439" s="44"/>
      <c r="S439" s="5"/>
      <c r="T439" s="102"/>
      <c r="U439" s="102"/>
      <c r="V439" s="102"/>
      <c r="W439" s="11"/>
      <c r="X439" s="11"/>
      <c r="Y439" s="11"/>
      <c r="Z439" s="102"/>
      <c r="AA439" s="102"/>
      <c r="AB439" s="102"/>
      <c r="AC439" s="44"/>
      <c r="AD439" s="44"/>
      <c r="AE439" s="11"/>
      <c r="AF439" s="102"/>
      <c r="AG439" s="102"/>
      <c r="AH439" s="102"/>
      <c r="AI439" s="11"/>
      <c r="AJ439" s="11"/>
      <c r="AK439" s="11"/>
      <c r="AL439" s="102"/>
      <c r="AM439" s="102"/>
      <c r="AN439" s="102"/>
      <c r="AO439" s="248"/>
      <c r="AP439" s="11"/>
      <c r="AQ439" s="11"/>
      <c r="AR439" s="247"/>
      <c r="AS439" s="247"/>
      <c r="AT439" s="247"/>
      <c r="AU439" s="52"/>
      <c r="AV439" s="42"/>
      <c r="AW439" s="11"/>
      <c r="AX439" s="247"/>
      <c r="AY439" s="247"/>
      <c r="AZ439" s="247"/>
      <c r="BA439" s="11"/>
      <c r="BB439" s="11"/>
      <c r="BC439" s="11"/>
      <c r="BD439" s="247"/>
      <c r="BE439" s="247"/>
      <c r="BF439" s="247"/>
      <c r="BG439" s="11"/>
      <c r="BH439" s="11"/>
      <c r="BI439" s="11"/>
      <c r="BJ439" s="247"/>
      <c r="BK439" s="247"/>
      <c r="BL439" s="247"/>
      <c r="BM439" s="11"/>
      <c r="BN439" s="11"/>
      <c r="BO439" s="11"/>
      <c r="BP439" s="247"/>
      <c r="BQ439" s="11"/>
      <c r="BR439" s="11"/>
      <c r="BS439" s="11"/>
      <c r="BT439" s="11"/>
      <c r="BU439" s="11"/>
      <c r="BV439" s="236">
        <v>2087800</v>
      </c>
      <c r="BW439" s="125">
        <f t="shared" ref="BW439:BW451" si="175">BV439*19%</f>
        <v>396682</v>
      </c>
      <c r="BX439" s="97">
        <f t="shared" ref="BX439:BX457" si="176">+BV439+BW439</f>
        <v>2484482</v>
      </c>
      <c r="BY439" s="245" t="s">
        <v>298</v>
      </c>
      <c r="BZ439" s="245" t="s">
        <v>480</v>
      </c>
      <c r="CA439" s="11"/>
      <c r="CB439" s="247"/>
      <c r="CC439" s="247"/>
      <c r="CD439" s="247"/>
      <c r="CE439" s="11"/>
      <c r="CF439" s="11"/>
      <c r="CG439" s="11"/>
      <c r="CH439" s="241">
        <v>2233946</v>
      </c>
      <c r="CI439" s="238">
        <f t="shared" si="174"/>
        <v>424449.74</v>
      </c>
      <c r="CJ439" s="236">
        <f t="shared" si="173"/>
        <v>2658395.7400000002</v>
      </c>
      <c r="CK439" s="245" t="s">
        <v>298</v>
      </c>
      <c r="CL439" s="245" t="s">
        <v>480</v>
      </c>
      <c r="CM439" s="11"/>
      <c r="CN439" s="247">
        <v>525285</v>
      </c>
      <c r="CO439" s="247">
        <f t="shared" ref="CO439:CO451" si="177">+CN439*0.19</f>
        <v>99804.15</v>
      </c>
      <c r="CP439" s="247">
        <f>+CN439+CO439</f>
        <v>625089.15</v>
      </c>
      <c r="CQ439" s="11"/>
      <c r="CR439" s="11"/>
      <c r="CS439" s="11"/>
      <c r="CT439" s="247"/>
      <c r="CU439" s="247"/>
      <c r="CV439" s="247"/>
      <c r="CW439" s="11"/>
      <c r="CX439" s="11"/>
      <c r="CY439" s="11"/>
      <c r="CZ439" s="102"/>
      <c r="DA439" s="102"/>
      <c r="DB439" s="102"/>
      <c r="DC439" s="31"/>
      <c r="DD439" s="11"/>
      <c r="DE439" s="11"/>
      <c r="DF439" s="11"/>
      <c r="DG439" s="11"/>
      <c r="DH439" s="11"/>
      <c r="DI439" s="11"/>
      <c r="DJ439" s="11"/>
      <c r="DK439" s="11"/>
      <c r="DL439" s="11"/>
      <c r="DM439" s="11"/>
      <c r="DN439" s="11"/>
      <c r="DO439" s="11"/>
      <c r="DP439" s="11"/>
      <c r="DQ439" s="11"/>
      <c r="DR439" s="11"/>
      <c r="DS439" s="11"/>
      <c r="DT439" s="11"/>
      <c r="DU439" s="11"/>
      <c r="DV439" s="11"/>
      <c r="DW439" s="11"/>
      <c r="DX439" s="11"/>
      <c r="DY439" s="11"/>
      <c r="DZ439" s="11"/>
      <c r="EA439" s="11"/>
      <c r="EB439" s="11"/>
      <c r="EC439" s="11"/>
      <c r="ED439" s="11"/>
      <c r="EE439" s="11"/>
      <c r="EF439" s="11"/>
      <c r="EG439" s="11"/>
      <c r="EH439" s="11"/>
      <c r="EI439" s="11"/>
      <c r="EJ439" s="11"/>
      <c r="EK439" s="11"/>
      <c r="EL439" s="11"/>
      <c r="EM439" s="11"/>
      <c r="EN439" s="11"/>
      <c r="EO439" s="11"/>
      <c r="EP439" s="11"/>
      <c r="EQ439" s="11"/>
      <c r="ER439" s="11"/>
      <c r="ES439" s="11"/>
      <c r="ET439" s="11"/>
      <c r="EU439" s="11"/>
      <c r="EV439" s="11"/>
      <c r="EW439" s="11"/>
      <c r="EX439" s="11"/>
      <c r="EY439" s="11"/>
      <c r="EZ439" s="11"/>
      <c r="FA439" s="11"/>
      <c r="FB439" s="11"/>
      <c r="FC439" s="11"/>
      <c r="FD439" s="11"/>
      <c r="FE439" s="11"/>
      <c r="FF439" s="11"/>
      <c r="FG439" s="11"/>
      <c r="FH439" s="17">
        <f t="shared" si="169"/>
        <v>5767966.8900000006</v>
      </c>
      <c r="FI439" s="31">
        <f t="shared" si="170"/>
        <v>3</v>
      </c>
      <c r="FJ439" s="68">
        <f t="shared" si="171"/>
        <v>1922655.6300000001</v>
      </c>
    </row>
    <row r="440" spans="1:166" ht="51" x14ac:dyDescent="0.25">
      <c r="A440" s="248">
        <f>Distribución_Reactivos!A440</f>
        <v>438</v>
      </c>
      <c r="B440" s="248" t="str">
        <f>Distribución_Reactivos!B440</f>
        <v>Estandar PCB 101 con certificado de análisis y fecha de vencimiento inferior a 6 meses</v>
      </c>
      <c r="C440" s="248" t="str">
        <f>Distribución_Reactivos!C440</f>
        <v xml:space="preserve">Dr Ehrenstorfer, HPC Standars, Sigma o equivalentes </v>
      </c>
      <c r="D440" s="248" t="str">
        <f>Distribución_Reactivos!D440</f>
        <v>frasco x 10 mg</v>
      </c>
      <c r="E440" s="29">
        <v>1</v>
      </c>
      <c r="F440" s="212">
        <v>0</v>
      </c>
      <c r="G440" s="214">
        <v>0</v>
      </c>
      <c r="H440" s="221">
        <v>0</v>
      </c>
      <c r="I440" s="221">
        <v>0</v>
      </c>
      <c r="J440" s="221">
        <v>0</v>
      </c>
      <c r="K440" s="221">
        <v>0</v>
      </c>
      <c r="L440" s="247"/>
      <c r="M440" s="247"/>
      <c r="N440" s="218"/>
      <c r="O440" s="102"/>
      <c r="P440" s="102"/>
      <c r="Q440" s="44"/>
      <c r="R440" s="44"/>
      <c r="S440" s="5"/>
      <c r="T440" s="102"/>
      <c r="U440" s="102"/>
      <c r="V440" s="102"/>
      <c r="W440" s="11"/>
      <c r="X440" s="11"/>
      <c r="Y440" s="11"/>
      <c r="Z440" s="102"/>
      <c r="AA440" s="102"/>
      <c r="AB440" s="102"/>
      <c r="AC440" s="44"/>
      <c r="AD440" s="44"/>
      <c r="AE440" s="11"/>
      <c r="AF440" s="102"/>
      <c r="AG440" s="102"/>
      <c r="AH440" s="102"/>
      <c r="AI440" s="11"/>
      <c r="AJ440" s="11"/>
      <c r="AK440" s="11"/>
      <c r="AL440" s="102"/>
      <c r="AM440" s="102"/>
      <c r="AN440" s="102"/>
      <c r="AO440" s="248"/>
      <c r="AP440" s="11"/>
      <c r="AQ440" s="11"/>
      <c r="AR440" s="247"/>
      <c r="AS440" s="247"/>
      <c r="AT440" s="247"/>
      <c r="AU440" s="52"/>
      <c r="AV440" s="42"/>
      <c r="AW440" s="11"/>
      <c r="AX440" s="247"/>
      <c r="AY440" s="247"/>
      <c r="AZ440" s="247"/>
      <c r="BA440" s="11"/>
      <c r="BB440" s="11"/>
      <c r="BC440" s="11"/>
      <c r="BD440" s="247"/>
      <c r="BE440" s="247"/>
      <c r="BF440" s="247"/>
      <c r="BG440" s="11"/>
      <c r="BH440" s="11"/>
      <c r="BI440" s="11"/>
      <c r="BJ440" s="247"/>
      <c r="BK440" s="247"/>
      <c r="BL440" s="247"/>
      <c r="BM440" s="11"/>
      <c r="BN440" s="11"/>
      <c r="BO440" s="11"/>
      <c r="BP440" s="247"/>
      <c r="BQ440" s="11"/>
      <c r="BR440" s="11"/>
      <c r="BS440" s="11"/>
      <c r="BT440" s="11"/>
      <c r="BU440" s="11"/>
      <c r="BV440" s="236">
        <v>1635200</v>
      </c>
      <c r="BW440" s="125">
        <f t="shared" si="175"/>
        <v>310688</v>
      </c>
      <c r="BX440" s="97">
        <f t="shared" si="176"/>
        <v>1945888</v>
      </c>
      <c r="BY440" s="245" t="s">
        <v>298</v>
      </c>
      <c r="BZ440" s="245" t="s">
        <v>480</v>
      </c>
      <c r="CA440" s="11"/>
      <c r="CB440" s="247"/>
      <c r="CC440" s="247"/>
      <c r="CD440" s="247"/>
      <c r="CE440" s="11"/>
      <c r="CF440" s="11"/>
      <c r="CG440" s="11"/>
      <c r="CH440" s="241">
        <v>1651552</v>
      </c>
      <c r="CI440" s="238">
        <f t="shared" si="174"/>
        <v>313794.88</v>
      </c>
      <c r="CJ440" s="236">
        <f t="shared" si="173"/>
        <v>1965346.88</v>
      </c>
      <c r="CK440" s="245" t="s">
        <v>298</v>
      </c>
      <c r="CL440" s="245" t="s">
        <v>480</v>
      </c>
      <c r="CM440" s="11"/>
      <c r="CN440" s="247">
        <v>334180</v>
      </c>
      <c r="CO440" s="247">
        <f t="shared" si="177"/>
        <v>63494.200000000004</v>
      </c>
      <c r="CP440" s="247">
        <f>+CO440+CN440</f>
        <v>397674.2</v>
      </c>
      <c r="CQ440" s="11"/>
      <c r="CR440" s="11"/>
      <c r="CS440" s="11"/>
      <c r="CT440" s="247"/>
      <c r="CU440" s="247"/>
      <c r="CV440" s="247"/>
      <c r="CW440" s="11"/>
      <c r="CX440" s="11"/>
      <c r="CY440" s="11"/>
      <c r="CZ440" s="102"/>
      <c r="DA440" s="102"/>
      <c r="DB440" s="102"/>
      <c r="DC440" s="31"/>
      <c r="DD440" s="11"/>
      <c r="DE440" s="11"/>
      <c r="DF440" s="11"/>
      <c r="DG440" s="11"/>
      <c r="DH440" s="11"/>
      <c r="DI440" s="11"/>
      <c r="DJ440" s="11"/>
      <c r="DK440" s="11"/>
      <c r="DL440" s="11"/>
      <c r="DM440" s="11"/>
      <c r="DN440" s="11"/>
      <c r="DO440" s="11"/>
      <c r="DP440" s="11"/>
      <c r="DQ440" s="11"/>
      <c r="DR440" s="11"/>
      <c r="DS440" s="11"/>
      <c r="DT440" s="11"/>
      <c r="DU440" s="11"/>
      <c r="DV440" s="11"/>
      <c r="DW440" s="11"/>
      <c r="DX440" s="11"/>
      <c r="DY440" s="11"/>
      <c r="DZ440" s="11"/>
      <c r="EA440" s="11"/>
      <c r="EB440" s="11"/>
      <c r="EC440" s="11"/>
      <c r="ED440" s="11"/>
      <c r="EE440" s="11"/>
      <c r="EF440" s="11"/>
      <c r="EG440" s="11"/>
      <c r="EH440" s="11"/>
      <c r="EI440" s="11"/>
      <c r="EJ440" s="11"/>
      <c r="EK440" s="11"/>
      <c r="EL440" s="11"/>
      <c r="EM440" s="11"/>
      <c r="EN440" s="11"/>
      <c r="EO440" s="11"/>
      <c r="EP440" s="11"/>
      <c r="EQ440" s="11"/>
      <c r="ER440" s="11"/>
      <c r="ES440" s="11"/>
      <c r="ET440" s="11"/>
      <c r="EU440" s="11"/>
      <c r="EV440" s="11"/>
      <c r="EW440" s="11"/>
      <c r="EX440" s="11"/>
      <c r="EY440" s="11"/>
      <c r="EZ440" s="11"/>
      <c r="FA440" s="11"/>
      <c r="FB440" s="11"/>
      <c r="FC440" s="11"/>
      <c r="FD440" s="11"/>
      <c r="FE440" s="11"/>
      <c r="FF440" s="11"/>
      <c r="FG440" s="11"/>
      <c r="FH440" s="17">
        <f t="shared" si="169"/>
        <v>4308909.08</v>
      </c>
      <c r="FI440" s="31">
        <f t="shared" si="170"/>
        <v>3</v>
      </c>
      <c r="FJ440" s="68">
        <f t="shared" si="171"/>
        <v>1436303.0266666666</v>
      </c>
    </row>
    <row r="441" spans="1:166" ht="51" x14ac:dyDescent="0.25">
      <c r="A441" s="248">
        <f>Distribución_Reactivos!A441</f>
        <v>439</v>
      </c>
      <c r="B441" s="248" t="str">
        <f>Distribución_Reactivos!B441</f>
        <v>Estandar PCB 138 con certificado de análisis y fecha de vencimiento inferior a 6 meses</v>
      </c>
      <c r="C441" s="248" t="str">
        <f>Distribución_Reactivos!C441</f>
        <v xml:space="preserve">Dr Ehrenstorfer, HPC Standars, Sigma o equivalentes </v>
      </c>
      <c r="D441" s="248" t="str">
        <f>Distribución_Reactivos!D441</f>
        <v>frasco x 10 mg</v>
      </c>
      <c r="E441" s="29">
        <v>1</v>
      </c>
      <c r="F441" s="212">
        <v>0</v>
      </c>
      <c r="G441" s="214">
        <v>0</v>
      </c>
      <c r="H441" s="221">
        <v>0</v>
      </c>
      <c r="I441" s="221">
        <v>0</v>
      </c>
      <c r="J441" s="221">
        <v>0</v>
      </c>
      <c r="K441" s="221">
        <v>0</v>
      </c>
      <c r="L441" s="247"/>
      <c r="M441" s="247"/>
      <c r="N441" s="218"/>
      <c r="O441" s="102"/>
      <c r="P441" s="102"/>
      <c r="Q441" s="44"/>
      <c r="R441" s="44"/>
      <c r="S441" s="5"/>
      <c r="T441" s="102"/>
      <c r="U441" s="102"/>
      <c r="V441" s="102"/>
      <c r="W441" s="11"/>
      <c r="X441" s="11"/>
      <c r="Y441" s="11"/>
      <c r="Z441" s="102"/>
      <c r="AA441" s="102"/>
      <c r="AB441" s="102"/>
      <c r="AC441" s="44"/>
      <c r="AD441" s="44"/>
      <c r="AE441" s="11"/>
      <c r="AF441" s="102"/>
      <c r="AG441" s="102"/>
      <c r="AH441" s="102"/>
      <c r="AI441" s="11"/>
      <c r="AJ441" s="11"/>
      <c r="AK441" s="11"/>
      <c r="AL441" s="102"/>
      <c r="AM441" s="102"/>
      <c r="AN441" s="102"/>
      <c r="AO441" s="248"/>
      <c r="AP441" s="11"/>
      <c r="AQ441" s="11"/>
      <c r="AR441" s="247"/>
      <c r="AS441" s="247"/>
      <c r="AT441" s="247"/>
      <c r="AU441" s="52"/>
      <c r="AV441" s="42"/>
      <c r="AW441" s="11"/>
      <c r="AX441" s="247"/>
      <c r="AY441" s="247"/>
      <c r="AZ441" s="247"/>
      <c r="BA441" s="11"/>
      <c r="BB441" s="11"/>
      <c r="BC441" s="11"/>
      <c r="BD441" s="247"/>
      <c r="BE441" s="247"/>
      <c r="BF441" s="247"/>
      <c r="BG441" s="11"/>
      <c r="BH441" s="11"/>
      <c r="BI441" s="11"/>
      <c r="BJ441" s="247"/>
      <c r="BK441" s="247"/>
      <c r="BL441" s="247"/>
      <c r="BM441" s="11"/>
      <c r="BN441" s="11"/>
      <c r="BO441" s="11"/>
      <c r="BP441" s="247"/>
      <c r="BQ441" s="11"/>
      <c r="BR441" s="11"/>
      <c r="BS441" s="11"/>
      <c r="BT441" s="11"/>
      <c r="BU441" s="11"/>
      <c r="BV441" s="236">
        <v>2087800</v>
      </c>
      <c r="BW441" s="125">
        <f t="shared" si="175"/>
        <v>396682</v>
      </c>
      <c r="BX441" s="97">
        <f t="shared" si="176"/>
        <v>2484482</v>
      </c>
      <c r="BY441" s="245" t="s">
        <v>298</v>
      </c>
      <c r="BZ441" s="245" t="s">
        <v>480</v>
      </c>
      <c r="CA441" s="11"/>
      <c r="CB441" s="247"/>
      <c r="CC441" s="247"/>
      <c r="CD441" s="247"/>
      <c r="CE441" s="11"/>
      <c r="CF441" s="11"/>
      <c r="CG441" s="11"/>
      <c r="CH441" s="241">
        <v>2150434</v>
      </c>
      <c r="CI441" s="238">
        <f t="shared" si="174"/>
        <v>408582.46</v>
      </c>
      <c r="CJ441" s="236">
        <f t="shared" si="173"/>
        <v>2559016.46</v>
      </c>
      <c r="CK441" s="245" t="s">
        <v>298</v>
      </c>
      <c r="CL441" s="245" t="s">
        <v>480</v>
      </c>
      <c r="CM441" s="11"/>
      <c r="CN441" s="247">
        <v>4809820</v>
      </c>
      <c r="CO441" s="247">
        <f t="shared" si="177"/>
        <v>913865.8</v>
      </c>
      <c r="CP441" s="247">
        <f>+CO441+CN441</f>
        <v>5723685.7999999998</v>
      </c>
      <c r="CQ441" s="11"/>
      <c r="CR441" s="11"/>
      <c r="CS441" s="11"/>
      <c r="CT441" s="247"/>
      <c r="CU441" s="247"/>
      <c r="CV441" s="247"/>
      <c r="CW441" s="11"/>
      <c r="CX441" s="11"/>
      <c r="CY441" s="11"/>
      <c r="CZ441" s="102"/>
      <c r="DA441" s="102"/>
      <c r="DB441" s="102"/>
      <c r="DC441" s="31"/>
      <c r="DD441" s="11"/>
      <c r="DE441" s="11"/>
      <c r="DF441" s="11"/>
      <c r="DG441" s="11"/>
      <c r="DH441" s="11"/>
      <c r="DI441" s="11"/>
      <c r="DJ441" s="11"/>
      <c r="DK441" s="11"/>
      <c r="DL441" s="11"/>
      <c r="DM441" s="11"/>
      <c r="DN441" s="11"/>
      <c r="DO441" s="11"/>
      <c r="DP441" s="11"/>
      <c r="DQ441" s="11"/>
      <c r="DR441" s="11"/>
      <c r="DS441" s="11"/>
      <c r="DT441" s="11"/>
      <c r="DU441" s="11"/>
      <c r="DV441" s="11"/>
      <c r="DW441" s="11"/>
      <c r="DX441" s="11"/>
      <c r="DY441" s="11"/>
      <c r="DZ441" s="11"/>
      <c r="EA441" s="11"/>
      <c r="EB441" s="11"/>
      <c r="EC441" s="11"/>
      <c r="ED441" s="11"/>
      <c r="EE441" s="11"/>
      <c r="EF441" s="11"/>
      <c r="EG441" s="11"/>
      <c r="EH441" s="11"/>
      <c r="EI441" s="11"/>
      <c r="EJ441" s="11"/>
      <c r="EK441" s="11"/>
      <c r="EL441" s="11"/>
      <c r="EM441" s="11"/>
      <c r="EN441" s="11"/>
      <c r="EO441" s="11"/>
      <c r="EP441" s="11"/>
      <c r="EQ441" s="11"/>
      <c r="ER441" s="11"/>
      <c r="ES441" s="11"/>
      <c r="ET441" s="11"/>
      <c r="EU441" s="11"/>
      <c r="EV441" s="11"/>
      <c r="EW441" s="11"/>
      <c r="EX441" s="11"/>
      <c r="EY441" s="11"/>
      <c r="EZ441" s="11"/>
      <c r="FA441" s="11"/>
      <c r="FB441" s="11"/>
      <c r="FC441" s="11"/>
      <c r="FD441" s="11"/>
      <c r="FE441" s="11"/>
      <c r="FF441" s="11"/>
      <c r="FG441" s="11"/>
      <c r="FH441" s="17">
        <f t="shared" si="169"/>
        <v>10767184.26</v>
      </c>
      <c r="FI441" s="31">
        <f t="shared" si="170"/>
        <v>3</v>
      </c>
      <c r="FJ441" s="68">
        <f t="shared" si="171"/>
        <v>3589061.42</v>
      </c>
    </row>
    <row r="442" spans="1:166" ht="51" x14ac:dyDescent="0.25">
      <c r="A442" s="248">
        <f>Distribución_Reactivos!A442</f>
        <v>440</v>
      </c>
      <c r="B442" s="248" t="str">
        <f>Distribución_Reactivos!B442</f>
        <v>Estandar PCB 153 con certificado de análisis y fecha de vencimiento inferior a 6 meses</v>
      </c>
      <c r="C442" s="248" t="str">
        <f>Distribución_Reactivos!C442</f>
        <v xml:space="preserve">Dr Ehrenstorfer, HPC Standars, Sigma o equivalentes </v>
      </c>
      <c r="D442" s="248" t="str">
        <f>Distribución_Reactivos!D442</f>
        <v>frasco x 10 mg</v>
      </c>
      <c r="E442" s="29">
        <v>1</v>
      </c>
      <c r="F442" s="212">
        <v>0</v>
      </c>
      <c r="G442" s="214">
        <v>0</v>
      </c>
      <c r="H442" s="221">
        <v>0</v>
      </c>
      <c r="I442" s="221">
        <v>0</v>
      </c>
      <c r="J442" s="221">
        <v>0</v>
      </c>
      <c r="K442" s="221">
        <v>0</v>
      </c>
      <c r="L442" s="247"/>
      <c r="M442" s="247"/>
      <c r="N442" s="218"/>
      <c r="O442" s="102"/>
      <c r="P442" s="102"/>
      <c r="Q442" s="44"/>
      <c r="R442" s="44"/>
      <c r="S442" s="5"/>
      <c r="T442" s="102"/>
      <c r="U442" s="102"/>
      <c r="V442" s="102"/>
      <c r="W442" s="11"/>
      <c r="X442" s="11"/>
      <c r="Y442" s="11"/>
      <c r="Z442" s="102"/>
      <c r="AA442" s="102"/>
      <c r="AB442" s="102"/>
      <c r="AC442" s="44"/>
      <c r="AD442" s="44"/>
      <c r="AE442" s="11"/>
      <c r="AF442" s="102"/>
      <c r="AG442" s="102"/>
      <c r="AH442" s="102"/>
      <c r="AI442" s="11"/>
      <c r="AJ442" s="11"/>
      <c r="AK442" s="11"/>
      <c r="AL442" s="102"/>
      <c r="AM442" s="102"/>
      <c r="AN442" s="102"/>
      <c r="AO442" s="248"/>
      <c r="AP442" s="11"/>
      <c r="AQ442" s="11"/>
      <c r="AR442" s="247"/>
      <c r="AS442" s="247"/>
      <c r="AT442" s="247"/>
      <c r="AU442" s="52"/>
      <c r="AV442" s="42"/>
      <c r="AW442" s="11"/>
      <c r="AX442" s="247"/>
      <c r="AY442" s="247"/>
      <c r="AZ442" s="247"/>
      <c r="BA442" s="11"/>
      <c r="BB442" s="11"/>
      <c r="BC442" s="11"/>
      <c r="BD442" s="247"/>
      <c r="BE442" s="247"/>
      <c r="BF442" s="247"/>
      <c r="BG442" s="11"/>
      <c r="BH442" s="11"/>
      <c r="BI442" s="11"/>
      <c r="BJ442" s="247"/>
      <c r="BK442" s="247"/>
      <c r="BL442" s="247"/>
      <c r="BM442" s="11"/>
      <c r="BN442" s="11"/>
      <c r="BO442" s="11"/>
      <c r="BP442" s="247"/>
      <c r="BQ442" s="11"/>
      <c r="BR442" s="11"/>
      <c r="BS442" s="11"/>
      <c r="BT442" s="11"/>
      <c r="BU442" s="11"/>
      <c r="BV442" s="236">
        <v>1883400</v>
      </c>
      <c r="BW442" s="125">
        <f t="shared" si="175"/>
        <v>357846</v>
      </c>
      <c r="BX442" s="97">
        <f t="shared" si="176"/>
        <v>2241246</v>
      </c>
      <c r="BY442" s="245" t="s">
        <v>298</v>
      </c>
      <c r="BZ442" s="245" t="s">
        <v>480</v>
      </c>
      <c r="CA442" s="11"/>
      <c r="CB442" s="247"/>
      <c r="CC442" s="247"/>
      <c r="CD442" s="247"/>
      <c r="CE442" s="11"/>
      <c r="CF442" s="11"/>
      <c r="CG442" s="11"/>
      <c r="CH442" s="241">
        <v>1902234</v>
      </c>
      <c r="CI442" s="238">
        <f t="shared" si="174"/>
        <v>361424.46</v>
      </c>
      <c r="CJ442" s="236">
        <f t="shared" si="173"/>
        <v>2263658.46</v>
      </c>
      <c r="CK442" s="245" t="s">
        <v>298</v>
      </c>
      <c r="CL442" s="245" t="s">
        <v>480</v>
      </c>
      <c r="CM442" s="11"/>
      <c r="CN442" s="247">
        <v>673504</v>
      </c>
      <c r="CO442" s="247">
        <f t="shared" si="177"/>
        <v>127965.75999999999</v>
      </c>
      <c r="CP442" s="247">
        <f t="shared" ref="CP442:CP451" si="178">+CN442+CO442</f>
        <v>801469.76</v>
      </c>
      <c r="CQ442" s="11"/>
      <c r="CR442" s="11"/>
      <c r="CS442" s="11"/>
      <c r="CT442" s="247"/>
      <c r="CU442" s="247"/>
      <c r="CV442" s="247"/>
      <c r="CW442" s="11"/>
      <c r="CX442" s="11"/>
      <c r="CY442" s="11"/>
      <c r="CZ442" s="102"/>
      <c r="DA442" s="102"/>
      <c r="DB442" s="102"/>
      <c r="DC442" s="31"/>
      <c r="DD442" s="11"/>
      <c r="DE442" s="11"/>
      <c r="DF442" s="11"/>
      <c r="DG442" s="11"/>
      <c r="DH442" s="11"/>
      <c r="DI442" s="11"/>
      <c r="DJ442" s="11"/>
      <c r="DK442" s="11"/>
      <c r="DL442" s="11"/>
      <c r="DM442" s="11"/>
      <c r="DN442" s="11"/>
      <c r="DO442" s="11"/>
      <c r="DP442" s="11"/>
      <c r="DQ442" s="11"/>
      <c r="DR442" s="11"/>
      <c r="DS442" s="11"/>
      <c r="DT442" s="11"/>
      <c r="DU442" s="11"/>
      <c r="DV442" s="11"/>
      <c r="DW442" s="11"/>
      <c r="DX442" s="11"/>
      <c r="DY442" s="11"/>
      <c r="DZ442" s="11"/>
      <c r="EA442" s="11"/>
      <c r="EB442" s="11"/>
      <c r="EC442" s="11"/>
      <c r="ED442" s="11"/>
      <c r="EE442" s="11"/>
      <c r="EF442" s="11"/>
      <c r="EG442" s="11"/>
      <c r="EH442" s="11"/>
      <c r="EI442" s="11"/>
      <c r="EJ442" s="11"/>
      <c r="EK442" s="11"/>
      <c r="EL442" s="11"/>
      <c r="EM442" s="11"/>
      <c r="EN442" s="11"/>
      <c r="EO442" s="11"/>
      <c r="EP442" s="11"/>
      <c r="EQ442" s="11"/>
      <c r="ER442" s="11"/>
      <c r="ES442" s="11"/>
      <c r="ET442" s="11"/>
      <c r="EU442" s="11"/>
      <c r="EV442" s="11"/>
      <c r="EW442" s="11"/>
      <c r="EX442" s="11"/>
      <c r="EY442" s="11"/>
      <c r="EZ442" s="11"/>
      <c r="FA442" s="11"/>
      <c r="FB442" s="11"/>
      <c r="FC442" s="11"/>
      <c r="FD442" s="11"/>
      <c r="FE442" s="11"/>
      <c r="FF442" s="11"/>
      <c r="FG442" s="11"/>
      <c r="FH442" s="17">
        <f t="shared" si="169"/>
        <v>5306374.22</v>
      </c>
      <c r="FI442" s="31">
        <f t="shared" si="170"/>
        <v>3</v>
      </c>
      <c r="FJ442" s="68">
        <f t="shared" si="171"/>
        <v>1768791.4066666665</v>
      </c>
    </row>
    <row r="443" spans="1:166" ht="63.75" x14ac:dyDescent="0.25">
      <c r="A443" s="248">
        <f>Distribución_Reactivos!A443</f>
        <v>441</v>
      </c>
      <c r="B443" s="248" t="str">
        <f>Distribución_Reactivos!B443</f>
        <v>Estandar PCB 180 con certificado de análisis y fecha de vencimiento inferior a 6 meses</v>
      </c>
      <c r="C443" s="248" t="str">
        <f>Distribución_Reactivos!C443</f>
        <v>Recuperando datos. Espere unos segundos e intente cortar o copiar de nuevo.</v>
      </c>
      <c r="D443" s="248" t="str">
        <f>Distribución_Reactivos!D443</f>
        <v>frasco x 10 mg</v>
      </c>
      <c r="E443" s="29">
        <v>1</v>
      </c>
      <c r="F443" s="212">
        <v>0</v>
      </c>
      <c r="G443" s="214">
        <v>0</v>
      </c>
      <c r="H443" s="221">
        <v>0</v>
      </c>
      <c r="I443" s="221">
        <v>0</v>
      </c>
      <c r="J443" s="221">
        <v>0</v>
      </c>
      <c r="K443" s="221">
        <v>0</v>
      </c>
      <c r="L443" s="247"/>
      <c r="M443" s="247"/>
      <c r="N443" s="218"/>
      <c r="O443" s="102"/>
      <c r="P443" s="102"/>
      <c r="Q443" s="44"/>
      <c r="R443" s="44"/>
      <c r="S443" s="5"/>
      <c r="T443" s="102"/>
      <c r="U443" s="102"/>
      <c r="V443" s="102"/>
      <c r="W443" s="11"/>
      <c r="X443" s="11"/>
      <c r="Y443" s="11"/>
      <c r="Z443" s="102"/>
      <c r="AA443" s="102"/>
      <c r="AB443" s="102"/>
      <c r="AC443" s="44"/>
      <c r="AD443" s="44"/>
      <c r="AE443" s="11"/>
      <c r="AF443" s="102"/>
      <c r="AG443" s="102"/>
      <c r="AH443" s="102"/>
      <c r="AI443" s="11"/>
      <c r="AJ443" s="11"/>
      <c r="AK443" s="11"/>
      <c r="AL443" s="102"/>
      <c r="AM443" s="102"/>
      <c r="AN443" s="102"/>
      <c r="AO443" s="248"/>
      <c r="AP443" s="11"/>
      <c r="AQ443" s="11"/>
      <c r="AR443" s="247"/>
      <c r="AS443" s="247"/>
      <c r="AT443" s="247"/>
      <c r="AU443" s="52"/>
      <c r="AV443" s="42"/>
      <c r="AW443" s="11"/>
      <c r="AX443" s="247"/>
      <c r="AY443" s="247"/>
      <c r="AZ443" s="247"/>
      <c r="BA443" s="11"/>
      <c r="BB443" s="11"/>
      <c r="BC443" s="11"/>
      <c r="BD443" s="247"/>
      <c r="BE443" s="247"/>
      <c r="BF443" s="247"/>
      <c r="BG443" s="11"/>
      <c r="BH443" s="11"/>
      <c r="BI443" s="11"/>
      <c r="BJ443" s="247"/>
      <c r="BK443" s="247"/>
      <c r="BL443" s="247"/>
      <c r="BM443" s="11"/>
      <c r="BN443" s="11"/>
      <c r="BO443" s="11"/>
      <c r="BP443" s="247"/>
      <c r="BQ443" s="11"/>
      <c r="BR443" s="11"/>
      <c r="BS443" s="11"/>
      <c r="BT443" s="11"/>
      <c r="BU443" s="11"/>
      <c r="BV443" s="236">
        <v>3912800</v>
      </c>
      <c r="BW443" s="125">
        <f t="shared" si="175"/>
        <v>743432</v>
      </c>
      <c r="BX443" s="97">
        <f t="shared" si="176"/>
        <v>4656232</v>
      </c>
      <c r="BY443" s="245" t="s">
        <v>481</v>
      </c>
      <c r="BZ443" s="245" t="s">
        <v>480</v>
      </c>
      <c r="CA443" s="11"/>
      <c r="CB443" s="247"/>
      <c r="CC443" s="247"/>
      <c r="CD443" s="247"/>
      <c r="CE443" s="11"/>
      <c r="CF443" s="11"/>
      <c r="CG443" s="11"/>
      <c r="CH443" s="241"/>
      <c r="CI443" s="238"/>
      <c r="CJ443" s="236"/>
      <c r="CK443" s="245"/>
      <c r="CL443" s="245"/>
      <c r="CM443" s="11"/>
      <c r="CN443" s="247">
        <v>915201</v>
      </c>
      <c r="CO443" s="247">
        <f t="shared" si="177"/>
        <v>173888.19</v>
      </c>
      <c r="CP443" s="247">
        <f t="shared" si="178"/>
        <v>1089089.19</v>
      </c>
      <c r="CQ443" s="11"/>
      <c r="CR443" s="11"/>
      <c r="CS443" s="11"/>
      <c r="CT443" s="247"/>
      <c r="CU443" s="247"/>
      <c r="CV443" s="247"/>
      <c r="CW443" s="11"/>
      <c r="CX443" s="11"/>
      <c r="CY443" s="11"/>
      <c r="CZ443" s="102"/>
      <c r="DA443" s="102"/>
      <c r="DB443" s="102"/>
      <c r="DC443" s="31"/>
      <c r="DD443" s="11"/>
      <c r="DE443" s="11"/>
      <c r="DF443" s="11"/>
      <c r="DG443" s="11"/>
      <c r="DH443" s="11"/>
      <c r="DI443" s="11"/>
      <c r="DJ443" s="11"/>
      <c r="DK443" s="11"/>
      <c r="DL443" s="11"/>
      <c r="DM443" s="11"/>
      <c r="DN443" s="11"/>
      <c r="DO443" s="11"/>
      <c r="DP443" s="11"/>
      <c r="DQ443" s="11"/>
      <c r="DR443" s="11"/>
      <c r="DS443" s="11"/>
      <c r="DT443" s="11"/>
      <c r="DU443" s="11"/>
      <c r="DV443" s="11"/>
      <c r="DW443" s="11"/>
      <c r="DX443" s="11"/>
      <c r="DY443" s="11"/>
      <c r="DZ443" s="11"/>
      <c r="EA443" s="11"/>
      <c r="EB443" s="11"/>
      <c r="EC443" s="11"/>
      <c r="ED443" s="11"/>
      <c r="EE443" s="11"/>
      <c r="EF443" s="11"/>
      <c r="EG443" s="11"/>
      <c r="EH443" s="11"/>
      <c r="EI443" s="11"/>
      <c r="EJ443" s="11"/>
      <c r="EK443" s="11"/>
      <c r="EL443" s="11"/>
      <c r="EM443" s="11"/>
      <c r="EN443" s="11"/>
      <c r="EO443" s="11"/>
      <c r="EP443" s="11"/>
      <c r="EQ443" s="11"/>
      <c r="ER443" s="11"/>
      <c r="ES443" s="11"/>
      <c r="ET443" s="11"/>
      <c r="EU443" s="11"/>
      <c r="EV443" s="11"/>
      <c r="EW443" s="11"/>
      <c r="EX443" s="11"/>
      <c r="EY443" s="11"/>
      <c r="EZ443" s="11"/>
      <c r="FA443" s="11"/>
      <c r="FB443" s="11"/>
      <c r="FC443" s="11"/>
      <c r="FD443" s="11"/>
      <c r="FE443" s="11"/>
      <c r="FF443" s="11"/>
      <c r="FG443" s="11"/>
      <c r="FH443" s="17">
        <f t="shared" si="169"/>
        <v>5745321.1899999995</v>
      </c>
      <c r="FI443" s="31">
        <f t="shared" si="170"/>
        <v>2</v>
      </c>
      <c r="FJ443" s="68">
        <f t="shared" si="171"/>
        <v>2872660.5949999997</v>
      </c>
    </row>
    <row r="444" spans="1:166" ht="51" x14ac:dyDescent="0.25">
      <c r="A444" s="248">
        <f>Distribución_Reactivos!A444</f>
        <v>442</v>
      </c>
      <c r="B444" s="248" t="str">
        <f>Distribución_Reactivos!B444</f>
        <v>Estandar Dieldrin con certificado de análisis y fecha de vencimiento inferior a 6 meses</v>
      </c>
      <c r="C444" s="248" t="str">
        <f>Distribución_Reactivos!C444</f>
        <v xml:space="preserve">Dr Ehrenstorfer, HPC Standars, Sigma o equivalentes </v>
      </c>
      <c r="D444" s="248" t="str">
        <f>Distribución_Reactivos!D444</f>
        <v>frasco x 10 mg</v>
      </c>
      <c r="E444" s="29">
        <v>1</v>
      </c>
      <c r="F444" s="212">
        <v>0</v>
      </c>
      <c r="G444" s="214">
        <v>0</v>
      </c>
      <c r="H444" s="221">
        <v>0</v>
      </c>
      <c r="I444" s="221">
        <v>0</v>
      </c>
      <c r="J444" s="221">
        <v>0</v>
      </c>
      <c r="K444" s="221">
        <v>0</v>
      </c>
      <c r="L444" s="247"/>
      <c r="M444" s="247"/>
      <c r="N444" s="218"/>
      <c r="O444" s="102"/>
      <c r="P444" s="102"/>
      <c r="Q444" s="44"/>
      <c r="R444" s="44"/>
      <c r="S444" s="5"/>
      <c r="T444" s="102"/>
      <c r="U444" s="102"/>
      <c r="V444" s="102"/>
      <c r="W444" s="11"/>
      <c r="X444" s="11"/>
      <c r="Y444" s="11"/>
      <c r="Z444" s="102"/>
      <c r="AA444" s="102"/>
      <c r="AB444" s="102"/>
      <c r="AC444" s="44"/>
      <c r="AD444" s="44"/>
      <c r="AE444" s="11"/>
      <c r="AF444" s="102"/>
      <c r="AG444" s="102"/>
      <c r="AH444" s="102"/>
      <c r="AI444" s="11"/>
      <c r="AJ444" s="11"/>
      <c r="AK444" s="11"/>
      <c r="AL444" s="102"/>
      <c r="AM444" s="102"/>
      <c r="AN444" s="102"/>
      <c r="AO444" s="248"/>
      <c r="AP444" s="11"/>
      <c r="AQ444" s="11"/>
      <c r="AR444" s="247"/>
      <c r="AS444" s="247"/>
      <c r="AT444" s="247"/>
      <c r="AU444" s="52"/>
      <c r="AV444" s="42"/>
      <c r="AW444" s="11"/>
      <c r="AX444" s="247"/>
      <c r="AY444" s="247"/>
      <c r="AZ444" s="247"/>
      <c r="BA444" s="11"/>
      <c r="BB444" s="11"/>
      <c r="BC444" s="11"/>
      <c r="BD444" s="247"/>
      <c r="BE444" s="247"/>
      <c r="BF444" s="247"/>
      <c r="BG444" s="11"/>
      <c r="BH444" s="11"/>
      <c r="BI444" s="11"/>
      <c r="BJ444" s="247"/>
      <c r="BK444" s="247"/>
      <c r="BL444" s="247"/>
      <c r="BM444" s="11"/>
      <c r="BN444" s="11"/>
      <c r="BO444" s="11"/>
      <c r="BP444" s="247"/>
      <c r="BQ444" s="11"/>
      <c r="BR444" s="11"/>
      <c r="BS444" s="11"/>
      <c r="BT444" s="11"/>
      <c r="BU444" s="11"/>
      <c r="BV444" s="236">
        <f>1591400/5</f>
        <v>318280</v>
      </c>
      <c r="BW444" s="125">
        <f t="shared" si="175"/>
        <v>60473.2</v>
      </c>
      <c r="BX444" s="97">
        <f t="shared" si="176"/>
        <v>378753.2</v>
      </c>
      <c r="BY444" s="245" t="s">
        <v>304</v>
      </c>
      <c r="BZ444" s="245" t="s">
        <v>480</v>
      </c>
      <c r="CA444" s="11"/>
      <c r="CB444" s="247"/>
      <c r="CC444" s="247"/>
      <c r="CD444" s="247"/>
      <c r="CE444" s="11"/>
      <c r="CF444" s="11"/>
      <c r="CG444" s="11"/>
      <c r="CH444" s="241">
        <f>1623228/5</f>
        <v>324645.59999999998</v>
      </c>
      <c r="CI444" s="238">
        <f>+CH444*0.19</f>
        <v>61682.663999999997</v>
      </c>
      <c r="CJ444" s="236">
        <f>+CH444+CI444</f>
        <v>386328.26399999997</v>
      </c>
      <c r="CK444" s="245" t="s">
        <v>304</v>
      </c>
      <c r="CL444" s="245" t="s">
        <v>480</v>
      </c>
      <c r="CM444" s="11"/>
      <c r="CN444" s="247">
        <v>256661</v>
      </c>
      <c r="CO444" s="247">
        <f t="shared" si="177"/>
        <v>48765.590000000004</v>
      </c>
      <c r="CP444" s="247">
        <f t="shared" si="178"/>
        <v>305426.59000000003</v>
      </c>
      <c r="CQ444" s="11"/>
      <c r="CR444" s="11"/>
      <c r="CS444" s="11"/>
      <c r="CT444" s="247"/>
      <c r="CU444" s="247"/>
      <c r="CV444" s="247"/>
      <c r="CW444" s="11"/>
      <c r="CX444" s="11"/>
      <c r="CY444" s="11"/>
      <c r="CZ444" s="102"/>
      <c r="DA444" s="102"/>
      <c r="DB444" s="102"/>
      <c r="DC444" s="31"/>
      <c r="DD444" s="11"/>
      <c r="DE444" s="11"/>
      <c r="DF444" s="11"/>
      <c r="DG444" s="11"/>
      <c r="DH444" s="11"/>
      <c r="DI444" s="11"/>
      <c r="DJ444" s="11"/>
      <c r="DK444" s="11"/>
      <c r="DL444" s="11"/>
      <c r="DM444" s="11"/>
      <c r="DN444" s="11"/>
      <c r="DO444" s="11"/>
      <c r="DP444" s="11"/>
      <c r="DQ444" s="11"/>
      <c r="DR444" s="11"/>
      <c r="DS444" s="11"/>
      <c r="DT444" s="11"/>
      <c r="DU444" s="11"/>
      <c r="DV444" s="11"/>
      <c r="DW444" s="11"/>
      <c r="DX444" s="11"/>
      <c r="DY444" s="11"/>
      <c r="DZ444" s="11"/>
      <c r="EA444" s="11"/>
      <c r="EB444" s="11"/>
      <c r="EC444" s="11"/>
      <c r="ED444" s="11"/>
      <c r="EE444" s="11"/>
      <c r="EF444" s="11"/>
      <c r="EG444" s="11"/>
      <c r="EH444" s="11"/>
      <c r="EI444" s="11"/>
      <c r="EJ444" s="11"/>
      <c r="EK444" s="11"/>
      <c r="EL444" s="11"/>
      <c r="EM444" s="11"/>
      <c r="EN444" s="11"/>
      <c r="EO444" s="11"/>
      <c r="EP444" s="11"/>
      <c r="EQ444" s="11"/>
      <c r="ER444" s="11"/>
      <c r="ES444" s="11"/>
      <c r="ET444" s="11"/>
      <c r="EU444" s="11"/>
      <c r="EV444" s="11"/>
      <c r="EW444" s="11"/>
      <c r="EX444" s="11"/>
      <c r="EY444" s="11"/>
      <c r="EZ444" s="11"/>
      <c r="FA444" s="11"/>
      <c r="FB444" s="11"/>
      <c r="FC444" s="11"/>
      <c r="FD444" s="11"/>
      <c r="FE444" s="11"/>
      <c r="FF444" s="11"/>
      <c r="FG444" s="11"/>
      <c r="FH444" s="17">
        <f t="shared" si="169"/>
        <v>1070508.054</v>
      </c>
      <c r="FI444" s="31">
        <f t="shared" si="170"/>
        <v>3</v>
      </c>
      <c r="FJ444" s="68">
        <f t="shared" si="171"/>
        <v>356836.01799999998</v>
      </c>
    </row>
    <row r="445" spans="1:166" ht="51" x14ac:dyDescent="0.25">
      <c r="A445" s="248">
        <f>Distribución_Reactivos!A445</f>
        <v>443</v>
      </c>
      <c r="B445" s="248" t="str">
        <f>Distribución_Reactivos!B445</f>
        <v>Estandar Heptaclor con certificado de análisis y fecha de vencimiento inferior a 6 meses</v>
      </c>
      <c r="C445" s="248" t="str">
        <f>Distribución_Reactivos!C445</f>
        <v xml:space="preserve">Dr Ehrenstorfer, HPC Standars, Sigma o equivalentes </v>
      </c>
      <c r="D445" s="248" t="str">
        <f>Distribución_Reactivos!D445</f>
        <v>frasco x 10 mg</v>
      </c>
      <c r="E445" s="29">
        <v>1</v>
      </c>
      <c r="F445" s="212">
        <v>0</v>
      </c>
      <c r="G445" s="214">
        <v>0</v>
      </c>
      <c r="H445" s="221">
        <v>0</v>
      </c>
      <c r="I445" s="221">
        <v>0</v>
      </c>
      <c r="J445" s="221">
        <v>0</v>
      </c>
      <c r="K445" s="221">
        <v>0</v>
      </c>
      <c r="L445" s="247"/>
      <c r="M445" s="247"/>
      <c r="N445" s="218"/>
      <c r="O445" s="102"/>
      <c r="P445" s="102"/>
      <c r="Q445" s="44"/>
      <c r="R445" s="44"/>
      <c r="S445" s="5"/>
      <c r="T445" s="102"/>
      <c r="U445" s="102"/>
      <c r="V445" s="102"/>
      <c r="W445" s="11"/>
      <c r="X445" s="11"/>
      <c r="Y445" s="11"/>
      <c r="Z445" s="102"/>
      <c r="AA445" s="102"/>
      <c r="AB445" s="102"/>
      <c r="AC445" s="44"/>
      <c r="AD445" s="44"/>
      <c r="AE445" s="11"/>
      <c r="AF445" s="102"/>
      <c r="AG445" s="102"/>
      <c r="AH445" s="102"/>
      <c r="AI445" s="11"/>
      <c r="AJ445" s="11"/>
      <c r="AK445" s="11"/>
      <c r="AL445" s="102"/>
      <c r="AM445" s="102"/>
      <c r="AN445" s="102"/>
      <c r="AO445" s="248"/>
      <c r="AP445" s="11"/>
      <c r="AQ445" s="11"/>
      <c r="AR445" s="247"/>
      <c r="AS445" s="247"/>
      <c r="AT445" s="247"/>
      <c r="AU445" s="52"/>
      <c r="AV445" s="42"/>
      <c r="AW445" s="11"/>
      <c r="AX445" s="247"/>
      <c r="AY445" s="247"/>
      <c r="AZ445" s="247"/>
      <c r="BA445" s="11"/>
      <c r="BB445" s="11"/>
      <c r="BC445" s="11"/>
      <c r="BD445" s="247"/>
      <c r="BE445" s="247"/>
      <c r="BF445" s="247"/>
      <c r="BG445" s="11"/>
      <c r="BH445" s="11"/>
      <c r="BI445" s="11"/>
      <c r="BJ445" s="247"/>
      <c r="BK445" s="247"/>
      <c r="BL445" s="247"/>
      <c r="BM445" s="11"/>
      <c r="BN445" s="11"/>
      <c r="BO445" s="11"/>
      <c r="BP445" s="247"/>
      <c r="BQ445" s="11"/>
      <c r="BR445" s="11"/>
      <c r="BS445" s="11"/>
      <c r="BT445" s="11"/>
      <c r="BU445" s="11"/>
      <c r="BV445" s="236">
        <v>3270400</v>
      </c>
      <c r="BW445" s="125">
        <f t="shared" si="175"/>
        <v>621376</v>
      </c>
      <c r="BX445" s="97">
        <f t="shared" si="176"/>
        <v>3891776</v>
      </c>
      <c r="BY445" s="245" t="s">
        <v>288</v>
      </c>
      <c r="BZ445" s="245" t="s">
        <v>480</v>
      </c>
      <c r="CA445" s="11"/>
      <c r="CB445" s="247"/>
      <c r="CC445" s="247"/>
      <c r="CD445" s="247"/>
      <c r="CE445" s="11"/>
      <c r="CF445" s="11"/>
      <c r="CG445" s="11"/>
      <c r="CH445" s="241"/>
      <c r="CI445" s="238"/>
      <c r="CJ445" s="236"/>
      <c r="CK445" s="245"/>
      <c r="CL445" s="245"/>
      <c r="CM445" s="11"/>
      <c r="CN445" s="247">
        <v>129094</v>
      </c>
      <c r="CO445" s="247">
        <f t="shared" si="177"/>
        <v>24527.86</v>
      </c>
      <c r="CP445" s="247">
        <f t="shared" si="178"/>
        <v>153621.85999999999</v>
      </c>
      <c r="CQ445" s="11"/>
      <c r="CR445" s="11"/>
      <c r="CS445" s="11"/>
      <c r="CT445" s="247"/>
      <c r="CU445" s="247"/>
      <c r="CV445" s="247"/>
      <c r="CW445" s="11"/>
      <c r="CX445" s="11"/>
      <c r="CY445" s="11"/>
      <c r="CZ445" s="102"/>
      <c r="DA445" s="102"/>
      <c r="DB445" s="102"/>
      <c r="DC445" s="31"/>
      <c r="DD445" s="11"/>
      <c r="DE445" s="11"/>
      <c r="DF445" s="11"/>
      <c r="DG445" s="11"/>
      <c r="DH445" s="11"/>
      <c r="DI445" s="11"/>
      <c r="DJ445" s="11"/>
      <c r="DK445" s="11"/>
      <c r="DL445" s="11"/>
      <c r="DM445" s="11"/>
      <c r="DN445" s="11"/>
      <c r="DO445" s="11"/>
      <c r="DP445" s="11"/>
      <c r="DQ445" s="11"/>
      <c r="DR445" s="11"/>
      <c r="DS445" s="11"/>
      <c r="DT445" s="11"/>
      <c r="DU445" s="11"/>
      <c r="DV445" s="11"/>
      <c r="DW445" s="11"/>
      <c r="DX445" s="11"/>
      <c r="DY445" s="11"/>
      <c r="DZ445" s="11"/>
      <c r="EA445" s="11"/>
      <c r="EB445" s="11"/>
      <c r="EC445" s="11"/>
      <c r="ED445" s="11"/>
      <c r="EE445" s="11"/>
      <c r="EF445" s="11"/>
      <c r="EG445" s="11"/>
      <c r="EH445" s="11"/>
      <c r="EI445" s="11"/>
      <c r="EJ445" s="11"/>
      <c r="EK445" s="11"/>
      <c r="EL445" s="11"/>
      <c r="EM445" s="11"/>
      <c r="EN445" s="11"/>
      <c r="EO445" s="11"/>
      <c r="EP445" s="11"/>
      <c r="EQ445" s="11"/>
      <c r="ER445" s="11"/>
      <c r="ES445" s="11"/>
      <c r="ET445" s="11"/>
      <c r="EU445" s="11"/>
      <c r="EV445" s="11"/>
      <c r="EW445" s="11"/>
      <c r="EX445" s="11"/>
      <c r="EY445" s="11"/>
      <c r="EZ445" s="11"/>
      <c r="FA445" s="11"/>
      <c r="FB445" s="11"/>
      <c r="FC445" s="11"/>
      <c r="FD445" s="11"/>
      <c r="FE445" s="11"/>
      <c r="FF445" s="11"/>
      <c r="FG445" s="11"/>
      <c r="FH445" s="17">
        <f t="shared" si="169"/>
        <v>4045397.86</v>
      </c>
      <c r="FI445" s="31">
        <f t="shared" si="170"/>
        <v>2</v>
      </c>
      <c r="FJ445" s="68">
        <f t="shared" si="171"/>
        <v>2022698.93</v>
      </c>
    </row>
    <row r="446" spans="1:166" ht="51" x14ac:dyDescent="0.25">
      <c r="A446" s="248">
        <f>Distribución_Reactivos!A446</f>
        <v>444</v>
      </c>
      <c r="B446" s="248" t="str">
        <f>Distribución_Reactivos!B446</f>
        <v>Estandar Endrin con certificado de análisis y fecha de vencimiento inferior a 6 meses</v>
      </c>
      <c r="C446" s="248" t="str">
        <f>Distribución_Reactivos!C446</f>
        <v xml:space="preserve">Dr Ehrenstorfer, HPC Standars, Sigma o equivalentes </v>
      </c>
      <c r="D446" s="248" t="str">
        <f>Distribución_Reactivos!D446</f>
        <v>frasco x 10 mg</v>
      </c>
      <c r="E446" s="29">
        <v>1</v>
      </c>
      <c r="F446" s="212">
        <v>0</v>
      </c>
      <c r="G446" s="214">
        <v>0</v>
      </c>
      <c r="H446" s="221">
        <v>0</v>
      </c>
      <c r="I446" s="221">
        <v>0</v>
      </c>
      <c r="J446" s="221">
        <v>0</v>
      </c>
      <c r="K446" s="221">
        <v>0</v>
      </c>
      <c r="L446" s="247"/>
      <c r="M446" s="247"/>
      <c r="N446" s="218"/>
      <c r="O446" s="102"/>
      <c r="P446" s="102"/>
      <c r="Q446" s="44"/>
      <c r="R446" s="44"/>
      <c r="S446" s="5"/>
      <c r="T446" s="102"/>
      <c r="U446" s="102"/>
      <c r="V446" s="102"/>
      <c r="W446" s="11"/>
      <c r="X446" s="11"/>
      <c r="Y446" s="11"/>
      <c r="Z446" s="102"/>
      <c r="AA446" s="102"/>
      <c r="AB446" s="102"/>
      <c r="AC446" s="44"/>
      <c r="AD446" s="44"/>
      <c r="AE446" s="11"/>
      <c r="AF446" s="102"/>
      <c r="AG446" s="102"/>
      <c r="AH446" s="102"/>
      <c r="AI446" s="11"/>
      <c r="AJ446" s="11"/>
      <c r="AK446" s="11"/>
      <c r="AL446" s="102"/>
      <c r="AM446" s="102"/>
      <c r="AN446" s="102"/>
      <c r="AO446" s="248"/>
      <c r="AP446" s="11"/>
      <c r="AQ446" s="11"/>
      <c r="AR446" s="247"/>
      <c r="AS446" s="247"/>
      <c r="AT446" s="247"/>
      <c r="AU446" s="52"/>
      <c r="AV446" s="42"/>
      <c r="AW446" s="11"/>
      <c r="AX446" s="247"/>
      <c r="AY446" s="247"/>
      <c r="AZ446" s="247"/>
      <c r="BA446" s="11"/>
      <c r="BB446" s="11"/>
      <c r="BC446" s="11"/>
      <c r="BD446" s="247"/>
      <c r="BE446" s="247"/>
      <c r="BF446" s="247"/>
      <c r="BG446" s="11"/>
      <c r="BH446" s="11"/>
      <c r="BI446" s="11"/>
      <c r="BJ446" s="247"/>
      <c r="BK446" s="247"/>
      <c r="BL446" s="247"/>
      <c r="BM446" s="11"/>
      <c r="BN446" s="11"/>
      <c r="BO446" s="11"/>
      <c r="BP446" s="247"/>
      <c r="BQ446" s="11"/>
      <c r="BR446" s="11"/>
      <c r="BS446" s="11"/>
      <c r="BT446" s="11"/>
      <c r="BU446" s="11"/>
      <c r="BV446" s="236">
        <f>2014800/5</f>
        <v>402960</v>
      </c>
      <c r="BW446" s="125">
        <f t="shared" si="175"/>
        <v>76562.399999999994</v>
      </c>
      <c r="BX446" s="97">
        <f t="shared" si="176"/>
        <v>479522.4</v>
      </c>
      <c r="BY446" s="245" t="s">
        <v>288</v>
      </c>
      <c r="BZ446" s="245" t="s">
        <v>480</v>
      </c>
      <c r="CA446" s="11"/>
      <c r="CB446" s="247"/>
      <c r="CC446" s="247"/>
      <c r="CD446" s="247"/>
      <c r="CE446" s="11"/>
      <c r="CF446" s="11"/>
      <c r="CG446" s="11"/>
      <c r="CH446" s="241">
        <f>2135688/5</f>
        <v>427137.6</v>
      </c>
      <c r="CI446" s="238">
        <f t="shared" ref="CI446:CI451" si="179">+CH446*0.19</f>
        <v>81156.144</v>
      </c>
      <c r="CJ446" s="236">
        <f t="shared" ref="CJ446:CJ452" si="180">+CH446+CI446</f>
        <v>508293.74399999995</v>
      </c>
      <c r="CK446" s="245" t="s">
        <v>288</v>
      </c>
      <c r="CL446" s="245" t="s">
        <v>480</v>
      </c>
      <c r="CM446" s="11"/>
      <c r="CN446" s="247">
        <v>267432</v>
      </c>
      <c r="CO446" s="247">
        <f t="shared" si="177"/>
        <v>50812.08</v>
      </c>
      <c r="CP446" s="247">
        <f t="shared" si="178"/>
        <v>318244.08</v>
      </c>
      <c r="CQ446" s="11"/>
      <c r="CR446" s="11"/>
      <c r="CS446" s="11"/>
      <c r="CT446" s="247"/>
      <c r="CU446" s="247"/>
      <c r="CV446" s="247"/>
      <c r="CW446" s="11"/>
      <c r="CX446" s="11"/>
      <c r="CY446" s="11"/>
      <c r="CZ446" s="102"/>
      <c r="DA446" s="102"/>
      <c r="DB446" s="102"/>
      <c r="DC446" s="31"/>
      <c r="DD446" s="11"/>
      <c r="DE446" s="11"/>
      <c r="DF446" s="11"/>
      <c r="DG446" s="11"/>
      <c r="DH446" s="11"/>
      <c r="DI446" s="11"/>
      <c r="DJ446" s="11"/>
      <c r="DK446" s="11"/>
      <c r="DL446" s="11"/>
      <c r="DM446" s="11"/>
      <c r="DN446" s="11"/>
      <c r="DO446" s="11"/>
      <c r="DP446" s="11"/>
      <c r="DQ446" s="11"/>
      <c r="DR446" s="11"/>
      <c r="DS446" s="11"/>
      <c r="DT446" s="11"/>
      <c r="DU446" s="11"/>
      <c r="DV446" s="11"/>
      <c r="DW446" s="11"/>
      <c r="DX446" s="11"/>
      <c r="DY446" s="11"/>
      <c r="DZ446" s="11"/>
      <c r="EA446" s="11"/>
      <c r="EB446" s="11"/>
      <c r="EC446" s="11"/>
      <c r="ED446" s="11"/>
      <c r="EE446" s="11"/>
      <c r="EF446" s="11"/>
      <c r="EG446" s="11"/>
      <c r="EH446" s="11"/>
      <c r="EI446" s="11"/>
      <c r="EJ446" s="11"/>
      <c r="EK446" s="11"/>
      <c r="EL446" s="11"/>
      <c r="EM446" s="11"/>
      <c r="EN446" s="11"/>
      <c r="EO446" s="11"/>
      <c r="EP446" s="11"/>
      <c r="EQ446" s="11"/>
      <c r="ER446" s="11"/>
      <c r="ES446" s="11"/>
      <c r="ET446" s="11"/>
      <c r="EU446" s="11"/>
      <c r="EV446" s="11"/>
      <c r="EW446" s="11"/>
      <c r="EX446" s="11"/>
      <c r="EY446" s="11"/>
      <c r="EZ446" s="11"/>
      <c r="FA446" s="11"/>
      <c r="FB446" s="11"/>
      <c r="FC446" s="11"/>
      <c r="FD446" s="11"/>
      <c r="FE446" s="11"/>
      <c r="FF446" s="11"/>
      <c r="FG446" s="11"/>
      <c r="FH446" s="17">
        <f t="shared" si="169"/>
        <v>1306060.2239999999</v>
      </c>
      <c r="FI446" s="31">
        <f t="shared" si="170"/>
        <v>3</v>
      </c>
      <c r="FJ446" s="68">
        <f t="shared" si="171"/>
        <v>435353.408</v>
      </c>
    </row>
    <row r="447" spans="1:166" ht="51" x14ac:dyDescent="0.25">
      <c r="A447" s="248">
        <f>Distribución_Reactivos!A447</f>
        <v>445</v>
      </c>
      <c r="B447" s="248" t="str">
        <f>Distribución_Reactivos!B447</f>
        <v>Estandar Hexacloro benceno con certificado de análisis y fecha de vencimiento inferior a 6 meses</v>
      </c>
      <c r="C447" s="248" t="str">
        <f>Distribución_Reactivos!C447</f>
        <v xml:space="preserve">Dr Ehrenstorfer, HPC Standars, Sigma o equivalentes </v>
      </c>
      <c r="D447" s="248" t="str">
        <f>Distribución_Reactivos!D447</f>
        <v>frasco x 10 mg</v>
      </c>
      <c r="E447" s="29">
        <v>1</v>
      </c>
      <c r="F447" s="212">
        <v>0</v>
      </c>
      <c r="G447" s="214">
        <v>0</v>
      </c>
      <c r="H447" s="221">
        <v>0</v>
      </c>
      <c r="I447" s="221">
        <v>0</v>
      </c>
      <c r="J447" s="221">
        <v>0</v>
      </c>
      <c r="K447" s="221">
        <v>0</v>
      </c>
      <c r="L447" s="247"/>
      <c r="M447" s="247"/>
      <c r="N447" s="218"/>
      <c r="O447" s="102"/>
      <c r="P447" s="102"/>
      <c r="Q447" s="44"/>
      <c r="R447" s="44"/>
      <c r="S447" s="5"/>
      <c r="T447" s="102"/>
      <c r="U447" s="102"/>
      <c r="V447" s="102"/>
      <c r="W447" s="11"/>
      <c r="X447" s="11"/>
      <c r="Y447" s="11"/>
      <c r="Z447" s="102"/>
      <c r="AA447" s="102"/>
      <c r="AB447" s="102"/>
      <c r="AC447" s="44"/>
      <c r="AD447" s="44"/>
      <c r="AE447" s="11"/>
      <c r="AF447" s="102"/>
      <c r="AG447" s="102"/>
      <c r="AH447" s="102"/>
      <c r="AI447" s="11"/>
      <c r="AJ447" s="11"/>
      <c r="AK447" s="11"/>
      <c r="AL447" s="102"/>
      <c r="AM447" s="102"/>
      <c r="AN447" s="102"/>
      <c r="AO447" s="248"/>
      <c r="AP447" s="11"/>
      <c r="AQ447" s="11"/>
      <c r="AR447" s="247"/>
      <c r="AS447" s="247"/>
      <c r="AT447" s="247"/>
      <c r="AU447" s="52"/>
      <c r="AV447" s="42"/>
      <c r="AW447" s="11"/>
      <c r="AX447" s="247"/>
      <c r="AY447" s="247"/>
      <c r="AZ447" s="247"/>
      <c r="BA447" s="11"/>
      <c r="BB447" s="11"/>
      <c r="BC447" s="11"/>
      <c r="BD447" s="247"/>
      <c r="BE447" s="247"/>
      <c r="BF447" s="247"/>
      <c r="BG447" s="11"/>
      <c r="BH447" s="11"/>
      <c r="BI447" s="11"/>
      <c r="BJ447" s="247"/>
      <c r="BK447" s="247"/>
      <c r="BL447" s="247"/>
      <c r="BM447" s="11"/>
      <c r="BN447" s="11"/>
      <c r="BO447" s="11"/>
      <c r="BP447" s="247"/>
      <c r="BQ447" s="11"/>
      <c r="BR447" s="11"/>
      <c r="BS447" s="11"/>
      <c r="BT447" s="11"/>
      <c r="BU447" s="11"/>
      <c r="BV447" s="236">
        <f>1591400/18</f>
        <v>88411.111111111109</v>
      </c>
      <c r="BW447" s="125">
        <f t="shared" si="175"/>
        <v>16798.111111111109</v>
      </c>
      <c r="BX447" s="97">
        <f t="shared" si="176"/>
        <v>105209.22222222222</v>
      </c>
      <c r="BY447" s="245" t="s">
        <v>296</v>
      </c>
      <c r="BZ447" s="245" t="s">
        <v>480</v>
      </c>
      <c r="CA447" s="11"/>
      <c r="CB447" s="247"/>
      <c r="CC447" s="247"/>
      <c r="CD447" s="247"/>
      <c r="CE447" s="11"/>
      <c r="CF447" s="11"/>
      <c r="CG447" s="11"/>
      <c r="CH447" s="241">
        <f>1655056/18</f>
        <v>91947.555555555562</v>
      </c>
      <c r="CI447" s="238">
        <f t="shared" si="179"/>
        <v>17470.035555555558</v>
      </c>
      <c r="CJ447" s="236">
        <f t="shared" si="180"/>
        <v>109417.59111111112</v>
      </c>
      <c r="CK447" s="245" t="s">
        <v>296</v>
      </c>
      <c r="CL447" s="245" t="s">
        <v>480</v>
      </c>
      <c r="CM447" s="11"/>
      <c r="CN447" s="247">
        <v>80675</v>
      </c>
      <c r="CO447" s="247">
        <f t="shared" si="177"/>
        <v>15328.25</v>
      </c>
      <c r="CP447" s="247">
        <f t="shared" si="178"/>
        <v>96003.25</v>
      </c>
      <c r="CQ447" s="11"/>
      <c r="CR447" s="11"/>
      <c r="CS447" s="11"/>
      <c r="CT447" s="247"/>
      <c r="CU447" s="247"/>
      <c r="CV447" s="247"/>
      <c r="CW447" s="11"/>
      <c r="CX447" s="11"/>
      <c r="CY447" s="11"/>
      <c r="CZ447" s="102"/>
      <c r="DA447" s="102"/>
      <c r="DB447" s="102"/>
      <c r="DC447" s="31"/>
      <c r="DD447" s="11"/>
      <c r="DE447" s="11"/>
      <c r="DF447" s="11"/>
      <c r="DG447" s="11"/>
      <c r="DH447" s="11"/>
      <c r="DI447" s="11"/>
      <c r="DJ447" s="11"/>
      <c r="DK447" s="11"/>
      <c r="DL447" s="11"/>
      <c r="DM447" s="11"/>
      <c r="DN447" s="11"/>
      <c r="DO447" s="11"/>
      <c r="DP447" s="11"/>
      <c r="DQ447" s="11"/>
      <c r="DR447" s="11"/>
      <c r="DS447" s="11"/>
      <c r="DT447" s="11"/>
      <c r="DU447" s="11"/>
      <c r="DV447" s="11"/>
      <c r="DW447" s="11"/>
      <c r="DX447" s="11"/>
      <c r="DY447" s="11"/>
      <c r="DZ447" s="11"/>
      <c r="EA447" s="11"/>
      <c r="EB447" s="11"/>
      <c r="EC447" s="11"/>
      <c r="ED447" s="11"/>
      <c r="EE447" s="11"/>
      <c r="EF447" s="11"/>
      <c r="EG447" s="11"/>
      <c r="EH447" s="11"/>
      <c r="EI447" s="11"/>
      <c r="EJ447" s="11"/>
      <c r="EK447" s="11"/>
      <c r="EL447" s="11"/>
      <c r="EM447" s="11"/>
      <c r="EN447" s="11"/>
      <c r="EO447" s="11"/>
      <c r="EP447" s="11"/>
      <c r="EQ447" s="11"/>
      <c r="ER447" s="11"/>
      <c r="ES447" s="11"/>
      <c r="ET447" s="11"/>
      <c r="EU447" s="11"/>
      <c r="EV447" s="11"/>
      <c r="EW447" s="11"/>
      <c r="EX447" s="11"/>
      <c r="EY447" s="11"/>
      <c r="EZ447" s="11"/>
      <c r="FA447" s="11"/>
      <c r="FB447" s="11"/>
      <c r="FC447" s="11"/>
      <c r="FD447" s="11"/>
      <c r="FE447" s="11"/>
      <c r="FF447" s="11"/>
      <c r="FG447" s="11"/>
      <c r="FH447" s="17">
        <f t="shared" si="169"/>
        <v>310630.06333333335</v>
      </c>
      <c r="FI447" s="31">
        <f t="shared" si="170"/>
        <v>3</v>
      </c>
      <c r="FJ447" s="68">
        <f t="shared" si="171"/>
        <v>103543.35444444446</v>
      </c>
    </row>
    <row r="448" spans="1:166" ht="51" x14ac:dyDescent="0.25">
      <c r="A448" s="248">
        <f>Distribución_Reactivos!A448</f>
        <v>446</v>
      </c>
      <c r="B448" s="248" t="str">
        <f>Distribución_Reactivos!B448</f>
        <v>Estandar Mirex con certificado de análisis y fecha de vencimiento inferior a 6 meses</v>
      </c>
      <c r="C448" s="248" t="str">
        <f>Distribución_Reactivos!C448</f>
        <v xml:space="preserve">Dr Ehrenstorfer, HPC Standars, Sigma o equivalentes </v>
      </c>
      <c r="D448" s="248" t="str">
        <f>Distribución_Reactivos!D448</f>
        <v>frasco x 10 mg</v>
      </c>
      <c r="E448" s="29">
        <v>1</v>
      </c>
      <c r="F448" s="212">
        <v>0</v>
      </c>
      <c r="G448" s="214">
        <v>0</v>
      </c>
      <c r="H448" s="221">
        <v>0</v>
      </c>
      <c r="I448" s="221">
        <v>0</v>
      </c>
      <c r="J448" s="221">
        <v>0</v>
      </c>
      <c r="K448" s="221">
        <v>0</v>
      </c>
      <c r="L448" s="247"/>
      <c r="M448" s="247"/>
      <c r="N448" s="218"/>
      <c r="O448" s="102"/>
      <c r="P448" s="102"/>
      <c r="Q448" s="44"/>
      <c r="R448" s="44"/>
      <c r="S448" s="5"/>
      <c r="T448" s="102"/>
      <c r="U448" s="102"/>
      <c r="V448" s="102"/>
      <c r="W448" s="11"/>
      <c r="X448" s="11"/>
      <c r="Y448" s="11"/>
      <c r="Z448" s="102"/>
      <c r="AA448" s="102"/>
      <c r="AB448" s="102"/>
      <c r="AC448" s="44"/>
      <c r="AD448" s="44"/>
      <c r="AE448" s="11"/>
      <c r="AF448" s="102"/>
      <c r="AG448" s="102"/>
      <c r="AH448" s="102"/>
      <c r="AI448" s="11"/>
      <c r="AJ448" s="11"/>
      <c r="AK448" s="11"/>
      <c r="AL448" s="102"/>
      <c r="AM448" s="102"/>
      <c r="AN448" s="102"/>
      <c r="AO448" s="248"/>
      <c r="AP448" s="11"/>
      <c r="AQ448" s="11"/>
      <c r="AR448" s="247"/>
      <c r="AS448" s="247"/>
      <c r="AT448" s="247"/>
      <c r="AU448" s="52"/>
      <c r="AV448" s="42"/>
      <c r="AW448" s="11"/>
      <c r="AX448" s="247"/>
      <c r="AY448" s="247"/>
      <c r="AZ448" s="247"/>
      <c r="BA448" s="11"/>
      <c r="BB448" s="11"/>
      <c r="BC448" s="11"/>
      <c r="BD448" s="247"/>
      <c r="BE448" s="247"/>
      <c r="BF448" s="247"/>
      <c r="BG448" s="11"/>
      <c r="BH448" s="11"/>
      <c r="BI448" s="11"/>
      <c r="BJ448" s="247"/>
      <c r="BK448" s="247"/>
      <c r="BL448" s="247"/>
      <c r="BM448" s="11"/>
      <c r="BN448" s="11"/>
      <c r="BO448" s="11"/>
      <c r="BP448" s="247"/>
      <c r="BQ448" s="11"/>
      <c r="BR448" s="11"/>
      <c r="BS448" s="11"/>
      <c r="BT448" s="11"/>
      <c r="BU448" s="11"/>
      <c r="BV448" s="236">
        <f>1591400/5</f>
        <v>318280</v>
      </c>
      <c r="BW448" s="125">
        <f t="shared" si="175"/>
        <v>60473.2</v>
      </c>
      <c r="BX448" s="97">
        <f t="shared" si="176"/>
        <v>378753.2</v>
      </c>
      <c r="BY448" s="245" t="s">
        <v>288</v>
      </c>
      <c r="BZ448" s="245" t="s">
        <v>480</v>
      </c>
      <c r="CA448" s="11"/>
      <c r="CB448" s="247"/>
      <c r="CC448" s="247"/>
      <c r="CD448" s="247"/>
      <c r="CE448" s="11"/>
      <c r="CF448" s="11"/>
      <c r="CG448" s="11"/>
      <c r="CH448" s="241">
        <f>1623228/5</f>
        <v>324645.59999999998</v>
      </c>
      <c r="CI448" s="238">
        <f t="shared" si="179"/>
        <v>61682.663999999997</v>
      </c>
      <c r="CJ448" s="236">
        <f t="shared" si="180"/>
        <v>386328.26399999997</v>
      </c>
      <c r="CK448" s="245" t="s">
        <v>288</v>
      </c>
      <c r="CL448" s="245" t="s">
        <v>480</v>
      </c>
      <c r="CM448" s="11"/>
      <c r="CN448" s="247">
        <v>256661</v>
      </c>
      <c r="CO448" s="247">
        <f t="shared" si="177"/>
        <v>48765.590000000004</v>
      </c>
      <c r="CP448" s="247">
        <f t="shared" si="178"/>
        <v>305426.59000000003</v>
      </c>
      <c r="CQ448" s="11"/>
      <c r="CR448" s="11"/>
      <c r="CS448" s="11"/>
      <c r="CT448" s="247"/>
      <c r="CU448" s="247"/>
      <c r="CV448" s="247"/>
      <c r="CW448" s="11"/>
      <c r="CX448" s="11"/>
      <c r="CY448" s="11"/>
      <c r="CZ448" s="102"/>
      <c r="DA448" s="102"/>
      <c r="DB448" s="102"/>
      <c r="DC448" s="31"/>
      <c r="DD448" s="11"/>
      <c r="DE448" s="11"/>
      <c r="DF448" s="11"/>
      <c r="DG448" s="11"/>
      <c r="DH448" s="11"/>
      <c r="DI448" s="11"/>
      <c r="DJ448" s="11"/>
      <c r="DK448" s="11"/>
      <c r="DL448" s="11"/>
      <c r="DM448" s="11"/>
      <c r="DN448" s="11"/>
      <c r="DO448" s="11"/>
      <c r="DP448" s="11"/>
      <c r="DQ448" s="11"/>
      <c r="DR448" s="11"/>
      <c r="DS448" s="11"/>
      <c r="DT448" s="11"/>
      <c r="DU448" s="11"/>
      <c r="DV448" s="11"/>
      <c r="DW448" s="11"/>
      <c r="DX448" s="11"/>
      <c r="DY448" s="11"/>
      <c r="DZ448" s="11"/>
      <c r="EA448" s="11"/>
      <c r="EB448" s="11"/>
      <c r="EC448" s="11"/>
      <c r="ED448" s="11"/>
      <c r="EE448" s="11"/>
      <c r="EF448" s="11"/>
      <c r="EG448" s="11"/>
      <c r="EH448" s="11"/>
      <c r="EI448" s="11"/>
      <c r="EJ448" s="11"/>
      <c r="EK448" s="11"/>
      <c r="EL448" s="11"/>
      <c r="EM448" s="11"/>
      <c r="EN448" s="11"/>
      <c r="EO448" s="11"/>
      <c r="EP448" s="11"/>
      <c r="EQ448" s="11"/>
      <c r="ER448" s="11"/>
      <c r="ES448" s="11"/>
      <c r="ET448" s="11"/>
      <c r="EU448" s="11"/>
      <c r="EV448" s="11"/>
      <c r="EW448" s="11"/>
      <c r="EX448" s="11"/>
      <c r="EY448" s="11"/>
      <c r="EZ448" s="11"/>
      <c r="FA448" s="11"/>
      <c r="FB448" s="11"/>
      <c r="FC448" s="11"/>
      <c r="FD448" s="11"/>
      <c r="FE448" s="11"/>
      <c r="FF448" s="11"/>
      <c r="FG448" s="11"/>
      <c r="FH448" s="17">
        <f t="shared" si="169"/>
        <v>1070508.054</v>
      </c>
      <c r="FI448" s="31">
        <f t="shared" si="170"/>
        <v>3</v>
      </c>
      <c r="FJ448" s="68">
        <f t="shared" si="171"/>
        <v>356836.01799999998</v>
      </c>
    </row>
    <row r="449" spans="1:166" ht="51" x14ac:dyDescent="0.25">
      <c r="A449" s="248">
        <f>Distribución_Reactivos!A449</f>
        <v>447</v>
      </c>
      <c r="B449" s="248" t="str">
        <f>Distribución_Reactivos!B449</f>
        <v>Estandar 4,4-DDT con certificado de análisis y fecha de vencimiento inferior a 6 meses</v>
      </c>
      <c r="C449" s="248" t="str">
        <f>Distribución_Reactivos!C449</f>
        <v xml:space="preserve">Dr Ehrenstorfer, HPC Standars, Sigma o equivalentes </v>
      </c>
      <c r="D449" s="248" t="str">
        <f>Distribución_Reactivos!D449</f>
        <v>frasco x 10 mg</v>
      </c>
      <c r="E449" s="29">
        <v>1</v>
      </c>
      <c r="F449" s="212">
        <v>0</v>
      </c>
      <c r="G449" s="214">
        <v>0</v>
      </c>
      <c r="H449" s="221">
        <v>0</v>
      </c>
      <c r="I449" s="221">
        <v>0</v>
      </c>
      <c r="J449" s="221">
        <v>0</v>
      </c>
      <c r="K449" s="221">
        <v>0</v>
      </c>
      <c r="L449" s="247"/>
      <c r="M449" s="247"/>
      <c r="N449" s="218"/>
      <c r="O449" s="102"/>
      <c r="P449" s="102"/>
      <c r="Q449" s="44"/>
      <c r="R449" s="44"/>
      <c r="S449" s="5"/>
      <c r="T449" s="102"/>
      <c r="U449" s="102"/>
      <c r="V449" s="102"/>
      <c r="W449" s="11"/>
      <c r="X449" s="11"/>
      <c r="Y449" s="11"/>
      <c r="Z449" s="102"/>
      <c r="AA449" s="102"/>
      <c r="AB449" s="102"/>
      <c r="AC449" s="44"/>
      <c r="AD449" s="44"/>
      <c r="AE449" s="11"/>
      <c r="AF449" s="102"/>
      <c r="AG449" s="102"/>
      <c r="AH449" s="102"/>
      <c r="AI449" s="11"/>
      <c r="AJ449" s="11"/>
      <c r="AK449" s="11"/>
      <c r="AL449" s="102"/>
      <c r="AM449" s="102"/>
      <c r="AN449" s="102"/>
      <c r="AO449" s="248"/>
      <c r="AP449" s="11"/>
      <c r="AQ449" s="11"/>
      <c r="AR449" s="247"/>
      <c r="AS449" s="247"/>
      <c r="AT449" s="247"/>
      <c r="AU449" s="52"/>
      <c r="AV449" s="42"/>
      <c r="AW449" s="11"/>
      <c r="AX449" s="247"/>
      <c r="AY449" s="247"/>
      <c r="AZ449" s="247"/>
      <c r="BA449" s="11"/>
      <c r="BB449" s="11"/>
      <c r="BC449" s="11"/>
      <c r="BD449" s="247"/>
      <c r="BE449" s="247"/>
      <c r="BF449" s="247"/>
      <c r="BG449" s="11"/>
      <c r="BH449" s="11"/>
      <c r="BI449" s="11"/>
      <c r="BJ449" s="247"/>
      <c r="BK449" s="247"/>
      <c r="BL449" s="247"/>
      <c r="BM449" s="11"/>
      <c r="BN449" s="11"/>
      <c r="BO449" s="11"/>
      <c r="BP449" s="247"/>
      <c r="BQ449" s="11"/>
      <c r="BR449" s="11"/>
      <c r="BS449" s="11"/>
      <c r="BT449" s="11"/>
      <c r="BU449" s="11"/>
      <c r="BV449" s="236">
        <f>1883400/10</f>
        <v>188340</v>
      </c>
      <c r="BW449" s="125">
        <f t="shared" si="175"/>
        <v>35784.6</v>
      </c>
      <c r="BX449" s="97">
        <f t="shared" si="176"/>
        <v>224124.6</v>
      </c>
      <c r="BY449" s="245" t="s">
        <v>288</v>
      </c>
      <c r="BZ449" s="245" t="s">
        <v>480</v>
      </c>
      <c r="CA449" s="11"/>
      <c r="CB449" s="247"/>
      <c r="CC449" s="247"/>
      <c r="CD449" s="247"/>
      <c r="CE449" s="11"/>
      <c r="CF449" s="11"/>
      <c r="CG449" s="11"/>
      <c r="CH449" s="241">
        <f>1939902/10</f>
        <v>193990.2</v>
      </c>
      <c r="CI449" s="238">
        <f t="shared" si="179"/>
        <v>36858.137999999999</v>
      </c>
      <c r="CJ449" s="236">
        <f t="shared" si="180"/>
        <v>230848.33800000002</v>
      </c>
      <c r="CK449" s="245" t="s">
        <v>288</v>
      </c>
      <c r="CL449" s="245" t="s">
        <v>480</v>
      </c>
      <c r="CM449" s="11"/>
      <c r="CN449" s="247">
        <v>78106</v>
      </c>
      <c r="CO449" s="247">
        <f t="shared" si="177"/>
        <v>14840.14</v>
      </c>
      <c r="CP449" s="247">
        <f t="shared" si="178"/>
        <v>92946.14</v>
      </c>
      <c r="CQ449" s="11"/>
      <c r="CR449" s="11"/>
      <c r="CS449" s="11"/>
      <c r="CT449" s="247"/>
      <c r="CU449" s="247"/>
      <c r="CV449" s="247"/>
      <c r="CW449" s="11"/>
      <c r="CX449" s="11"/>
      <c r="CY449" s="11"/>
      <c r="CZ449" s="102"/>
      <c r="DA449" s="102"/>
      <c r="DB449" s="102"/>
      <c r="DC449" s="31"/>
      <c r="DD449" s="11"/>
      <c r="DE449" s="11"/>
      <c r="DF449" s="11"/>
      <c r="DG449" s="11"/>
      <c r="DH449" s="11"/>
      <c r="DI449" s="11"/>
      <c r="DJ449" s="11"/>
      <c r="DK449" s="11"/>
      <c r="DL449" s="11"/>
      <c r="DM449" s="11"/>
      <c r="DN449" s="11"/>
      <c r="DO449" s="11"/>
      <c r="DP449" s="11"/>
      <c r="DQ449" s="11"/>
      <c r="DR449" s="11"/>
      <c r="DS449" s="11"/>
      <c r="DT449" s="11"/>
      <c r="DU449" s="11"/>
      <c r="DV449" s="11"/>
      <c r="DW449" s="11"/>
      <c r="DX449" s="11"/>
      <c r="DY449" s="11"/>
      <c r="DZ449" s="11"/>
      <c r="EA449" s="11"/>
      <c r="EB449" s="11"/>
      <c r="EC449" s="11"/>
      <c r="ED449" s="11"/>
      <c r="EE449" s="11"/>
      <c r="EF449" s="11"/>
      <c r="EG449" s="11"/>
      <c r="EH449" s="11"/>
      <c r="EI449" s="11"/>
      <c r="EJ449" s="11"/>
      <c r="EK449" s="11"/>
      <c r="EL449" s="11"/>
      <c r="EM449" s="11"/>
      <c r="EN449" s="11"/>
      <c r="EO449" s="11"/>
      <c r="EP449" s="11"/>
      <c r="EQ449" s="11"/>
      <c r="ER449" s="11"/>
      <c r="ES449" s="11"/>
      <c r="ET449" s="11"/>
      <c r="EU449" s="11"/>
      <c r="EV449" s="11"/>
      <c r="EW449" s="11"/>
      <c r="EX449" s="11"/>
      <c r="EY449" s="11"/>
      <c r="EZ449" s="11"/>
      <c r="FA449" s="11"/>
      <c r="FB449" s="11"/>
      <c r="FC449" s="11"/>
      <c r="FD449" s="11"/>
      <c r="FE449" s="11"/>
      <c r="FF449" s="11"/>
      <c r="FG449" s="11"/>
      <c r="FH449" s="17">
        <f t="shared" si="169"/>
        <v>547919.07799999998</v>
      </c>
      <c r="FI449" s="31">
        <f t="shared" si="170"/>
        <v>3</v>
      </c>
      <c r="FJ449" s="68">
        <f t="shared" si="171"/>
        <v>182639.69266666667</v>
      </c>
    </row>
    <row r="450" spans="1:166" ht="51" x14ac:dyDescent="0.25">
      <c r="A450" s="248">
        <f>Distribución_Reactivos!A450</f>
        <v>448</v>
      </c>
      <c r="B450" s="248" t="str">
        <f>Distribución_Reactivos!B450</f>
        <v>Estandar 4,4-DDD con certificado de análisis y fecha de vencimiento inferior a 6 meses</v>
      </c>
      <c r="C450" s="248" t="str">
        <f>Distribución_Reactivos!C450</f>
        <v xml:space="preserve">Dr Ehrenstorfer, HPC Standars, Sigma o equivalentes </v>
      </c>
      <c r="D450" s="248" t="str">
        <f>Distribución_Reactivos!D450</f>
        <v>frasco x 10 mg</v>
      </c>
      <c r="E450" s="29">
        <v>1</v>
      </c>
      <c r="F450" s="212">
        <v>0</v>
      </c>
      <c r="G450" s="214">
        <v>0</v>
      </c>
      <c r="H450" s="221">
        <v>0</v>
      </c>
      <c r="I450" s="221">
        <v>0</v>
      </c>
      <c r="J450" s="221">
        <v>0</v>
      </c>
      <c r="K450" s="221">
        <v>0</v>
      </c>
      <c r="L450" s="247"/>
      <c r="M450" s="247"/>
      <c r="N450" s="218"/>
      <c r="O450" s="102"/>
      <c r="P450" s="102"/>
      <c r="Q450" s="44"/>
      <c r="R450" s="44"/>
      <c r="S450" s="5"/>
      <c r="T450" s="102"/>
      <c r="U450" s="102"/>
      <c r="V450" s="102"/>
      <c r="W450" s="11"/>
      <c r="X450" s="11"/>
      <c r="Y450" s="11"/>
      <c r="Z450" s="102"/>
      <c r="AA450" s="102"/>
      <c r="AB450" s="102"/>
      <c r="AC450" s="44"/>
      <c r="AD450" s="44"/>
      <c r="AE450" s="11"/>
      <c r="AF450" s="102"/>
      <c r="AG450" s="102"/>
      <c r="AH450" s="102"/>
      <c r="AI450" s="11"/>
      <c r="AJ450" s="11"/>
      <c r="AK450" s="11"/>
      <c r="AL450" s="102"/>
      <c r="AM450" s="102"/>
      <c r="AN450" s="102"/>
      <c r="AO450" s="248"/>
      <c r="AP450" s="11"/>
      <c r="AQ450" s="11"/>
      <c r="AR450" s="247"/>
      <c r="AS450" s="247"/>
      <c r="AT450" s="247"/>
      <c r="AU450" s="52"/>
      <c r="AV450" s="42"/>
      <c r="AW450" s="11"/>
      <c r="AX450" s="247"/>
      <c r="AY450" s="247"/>
      <c r="AZ450" s="247"/>
      <c r="BA450" s="11"/>
      <c r="BB450" s="11"/>
      <c r="BC450" s="11"/>
      <c r="BD450" s="247"/>
      <c r="BE450" s="247"/>
      <c r="BF450" s="247"/>
      <c r="BG450" s="11"/>
      <c r="BH450" s="11"/>
      <c r="BI450" s="11"/>
      <c r="BJ450" s="247"/>
      <c r="BK450" s="247"/>
      <c r="BL450" s="247"/>
      <c r="BM450" s="11"/>
      <c r="BN450" s="11"/>
      <c r="BO450" s="11"/>
      <c r="BP450" s="247"/>
      <c r="BQ450" s="11"/>
      <c r="BR450" s="11"/>
      <c r="BS450" s="11"/>
      <c r="BT450" s="11"/>
      <c r="BU450" s="11"/>
      <c r="BV450" s="236">
        <f>1635200/18</f>
        <v>90844.444444444438</v>
      </c>
      <c r="BW450" s="125">
        <f t="shared" si="175"/>
        <v>17260.444444444442</v>
      </c>
      <c r="BX450" s="97">
        <f t="shared" si="176"/>
        <v>108104.88888888888</v>
      </c>
      <c r="BY450" s="245" t="s">
        <v>296</v>
      </c>
      <c r="BZ450" s="245" t="s">
        <v>480</v>
      </c>
      <c r="CA450" s="11"/>
      <c r="CB450" s="247"/>
      <c r="CC450" s="247"/>
      <c r="CD450" s="247"/>
      <c r="CE450" s="11"/>
      <c r="CF450" s="11"/>
      <c r="CG450" s="11"/>
      <c r="CH450" s="241">
        <f>1684256/20</f>
        <v>84212.800000000003</v>
      </c>
      <c r="CI450" s="238">
        <f t="shared" si="179"/>
        <v>16000.432000000001</v>
      </c>
      <c r="CJ450" s="236">
        <f t="shared" si="180"/>
        <v>100213.232</v>
      </c>
      <c r="CK450" s="245" t="s">
        <v>296</v>
      </c>
      <c r="CL450" s="245" t="s">
        <v>480</v>
      </c>
      <c r="CM450" s="11"/>
      <c r="CN450" s="247">
        <v>81318</v>
      </c>
      <c r="CO450" s="247">
        <f t="shared" si="177"/>
        <v>15450.42</v>
      </c>
      <c r="CP450" s="247">
        <f t="shared" si="178"/>
        <v>96768.42</v>
      </c>
      <c r="CQ450" s="11"/>
      <c r="CR450" s="11"/>
      <c r="CS450" s="11"/>
      <c r="CT450" s="247"/>
      <c r="CU450" s="247"/>
      <c r="CV450" s="247"/>
      <c r="CW450" s="11"/>
      <c r="CX450" s="11"/>
      <c r="CY450" s="11"/>
      <c r="CZ450" s="102"/>
      <c r="DA450" s="102"/>
      <c r="DB450" s="102"/>
      <c r="DC450" s="31"/>
      <c r="DD450" s="11"/>
      <c r="DE450" s="11"/>
      <c r="DF450" s="11"/>
      <c r="DG450" s="11"/>
      <c r="DH450" s="11"/>
      <c r="DI450" s="11"/>
      <c r="DJ450" s="11"/>
      <c r="DK450" s="11"/>
      <c r="DL450" s="11"/>
      <c r="DM450" s="11"/>
      <c r="DN450" s="11"/>
      <c r="DO450" s="11"/>
      <c r="DP450" s="11"/>
      <c r="DQ450" s="11"/>
      <c r="DR450" s="11"/>
      <c r="DS450" s="11"/>
      <c r="DT450" s="11"/>
      <c r="DU450" s="11"/>
      <c r="DV450" s="11"/>
      <c r="DW450" s="11"/>
      <c r="DX450" s="11"/>
      <c r="DY450" s="11"/>
      <c r="DZ450" s="11"/>
      <c r="EA450" s="11"/>
      <c r="EB450" s="11"/>
      <c r="EC450" s="11"/>
      <c r="ED450" s="11"/>
      <c r="EE450" s="11"/>
      <c r="EF450" s="11"/>
      <c r="EG450" s="11"/>
      <c r="EH450" s="11"/>
      <c r="EI450" s="11"/>
      <c r="EJ450" s="11"/>
      <c r="EK450" s="11"/>
      <c r="EL450" s="11"/>
      <c r="EM450" s="11"/>
      <c r="EN450" s="11"/>
      <c r="EO450" s="11"/>
      <c r="EP450" s="11"/>
      <c r="EQ450" s="11"/>
      <c r="ER450" s="11"/>
      <c r="ES450" s="11"/>
      <c r="ET450" s="11"/>
      <c r="EU450" s="11"/>
      <c r="EV450" s="11"/>
      <c r="EW450" s="11"/>
      <c r="EX450" s="11"/>
      <c r="EY450" s="11"/>
      <c r="EZ450" s="11"/>
      <c r="FA450" s="11"/>
      <c r="FB450" s="11"/>
      <c r="FC450" s="11"/>
      <c r="FD450" s="11"/>
      <c r="FE450" s="11"/>
      <c r="FF450" s="11"/>
      <c r="FG450" s="11"/>
      <c r="FH450" s="17">
        <f t="shared" si="169"/>
        <v>305086.54088888888</v>
      </c>
      <c r="FI450" s="31">
        <f t="shared" si="170"/>
        <v>3</v>
      </c>
      <c r="FJ450" s="68">
        <f t="shared" si="171"/>
        <v>101695.51362962963</v>
      </c>
    </row>
    <row r="451" spans="1:166" ht="51" x14ac:dyDescent="0.25">
      <c r="A451" s="248">
        <f>Distribución_Reactivos!A451</f>
        <v>449</v>
      </c>
      <c r="B451" s="248" t="str">
        <f>Distribución_Reactivos!B451</f>
        <v>Estandar 4,4-DDE con certificado de análisis y fecha de vencimiento inferior a 6 meses</v>
      </c>
      <c r="C451" s="248" t="str">
        <f>Distribución_Reactivos!C451</f>
        <v xml:space="preserve">Dr Ehrenstorfer, HPC Standars, Sigma o equivalentes </v>
      </c>
      <c r="D451" s="248" t="str">
        <f>Distribución_Reactivos!D451</f>
        <v>frasco x 10 mg</v>
      </c>
      <c r="E451" s="29">
        <v>1</v>
      </c>
      <c r="F451" s="212">
        <v>0</v>
      </c>
      <c r="G451" s="214">
        <v>0</v>
      </c>
      <c r="H451" s="221">
        <v>0</v>
      </c>
      <c r="I451" s="221">
        <v>0</v>
      </c>
      <c r="J451" s="221">
        <v>0</v>
      </c>
      <c r="K451" s="221">
        <v>0</v>
      </c>
      <c r="L451" s="247"/>
      <c r="M451" s="247"/>
      <c r="N451" s="218"/>
      <c r="O451" s="102"/>
      <c r="P451" s="102"/>
      <c r="Q451" s="44"/>
      <c r="R451" s="44"/>
      <c r="S451" s="5"/>
      <c r="T451" s="102"/>
      <c r="U451" s="102"/>
      <c r="V451" s="102"/>
      <c r="W451" s="11"/>
      <c r="X451" s="11"/>
      <c r="Y451" s="11"/>
      <c r="Z451" s="102"/>
      <c r="AA451" s="102"/>
      <c r="AB451" s="102"/>
      <c r="AC451" s="44"/>
      <c r="AD451" s="44"/>
      <c r="AE451" s="11"/>
      <c r="AF451" s="102"/>
      <c r="AG451" s="102"/>
      <c r="AH451" s="102"/>
      <c r="AI451" s="11"/>
      <c r="AJ451" s="11"/>
      <c r="AK451" s="11"/>
      <c r="AL451" s="102"/>
      <c r="AM451" s="102"/>
      <c r="AN451" s="102"/>
      <c r="AO451" s="248"/>
      <c r="AP451" s="11"/>
      <c r="AQ451" s="11"/>
      <c r="AR451" s="247"/>
      <c r="AS451" s="247"/>
      <c r="AT451" s="247"/>
      <c r="AU451" s="52"/>
      <c r="AV451" s="42"/>
      <c r="AW451" s="11"/>
      <c r="AX451" s="247"/>
      <c r="AY451" s="247"/>
      <c r="AZ451" s="247"/>
      <c r="BA451" s="11"/>
      <c r="BB451" s="11"/>
      <c r="BC451" s="11"/>
      <c r="BD451" s="247"/>
      <c r="BE451" s="247"/>
      <c r="BF451" s="247"/>
      <c r="BG451" s="11"/>
      <c r="BH451" s="11"/>
      <c r="BI451" s="11"/>
      <c r="BJ451" s="247"/>
      <c r="BK451" s="247"/>
      <c r="BL451" s="247"/>
      <c r="BM451" s="11"/>
      <c r="BN451" s="11"/>
      <c r="BO451" s="11"/>
      <c r="BP451" s="247"/>
      <c r="BQ451" s="11"/>
      <c r="BR451" s="11"/>
      <c r="BS451" s="11"/>
      <c r="BT451" s="11"/>
      <c r="BU451" s="11"/>
      <c r="BV451" s="236">
        <f>1474600+10</f>
        <v>1474610</v>
      </c>
      <c r="BW451" s="125">
        <f t="shared" si="175"/>
        <v>280175.90000000002</v>
      </c>
      <c r="BX451" s="97">
        <f t="shared" si="176"/>
        <v>1754785.9</v>
      </c>
      <c r="BY451" s="245" t="s">
        <v>288</v>
      </c>
      <c r="BZ451" s="245" t="s">
        <v>480</v>
      </c>
      <c r="CA451" s="11"/>
      <c r="CB451" s="247"/>
      <c r="CC451" s="247"/>
      <c r="CD451" s="247"/>
      <c r="CE451" s="11"/>
      <c r="CF451" s="11"/>
      <c r="CG451" s="11"/>
      <c r="CH451" s="241">
        <f>1518838/10</f>
        <v>151883.79999999999</v>
      </c>
      <c r="CI451" s="238">
        <f t="shared" si="179"/>
        <v>28857.921999999999</v>
      </c>
      <c r="CJ451" s="236">
        <f t="shared" si="180"/>
        <v>180741.72199999998</v>
      </c>
      <c r="CK451" s="245" t="s">
        <v>288</v>
      </c>
      <c r="CL451" s="245" t="s">
        <v>480</v>
      </c>
      <c r="CM451" s="11"/>
      <c r="CN451" s="247">
        <v>79144</v>
      </c>
      <c r="CO451" s="247">
        <f t="shared" si="177"/>
        <v>15037.36</v>
      </c>
      <c r="CP451" s="247">
        <f t="shared" si="178"/>
        <v>94181.36</v>
      </c>
      <c r="CQ451" s="11"/>
      <c r="CR451" s="11"/>
      <c r="CS451" s="11"/>
      <c r="CT451" s="247"/>
      <c r="CU451" s="247"/>
      <c r="CV451" s="247"/>
      <c r="CW451" s="11"/>
      <c r="CX451" s="11"/>
      <c r="CY451" s="11"/>
      <c r="CZ451" s="102"/>
      <c r="DA451" s="102"/>
      <c r="DB451" s="102"/>
      <c r="DC451" s="31"/>
      <c r="DD451" s="11"/>
      <c r="DE451" s="11"/>
      <c r="DF451" s="11"/>
      <c r="DG451" s="11"/>
      <c r="DH451" s="11"/>
      <c r="DI451" s="11"/>
      <c r="DJ451" s="11"/>
      <c r="DK451" s="11"/>
      <c r="DL451" s="11"/>
      <c r="DM451" s="11"/>
      <c r="DN451" s="11"/>
      <c r="DO451" s="11"/>
      <c r="DP451" s="11"/>
      <c r="DQ451" s="11"/>
      <c r="DR451" s="11"/>
      <c r="DS451" s="11"/>
      <c r="DT451" s="11"/>
      <c r="DU451" s="11"/>
      <c r="DV451" s="11"/>
      <c r="DW451" s="11"/>
      <c r="DX451" s="11"/>
      <c r="DY451" s="11"/>
      <c r="DZ451" s="11"/>
      <c r="EA451" s="11"/>
      <c r="EB451" s="11"/>
      <c r="EC451" s="11"/>
      <c r="ED451" s="11"/>
      <c r="EE451" s="11"/>
      <c r="EF451" s="11"/>
      <c r="EG451" s="11"/>
      <c r="EH451" s="11"/>
      <c r="EI451" s="11"/>
      <c r="EJ451" s="11"/>
      <c r="EK451" s="11"/>
      <c r="EL451" s="11"/>
      <c r="EM451" s="11"/>
      <c r="EN451" s="11"/>
      <c r="EO451" s="11"/>
      <c r="EP451" s="11"/>
      <c r="EQ451" s="11"/>
      <c r="ER451" s="11"/>
      <c r="ES451" s="11"/>
      <c r="ET451" s="11"/>
      <c r="EU451" s="11"/>
      <c r="EV451" s="11"/>
      <c r="EW451" s="11"/>
      <c r="EX451" s="11"/>
      <c r="EY451" s="11"/>
      <c r="EZ451" s="11"/>
      <c r="FA451" s="11"/>
      <c r="FB451" s="11"/>
      <c r="FC451" s="11"/>
      <c r="FD451" s="11"/>
      <c r="FE451" s="11"/>
      <c r="FF451" s="11"/>
      <c r="FG451" s="11"/>
      <c r="FH451" s="17">
        <f t="shared" si="169"/>
        <v>2029708.9820000001</v>
      </c>
      <c r="FI451" s="31">
        <f t="shared" si="170"/>
        <v>3</v>
      </c>
      <c r="FJ451" s="68">
        <f t="shared" si="171"/>
        <v>676569.66066666669</v>
      </c>
    </row>
    <row r="452" spans="1:166" ht="51" x14ac:dyDescent="0.25">
      <c r="A452" s="248">
        <f>Distribución_Reactivos!A452</f>
        <v>450</v>
      </c>
      <c r="B452" s="248" t="str">
        <f>Distribución_Reactivos!B452</f>
        <v>ANTISUERO DE TIPIFICACION SALMONELLA Y SHIGELLA, SALMONELLA O GRUPO B.FACT.1,4,5,12 LIOFILIZADO</v>
      </c>
      <c r="C452" s="248">
        <f>Distribución_Reactivos!C452</f>
        <v>0</v>
      </c>
      <c r="D452" s="248" t="str">
        <f>Distribución_Reactivos!D452</f>
        <v>FRASCO X 3 ML</v>
      </c>
      <c r="E452" s="29">
        <v>1</v>
      </c>
      <c r="F452" s="212">
        <v>0</v>
      </c>
      <c r="G452" s="214">
        <v>0</v>
      </c>
      <c r="H452" s="221">
        <v>0</v>
      </c>
      <c r="I452" s="221">
        <v>0</v>
      </c>
      <c r="J452" s="221">
        <v>0</v>
      </c>
      <c r="K452" s="221">
        <v>0</v>
      </c>
      <c r="L452" s="247"/>
      <c r="M452" s="247"/>
      <c r="N452" s="218"/>
      <c r="O452" s="102"/>
      <c r="P452" s="102"/>
      <c r="Q452" s="44"/>
      <c r="R452" s="44"/>
      <c r="S452" s="5"/>
      <c r="T452" s="102"/>
      <c r="U452" s="102"/>
      <c r="V452" s="102"/>
      <c r="W452" s="11"/>
      <c r="X452" s="11"/>
      <c r="Y452" s="11"/>
      <c r="Z452" s="102"/>
      <c r="AA452" s="102"/>
      <c r="AB452" s="102"/>
      <c r="AC452" s="44"/>
      <c r="AD452" s="44"/>
      <c r="AE452" s="11"/>
      <c r="AF452" s="102"/>
      <c r="AG452" s="102"/>
      <c r="AH452" s="102"/>
      <c r="AI452" s="11"/>
      <c r="AJ452" s="11"/>
      <c r="AK452" s="11"/>
      <c r="AL452" s="102"/>
      <c r="AM452" s="102"/>
      <c r="AN452" s="102"/>
      <c r="AO452" s="248"/>
      <c r="AP452" s="11"/>
      <c r="AQ452" s="11"/>
      <c r="AR452" s="247"/>
      <c r="AS452" s="247"/>
      <c r="AT452" s="247"/>
      <c r="AU452" s="52"/>
      <c r="AV452" s="42"/>
      <c r="AW452" s="11"/>
      <c r="AX452" s="247"/>
      <c r="AY452" s="247"/>
      <c r="AZ452" s="247"/>
      <c r="BA452" s="11"/>
      <c r="BB452" s="11"/>
      <c r="BC452" s="11"/>
      <c r="BD452" s="247"/>
      <c r="BE452" s="247"/>
      <c r="BF452" s="247"/>
      <c r="BG452" s="11"/>
      <c r="BH452" s="11"/>
      <c r="BI452" s="11"/>
      <c r="BJ452" s="247"/>
      <c r="BK452" s="247"/>
      <c r="BL452" s="247"/>
      <c r="BM452" s="11"/>
      <c r="BN452" s="11"/>
      <c r="BO452" s="11"/>
      <c r="BP452" s="247"/>
      <c r="BQ452" s="11"/>
      <c r="BR452" s="11"/>
      <c r="BS452" s="11"/>
      <c r="BT452" s="11"/>
      <c r="BU452" s="11"/>
      <c r="BV452" s="241">
        <v>1800000</v>
      </c>
      <c r="BW452" s="125">
        <f t="shared" ref="BW452:BW457" si="181">BV452*0</f>
        <v>0</v>
      </c>
      <c r="BX452" s="97">
        <f t="shared" si="176"/>
        <v>1800000</v>
      </c>
      <c r="BY452" s="245" t="s">
        <v>383</v>
      </c>
      <c r="BZ452" s="245" t="s">
        <v>27</v>
      </c>
      <c r="CA452" s="11"/>
      <c r="CB452" s="247"/>
      <c r="CC452" s="247"/>
      <c r="CD452" s="247"/>
      <c r="CE452" s="11"/>
      <c r="CF452" s="11"/>
      <c r="CG452" s="11"/>
      <c r="CH452" s="241">
        <v>3941808</v>
      </c>
      <c r="CI452" s="238">
        <f>+CH452*0</f>
        <v>0</v>
      </c>
      <c r="CJ452" s="236">
        <f t="shared" si="180"/>
        <v>3941808</v>
      </c>
      <c r="CK452" s="245" t="s">
        <v>383</v>
      </c>
      <c r="CL452" s="245" t="s">
        <v>27</v>
      </c>
      <c r="CM452" s="11"/>
      <c r="CN452" s="247"/>
      <c r="CO452" s="247"/>
      <c r="CP452" s="247"/>
      <c r="CQ452" s="11"/>
      <c r="CR452" s="11"/>
      <c r="CS452" s="11"/>
      <c r="CT452" s="247"/>
      <c r="CU452" s="247"/>
      <c r="CV452" s="247"/>
      <c r="CW452" s="11"/>
      <c r="CX452" s="11"/>
      <c r="CY452" s="11"/>
      <c r="CZ452" s="102"/>
      <c r="DA452" s="102"/>
      <c r="DB452" s="102"/>
      <c r="DC452" s="31"/>
      <c r="DD452" s="11"/>
      <c r="DE452" s="11"/>
      <c r="DF452" s="11"/>
      <c r="DG452" s="11"/>
      <c r="DH452" s="11"/>
      <c r="DI452" s="11"/>
      <c r="DJ452" s="11"/>
      <c r="DK452" s="11"/>
      <c r="DL452" s="11"/>
      <c r="DM452" s="11"/>
      <c r="DN452" s="11"/>
      <c r="DO452" s="11"/>
      <c r="DP452" s="11"/>
      <c r="DQ452" s="11"/>
      <c r="DR452" s="11"/>
      <c r="DS452" s="11"/>
      <c r="DT452" s="11"/>
      <c r="DU452" s="11"/>
      <c r="DV452" s="11"/>
      <c r="DW452" s="11"/>
      <c r="DX452" s="11"/>
      <c r="DY452" s="11"/>
      <c r="DZ452" s="11"/>
      <c r="EA452" s="11"/>
      <c r="EB452" s="11"/>
      <c r="EC452" s="11"/>
      <c r="ED452" s="11"/>
      <c r="EE452" s="11"/>
      <c r="EF452" s="11"/>
      <c r="EG452" s="11"/>
      <c r="EH452" s="11"/>
      <c r="EI452" s="11"/>
      <c r="EJ452" s="11"/>
      <c r="EK452" s="11"/>
      <c r="EL452" s="11"/>
      <c r="EM452" s="11"/>
      <c r="EN452" s="11"/>
      <c r="EO452" s="11"/>
      <c r="EP452" s="11"/>
      <c r="EQ452" s="11"/>
      <c r="ER452" s="11"/>
      <c r="ES452" s="11"/>
      <c r="ET452" s="11"/>
      <c r="EU452" s="11"/>
      <c r="EV452" s="11"/>
      <c r="EW452" s="11"/>
      <c r="EX452" s="11"/>
      <c r="EY452" s="11"/>
      <c r="EZ452" s="11"/>
      <c r="FA452" s="11"/>
      <c r="FB452" s="11"/>
      <c r="FC452" s="11"/>
      <c r="FD452" s="11"/>
      <c r="FE452" s="11"/>
      <c r="FF452" s="11"/>
      <c r="FG452" s="11"/>
      <c r="FH452" s="17">
        <f t="shared" si="169"/>
        <v>5741808</v>
      </c>
      <c r="FI452" s="31">
        <f t="shared" si="170"/>
        <v>2</v>
      </c>
      <c r="FJ452" s="68">
        <f t="shared" si="171"/>
        <v>2870904</v>
      </c>
    </row>
    <row r="453" spans="1:166" ht="25.5" x14ac:dyDescent="0.25">
      <c r="A453" s="248">
        <f>Distribución_Reactivos!A453</f>
        <v>451</v>
      </c>
      <c r="B453" s="248" t="str">
        <f>Distribución_Reactivos!B453</f>
        <v>VIAL SALMONELLA H ANTISERUM SINGLE FACTOR 5,3 ML</v>
      </c>
      <c r="C453" s="248">
        <f>Distribución_Reactivos!C453</f>
        <v>0</v>
      </c>
      <c r="D453" s="248" t="str">
        <f>Distribución_Reactivos!D453</f>
        <v>FRASCO X 3 ML</v>
      </c>
      <c r="E453" s="29">
        <v>1</v>
      </c>
      <c r="F453" s="212">
        <v>0</v>
      </c>
      <c r="G453" s="214">
        <v>0</v>
      </c>
      <c r="H453" s="221">
        <v>0</v>
      </c>
      <c r="I453" s="221">
        <v>0</v>
      </c>
      <c r="J453" s="221">
        <v>0</v>
      </c>
      <c r="K453" s="221">
        <v>0</v>
      </c>
      <c r="L453" s="247"/>
      <c r="M453" s="247"/>
      <c r="N453" s="219">
        <v>1115000</v>
      </c>
      <c r="O453" s="97">
        <f>+N453*0</f>
        <v>0</v>
      </c>
      <c r="P453" s="97">
        <f>+O453+N453</f>
        <v>1115000</v>
      </c>
      <c r="Q453" s="34" t="s">
        <v>477</v>
      </c>
      <c r="R453" s="116" t="s">
        <v>193</v>
      </c>
      <c r="S453" s="5" t="s">
        <v>209</v>
      </c>
      <c r="T453" s="102"/>
      <c r="U453" s="102"/>
      <c r="V453" s="102"/>
      <c r="W453" s="11"/>
      <c r="X453" s="11"/>
      <c r="Y453" s="11"/>
      <c r="Z453" s="102"/>
      <c r="AA453" s="102"/>
      <c r="AB453" s="102"/>
      <c r="AC453" s="44"/>
      <c r="AD453" s="44"/>
      <c r="AE453" s="11"/>
      <c r="AF453" s="102"/>
      <c r="AG453" s="102"/>
      <c r="AH453" s="102"/>
      <c r="AI453" s="11"/>
      <c r="AJ453" s="11"/>
      <c r="AK453" s="11"/>
      <c r="AL453" s="102"/>
      <c r="AM453" s="102"/>
      <c r="AN453" s="102"/>
      <c r="AO453" s="248"/>
      <c r="AP453" s="11"/>
      <c r="AQ453" s="11"/>
      <c r="AR453" s="247"/>
      <c r="AS453" s="247"/>
      <c r="AT453" s="247"/>
      <c r="AU453" s="52"/>
      <c r="AV453" s="42"/>
      <c r="AW453" s="11"/>
      <c r="AX453" s="247"/>
      <c r="AY453" s="247"/>
      <c r="AZ453" s="247"/>
      <c r="BA453" s="11"/>
      <c r="BB453" s="11"/>
      <c r="BC453" s="11"/>
      <c r="BD453" s="247"/>
      <c r="BE453" s="247"/>
      <c r="BF453" s="247"/>
      <c r="BG453" s="11"/>
      <c r="BH453" s="11"/>
      <c r="BI453" s="11"/>
      <c r="BJ453" s="247"/>
      <c r="BK453" s="247"/>
      <c r="BL453" s="247"/>
      <c r="BM453" s="11"/>
      <c r="BN453" s="11"/>
      <c r="BO453" s="11"/>
      <c r="BP453" s="247"/>
      <c r="BQ453" s="11"/>
      <c r="BR453" s="11"/>
      <c r="BS453" s="11"/>
      <c r="BT453" s="11"/>
      <c r="BU453" s="11"/>
      <c r="BV453" s="241">
        <v>3600000</v>
      </c>
      <c r="BW453" s="125">
        <f t="shared" si="181"/>
        <v>0</v>
      </c>
      <c r="BX453" s="97">
        <f t="shared" si="176"/>
        <v>3600000</v>
      </c>
      <c r="BY453" s="245" t="s">
        <v>383</v>
      </c>
      <c r="BZ453" s="245" t="s">
        <v>27</v>
      </c>
      <c r="CA453" s="11"/>
      <c r="CB453" s="247"/>
      <c r="CC453" s="247"/>
      <c r="CD453" s="247"/>
      <c r="CE453" s="11"/>
      <c r="CF453" s="11"/>
      <c r="CG453" s="11"/>
      <c r="CH453" s="241"/>
      <c r="CI453" s="238"/>
      <c r="CJ453" s="236"/>
      <c r="CK453" s="245"/>
      <c r="CL453" s="245"/>
      <c r="CM453" s="11"/>
      <c r="CN453" s="247"/>
      <c r="CO453" s="247"/>
      <c r="CP453" s="247"/>
      <c r="CQ453" s="11"/>
      <c r="CR453" s="11"/>
      <c r="CS453" s="11"/>
      <c r="CT453" s="247"/>
      <c r="CU453" s="247"/>
      <c r="CV453" s="247"/>
      <c r="CW453" s="11"/>
      <c r="CX453" s="11"/>
      <c r="CY453" s="11"/>
      <c r="CZ453" s="102"/>
      <c r="DA453" s="102"/>
      <c r="DB453" s="102"/>
      <c r="DC453" s="31"/>
      <c r="DD453" s="11"/>
      <c r="DE453" s="11"/>
      <c r="DF453" s="11"/>
      <c r="DG453" s="11"/>
      <c r="DH453" s="11"/>
      <c r="DI453" s="11"/>
      <c r="DJ453" s="11"/>
      <c r="DK453" s="11"/>
      <c r="DL453" s="11"/>
      <c r="DM453" s="11"/>
      <c r="DN453" s="11"/>
      <c r="DO453" s="11"/>
      <c r="DP453" s="11"/>
      <c r="DQ453" s="11"/>
      <c r="DR453" s="11"/>
      <c r="DS453" s="11"/>
      <c r="DT453" s="11"/>
      <c r="DU453" s="11"/>
      <c r="DV453" s="11"/>
      <c r="DW453" s="11"/>
      <c r="DX453" s="11"/>
      <c r="DY453" s="11"/>
      <c r="DZ453" s="11"/>
      <c r="EA453" s="11"/>
      <c r="EB453" s="11"/>
      <c r="EC453" s="11"/>
      <c r="ED453" s="11"/>
      <c r="EE453" s="11"/>
      <c r="EF453" s="11"/>
      <c r="EG453" s="11"/>
      <c r="EH453" s="11"/>
      <c r="EI453" s="11"/>
      <c r="EJ453" s="11"/>
      <c r="EK453" s="11"/>
      <c r="EL453" s="11"/>
      <c r="EM453" s="11"/>
      <c r="EN453" s="11"/>
      <c r="EO453" s="11"/>
      <c r="EP453" s="11"/>
      <c r="EQ453" s="11"/>
      <c r="ER453" s="11"/>
      <c r="ES453" s="11"/>
      <c r="ET453" s="11"/>
      <c r="EU453" s="11"/>
      <c r="EV453" s="11"/>
      <c r="EW453" s="11"/>
      <c r="EX453" s="11"/>
      <c r="EY453" s="11"/>
      <c r="EZ453" s="11"/>
      <c r="FA453" s="11"/>
      <c r="FB453" s="11"/>
      <c r="FC453" s="11"/>
      <c r="FD453" s="11"/>
      <c r="FE453" s="11"/>
      <c r="FF453" s="11"/>
      <c r="FG453" s="11"/>
      <c r="FH453" s="17">
        <f t="shared" si="169"/>
        <v>4715000</v>
      </c>
      <c r="FI453" s="31">
        <f t="shared" si="170"/>
        <v>2</v>
      </c>
      <c r="FJ453" s="68">
        <f t="shared" si="171"/>
        <v>2357500</v>
      </c>
    </row>
    <row r="454" spans="1:166" ht="25.5" x14ac:dyDescent="0.25">
      <c r="A454" s="248">
        <f>Distribución_Reactivos!A454</f>
        <v>452</v>
      </c>
      <c r="B454" s="248" t="str">
        <f>Distribución_Reactivos!B454</f>
        <v>VIAL SALMONELLA H ANTISERUM G COMPLEX</v>
      </c>
      <c r="C454" s="248">
        <f>Distribución_Reactivos!C454</f>
        <v>0</v>
      </c>
      <c r="D454" s="248" t="str">
        <f>Distribución_Reactivos!D454</f>
        <v>FRASCO X 3 ML</v>
      </c>
      <c r="E454" s="29">
        <v>1</v>
      </c>
      <c r="F454" s="212">
        <v>0</v>
      </c>
      <c r="G454" s="214">
        <v>0</v>
      </c>
      <c r="H454" s="221">
        <v>0</v>
      </c>
      <c r="I454" s="221">
        <v>0</v>
      </c>
      <c r="J454" s="221">
        <v>0</v>
      </c>
      <c r="K454" s="221">
        <v>0</v>
      </c>
      <c r="L454" s="247"/>
      <c r="M454" s="247"/>
      <c r="N454" s="219">
        <v>1115000</v>
      </c>
      <c r="O454" s="97">
        <f>+N454*0</f>
        <v>0</v>
      </c>
      <c r="P454" s="97">
        <f>+O454+N454</f>
        <v>1115000</v>
      </c>
      <c r="Q454" s="34" t="s">
        <v>477</v>
      </c>
      <c r="R454" s="116" t="s">
        <v>193</v>
      </c>
      <c r="S454" s="5" t="s">
        <v>209</v>
      </c>
      <c r="T454" s="102"/>
      <c r="U454" s="102"/>
      <c r="V454" s="102"/>
      <c r="W454" s="11"/>
      <c r="X454" s="11"/>
      <c r="Y454" s="11"/>
      <c r="Z454" s="102"/>
      <c r="AA454" s="102"/>
      <c r="AB454" s="102"/>
      <c r="AC454" s="44"/>
      <c r="AD454" s="44"/>
      <c r="AE454" s="11"/>
      <c r="AF454" s="102"/>
      <c r="AG454" s="102"/>
      <c r="AH454" s="102"/>
      <c r="AI454" s="11"/>
      <c r="AJ454" s="11"/>
      <c r="AK454" s="11"/>
      <c r="AL454" s="102"/>
      <c r="AM454" s="102"/>
      <c r="AN454" s="102"/>
      <c r="AO454" s="248"/>
      <c r="AP454" s="11"/>
      <c r="AQ454" s="11"/>
      <c r="AR454" s="247"/>
      <c r="AS454" s="247"/>
      <c r="AT454" s="247"/>
      <c r="AU454" s="52"/>
      <c r="AV454" s="42"/>
      <c r="AW454" s="11"/>
      <c r="AX454" s="247"/>
      <c r="AY454" s="247"/>
      <c r="AZ454" s="247"/>
      <c r="BA454" s="11"/>
      <c r="BB454" s="11"/>
      <c r="BC454" s="11"/>
      <c r="BD454" s="247"/>
      <c r="BE454" s="247"/>
      <c r="BF454" s="247"/>
      <c r="BG454" s="11"/>
      <c r="BH454" s="11"/>
      <c r="BI454" s="11"/>
      <c r="BJ454" s="247"/>
      <c r="BK454" s="247"/>
      <c r="BL454" s="247"/>
      <c r="BM454" s="11"/>
      <c r="BN454" s="11"/>
      <c r="BO454" s="11"/>
      <c r="BP454" s="247"/>
      <c r="BQ454" s="11"/>
      <c r="BR454" s="11"/>
      <c r="BS454" s="11"/>
      <c r="BT454" s="11"/>
      <c r="BU454" s="11"/>
      <c r="BV454" s="241">
        <v>4000000</v>
      </c>
      <c r="BW454" s="125">
        <f t="shared" si="181"/>
        <v>0</v>
      </c>
      <c r="BX454" s="97">
        <f t="shared" si="176"/>
        <v>4000000</v>
      </c>
      <c r="BY454" s="245" t="s">
        <v>383</v>
      </c>
      <c r="BZ454" s="245" t="s">
        <v>210</v>
      </c>
      <c r="CA454" s="11"/>
      <c r="CB454" s="247"/>
      <c r="CC454" s="247"/>
      <c r="CD454" s="247"/>
      <c r="CE454" s="11"/>
      <c r="CF454" s="11"/>
      <c r="CG454" s="11"/>
      <c r="CH454" s="241"/>
      <c r="CI454" s="238"/>
      <c r="CJ454" s="236"/>
      <c r="CK454" s="245"/>
      <c r="CL454" s="245"/>
      <c r="CM454" s="11"/>
      <c r="CN454" s="247"/>
      <c r="CO454" s="247"/>
      <c r="CP454" s="247"/>
      <c r="CQ454" s="11"/>
      <c r="CR454" s="11"/>
      <c r="CS454" s="11"/>
      <c r="CT454" s="247"/>
      <c r="CU454" s="247"/>
      <c r="CV454" s="247"/>
      <c r="CW454" s="11"/>
      <c r="CX454" s="11"/>
      <c r="CY454" s="11"/>
      <c r="CZ454" s="102"/>
      <c r="DA454" s="102"/>
      <c r="DB454" s="102"/>
      <c r="DC454" s="31"/>
      <c r="DD454" s="11"/>
      <c r="DE454" s="11"/>
      <c r="DF454" s="11"/>
      <c r="DG454" s="11"/>
      <c r="DH454" s="11"/>
      <c r="DI454" s="11"/>
      <c r="DJ454" s="11"/>
      <c r="DK454" s="11"/>
      <c r="DL454" s="11"/>
      <c r="DM454" s="11"/>
      <c r="DN454" s="11"/>
      <c r="DO454" s="11"/>
      <c r="DP454" s="11"/>
      <c r="DQ454" s="11"/>
      <c r="DR454" s="11"/>
      <c r="DS454" s="11"/>
      <c r="DT454" s="11"/>
      <c r="DU454" s="11"/>
      <c r="DV454" s="11"/>
      <c r="DW454" s="11"/>
      <c r="DX454" s="11"/>
      <c r="DY454" s="11"/>
      <c r="DZ454" s="11"/>
      <c r="EA454" s="11"/>
      <c r="EB454" s="11"/>
      <c r="EC454" s="11"/>
      <c r="ED454" s="11"/>
      <c r="EE454" s="11"/>
      <c r="EF454" s="11"/>
      <c r="EG454" s="11"/>
      <c r="EH454" s="11"/>
      <c r="EI454" s="11"/>
      <c r="EJ454" s="11"/>
      <c r="EK454" s="11"/>
      <c r="EL454" s="11"/>
      <c r="EM454" s="11"/>
      <c r="EN454" s="11"/>
      <c r="EO454" s="11"/>
      <c r="EP454" s="11"/>
      <c r="EQ454" s="11"/>
      <c r="ER454" s="11"/>
      <c r="ES454" s="11"/>
      <c r="ET454" s="11"/>
      <c r="EU454" s="11"/>
      <c r="EV454" s="11"/>
      <c r="EW454" s="11"/>
      <c r="EX454" s="11"/>
      <c r="EY454" s="11"/>
      <c r="EZ454" s="11"/>
      <c r="FA454" s="11"/>
      <c r="FB454" s="11"/>
      <c r="FC454" s="11"/>
      <c r="FD454" s="11"/>
      <c r="FE454" s="11"/>
      <c r="FF454" s="11"/>
      <c r="FG454" s="11"/>
      <c r="FH454" s="17">
        <f t="shared" si="169"/>
        <v>5115000</v>
      </c>
      <c r="FI454" s="31">
        <f t="shared" si="170"/>
        <v>2</v>
      </c>
      <c r="FJ454" s="68">
        <f t="shared" si="171"/>
        <v>2557500</v>
      </c>
    </row>
    <row r="455" spans="1:166" ht="25.5" x14ac:dyDescent="0.25">
      <c r="A455" s="248">
        <f>Distribución_Reactivos!A455</f>
        <v>453</v>
      </c>
      <c r="B455" s="248" t="str">
        <f>Distribución_Reactivos!B455</f>
        <v>ANTISUERO SALMONELLA FACTOR D (H)</v>
      </c>
      <c r="C455" s="248">
        <f>Distribución_Reactivos!C455</f>
        <v>0</v>
      </c>
      <c r="D455" s="248" t="str">
        <f>Distribución_Reactivos!D455</f>
        <v>FRASCO X 2 ML</v>
      </c>
      <c r="E455" s="29">
        <v>1</v>
      </c>
      <c r="F455" s="212">
        <v>0</v>
      </c>
      <c r="G455" s="214">
        <v>0</v>
      </c>
      <c r="H455" s="221">
        <v>0</v>
      </c>
      <c r="I455" s="221">
        <v>0</v>
      </c>
      <c r="J455" s="221">
        <v>0</v>
      </c>
      <c r="K455" s="221">
        <v>0</v>
      </c>
      <c r="L455" s="247"/>
      <c r="M455" s="247"/>
      <c r="N455" s="219">
        <v>1115000</v>
      </c>
      <c r="O455" s="97">
        <f>+N455*0</f>
        <v>0</v>
      </c>
      <c r="P455" s="97">
        <f>+O455+N455</f>
        <v>1115000</v>
      </c>
      <c r="Q455" s="34" t="s">
        <v>477</v>
      </c>
      <c r="R455" s="116" t="s">
        <v>193</v>
      </c>
      <c r="S455" s="5" t="s">
        <v>209</v>
      </c>
      <c r="T455" s="102"/>
      <c r="U455" s="102"/>
      <c r="V455" s="102"/>
      <c r="W455" s="11"/>
      <c r="X455" s="11"/>
      <c r="Y455" s="11"/>
      <c r="Z455" s="102"/>
      <c r="AA455" s="102"/>
      <c r="AB455" s="102"/>
      <c r="AC455" s="44"/>
      <c r="AD455" s="44"/>
      <c r="AE455" s="11"/>
      <c r="AF455" s="102"/>
      <c r="AG455" s="102"/>
      <c r="AH455" s="102"/>
      <c r="AI455" s="11"/>
      <c r="AJ455" s="11"/>
      <c r="AK455" s="11"/>
      <c r="AL455" s="102"/>
      <c r="AM455" s="102"/>
      <c r="AN455" s="102"/>
      <c r="AO455" s="248"/>
      <c r="AP455" s="11"/>
      <c r="AQ455" s="11"/>
      <c r="AR455" s="247"/>
      <c r="AS455" s="247"/>
      <c r="AT455" s="247"/>
      <c r="AU455" s="52"/>
      <c r="AV455" s="42"/>
      <c r="AW455" s="11"/>
      <c r="AX455" s="247"/>
      <c r="AY455" s="247"/>
      <c r="AZ455" s="247"/>
      <c r="BA455" s="11"/>
      <c r="BB455" s="11"/>
      <c r="BC455" s="11"/>
      <c r="BD455" s="247"/>
      <c r="BE455" s="247"/>
      <c r="BF455" s="247"/>
      <c r="BG455" s="11"/>
      <c r="BH455" s="11"/>
      <c r="BI455" s="11"/>
      <c r="BJ455" s="247"/>
      <c r="BK455" s="247"/>
      <c r="BL455" s="247"/>
      <c r="BM455" s="11"/>
      <c r="BN455" s="11"/>
      <c r="BO455" s="11"/>
      <c r="BP455" s="247"/>
      <c r="BQ455" s="11"/>
      <c r="BR455" s="11"/>
      <c r="BS455" s="11"/>
      <c r="BT455" s="11"/>
      <c r="BU455" s="11"/>
      <c r="BV455" s="241">
        <v>3200000</v>
      </c>
      <c r="BW455" s="125">
        <f t="shared" si="181"/>
        <v>0</v>
      </c>
      <c r="BX455" s="97">
        <f t="shared" si="176"/>
        <v>3200000</v>
      </c>
      <c r="BY455" s="245" t="s">
        <v>383</v>
      </c>
      <c r="BZ455" s="245" t="s">
        <v>27</v>
      </c>
      <c r="CA455" s="11"/>
      <c r="CB455" s="247"/>
      <c r="CC455" s="247"/>
      <c r="CD455" s="247"/>
      <c r="CE455" s="11"/>
      <c r="CF455" s="11"/>
      <c r="CG455" s="11"/>
      <c r="CH455" s="241"/>
      <c r="CI455" s="238"/>
      <c r="CJ455" s="236"/>
      <c r="CK455" s="245"/>
      <c r="CL455" s="245"/>
      <c r="CM455" s="11"/>
      <c r="CN455" s="247"/>
      <c r="CO455" s="247"/>
      <c r="CP455" s="247"/>
      <c r="CQ455" s="11"/>
      <c r="CR455" s="11"/>
      <c r="CS455" s="11"/>
      <c r="CT455" s="247"/>
      <c r="CU455" s="247"/>
      <c r="CV455" s="247"/>
      <c r="CW455" s="11"/>
      <c r="CX455" s="11"/>
      <c r="CY455" s="11"/>
      <c r="CZ455" s="102"/>
      <c r="DA455" s="102"/>
      <c r="DB455" s="102"/>
      <c r="DC455" s="31"/>
      <c r="DD455" s="11"/>
      <c r="DE455" s="11"/>
      <c r="DF455" s="11"/>
      <c r="DG455" s="11"/>
      <c r="DH455" s="11"/>
      <c r="DI455" s="11"/>
      <c r="DJ455" s="11"/>
      <c r="DK455" s="11"/>
      <c r="DL455" s="11"/>
      <c r="DM455" s="11"/>
      <c r="DN455" s="11"/>
      <c r="DO455" s="11"/>
      <c r="DP455" s="11"/>
      <c r="DQ455" s="11"/>
      <c r="DR455" s="11"/>
      <c r="DS455" s="11"/>
      <c r="DT455" s="11"/>
      <c r="DU455" s="11"/>
      <c r="DV455" s="11"/>
      <c r="DW455" s="11"/>
      <c r="DX455" s="11"/>
      <c r="DY455" s="11"/>
      <c r="DZ455" s="11"/>
      <c r="EA455" s="11"/>
      <c r="EB455" s="11"/>
      <c r="EC455" s="11"/>
      <c r="ED455" s="11"/>
      <c r="EE455" s="11"/>
      <c r="EF455" s="11"/>
      <c r="EG455" s="11"/>
      <c r="EH455" s="11"/>
      <c r="EI455" s="11"/>
      <c r="EJ455" s="11"/>
      <c r="EK455" s="11"/>
      <c r="EL455" s="11"/>
      <c r="EM455" s="11"/>
      <c r="EN455" s="11"/>
      <c r="EO455" s="11"/>
      <c r="EP455" s="11"/>
      <c r="EQ455" s="11"/>
      <c r="ER455" s="11"/>
      <c r="ES455" s="11"/>
      <c r="ET455" s="11"/>
      <c r="EU455" s="11"/>
      <c r="EV455" s="11"/>
      <c r="EW455" s="11"/>
      <c r="EX455" s="11"/>
      <c r="EY455" s="11"/>
      <c r="EZ455" s="11"/>
      <c r="FA455" s="11"/>
      <c r="FB455" s="11"/>
      <c r="FC455" s="11"/>
      <c r="FD455" s="11"/>
      <c r="FE455" s="11"/>
      <c r="FF455" s="11"/>
      <c r="FG455" s="11"/>
      <c r="FH455" s="17">
        <f t="shared" si="169"/>
        <v>4315000</v>
      </c>
      <c r="FI455" s="31">
        <f t="shared" si="170"/>
        <v>2</v>
      </c>
      <c r="FJ455" s="68">
        <f t="shared" si="171"/>
        <v>2157500</v>
      </c>
    </row>
    <row r="456" spans="1:166" ht="25.5" x14ac:dyDescent="0.25">
      <c r="A456" s="248">
        <f>Distribución_Reactivos!A456</f>
        <v>454</v>
      </c>
      <c r="B456" s="248" t="str">
        <f>Distribución_Reactivos!B456</f>
        <v>ANTISUERO SALMONELLA FACTOR 12 (O)</v>
      </c>
      <c r="C456" s="248">
        <f>Distribución_Reactivos!C456</f>
        <v>0</v>
      </c>
      <c r="D456" s="248" t="str">
        <f>Distribución_Reactivos!D456</f>
        <v>FRASCO X 2 ML</v>
      </c>
      <c r="E456" s="29">
        <v>1</v>
      </c>
      <c r="F456" s="212">
        <v>0</v>
      </c>
      <c r="G456" s="214">
        <v>0</v>
      </c>
      <c r="H456" s="221">
        <v>0</v>
      </c>
      <c r="I456" s="221">
        <v>0</v>
      </c>
      <c r="J456" s="221">
        <v>0</v>
      </c>
      <c r="K456" s="221">
        <v>0</v>
      </c>
      <c r="L456" s="247"/>
      <c r="M456" s="247"/>
      <c r="N456" s="218"/>
      <c r="O456" s="102"/>
      <c r="P456" s="102"/>
      <c r="Q456" s="44"/>
      <c r="R456" s="44"/>
      <c r="S456" s="5"/>
      <c r="T456" s="102"/>
      <c r="U456" s="102"/>
      <c r="V456" s="102"/>
      <c r="W456" s="11"/>
      <c r="X456" s="11"/>
      <c r="Y456" s="11"/>
      <c r="Z456" s="102"/>
      <c r="AA456" s="102"/>
      <c r="AB456" s="102"/>
      <c r="AC456" s="44"/>
      <c r="AD456" s="44"/>
      <c r="AE456" s="11"/>
      <c r="AF456" s="102"/>
      <c r="AG456" s="102"/>
      <c r="AH456" s="102"/>
      <c r="AI456" s="11"/>
      <c r="AJ456" s="11"/>
      <c r="AK456" s="11"/>
      <c r="AL456" s="102"/>
      <c r="AM456" s="102"/>
      <c r="AN456" s="102"/>
      <c r="AO456" s="248"/>
      <c r="AP456" s="11"/>
      <c r="AQ456" s="11"/>
      <c r="AR456" s="247"/>
      <c r="AS456" s="247"/>
      <c r="AT456" s="247"/>
      <c r="AU456" s="52"/>
      <c r="AV456" s="42"/>
      <c r="AW456" s="11"/>
      <c r="AX456" s="247"/>
      <c r="AY456" s="247"/>
      <c r="AZ456" s="247"/>
      <c r="BA456" s="11"/>
      <c r="BB456" s="11"/>
      <c r="BC456" s="11"/>
      <c r="BD456" s="247"/>
      <c r="BE456" s="247"/>
      <c r="BF456" s="247"/>
      <c r="BG456" s="11"/>
      <c r="BH456" s="11"/>
      <c r="BI456" s="11"/>
      <c r="BJ456" s="247"/>
      <c r="BK456" s="247"/>
      <c r="BL456" s="247"/>
      <c r="BM456" s="11"/>
      <c r="BN456" s="11"/>
      <c r="BO456" s="11"/>
      <c r="BP456" s="247"/>
      <c r="BQ456" s="11"/>
      <c r="BR456" s="11"/>
      <c r="BS456" s="11"/>
      <c r="BT456" s="11"/>
      <c r="BU456" s="11"/>
      <c r="BV456" s="241">
        <v>2400000</v>
      </c>
      <c r="BW456" s="125">
        <f t="shared" si="181"/>
        <v>0</v>
      </c>
      <c r="BX456" s="97">
        <f t="shared" si="176"/>
        <v>2400000</v>
      </c>
      <c r="BY456" s="245" t="s">
        <v>383</v>
      </c>
      <c r="BZ456" s="245" t="s">
        <v>27</v>
      </c>
      <c r="CA456" s="11"/>
      <c r="CB456" s="247"/>
      <c r="CC456" s="247"/>
      <c r="CD456" s="247"/>
      <c r="CE456" s="11"/>
      <c r="CF456" s="11"/>
      <c r="CG456" s="11"/>
      <c r="CH456" s="241">
        <v>4933446</v>
      </c>
      <c r="CI456" s="238">
        <f>+CH456*0</f>
        <v>0</v>
      </c>
      <c r="CJ456" s="236">
        <f>+CH456+CI456</f>
        <v>4933446</v>
      </c>
      <c r="CK456" s="245" t="s">
        <v>383</v>
      </c>
      <c r="CL456" s="245" t="s">
        <v>27</v>
      </c>
      <c r="CM456" s="11"/>
      <c r="CN456" s="247"/>
      <c r="CO456" s="247"/>
      <c r="CP456" s="247"/>
      <c r="CQ456" s="11"/>
      <c r="CR456" s="11"/>
      <c r="CS456" s="11"/>
      <c r="CT456" s="247"/>
      <c r="CU456" s="247"/>
      <c r="CV456" s="247"/>
      <c r="CW456" s="11"/>
      <c r="CX456" s="11"/>
      <c r="CY456" s="11"/>
      <c r="CZ456" s="102"/>
      <c r="DA456" s="102"/>
      <c r="DB456" s="102"/>
      <c r="DC456" s="31"/>
      <c r="DD456" s="11"/>
      <c r="DE456" s="11"/>
      <c r="DF456" s="11"/>
      <c r="DG456" s="11"/>
      <c r="DH456" s="11"/>
      <c r="DI456" s="11"/>
      <c r="DJ456" s="11"/>
      <c r="DK456" s="11"/>
      <c r="DL456" s="11"/>
      <c r="DM456" s="11"/>
      <c r="DN456" s="11"/>
      <c r="DO456" s="11"/>
      <c r="DP456" s="11"/>
      <c r="DQ456" s="11"/>
      <c r="DR456" s="11"/>
      <c r="DS456" s="11"/>
      <c r="DT456" s="11"/>
      <c r="DU456" s="11"/>
      <c r="DV456" s="11"/>
      <c r="DW456" s="11"/>
      <c r="DX456" s="11"/>
      <c r="DY456" s="11"/>
      <c r="DZ456" s="11"/>
      <c r="EA456" s="11"/>
      <c r="EB456" s="11"/>
      <c r="EC456" s="11"/>
      <c r="ED456" s="11"/>
      <c r="EE456" s="11"/>
      <c r="EF456" s="11"/>
      <c r="EG456" s="11"/>
      <c r="EH456" s="11"/>
      <c r="EI456" s="11"/>
      <c r="EJ456" s="11"/>
      <c r="EK456" s="11"/>
      <c r="EL456" s="11"/>
      <c r="EM456" s="11"/>
      <c r="EN456" s="11"/>
      <c r="EO456" s="11"/>
      <c r="EP456" s="11"/>
      <c r="EQ456" s="11"/>
      <c r="ER456" s="11"/>
      <c r="ES456" s="11"/>
      <c r="ET456" s="11"/>
      <c r="EU456" s="11"/>
      <c r="EV456" s="11"/>
      <c r="EW456" s="11"/>
      <c r="EX456" s="11"/>
      <c r="EY456" s="11"/>
      <c r="EZ456" s="11"/>
      <c r="FA456" s="11"/>
      <c r="FB456" s="11"/>
      <c r="FC456" s="11"/>
      <c r="FD456" s="11"/>
      <c r="FE456" s="11"/>
      <c r="FF456" s="11"/>
      <c r="FG456" s="11"/>
      <c r="FH456" s="17">
        <f t="shared" si="169"/>
        <v>7333446</v>
      </c>
      <c r="FI456" s="31">
        <f t="shared" si="170"/>
        <v>2</v>
      </c>
      <c r="FJ456" s="68">
        <f t="shared" si="171"/>
        <v>3666723</v>
      </c>
    </row>
    <row r="457" spans="1:166" ht="25.5" x14ac:dyDescent="0.25">
      <c r="A457" s="248">
        <f>Distribución_Reactivos!A457</f>
        <v>455</v>
      </c>
      <c r="B457" s="248" t="str">
        <f>Distribución_Reactivos!B457</f>
        <v>ANTISUERO SALMONELLA FACTOR 7 (H)</v>
      </c>
      <c r="C457" s="248">
        <f>Distribución_Reactivos!C457</f>
        <v>0</v>
      </c>
      <c r="D457" s="248" t="str">
        <f>Distribución_Reactivos!D457</f>
        <v>FRASCO X 2 ML</v>
      </c>
      <c r="E457" s="29">
        <v>1</v>
      </c>
      <c r="F457" s="212">
        <v>0</v>
      </c>
      <c r="G457" s="214">
        <v>0</v>
      </c>
      <c r="H457" s="221">
        <v>0</v>
      </c>
      <c r="I457" s="221">
        <v>0</v>
      </c>
      <c r="J457" s="221">
        <v>0</v>
      </c>
      <c r="K457" s="221">
        <v>0</v>
      </c>
      <c r="L457" s="247"/>
      <c r="M457" s="247"/>
      <c r="N457" s="219">
        <v>1115000</v>
      </c>
      <c r="O457" s="97">
        <f>+N457*0</f>
        <v>0</v>
      </c>
      <c r="P457" s="97">
        <f>+O457+N457</f>
        <v>1115000</v>
      </c>
      <c r="Q457" s="34" t="s">
        <v>477</v>
      </c>
      <c r="R457" s="116" t="s">
        <v>193</v>
      </c>
      <c r="S457" s="5" t="s">
        <v>209</v>
      </c>
      <c r="T457" s="102"/>
      <c r="U457" s="102"/>
      <c r="V457" s="102"/>
      <c r="W457" s="11"/>
      <c r="X457" s="11"/>
      <c r="Y457" s="11"/>
      <c r="Z457" s="102"/>
      <c r="AA457" s="102"/>
      <c r="AB457" s="102"/>
      <c r="AC457" s="44"/>
      <c r="AD457" s="44"/>
      <c r="AE457" s="11"/>
      <c r="AF457" s="102"/>
      <c r="AG457" s="102"/>
      <c r="AH457" s="102"/>
      <c r="AI457" s="11"/>
      <c r="AJ457" s="11"/>
      <c r="AK457" s="11"/>
      <c r="AL457" s="102"/>
      <c r="AM457" s="102"/>
      <c r="AN457" s="102"/>
      <c r="AO457" s="248"/>
      <c r="AP457" s="11"/>
      <c r="AQ457" s="11"/>
      <c r="AR457" s="247"/>
      <c r="AS457" s="247"/>
      <c r="AT457" s="247"/>
      <c r="AU457" s="52"/>
      <c r="AV457" s="42"/>
      <c r="AW457" s="11"/>
      <c r="AX457" s="247"/>
      <c r="AY457" s="247"/>
      <c r="AZ457" s="247"/>
      <c r="BA457" s="11"/>
      <c r="BB457" s="11"/>
      <c r="BC457" s="11"/>
      <c r="BD457" s="247"/>
      <c r="BE457" s="247"/>
      <c r="BF457" s="247"/>
      <c r="BG457" s="11"/>
      <c r="BH457" s="11"/>
      <c r="BI457" s="11"/>
      <c r="BJ457" s="247"/>
      <c r="BK457" s="247"/>
      <c r="BL457" s="247"/>
      <c r="BM457" s="11"/>
      <c r="BN457" s="11"/>
      <c r="BO457" s="11"/>
      <c r="BP457" s="247"/>
      <c r="BQ457" s="11"/>
      <c r="BR457" s="11"/>
      <c r="BS457" s="11"/>
      <c r="BT457" s="11"/>
      <c r="BU457" s="11"/>
      <c r="BV457" s="241">
        <v>3500000</v>
      </c>
      <c r="BW457" s="125">
        <f t="shared" si="181"/>
        <v>0</v>
      </c>
      <c r="BX457" s="97">
        <f t="shared" si="176"/>
        <v>3500000</v>
      </c>
      <c r="BY457" s="245" t="s">
        <v>383</v>
      </c>
      <c r="BZ457" s="245" t="s">
        <v>210</v>
      </c>
      <c r="CA457" s="11"/>
      <c r="CB457" s="247"/>
      <c r="CC457" s="247"/>
      <c r="CD457" s="247"/>
      <c r="CE457" s="11"/>
      <c r="CF457" s="11"/>
      <c r="CG457" s="11"/>
      <c r="CH457" s="241"/>
      <c r="CI457" s="238"/>
      <c r="CJ457" s="236"/>
      <c r="CK457" s="245"/>
      <c r="CL457" s="245"/>
      <c r="CM457" s="11"/>
      <c r="CN457" s="247"/>
      <c r="CO457" s="247"/>
      <c r="CP457" s="247"/>
      <c r="CQ457" s="11"/>
      <c r="CR457" s="11"/>
      <c r="CS457" s="11"/>
      <c r="CT457" s="247"/>
      <c r="CU457" s="247"/>
      <c r="CV457" s="247"/>
      <c r="CW457" s="11"/>
      <c r="CX457" s="11"/>
      <c r="CY457" s="11"/>
      <c r="CZ457" s="102"/>
      <c r="DA457" s="102"/>
      <c r="DB457" s="102"/>
      <c r="DC457" s="31"/>
      <c r="DD457" s="11"/>
      <c r="DE457" s="11"/>
      <c r="DF457" s="11"/>
      <c r="DG457" s="11"/>
      <c r="DH457" s="11"/>
      <c r="DI457" s="11"/>
      <c r="DJ457" s="11"/>
      <c r="DK457" s="11"/>
      <c r="DL457" s="11"/>
      <c r="DM457" s="11"/>
      <c r="DN457" s="11"/>
      <c r="DO457" s="11"/>
      <c r="DP457" s="11"/>
      <c r="DQ457" s="11"/>
      <c r="DR457" s="11"/>
      <c r="DS457" s="11"/>
      <c r="DT457" s="11"/>
      <c r="DU457" s="11"/>
      <c r="DV457" s="11"/>
      <c r="DW457" s="11"/>
      <c r="DX457" s="11"/>
      <c r="DY457" s="11"/>
      <c r="DZ457" s="11"/>
      <c r="EA457" s="11"/>
      <c r="EB457" s="11"/>
      <c r="EC457" s="11"/>
      <c r="ED457" s="11"/>
      <c r="EE457" s="11"/>
      <c r="EF457" s="11"/>
      <c r="EG457" s="11"/>
      <c r="EH457" s="11"/>
      <c r="EI457" s="11"/>
      <c r="EJ457" s="11"/>
      <c r="EK457" s="11"/>
      <c r="EL457" s="11"/>
      <c r="EM457" s="11"/>
      <c r="EN457" s="11"/>
      <c r="EO457" s="11"/>
      <c r="EP457" s="11"/>
      <c r="EQ457" s="11"/>
      <c r="ER457" s="11"/>
      <c r="ES457" s="11"/>
      <c r="ET457" s="11"/>
      <c r="EU457" s="11"/>
      <c r="EV457" s="11"/>
      <c r="EW457" s="11"/>
      <c r="EX457" s="11"/>
      <c r="EY457" s="11"/>
      <c r="EZ457" s="11"/>
      <c r="FA457" s="11"/>
      <c r="FB457" s="11"/>
      <c r="FC457" s="11"/>
      <c r="FD457" s="11"/>
      <c r="FE457" s="11"/>
      <c r="FF457" s="11"/>
      <c r="FG457" s="11"/>
      <c r="FH457" s="17">
        <f t="shared" si="169"/>
        <v>4615000</v>
      </c>
      <c r="FI457" s="31">
        <f t="shared" si="170"/>
        <v>2</v>
      </c>
      <c r="FJ457" s="68">
        <f t="shared" si="171"/>
        <v>2307500</v>
      </c>
    </row>
    <row r="458" spans="1:166" ht="51" x14ac:dyDescent="0.25">
      <c r="A458" s="248">
        <f>Distribución_Reactivos!A458</f>
        <v>456</v>
      </c>
      <c r="B458" s="248" t="str">
        <f>Distribución_Reactivos!B458</f>
        <v>Isopropanol Grado reactivo</v>
      </c>
      <c r="C458" s="248" t="str">
        <f>Distribución_Reactivos!C458</f>
        <v>Merck / JT Baker o equivalente</v>
      </c>
      <c r="D458" s="248" t="str">
        <f>Distribución_Reactivos!D458</f>
        <v>Frasco x 4 litros</v>
      </c>
      <c r="E458" s="29">
        <v>1</v>
      </c>
      <c r="F458" s="212">
        <v>0</v>
      </c>
      <c r="G458" s="214">
        <v>0</v>
      </c>
      <c r="H458" s="221">
        <v>0</v>
      </c>
      <c r="I458" s="221">
        <v>0</v>
      </c>
      <c r="J458" s="221">
        <v>0</v>
      </c>
      <c r="K458" s="221">
        <v>0</v>
      </c>
      <c r="L458" s="247"/>
      <c r="M458" s="247"/>
      <c r="N458" s="218"/>
      <c r="O458" s="102"/>
      <c r="P458" s="102"/>
      <c r="Q458" s="44"/>
      <c r="R458" s="44"/>
      <c r="S458" s="5"/>
      <c r="T458" s="102"/>
      <c r="U458" s="102"/>
      <c r="V458" s="102"/>
      <c r="W458" s="11"/>
      <c r="X458" s="11"/>
      <c r="Y458" s="11"/>
      <c r="Z458" s="102"/>
      <c r="AA458" s="102"/>
      <c r="AB458" s="102"/>
      <c r="AC458" s="44"/>
      <c r="AD458" s="44"/>
      <c r="AE458" s="11"/>
      <c r="AF458" s="102"/>
      <c r="AG458" s="102"/>
      <c r="AH458" s="102"/>
      <c r="AI458" s="11"/>
      <c r="AJ458" s="11"/>
      <c r="AK458" s="11"/>
      <c r="AL458" s="102">
        <v>294000</v>
      </c>
      <c r="AM458" s="97">
        <f>+AL458*0.19</f>
        <v>55860</v>
      </c>
      <c r="AN458" s="103">
        <f>+AL458+AM458</f>
        <v>349860</v>
      </c>
      <c r="AO458" s="248" t="s">
        <v>312</v>
      </c>
      <c r="AP458" s="11" t="s">
        <v>52</v>
      </c>
      <c r="AQ458" s="42" t="s">
        <v>482</v>
      </c>
      <c r="AR458" s="247"/>
      <c r="AS458" s="247"/>
      <c r="AT458" s="247"/>
      <c r="AU458" s="52"/>
      <c r="AV458" s="42"/>
      <c r="AW458" s="11"/>
      <c r="AX458" s="247"/>
      <c r="AY458" s="247"/>
      <c r="AZ458" s="247"/>
      <c r="BA458" s="11"/>
      <c r="BB458" s="11"/>
      <c r="BC458" s="11"/>
      <c r="BD458" s="247"/>
      <c r="BE458" s="247"/>
      <c r="BF458" s="247"/>
      <c r="BG458" s="11"/>
      <c r="BH458" s="11"/>
      <c r="BI458" s="11"/>
      <c r="BJ458" s="247"/>
      <c r="BK458" s="247"/>
      <c r="BL458" s="247"/>
      <c r="BM458" s="11"/>
      <c r="BN458" s="11"/>
      <c r="BO458" s="11"/>
      <c r="BP458" s="247"/>
      <c r="BQ458" s="11"/>
      <c r="BR458" s="11"/>
      <c r="BS458" s="11"/>
      <c r="BT458" s="11"/>
      <c r="BU458" s="11"/>
      <c r="BV458" s="236">
        <v>330300</v>
      </c>
      <c r="BW458" s="125">
        <f t="shared" ref="BW458:BW467" si="182">BV458*19%</f>
        <v>62757</v>
      </c>
      <c r="BX458" s="97">
        <f t="shared" ref="BX458:BX463" si="183">+BV458+BW458</f>
        <v>393057</v>
      </c>
      <c r="BY458" s="245" t="s">
        <v>306</v>
      </c>
      <c r="BZ458" s="245" t="s">
        <v>83</v>
      </c>
      <c r="CA458" s="11"/>
      <c r="CB458" s="247"/>
      <c r="CC458" s="247"/>
      <c r="CD458" s="247"/>
      <c r="CE458" s="11"/>
      <c r="CF458" s="11"/>
      <c r="CG458" s="11"/>
      <c r="CH458" s="236">
        <v>340209</v>
      </c>
      <c r="CI458" s="238">
        <f t="shared" ref="CI458:CI467" si="184">+CH458*0.19</f>
        <v>64639.71</v>
      </c>
      <c r="CJ458" s="236">
        <f t="shared" ref="CJ458:CJ463" si="185">+CH458+CI458</f>
        <v>404848.71</v>
      </c>
      <c r="CK458" s="245" t="s">
        <v>306</v>
      </c>
      <c r="CL458" s="245" t="s">
        <v>83</v>
      </c>
      <c r="CM458" s="11"/>
      <c r="CN458" s="247"/>
      <c r="CO458" s="247"/>
      <c r="CP458" s="247"/>
      <c r="CQ458" s="11"/>
      <c r="CR458" s="11"/>
      <c r="CS458" s="11"/>
      <c r="CT458" s="247"/>
      <c r="CU458" s="247"/>
      <c r="CV458" s="247"/>
      <c r="CW458" s="11"/>
      <c r="CX458" s="11"/>
      <c r="CY458" s="11"/>
      <c r="CZ458" s="102"/>
      <c r="DA458" s="102"/>
      <c r="DB458" s="102"/>
      <c r="DC458" s="31"/>
      <c r="DD458" s="11"/>
      <c r="DE458" s="11"/>
      <c r="DF458" s="11"/>
      <c r="DG458" s="11"/>
      <c r="DH458" s="11"/>
      <c r="DI458" s="11"/>
      <c r="DJ458" s="11"/>
      <c r="DK458" s="11"/>
      <c r="DL458" s="11"/>
      <c r="DM458" s="11"/>
      <c r="DN458" s="11"/>
      <c r="DO458" s="11"/>
      <c r="DP458" s="11"/>
      <c r="DQ458" s="11"/>
      <c r="DR458" s="11"/>
      <c r="DS458" s="11"/>
      <c r="DT458" s="11"/>
      <c r="DU458" s="11"/>
      <c r="DV458" s="11"/>
      <c r="DW458" s="11"/>
      <c r="DX458" s="11"/>
      <c r="DY458" s="11"/>
      <c r="DZ458" s="11"/>
      <c r="EA458" s="11"/>
      <c r="EB458" s="11"/>
      <c r="EC458" s="11"/>
      <c r="ED458" s="11"/>
      <c r="EE458" s="11"/>
      <c r="EF458" s="11"/>
      <c r="EG458" s="11"/>
      <c r="EH458" s="11"/>
      <c r="EI458" s="11"/>
      <c r="EJ458" s="11"/>
      <c r="EK458" s="11"/>
      <c r="EL458" s="11"/>
      <c r="EM458" s="11"/>
      <c r="EN458" s="11"/>
      <c r="EO458" s="11"/>
      <c r="EP458" s="11"/>
      <c r="EQ458" s="11"/>
      <c r="ER458" s="11"/>
      <c r="ES458" s="11"/>
      <c r="ET458" s="11"/>
      <c r="EU458" s="11"/>
      <c r="EV458" s="11"/>
      <c r="EW458" s="11"/>
      <c r="EX458" s="11"/>
      <c r="EY458" s="11"/>
      <c r="EZ458" s="11"/>
      <c r="FA458" s="11"/>
      <c r="FB458" s="11"/>
      <c r="FC458" s="11"/>
      <c r="FD458" s="11"/>
      <c r="FE458" s="11"/>
      <c r="FF458" s="11"/>
      <c r="FG458" s="11"/>
      <c r="FH458" s="17">
        <f t="shared" ref="FH458:FH475" si="186">SUM(M458,P458,V458,AB458,AH458,AN458,AT458,AZ458,BF458,BL458,BR458,BX458,CD458,CJ458,CP458,CV458,DB458,DH458,DN458,DT458,DZ458,EF458,EL458,ER458,EX458,FD458)</f>
        <v>1147765.71</v>
      </c>
      <c r="FI458" s="31">
        <f t="shared" ref="FI458:FI475" si="187">COUNTA(M458,N458,T458,Z458,AF458,AL458,AR458,AX458,BD458,BJ458,BP458,BV458,CB458,CH458,CN458,CT458,CZ458,DF458,DL458,DR458,DX458,ED458,EJ458,EP458,EV458,FB458)</f>
        <v>3</v>
      </c>
      <c r="FJ458" s="68">
        <f t="shared" ref="FJ458:FJ475" si="188">IFERROR(FH458/FI458," ")</f>
        <v>382588.57</v>
      </c>
    </row>
    <row r="459" spans="1:166" ht="13.5" x14ac:dyDescent="0.25">
      <c r="A459" s="248">
        <f>Distribución_Reactivos!A459</f>
        <v>457</v>
      </c>
      <c r="B459" s="248" t="str">
        <f>Distribución_Reactivos!B459</f>
        <v>Agar Baird Parker</v>
      </c>
      <c r="C459" s="248" t="str">
        <f>Distribución_Reactivos!C459</f>
        <v>OXOID</v>
      </c>
      <c r="D459" s="248" t="str">
        <f>Distribución_Reactivos!D459</f>
        <v>Frasco x 500 g</v>
      </c>
      <c r="E459" s="29">
        <v>1</v>
      </c>
      <c r="F459" s="212">
        <v>0</v>
      </c>
      <c r="G459" s="214">
        <v>0</v>
      </c>
      <c r="H459" s="221">
        <v>0</v>
      </c>
      <c r="I459" s="221">
        <v>0</v>
      </c>
      <c r="J459" s="221">
        <v>0</v>
      </c>
      <c r="K459" s="221">
        <v>0</v>
      </c>
      <c r="L459" s="247"/>
      <c r="M459" s="247"/>
      <c r="N459" s="219">
        <v>483750</v>
      </c>
      <c r="O459" s="97">
        <f>+N459*0.19</f>
        <v>91912.5</v>
      </c>
      <c r="P459" s="97">
        <f>+O459+N459</f>
        <v>575662.5</v>
      </c>
      <c r="Q459" s="34" t="s">
        <v>118</v>
      </c>
      <c r="R459" s="116" t="s">
        <v>119</v>
      </c>
      <c r="S459" s="5"/>
      <c r="T459" s="102"/>
      <c r="U459" s="102"/>
      <c r="V459" s="102"/>
      <c r="W459" s="11"/>
      <c r="X459" s="11"/>
      <c r="Y459" s="11"/>
      <c r="Z459" s="102"/>
      <c r="AA459" s="102"/>
      <c r="AB459" s="102"/>
      <c r="AC459" s="44"/>
      <c r="AD459" s="44"/>
      <c r="AE459" s="11"/>
      <c r="AF459" s="102"/>
      <c r="AG459" s="102"/>
      <c r="AH459" s="102"/>
      <c r="AI459" s="11"/>
      <c r="AJ459" s="11"/>
      <c r="AK459" s="11"/>
      <c r="AL459" s="102">
        <v>470000</v>
      </c>
      <c r="AM459" s="97">
        <f>+AL459*0.19</f>
        <v>89300</v>
      </c>
      <c r="AN459" s="103">
        <f>+AL459+AM459</f>
        <v>559300</v>
      </c>
      <c r="AO459" s="248" t="s">
        <v>77</v>
      </c>
      <c r="AP459" s="11" t="s">
        <v>52</v>
      </c>
      <c r="AQ459" s="11"/>
      <c r="AR459" s="247"/>
      <c r="AS459" s="247"/>
      <c r="AT459" s="247"/>
      <c r="AU459" s="52"/>
      <c r="AV459" s="42"/>
      <c r="AW459" s="11"/>
      <c r="AX459" s="247"/>
      <c r="AY459" s="247"/>
      <c r="AZ459" s="247"/>
      <c r="BA459" s="11"/>
      <c r="BB459" s="11"/>
      <c r="BC459" s="11"/>
      <c r="BD459" s="247"/>
      <c r="BE459" s="247"/>
      <c r="BF459" s="247"/>
      <c r="BG459" s="11"/>
      <c r="BH459" s="11"/>
      <c r="BI459" s="11"/>
      <c r="BJ459" s="247"/>
      <c r="BK459" s="247"/>
      <c r="BL459" s="247"/>
      <c r="BM459" s="11"/>
      <c r="BN459" s="11"/>
      <c r="BO459" s="11"/>
      <c r="BP459" s="247"/>
      <c r="BQ459" s="11"/>
      <c r="BR459" s="11"/>
      <c r="BS459" s="11"/>
      <c r="BT459" s="11"/>
      <c r="BU459" s="11"/>
      <c r="BV459" s="236">
        <v>774000</v>
      </c>
      <c r="BW459" s="125">
        <f t="shared" si="182"/>
        <v>147060</v>
      </c>
      <c r="BX459" s="97">
        <f t="shared" si="183"/>
        <v>921060</v>
      </c>
      <c r="BY459" s="245" t="s">
        <v>319</v>
      </c>
      <c r="BZ459" s="245" t="s">
        <v>119</v>
      </c>
      <c r="CA459" s="11"/>
      <c r="CB459" s="247"/>
      <c r="CC459" s="247"/>
      <c r="CD459" s="247"/>
      <c r="CE459" s="11"/>
      <c r="CF459" s="11"/>
      <c r="CG459" s="11"/>
      <c r="CH459" s="236">
        <v>789480</v>
      </c>
      <c r="CI459" s="238">
        <f t="shared" si="184"/>
        <v>150001.20000000001</v>
      </c>
      <c r="CJ459" s="236">
        <f t="shared" si="185"/>
        <v>939481.2</v>
      </c>
      <c r="CK459" s="245" t="s">
        <v>319</v>
      </c>
      <c r="CL459" s="245" t="s">
        <v>119</v>
      </c>
      <c r="CM459" s="11"/>
      <c r="CN459" s="247"/>
      <c r="CO459" s="247"/>
      <c r="CP459" s="247"/>
      <c r="CQ459" s="11"/>
      <c r="CR459" s="11"/>
      <c r="CS459" s="11"/>
      <c r="CT459" s="247"/>
      <c r="CU459" s="51"/>
      <c r="CV459" s="247"/>
      <c r="CW459" s="11"/>
      <c r="CX459" s="11"/>
      <c r="CY459" s="11"/>
      <c r="CZ459" s="102">
        <v>407598</v>
      </c>
      <c r="DA459" s="125">
        <f>+CZ459*0.19</f>
        <v>77443.62</v>
      </c>
      <c r="DB459" s="102">
        <f>+CZ459+DA459</f>
        <v>485041.62</v>
      </c>
      <c r="DC459" s="31" t="s">
        <v>122</v>
      </c>
      <c r="DD459" s="11" t="s">
        <v>65</v>
      </c>
      <c r="DE459" s="11">
        <v>1054060500</v>
      </c>
      <c r="DF459" s="11"/>
      <c r="DG459" s="11"/>
      <c r="DH459" s="11"/>
      <c r="DI459" s="11"/>
      <c r="DJ459" s="11"/>
      <c r="DK459" s="11"/>
      <c r="DL459" s="11"/>
      <c r="DM459" s="11"/>
      <c r="DN459" s="11"/>
      <c r="DO459" s="11"/>
      <c r="DP459" s="11"/>
      <c r="DQ459" s="11"/>
      <c r="DR459" s="11"/>
      <c r="DS459" s="11"/>
      <c r="DT459" s="11"/>
      <c r="DU459" s="11"/>
      <c r="DV459" s="11"/>
      <c r="DW459" s="11"/>
      <c r="DX459" s="11"/>
      <c r="DY459" s="11"/>
      <c r="DZ459" s="11"/>
      <c r="EA459" s="11"/>
      <c r="EB459" s="11"/>
      <c r="EC459" s="11"/>
      <c r="ED459" s="11"/>
      <c r="EE459" s="11"/>
      <c r="EF459" s="11"/>
      <c r="EG459" s="11"/>
      <c r="EH459" s="11"/>
      <c r="EI459" s="11"/>
      <c r="EJ459" s="11"/>
      <c r="EK459" s="11"/>
      <c r="EL459" s="11"/>
      <c r="EM459" s="11"/>
      <c r="EN459" s="11"/>
      <c r="EO459" s="11"/>
      <c r="EP459" s="11"/>
      <c r="EQ459" s="11"/>
      <c r="ER459" s="11"/>
      <c r="ES459" s="11"/>
      <c r="ET459" s="11"/>
      <c r="EU459" s="11"/>
      <c r="EV459" s="11"/>
      <c r="EW459" s="11"/>
      <c r="EX459" s="11"/>
      <c r="EY459" s="11"/>
      <c r="EZ459" s="11"/>
      <c r="FA459" s="11"/>
      <c r="FB459" s="11"/>
      <c r="FC459" s="11"/>
      <c r="FD459" s="11"/>
      <c r="FE459" s="11"/>
      <c r="FF459" s="11"/>
      <c r="FG459" s="11"/>
      <c r="FH459" s="17">
        <f t="shared" si="186"/>
        <v>3480545.3200000003</v>
      </c>
      <c r="FI459" s="31">
        <f t="shared" si="187"/>
        <v>5</v>
      </c>
      <c r="FJ459" s="68">
        <f t="shared" si="188"/>
        <v>696109.06400000001</v>
      </c>
    </row>
    <row r="460" spans="1:166" ht="25.5" x14ac:dyDescent="0.25">
      <c r="A460" s="248">
        <f>Distribución_Reactivos!A460</f>
        <v>458</v>
      </c>
      <c r="B460" s="248" t="str">
        <f>Distribución_Reactivos!B460</f>
        <v>Emulsion Yema de Huevo Con Telurito x 100 ml</v>
      </c>
      <c r="C460" s="248" t="str">
        <f>Distribución_Reactivos!C460</f>
        <v>OXOID</v>
      </c>
      <c r="D460" s="248" t="str">
        <f>Distribución_Reactivos!D460</f>
        <v>Frasco X 100 ml</v>
      </c>
      <c r="E460" s="29">
        <v>1</v>
      </c>
      <c r="F460" s="212">
        <v>0</v>
      </c>
      <c r="G460" s="214">
        <v>0</v>
      </c>
      <c r="H460" s="221">
        <v>0</v>
      </c>
      <c r="I460" s="221">
        <v>0</v>
      </c>
      <c r="J460" s="221">
        <v>0</v>
      </c>
      <c r="K460" s="221">
        <v>0</v>
      </c>
      <c r="L460" s="247"/>
      <c r="M460" s="247"/>
      <c r="N460" s="219">
        <v>249000</v>
      </c>
      <c r="O460" s="97">
        <f>+N460*0.19</f>
        <v>47310</v>
      </c>
      <c r="P460" s="97">
        <f>+O460+N460</f>
        <v>296310</v>
      </c>
      <c r="Q460" s="34" t="s">
        <v>46</v>
      </c>
      <c r="R460" s="116" t="s">
        <v>119</v>
      </c>
      <c r="S460" s="5"/>
      <c r="T460" s="102"/>
      <c r="U460" s="102"/>
      <c r="V460" s="102"/>
      <c r="W460" s="11"/>
      <c r="X460" s="11"/>
      <c r="Y460" s="11"/>
      <c r="Z460" s="102"/>
      <c r="AA460" s="102"/>
      <c r="AB460" s="102"/>
      <c r="AC460" s="44"/>
      <c r="AD460" s="44"/>
      <c r="AE460" s="11"/>
      <c r="AF460" s="102"/>
      <c r="AG460" s="102"/>
      <c r="AH460" s="102"/>
      <c r="AI460" s="11"/>
      <c r="AJ460" s="11"/>
      <c r="AK460" s="11"/>
      <c r="AL460" s="102">
        <v>188000</v>
      </c>
      <c r="AM460" s="97">
        <f>+AL460*0.19</f>
        <v>35720</v>
      </c>
      <c r="AN460" s="103">
        <f>+AL460+AM460</f>
        <v>223720</v>
      </c>
      <c r="AO460" s="248" t="s">
        <v>51</v>
      </c>
      <c r="AP460" s="11" t="s">
        <v>52</v>
      </c>
      <c r="AQ460" s="11"/>
      <c r="AR460" s="247"/>
      <c r="AS460" s="247"/>
      <c r="AT460" s="247"/>
      <c r="AU460" s="52"/>
      <c r="AV460" s="42"/>
      <c r="AW460" s="11"/>
      <c r="AX460" s="247"/>
      <c r="AY460" s="247"/>
      <c r="AZ460" s="247"/>
      <c r="BA460" s="11"/>
      <c r="BB460" s="11"/>
      <c r="BC460" s="11"/>
      <c r="BD460" s="247"/>
      <c r="BE460" s="247"/>
      <c r="BF460" s="247"/>
      <c r="BG460" s="11"/>
      <c r="BH460" s="11"/>
      <c r="BI460" s="11"/>
      <c r="BJ460" s="247"/>
      <c r="BK460" s="247"/>
      <c r="BL460" s="247"/>
      <c r="BM460" s="11"/>
      <c r="BN460" s="11"/>
      <c r="BO460" s="11"/>
      <c r="BP460" s="247"/>
      <c r="BQ460" s="11"/>
      <c r="BR460" s="11"/>
      <c r="BS460" s="11"/>
      <c r="BT460" s="11"/>
      <c r="BU460" s="11"/>
      <c r="BV460" s="236">
        <v>398400</v>
      </c>
      <c r="BW460" s="125">
        <f t="shared" si="182"/>
        <v>75696</v>
      </c>
      <c r="BX460" s="97">
        <f t="shared" si="183"/>
        <v>474096</v>
      </c>
      <c r="BY460" s="245" t="s">
        <v>291</v>
      </c>
      <c r="BZ460" s="245" t="s">
        <v>119</v>
      </c>
      <c r="CA460" s="11"/>
      <c r="CB460" s="247"/>
      <c r="CC460" s="247"/>
      <c r="CD460" s="247"/>
      <c r="CE460" s="11"/>
      <c r="CF460" s="11"/>
      <c r="CG460" s="11"/>
      <c r="CH460" s="236">
        <v>402384</v>
      </c>
      <c r="CI460" s="238">
        <f t="shared" si="184"/>
        <v>76452.960000000006</v>
      </c>
      <c r="CJ460" s="236">
        <f t="shared" si="185"/>
        <v>478836.96</v>
      </c>
      <c r="CK460" s="245" t="s">
        <v>291</v>
      </c>
      <c r="CL460" s="245" t="s">
        <v>119</v>
      </c>
      <c r="CM460" s="11"/>
      <c r="CN460" s="247"/>
      <c r="CO460" s="247"/>
      <c r="CP460" s="247"/>
      <c r="CQ460" s="11"/>
      <c r="CR460" s="11"/>
      <c r="CS460" s="11"/>
      <c r="CT460" s="247"/>
      <c r="CU460" s="51"/>
      <c r="CV460" s="247"/>
      <c r="CW460" s="11"/>
      <c r="CX460" s="11"/>
      <c r="CY460" s="11"/>
      <c r="CZ460" s="102"/>
      <c r="DA460" s="125"/>
      <c r="DB460" s="102"/>
      <c r="DC460" s="31"/>
      <c r="DD460" s="11"/>
      <c r="DE460" s="11"/>
      <c r="DF460" s="11"/>
      <c r="DG460" s="11"/>
      <c r="DH460" s="11"/>
      <c r="DI460" s="11"/>
      <c r="DJ460" s="11"/>
      <c r="DK460" s="11"/>
      <c r="DL460" s="11"/>
      <c r="DM460" s="11"/>
      <c r="DN460" s="11"/>
      <c r="DO460" s="11"/>
      <c r="DP460" s="11"/>
      <c r="DQ460" s="11"/>
      <c r="DR460" s="11"/>
      <c r="DS460" s="11"/>
      <c r="DT460" s="11"/>
      <c r="DU460" s="11"/>
      <c r="DV460" s="11"/>
      <c r="DW460" s="11"/>
      <c r="DX460" s="11"/>
      <c r="DY460" s="11"/>
      <c r="DZ460" s="11"/>
      <c r="EA460" s="11"/>
      <c r="EB460" s="11"/>
      <c r="EC460" s="11"/>
      <c r="ED460" s="11"/>
      <c r="EE460" s="11"/>
      <c r="EF460" s="11"/>
      <c r="EG460" s="11"/>
      <c r="EH460" s="11"/>
      <c r="EI460" s="11"/>
      <c r="EJ460" s="11"/>
      <c r="EK460" s="11"/>
      <c r="EL460" s="11"/>
      <c r="EM460" s="11"/>
      <c r="EN460" s="11"/>
      <c r="EO460" s="11"/>
      <c r="EP460" s="11"/>
      <c r="EQ460" s="11"/>
      <c r="ER460" s="11"/>
      <c r="ES460" s="11"/>
      <c r="ET460" s="11"/>
      <c r="EU460" s="11"/>
      <c r="EV460" s="11"/>
      <c r="EW460" s="11"/>
      <c r="EX460" s="11"/>
      <c r="EY460" s="11"/>
      <c r="EZ460" s="11"/>
      <c r="FA460" s="11"/>
      <c r="FB460" s="11"/>
      <c r="FC460" s="11"/>
      <c r="FD460" s="11"/>
      <c r="FE460" s="11"/>
      <c r="FF460" s="11"/>
      <c r="FG460" s="11"/>
      <c r="FH460" s="17">
        <f t="shared" si="186"/>
        <v>1472962.96</v>
      </c>
      <c r="FI460" s="31">
        <f t="shared" si="187"/>
        <v>4</v>
      </c>
      <c r="FJ460" s="68">
        <f t="shared" si="188"/>
        <v>368240.74</v>
      </c>
    </row>
    <row r="461" spans="1:166" ht="25.5" x14ac:dyDescent="0.25">
      <c r="A461" s="248">
        <f>Distribución_Reactivos!A461</f>
        <v>459</v>
      </c>
      <c r="B461" s="248" t="str">
        <f>Distribución_Reactivos!B461</f>
        <v>agar enterocococel</v>
      </c>
      <c r="C461" s="248" t="str">
        <f>Distribución_Reactivos!C461</f>
        <v>BD o equivalentes</v>
      </c>
      <c r="D461" s="248" t="str">
        <f>Distribución_Reactivos!D461</f>
        <v>Frasco x 500 g</v>
      </c>
      <c r="E461" s="29">
        <v>1</v>
      </c>
      <c r="F461" s="212">
        <v>0</v>
      </c>
      <c r="G461" s="214">
        <v>0</v>
      </c>
      <c r="H461" s="221">
        <v>0</v>
      </c>
      <c r="I461" s="221">
        <v>0</v>
      </c>
      <c r="J461" s="221">
        <v>0</v>
      </c>
      <c r="K461" s="221">
        <v>0</v>
      </c>
      <c r="L461" s="247"/>
      <c r="M461" s="247"/>
      <c r="N461" s="218"/>
      <c r="O461" s="102"/>
      <c r="P461" s="102"/>
      <c r="Q461" s="44"/>
      <c r="R461" s="44"/>
      <c r="S461" s="5"/>
      <c r="T461" s="102"/>
      <c r="U461" s="102"/>
      <c r="V461" s="102"/>
      <c r="W461" s="11"/>
      <c r="X461" s="11"/>
      <c r="Y461" s="11"/>
      <c r="Z461" s="102"/>
      <c r="AA461" s="102"/>
      <c r="AB461" s="102"/>
      <c r="AC461" s="44"/>
      <c r="AD461" s="44"/>
      <c r="AE461" s="11"/>
      <c r="AF461" s="102"/>
      <c r="AG461" s="102"/>
      <c r="AH461" s="102"/>
      <c r="AI461" s="11"/>
      <c r="AJ461" s="11"/>
      <c r="AK461" s="11"/>
      <c r="AL461" s="102"/>
      <c r="AM461" s="102"/>
      <c r="AN461" s="102"/>
      <c r="AO461" s="248"/>
      <c r="AP461" s="11"/>
      <c r="AQ461" s="11"/>
      <c r="AR461" s="247"/>
      <c r="AS461" s="247"/>
      <c r="AT461" s="247"/>
      <c r="AU461" s="52"/>
      <c r="AV461" s="42"/>
      <c r="AW461" s="11"/>
      <c r="AX461" s="247"/>
      <c r="AY461" s="247"/>
      <c r="AZ461" s="247"/>
      <c r="BA461" s="11"/>
      <c r="BB461" s="11"/>
      <c r="BC461" s="11"/>
      <c r="BD461" s="247"/>
      <c r="BE461" s="247"/>
      <c r="BF461" s="247"/>
      <c r="BG461" s="11"/>
      <c r="BH461" s="11"/>
      <c r="BI461" s="11"/>
      <c r="BJ461" s="247"/>
      <c r="BK461" s="247"/>
      <c r="BL461" s="247"/>
      <c r="BM461" s="11"/>
      <c r="BN461" s="11"/>
      <c r="BO461" s="11"/>
      <c r="BP461" s="247"/>
      <c r="BQ461" s="11"/>
      <c r="BR461" s="11"/>
      <c r="BS461" s="11"/>
      <c r="BT461" s="11"/>
      <c r="BU461" s="11"/>
      <c r="BV461" s="236">
        <v>1854500</v>
      </c>
      <c r="BW461" s="125">
        <f t="shared" si="182"/>
        <v>352355</v>
      </c>
      <c r="BX461" s="97">
        <f t="shared" si="183"/>
        <v>2206855</v>
      </c>
      <c r="BY461" s="245" t="s">
        <v>319</v>
      </c>
      <c r="BZ461" s="245" t="s">
        <v>27</v>
      </c>
      <c r="CA461" s="11"/>
      <c r="CB461" s="247"/>
      <c r="CC461" s="247"/>
      <c r="CD461" s="247"/>
      <c r="CE461" s="11"/>
      <c r="CF461" s="11"/>
      <c r="CG461" s="11"/>
      <c r="CH461" s="241">
        <v>1965770</v>
      </c>
      <c r="CI461" s="238">
        <f t="shared" si="184"/>
        <v>373496.3</v>
      </c>
      <c r="CJ461" s="236">
        <f t="shared" si="185"/>
        <v>2339266.2999999998</v>
      </c>
      <c r="CK461" s="245" t="s">
        <v>319</v>
      </c>
      <c r="CL461" s="245" t="s">
        <v>27</v>
      </c>
      <c r="CM461" s="11"/>
      <c r="CN461" s="247"/>
      <c r="CO461" s="247"/>
      <c r="CP461" s="247"/>
      <c r="CQ461" s="11"/>
      <c r="CR461" s="11"/>
      <c r="CS461" s="11"/>
      <c r="CT461" s="247"/>
      <c r="CU461" s="51"/>
      <c r="CV461" s="247"/>
      <c r="CW461" s="11"/>
      <c r="CX461" s="11"/>
      <c r="CY461" s="11"/>
      <c r="CZ461" s="102"/>
      <c r="DA461" s="125"/>
      <c r="DB461" s="102"/>
      <c r="DC461" s="31"/>
      <c r="DD461" s="11"/>
      <c r="DE461" s="11"/>
      <c r="DF461" s="11"/>
      <c r="DG461" s="11"/>
      <c r="DH461" s="11"/>
      <c r="DI461" s="11"/>
      <c r="DJ461" s="11"/>
      <c r="DK461" s="11"/>
      <c r="DL461" s="11"/>
      <c r="DM461" s="11"/>
      <c r="DN461" s="11"/>
      <c r="DO461" s="11"/>
      <c r="DP461" s="11"/>
      <c r="DQ461" s="11"/>
      <c r="DR461" s="11"/>
      <c r="DS461" s="11"/>
      <c r="DT461" s="11"/>
      <c r="DU461" s="11"/>
      <c r="DV461" s="11"/>
      <c r="DW461" s="11"/>
      <c r="DX461" s="11"/>
      <c r="DY461" s="11"/>
      <c r="DZ461" s="11"/>
      <c r="EA461" s="11"/>
      <c r="EB461" s="11"/>
      <c r="EC461" s="11"/>
      <c r="ED461" s="11"/>
      <c r="EE461" s="11"/>
      <c r="EF461" s="11"/>
      <c r="EG461" s="11"/>
      <c r="EH461" s="11"/>
      <c r="EI461" s="11"/>
      <c r="EJ461" s="11"/>
      <c r="EK461" s="11"/>
      <c r="EL461" s="11"/>
      <c r="EM461" s="11"/>
      <c r="EN461" s="11"/>
      <c r="EO461" s="11"/>
      <c r="EP461" s="11"/>
      <c r="EQ461" s="11"/>
      <c r="ER461" s="11"/>
      <c r="ES461" s="11"/>
      <c r="ET461" s="11"/>
      <c r="EU461" s="11"/>
      <c r="EV461" s="11"/>
      <c r="EW461" s="11"/>
      <c r="EX461" s="11"/>
      <c r="EY461" s="11"/>
      <c r="EZ461" s="11"/>
      <c r="FA461" s="11"/>
      <c r="FB461" s="11"/>
      <c r="FC461" s="11"/>
      <c r="FD461" s="11"/>
      <c r="FE461" s="11"/>
      <c r="FF461" s="11"/>
      <c r="FG461" s="11"/>
      <c r="FH461" s="17">
        <f t="shared" si="186"/>
        <v>4546121.3</v>
      </c>
      <c r="FI461" s="31">
        <f t="shared" si="187"/>
        <v>2</v>
      </c>
      <c r="FJ461" s="68">
        <f t="shared" si="188"/>
        <v>2273060.65</v>
      </c>
    </row>
    <row r="462" spans="1:166" ht="13.5" x14ac:dyDescent="0.25">
      <c r="A462" s="248">
        <f>Distribución_Reactivos!A462</f>
        <v>460</v>
      </c>
      <c r="B462" s="248" t="str">
        <f>Distribución_Reactivos!B462</f>
        <v xml:space="preserve">Agar EMB </v>
      </c>
      <c r="C462" s="248" t="str">
        <f>Distribución_Reactivos!C462</f>
        <v>MERCK</v>
      </c>
      <c r="D462" s="248" t="str">
        <f>Distribución_Reactivos!D462</f>
        <v>Frasco x 500 g</v>
      </c>
      <c r="E462" s="29">
        <v>1</v>
      </c>
      <c r="F462" s="212">
        <v>0</v>
      </c>
      <c r="G462" s="214">
        <v>0</v>
      </c>
      <c r="H462" s="221">
        <v>0</v>
      </c>
      <c r="I462" s="221">
        <v>0</v>
      </c>
      <c r="J462" s="221">
        <v>0</v>
      </c>
      <c r="K462" s="221">
        <v>0</v>
      </c>
      <c r="L462" s="247"/>
      <c r="M462" s="247"/>
      <c r="N462" s="219">
        <v>428250</v>
      </c>
      <c r="O462" s="97">
        <f t="shared" ref="O462:O467" si="189">+N462*0.19</f>
        <v>81367.5</v>
      </c>
      <c r="P462" s="97">
        <f t="shared" ref="P462:P467" si="190">+O462+N462</f>
        <v>509617.5</v>
      </c>
      <c r="Q462" s="34" t="s">
        <v>118</v>
      </c>
      <c r="R462" s="116" t="s">
        <v>119</v>
      </c>
      <c r="S462" s="5" t="s">
        <v>209</v>
      </c>
      <c r="T462" s="102"/>
      <c r="U462" s="102"/>
      <c r="V462" s="102"/>
      <c r="W462" s="11"/>
      <c r="X462" s="11"/>
      <c r="Y462" s="11"/>
      <c r="Z462" s="102"/>
      <c r="AA462" s="102"/>
      <c r="AB462" s="102"/>
      <c r="AC462" s="44"/>
      <c r="AD462" s="44"/>
      <c r="AE462" s="11"/>
      <c r="AF462" s="102"/>
      <c r="AG462" s="102"/>
      <c r="AH462" s="102"/>
      <c r="AI462" s="11"/>
      <c r="AJ462" s="11"/>
      <c r="AK462" s="11"/>
      <c r="AL462" s="102"/>
      <c r="AM462" s="102"/>
      <c r="AN462" s="102"/>
      <c r="AO462" s="248"/>
      <c r="AP462" s="11"/>
      <c r="AQ462" s="11"/>
      <c r="AR462" s="247"/>
      <c r="AS462" s="247"/>
      <c r="AT462" s="247"/>
      <c r="AU462" s="52"/>
      <c r="AV462" s="42"/>
      <c r="AW462" s="11"/>
      <c r="AX462" s="247"/>
      <c r="AY462" s="247"/>
      <c r="AZ462" s="247"/>
      <c r="BA462" s="11"/>
      <c r="BB462" s="11"/>
      <c r="BC462" s="11"/>
      <c r="BD462" s="247"/>
      <c r="BE462" s="247"/>
      <c r="BF462" s="247"/>
      <c r="BG462" s="11"/>
      <c r="BH462" s="11"/>
      <c r="BI462" s="11"/>
      <c r="BJ462" s="247"/>
      <c r="BK462" s="247"/>
      <c r="BL462" s="247"/>
      <c r="BM462" s="11"/>
      <c r="BN462" s="11"/>
      <c r="BO462" s="11"/>
      <c r="BP462" s="247"/>
      <c r="BQ462" s="11"/>
      <c r="BR462" s="11"/>
      <c r="BS462" s="11"/>
      <c r="BT462" s="11"/>
      <c r="BU462" s="11"/>
      <c r="BV462" s="236">
        <v>794600</v>
      </c>
      <c r="BW462" s="125">
        <f t="shared" si="182"/>
        <v>150974</v>
      </c>
      <c r="BX462" s="97">
        <f t="shared" si="183"/>
        <v>945574</v>
      </c>
      <c r="BY462" s="245" t="s">
        <v>319</v>
      </c>
      <c r="BZ462" s="245" t="s">
        <v>93</v>
      </c>
      <c r="CA462" s="11"/>
      <c r="CB462" s="247"/>
      <c r="CC462" s="247"/>
      <c r="CD462" s="247"/>
      <c r="CE462" s="11"/>
      <c r="CF462" s="11"/>
      <c r="CG462" s="11"/>
      <c r="CH462" s="236">
        <v>818438</v>
      </c>
      <c r="CI462" s="238">
        <f t="shared" si="184"/>
        <v>155503.22</v>
      </c>
      <c r="CJ462" s="236">
        <f t="shared" si="185"/>
        <v>973941.22</v>
      </c>
      <c r="CK462" s="245" t="s">
        <v>319</v>
      </c>
      <c r="CL462" s="245" t="s">
        <v>93</v>
      </c>
      <c r="CM462" s="11"/>
      <c r="CN462" s="247"/>
      <c r="CO462" s="247"/>
      <c r="CP462" s="247"/>
      <c r="CQ462" s="11"/>
      <c r="CR462" s="11"/>
      <c r="CS462" s="11"/>
      <c r="CT462" s="247"/>
      <c r="CU462" s="51"/>
      <c r="CV462" s="247"/>
      <c r="CW462" s="11"/>
      <c r="CX462" s="11"/>
      <c r="CY462" s="11"/>
      <c r="CZ462" s="102">
        <v>360940</v>
      </c>
      <c r="DA462" s="125">
        <f>+CZ462*0.19</f>
        <v>68578.600000000006</v>
      </c>
      <c r="DB462" s="102">
        <f>+CZ462+DA462</f>
        <v>429518.6</v>
      </c>
      <c r="DC462" s="31" t="s">
        <v>379</v>
      </c>
      <c r="DD462" s="11" t="s">
        <v>65</v>
      </c>
      <c r="DE462" s="11">
        <v>1013470500</v>
      </c>
      <c r="DF462" s="11"/>
      <c r="DG462" s="11"/>
      <c r="DH462" s="11"/>
      <c r="DI462" s="11"/>
      <c r="DJ462" s="11"/>
      <c r="DK462" s="11"/>
      <c r="DL462" s="11"/>
      <c r="DM462" s="11"/>
      <c r="DN462" s="11"/>
      <c r="DO462" s="11"/>
      <c r="DP462" s="11"/>
      <c r="DQ462" s="11"/>
      <c r="DR462" s="11"/>
      <c r="DS462" s="11"/>
      <c r="DT462" s="11"/>
      <c r="DU462" s="11"/>
      <c r="DV462" s="11"/>
      <c r="DW462" s="11"/>
      <c r="DX462" s="11"/>
      <c r="DY462" s="11"/>
      <c r="DZ462" s="11"/>
      <c r="EA462" s="11"/>
      <c r="EB462" s="11"/>
      <c r="EC462" s="11"/>
      <c r="ED462" s="11"/>
      <c r="EE462" s="11"/>
      <c r="EF462" s="11"/>
      <c r="EG462" s="11"/>
      <c r="EH462" s="11"/>
      <c r="EI462" s="11"/>
      <c r="EJ462" s="11"/>
      <c r="EK462" s="11"/>
      <c r="EL462" s="11"/>
      <c r="EM462" s="11"/>
      <c r="EN462" s="11"/>
      <c r="EO462" s="11"/>
      <c r="EP462" s="11"/>
      <c r="EQ462" s="11"/>
      <c r="ER462" s="11"/>
      <c r="ES462" s="11"/>
      <c r="ET462" s="11"/>
      <c r="EU462" s="11"/>
      <c r="EV462" s="11"/>
      <c r="EW462" s="11"/>
      <c r="EX462" s="11"/>
      <c r="EY462" s="11"/>
      <c r="EZ462" s="11"/>
      <c r="FA462" s="11"/>
      <c r="FB462" s="11"/>
      <c r="FC462" s="11"/>
      <c r="FD462" s="11"/>
      <c r="FE462" s="11"/>
      <c r="FF462" s="11"/>
      <c r="FG462" s="11"/>
      <c r="FH462" s="17">
        <f t="shared" si="186"/>
        <v>2858651.32</v>
      </c>
      <c r="FI462" s="31">
        <f t="shared" si="187"/>
        <v>4</v>
      </c>
      <c r="FJ462" s="68">
        <f t="shared" si="188"/>
        <v>714662.83</v>
      </c>
    </row>
    <row r="463" spans="1:166" ht="27" x14ac:dyDescent="0.25">
      <c r="A463" s="248">
        <f>Distribución_Reactivos!A463</f>
        <v>461</v>
      </c>
      <c r="B463" s="248" t="str">
        <f>Distribución_Reactivos!B463</f>
        <v>Agar Manitol</v>
      </c>
      <c r="C463" s="248" t="str">
        <f>Distribución_Reactivos!C463</f>
        <v>MICROKIT</v>
      </c>
      <c r="D463" s="248" t="str">
        <f>Distribución_Reactivos!D463</f>
        <v>Frasco x 500 g</v>
      </c>
      <c r="E463" s="29">
        <v>1</v>
      </c>
      <c r="F463" s="212">
        <v>0</v>
      </c>
      <c r="G463" s="214">
        <v>0</v>
      </c>
      <c r="H463" s="221">
        <v>0</v>
      </c>
      <c r="I463" s="221">
        <v>0</v>
      </c>
      <c r="J463" s="221">
        <v>0</v>
      </c>
      <c r="K463" s="221">
        <v>0</v>
      </c>
      <c r="L463" s="247"/>
      <c r="M463" s="247"/>
      <c r="N463" s="219">
        <v>338250</v>
      </c>
      <c r="O463" s="97">
        <f t="shared" si="189"/>
        <v>64267.5</v>
      </c>
      <c r="P463" s="97">
        <f t="shared" si="190"/>
        <v>402517.5</v>
      </c>
      <c r="Q463" s="34" t="s">
        <v>118</v>
      </c>
      <c r="R463" s="116" t="s">
        <v>119</v>
      </c>
      <c r="S463" s="5" t="s">
        <v>209</v>
      </c>
      <c r="T463" s="102"/>
      <c r="U463" s="102"/>
      <c r="V463" s="102"/>
      <c r="W463" s="11"/>
      <c r="X463" s="11"/>
      <c r="Y463" s="11"/>
      <c r="Z463" s="102"/>
      <c r="AA463" s="102"/>
      <c r="AB463" s="102"/>
      <c r="AC463" s="44"/>
      <c r="AD463" s="44"/>
      <c r="AE463" s="11"/>
      <c r="AF463" s="102"/>
      <c r="AG463" s="102"/>
      <c r="AH463" s="102"/>
      <c r="AI463" s="11"/>
      <c r="AJ463" s="11"/>
      <c r="AK463" s="11"/>
      <c r="AL463" s="102">
        <v>210000</v>
      </c>
      <c r="AM463" s="97">
        <f>+AL463*0.19</f>
        <v>39900</v>
      </c>
      <c r="AN463" s="103">
        <f>+AL463+AM463</f>
        <v>249900</v>
      </c>
      <c r="AO463" s="248" t="s">
        <v>77</v>
      </c>
      <c r="AP463" s="11" t="s">
        <v>52</v>
      </c>
      <c r="AQ463" s="11"/>
      <c r="AR463" s="247"/>
      <c r="AS463" s="247"/>
      <c r="AT463" s="247"/>
      <c r="AU463" s="52"/>
      <c r="AV463" s="42"/>
      <c r="AW463" s="11"/>
      <c r="AX463" s="247"/>
      <c r="AY463" s="247"/>
      <c r="AZ463" s="247"/>
      <c r="BA463" s="11"/>
      <c r="BB463" s="11"/>
      <c r="BC463" s="11"/>
      <c r="BD463" s="247"/>
      <c r="BE463" s="247"/>
      <c r="BF463" s="247"/>
      <c r="BG463" s="11"/>
      <c r="BH463" s="11"/>
      <c r="BI463" s="11"/>
      <c r="BJ463" s="247"/>
      <c r="BK463" s="247"/>
      <c r="BL463" s="247"/>
      <c r="BM463" s="11"/>
      <c r="BN463" s="11"/>
      <c r="BO463" s="11"/>
      <c r="BP463" s="247"/>
      <c r="BQ463" s="11"/>
      <c r="BR463" s="11"/>
      <c r="BS463" s="11"/>
      <c r="BT463" s="11"/>
      <c r="BU463" s="11"/>
      <c r="BV463" s="241">
        <v>1112000</v>
      </c>
      <c r="BW463" s="125">
        <f t="shared" si="182"/>
        <v>211280</v>
      </c>
      <c r="BX463" s="97">
        <f t="shared" si="183"/>
        <v>1323280</v>
      </c>
      <c r="BY463" s="245" t="s">
        <v>319</v>
      </c>
      <c r="BZ463" s="245" t="s">
        <v>483</v>
      </c>
      <c r="CA463" s="11"/>
      <c r="CB463" s="247"/>
      <c r="CC463" s="247"/>
      <c r="CD463" s="247"/>
      <c r="CE463" s="11"/>
      <c r="CF463" s="11"/>
      <c r="CG463" s="11"/>
      <c r="CH463" s="236">
        <v>1167600</v>
      </c>
      <c r="CI463" s="238">
        <f t="shared" si="184"/>
        <v>221844</v>
      </c>
      <c r="CJ463" s="236">
        <f t="shared" si="185"/>
        <v>1389444</v>
      </c>
      <c r="CK463" s="245" t="s">
        <v>319</v>
      </c>
      <c r="CL463" s="245" t="s">
        <v>483</v>
      </c>
      <c r="CM463" s="11"/>
      <c r="CN463" s="247"/>
      <c r="CO463" s="247"/>
      <c r="CP463" s="247"/>
      <c r="CQ463" s="11"/>
      <c r="CR463" s="11"/>
      <c r="CS463" s="11"/>
      <c r="CT463" s="247"/>
      <c r="CU463" s="51"/>
      <c r="CV463" s="247"/>
      <c r="CW463" s="11"/>
      <c r="CX463" s="11"/>
      <c r="CY463" s="11"/>
      <c r="CZ463" s="102"/>
      <c r="DA463" s="125"/>
      <c r="DB463" s="102"/>
      <c r="DC463" s="31"/>
      <c r="DD463" s="11"/>
      <c r="DE463" s="11"/>
      <c r="DF463" s="11"/>
      <c r="DG463" s="11"/>
      <c r="DH463" s="11"/>
      <c r="DI463" s="11"/>
      <c r="DJ463" s="11"/>
      <c r="DK463" s="11"/>
      <c r="DL463" s="11"/>
      <c r="DM463" s="11"/>
      <c r="DN463" s="11"/>
      <c r="DO463" s="11"/>
      <c r="DP463" s="11"/>
      <c r="DQ463" s="11"/>
      <c r="DR463" s="11"/>
      <c r="DS463" s="11"/>
      <c r="DT463" s="11"/>
      <c r="DU463" s="11"/>
      <c r="DV463" s="11"/>
      <c r="DW463" s="11"/>
      <c r="DX463" s="11"/>
      <c r="DY463" s="11"/>
      <c r="DZ463" s="11"/>
      <c r="EA463" s="11"/>
      <c r="EB463" s="11"/>
      <c r="EC463" s="11"/>
      <c r="ED463" s="11"/>
      <c r="EE463" s="11"/>
      <c r="EF463" s="11"/>
      <c r="EG463" s="11"/>
      <c r="EH463" s="11"/>
      <c r="EI463" s="11"/>
      <c r="EJ463" s="11"/>
      <c r="EK463" s="11"/>
      <c r="EL463" s="11"/>
      <c r="EM463" s="11"/>
      <c r="EN463" s="11"/>
      <c r="EO463" s="11"/>
      <c r="EP463" s="11"/>
      <c r="EQ463" s="11"/>
      <c r="ER463" s="11"/>
      <c r="ES463" s="11"/>
      <c r="ET463" s="11"/>
      <c r="EU463" s="11"/>
      <c r="EV463" s="11"/>
      <c r="EW463" s="11"/>
      <c r="EX463" s="11"/>
      <c r="EY463" s="11"/>
      <c r="EZ463" s="11"/>
      <c r="FA463" s="11"/>
      <c r="FB463" s="11"/>
      <c r="FC463" s="11"/>
      <c r="FD463" s="11"/>
      <c r="FE463" s="11"/>
      <c r="FF463" s="11"/>
      <c r="FG463" s="11"/>
      <c r="FH463" s="17">
        <f t="shared" si="186"/>
        <v>3365141.5</v>
      </c>
      <c r="FI463" s="31">
        <f t="shared" si="187"/>
        <v>4</v>
      </c>
      <c r="FJ463" s="68">
        <f t="shared" si="188"/>
        <v>841285.375</v>
      </c>
    </row>
    <row r="464" spans="1:166" ht="25.5" x14ac:dyDescent="0.25">
      <c r="A464" s="248">
        <f>Distribución_Reactivos!A464</f>
        <v>462</v>
      </c>
      <c r="B464" s="248" t="str">
        <f>Distribución_Reactivos!B464</f>
        <v>Agar Muller Hinton</v>
      </c>
      <c r="C464" s="248" t="str">
        <f>Distribución_Reactivos!C464</f>
        <v>MERCK o equivalentes</v>
      </c>
      <c r="D464" s="248" t="str">
        <f>Distribución_Reactivos!D464</f>
        <v>Frasco x 500 g</v>
      </c>
      <c r="E464" s="29">
        <v>1</v>
      </c>
      <c r="F464" s="212">
        <v>0</v>
      </c>
      <c r="G464" s="214">
        <v>0</v>
      </c>
      <c r="H464" s="221">
        <v>0</v>
      </c>
      <c r="I464" s="221">
        <v>0</v>
      </c>
      <c r="J464" s="221">
        <v>0</v>
      </c>
      <c r="K464" s="221">
        <v>0</v>
      </c>
      <c r="L464" s="247"/>
      <c r="M464" s="247"/>
      <c r="N464" s="219">
        <v>482250</v>
      </c>
      <c r="O464" s="97">
        <f t="shared" si="189"/>
        <v>91627.5</v>
      </c>
      <c r="P464" s="97">
        <f t="shared" si="190"/>
        <v>573877.5</v>
      </c>
      <c r="Q464" s="34" t="s">
        <v>118</v>
      </c>
      <c r="R464" s="116" t="s">
        <v>119</v>
      </c>
      <c r="S464" s="5" t="s">
        <v>209</v>
      </c>
      <c r="T464" s="102"/>
      <c r="U464" s="102"/>
      <c r="V464" s="102"/>
      <c r="W464" s="11"/>
      <c r="X464" s="11"/>
      <c r="Y464" s="11"/>
      <c r="Z464" s="102"/>
      <c r="AA464" s="102"/>
      <c r="AB464" s="102"/>
      <c r="AC464" s="44"/>
      <c r="AD464" s="44"/>
      <c r="AE464" s="11"/>
      <c r="AF464" s="102"/>
      <c r="AG464" s="102"/>
      <c r="AH464" s="102"/>
      <c r="AI464" s="11"/>
      <c r="AJ464" s="11"/>
      <c r="AK464" s="11"/>
      <c r="AL464" s="102">
        <v>398000</v>
      </c>
      <c r="AM464" s="97">
        <f>+AL464*0.19</f>
        <v>75620</v>
      </c>
      <c r="AN464" s="103">
        <f>+AL464+AM464</f>
        <v>473620</v>
      </c>
      <c r="AO464" s="248" t="s">
        <v>77</v>
      </c>
      <c r="AP464" s="11" t="s">
        <v>52</v>
      </c>
      <c r="AQ464" s="11"/>
      <c r="AR464" s="247"/>
      <c r="AS464" s="247"/>
      <c r="AT464" s="247"/>
      <c r="AU464" s="52"/>
      <c r="AV464" s="42"/>
      <c r="AW464" s="11"/>
      <c r="AX464" s="247"/>
      <c r="AY464" s="247"/>
      <c r="AZ464" s="247"/>
      <c r="BA464" s="11"/>
      <c r="BB464" s="11"/>
      <c r="BC464" s="11"/>
      <c r="BD464" s="247"/>
      <c r="BE464" s="247"/>
      <c r="BF464" s="247"/>
      <c r="BG464" s="11"/>
      <c r="BH464" s="11"/>
      <c r="BI464" s="11"/>
      <c r="BJ464" s="247"/>
      <c r="BK464" s="247"/>
      <c r="BL464" s="247"/>
      <c r="BM464" s="11"/>
      <c r="BN464" s="11"/>
      <c r="BO464" s="11"/>
      <c r="BP464" s="247"/>
      <c r="BQ464" s="11"/>
      <c r="BR464" s="11"/>
      <c r="BS464" s="11"/>
      <c r="BT464" s="11"/>
      <c r="BU464" s="11"/>
      <c r="BV464" s="236">
        <v>772100</v>
      </c>
      <c r="BW464" s="125">
        <f t="shared" si="182"/>
        <v>146699</v>
      </c>
      <c r="BX464" s="97">
        <f>+BV464+BW464</f>
        <v>918799</v>
      </c>
      <c r="BY464" s="245" t="s">
        <v>319</v>
      </c>
      <c r="BZ464" s="245" t="s">
        <v>93</v>
      </c>
      <c r="CA464" s="11"/>
      <c r="CB464" s="247"/>
      <c r="CC464" s="247"/>
      <c r="CD464" s="247"/>
      <c r="CE464" s="11"/>
      <c r="CF464" s="11"/>
      <c r="CG464" s="11"/>
      <c r="CH464" s="236">
        <v>787542</v>
      </c>
      <c r="CI464" s="238">
        <f t="shared" si="184"/>
        <v>149632.98000000001</v>
      </c>
      <c r="CJ464" s="236">
        <f>+CH464+CI464</f>
        <v>937174.98</v>
      </c>
      <c r="CK464" s="245" t="s">
        <v>319</v>
      </c>
      <c r="CL464" s="245" t="s">
        <v>93</v>
      </c>
      <c r="CM464" s="11"/>
      <c r="CN464" s="247"/>
      <c r="CO464" s="247"/>
      <c r="CP464" s="247"/>
      <c r="CQ464" s="11"/>
      <c r="CR464" s="11"/>
      <c r="CS464" s="11"/>
      <c r="CT464" s="247"/>
      <c r="CU464" s="51"/>
      <c r="CV464" s="247"/>
      <c r="CW464" s="11"/>
      <c r="CX464" s="11"/>
      <c r="CY464" s="11"/>
      <c r="CZ464" s="102">
        <v>446033</v>
      </c>
      <c r="DA464" s="125">
        <f>+CZ464*0.19</f>
        <v>84746.27</v>
      </c>
      <c r="DB464" s="102">
        <f>+CZ464+DA464</f>
        <v>530779.27</v>
      </c>
      <c r="DC464" s="31" t="s">
        <v>379</v>
      </c>
      <c r="DD464" s="11" t="s">
        <v>484</v>
      </c>
      <c r="DE464" s="11">
        <v>1054370500</v>
      </c>
      <c r="DF464" s="11"/>
      <c r="DG464" s="11"/>
      <c r="DH464" s="11"/>
      <c r="DI464" s="11"/>
      <c r="DJ464" s="11"/>
      <c r="DK464" s="11"/>
      <c r="DL464" s="11"/>
      <c r="DM464" s="11"/>
      <c r="DN464" s="11"/>
      <c r="DO464" s="11"/>
      <c r="DP464" s="11"/>
      <c r="DQ464" s="11"/>
      <c r="DR464" s="11"/>
      <c r="DS464" s="11"/>
      <c r="DT464" s="11"/>
      <c r="DU464" s="11"/>
      <c r="DV464" s="11"/>
      <c r="DW464" s="11"/>
      <c r="DX464" s="11"/>
      <c r="DY464" s="11"/>
      <c r="DZ464" s="11"/>
      <c r="EA464" s="11"/>
      <c r="EB464" s="11"/>
      <c r="EC464" s="11"/>
      <c r="ED464" s="11"/>
      <c r="EE464" s="11"/>
      <c r="EF464" s="11"/>
      <c r="EG464" s="11"/>
      <c r="EH464" s="11"/>
      <c r="EI464" s="11"/>
      <c r="EJ464" s="11"/>
      <c r="EK464" s="11"/>
      <c r="EL464" s="11"/>
      <c r="EM464" s="11"/>
      <c r="EN464" s="11"/>
      <c r="EO464" s="11"/>
      <c r="EP464" s="11"/>
      <c r="EQ464" s="11"/>
      <c r="ER464" s="11"/>
      <c r="ES464" s="11"/>
      <c r="ET464" s="11"/>
      <c r="EU464" s="11"/>
      <c r="EV464" s="11"/>
      <c r="EW464" s="11"/>
      <c r="EX464" s="11"/>
      <c r="EY464" s="11"/>
      <c r="EZ464" s="11"/>
      <c r="FA464" s="11"/>
      <c r="FB464" s="11"/>
      <c r="FC464" s="11"/>
      <c r="FD464" s="11"/>
      <c r="FE464" s="11"/>
      <c r="FF464" s="11"/>
      <c r="FG464" s="11"/>
      <c r="FH464" s="17">
        <f t="shared" si="186"/>
        <v>3434250.75</v>
      </c>
      <c r="FI464" s="31">
        <f t="shared" si="187"/>
        <v>5</v>
      </c>
      <c r="FJ464" s="68">
        <f t="shared" si="188"/>
        <v>686850.15</v>
      </c>
    </row>
    <row r="465" spans="1:166" ht="25.5" x14ac:dyDescent="0.25">
      <c r="A465" s="248">
        <f>Distribución_Reactivos!A465</f>
        <v>463</v>
      </c>
      <c r="B465" s="248" t="str">
        <f>Distribución_Reactivos!B465</f>
        <v>Skim Milk</v>
      </c>
      <c r="C465" s="248" t="str">
        <f>Distribución_Reactivos!C465</f>
        <v>BD o equivalentes</v>
      </c>
      <c r="D465" s="248" t="str">
        <f>Distribución_Reactivos!D465</f>
        <v>Frasco x 500 g</v>
      </c>
      <c r="E465" s="29">
        <v>1</v>
      </c>
      <c r="F465" s="212">
        <v>0</v>
      </c>
      <c r="G465" s="214">
        <v>0</v>
      </c>
      <c r="H465" s="221">
        <v>0</v>
      </c>
      <c r="I465" s="221">
        <v>0</v>
      </c>
      <c r="J465" s="221">
        <v>0</v>
      </c>
      <c r="K465" s="221">
        <v>0</v>
      </c>
      <c r="L465" s="247"/>
      <c r="M465" s="247"/>
      <c r="N465" s="219">
        <v>226300</v>
      </c>
      <c r="O465" s="97">
        <f t="shared" si="189"/>
        <v>42997</v>
      </c>
      <c r="P465" s="97">
        <f t="shared" si="190"/>
        <v>269297</v>
      </c>
      <c r="Q465" s="34" t="s">
        <v>118</v>
      </c>
      <c r="R465" s="116" t="s">
        <v>119</v>
      </c>
      <c r="S465" s="5" t="s">
        <v>209</v>
      </c>
      <c r="T465" s="102"/>
      <c r="U465" s="102"/>
      <c r="V465" s="102"/>
      <c r="W465" s="11"/>
      <c r="X465" s="11"/>
      <c r="Y465" s="11"/>
      <c r="Z465" s="102"/>
      <c r="AA465" s="102"/>
      <c r="AB465" s="102"/>
      <c r="AC465" s="44"/>
      <c r="AD465" s="44"/>
      <c r="AE465" s="11"/>
      <c r="AF465" s="102"/>
      <c r="AG465" s="102"/>
      <c r="AH465" s="102"/>
      <c r="AI465" s="11"/>
      <c r="AJ465" s="11"/>
      <c r="AK465" s="11"/>
      <c r="AL465" s="102"/>
      <c r="AM465" s="102"/>
      <c r="AN465" s="102"/>
      <c r="AO465" s="248"/>
      <c r="AP465" s="11"/>
      <c r="AQ465" s="11"/>
      <c r="AR465" s="247"/>
      <c r="AS465" s="247"/>
      <c r="AT465" s="247"/>
      <c r="AU465" s="52"/>
      <c r="AV465" s="42"/>
      <c r="AW465" s="11"/>
      <c r="AX465" s="247"/>
      <c r="AY465" s="247"/>
      <c r="AZ465" s="247"/>
      <c r="BA465" s="11"/>
      <c r="BB465" s="11"/>
      <c r="BC465" s="11"/>
      <c r="BD465" s="247"/>
      <c r="BE465" s="247"/>
      <c r="BF465" s="247"/>
      <c r="BG465" s="11"/>
      <c r="BH465" s="11"/>
      <c r="BI465" s="11"/>
      <c r="BJ465" s="247"/>
      <c r="BK465" s="247"/>
      <c r="BL465" s="247"/>
      <c r="BM465" s="11"/>
      <c r="BN465" s="11"/>
      <c r="BO465" s="11"/>
      <c r="BP465" s="247"/>
      <c r="BQ465" s="11"/>
      <c r="BR465" s="11"/>
      <c r="BS465" s="11"/>
      <c r="BT465" s="11"/>
      <c r="BU465" s="11"/>
      <c r="BV465" s="236">
        <v>688200</v>
      </c>
      <c r="BW465" s="125">
        <f t="shared" si="182"/>
        <v>130758</v>
      </c>
      <c r="BX465" s="97">
        <f>+BV465+BW465</f>
        <v>818958</v>
      </c>
      <c r="BY465" s="245" t="s">
        <v>319</v>
      </c>
      <c r="BZ465" s="245" t="s">
        <v>27</v>
      </c>
      <c r="CA465" s="11"/>
      <c r="CB465" s="247"/>
      <c r="CC465" s="247"/>
      <c r="CD465" s="247"/>
      <c r="CE465" s="11"/>
      <c r="CF465" s="11"/>
      <c r="CG465" s="11"/>
      <c r="CH465" s="236">
        <v>729492</v>
      </c>
      <c r="CI465" s="238">
        <f t="shared" si="184"/>
        <v>138603.48000000001</v>
      </c>
      <c r="CJ465" s="236">
        <f>+CH465+CI465</f>
        <v>868095.48</v>
      </c>
      <c r="CK465" s="245" t="s">
        <v>319</v>
      </c>
      <c r="CL465" s="245" t="s">
        <v>27</v>
      </c>
      <c r="CM465" s="11"/>
      <c r="CN465" s="247"/>
      <c r="CO465" s="247"/>
      <c r="CP465" s="247"/>
      <c r="CQ465" s="11"/>
      <c r="CR465" s="11"/>
      <c r="CS465" s="11"/>
      <c r="CT465" s="247"/>
      <c r="CU465" s="51"/>
      <c r="CV465" s="247"/>
      <c r="CW465" s="11"/>
      <c r="CX465" s="11"/>
      <c r="CY465" s="11"/>
      <c r="CZ465" s="102"/>
      <c r="DA465" s="125"/>
      <c r="DB465" s="102"/>
      <c r="DC465" s="31"/>
      <c r="DD465" s="11"/>
      <c r="DE465" s="11"/>
      <c r="DF465" s="11"/>
      <c r="DG465" s="11"/>
      <c r="DH465" s="11"/>
      <c r="DI465" s="11"/>
      <c r="DJ465" s="11"/>
      <c r="DK465" s="11"/>
      <c r="DL465" s="11"/>
      <c r="DM465" s="11"/>
      <c r="DN465" s="11"/>
      <c r="DO465" s="11"/>
      <c r="DP465" s="11"/>
      <c r="DQ465" s="11"/>
      <c r="DR465" s="11"/>
      <c r="DS465" s="11"/>
      <c r="DT465" s="11"/>
      <c r="DU465" s="11"/>
      <c r="DV465" s="11"/>
      <c r="DW465" s="11"/>
      <c r="DX465" s="11"/>
      <c r="DY465" s="11"/>
      <c r="DZ465" s="11"/>
      <c r="EA465" s="11"/>
      <c r="EB465" s="11"/>
      <c r="EC465" s="11"/>
      <c r="ED465" s="11"/>
      <c r="EE465" s="11"/>
      <c r="EF465" s="11"/>
      <c r="EG465" s="11"/>
      <c r="EH465" s="11"/>
      <c r="EI465" s="11"/>
      <c r="EJ465" s="11"/>
      <c r="EK465" s="11"/>
      <c r="EL465" s="11"/>
      <c r="EM465" s="11"/>
      <c r="EN465" s="11"/>
      <c r="EO465" s="11"/>
      <c r="EP465" s="11"/>
      <c r="EQ465" s="11"/>
      <c r="ER465" s="11"/>
      <c r="ES465" s="11"/>
      <c r="ET465" s="11"/>
      <c r="EU465" s="11"/>
      <c r="EV465" s="11"/>
      <c r="EW465" s="11"/>
      <c r="EX465" s="11"/>
      <c r="EY465" s="11"/>
      <c r="EZ465" s="11"/>
      <c r="FA465" s="11"/>
      <c r="FB465" s="11"/>
      <c r="FC465" s="11"/>
      <c r="FD465" s="11"/>
      <c r="FE465" s="11"/>
      <c r="FF465" s="11"/>
      <c r="FG465" s="11"/>
      <c r="FH465" s="17">
        <f t="shared" si="186"/>
        <v>1956350.48</v>
      </c>
      <c r="FI465" s="31">
        <f t="shared" si="187"/>
        <v>3</v>
      </c>
      <c r="FJ465" s="68">
        <f t="shared" si="188"/>
        <v>652116.82666666666</v>
      </c>
    </row>
    <row r="466" spans="1:166" ht="25.5" x14ac:dyDescent="0.25">
      <c r="A466" s="248">
        <f>Distribución_Reactivos!A466</f>
        <v>464</v>
      </c>
      <c r="B466" s="248" t="str">
        <f>Distribución_Reactivos!B466</f>
        <v>Agar Caso o Tripticasa de Soya</v>
      </c>
      <c r="C466" s="248" t="str">
        <f>Distribución_Reactivos!C466</f>
        <v>MERCK o equivalentes</v>
      </c>
      <c r="D466" s="248" t="str">
        <f>Distribución_Reactivos!D466</f>
        <v>Frasco x 500 g</v>
      </c>
      <c r="E466" s="29">
        <v>1</v>
      </c>
      <c r="F466" s="212">
        <v>0</v>
      </c>
      <c r="G466" s="214">
        <v>0</v>
      </c>
      <c r="H466" s="221">
        <v>0</v>
      </c>
      <c r="I466" s="221">
        <v>0</v>
      </c>
      <c r="J466" s="221">
        <v>0</v>
      </c>
      <c r="K466" s="221">
        <v>0</v>
      </c>
      <c r="L466" s="247"/>
      <c r="M466" s="247"/>
      <c r="N466" s="219">
        <v>374250</v>
      </c>
      <c r="O466" s="97">
        <f t="shared" si="189"/>
        <v>71107.5</v>
      </c>
      <c r="P466" s="97">
        <f t="shared" si="190"/>
        <v>445357.5</v>
      </c>
      <c r="Q466" s="34" t="s">
        <v>118</v>
      </c>
      <c r="R466" s="116" t="s">
        <v>119</v>
      </c>
      <c r="S466" s="5" t="s">
        <v>209</v>
      </c>
      <c r="T466" s="102"/>
      <c r="U466" s="102"/>
      <c r="V466" s="102"/>
      <c r="W466" s="11"/>
      <c r="X466" s="11"/>
      <c r="Y466" s="11"/>
      <c r="Z466" s="102"/>
      <c r="AA466" s="102"/>
      <c r="AB466" s="102"/>
      <c r="AC466" s="44"/>
      <c r="AD466" s="44"/>
      <c r="AE466" s="11"/>
      <c r="AF466" s="102"/>
      <c r="AG466" s="102"/>
      <c r="AH466" s="102"/>
      <c r="AI466" s="11"/>
      <c r="AJ466" s="11"/>
      <c r="AK466" s="11"/>
      <c r="AL466" s="102"/>
      <c r="AM466" s="102"/>
      <c r="AN466" s="102"/>
      <c r="AO466" s="248"/>
      <c r="AP466" s="11"/>
      <c r="AQ466" s="11"/>
      <c r="AR466" s="247"/>
      <c r="AS466" s="247"/>
      <c r="AT466" s="247"/>
      <c r="AU466" s="52"/>
      <c r="AV466" s="42"/>
      <c r="AW466" s="11"/>
      <c r="AX466" s="247"/>
      <c r="AY466" s="247"/>
      <c r="AZ466" s="247"/>
      <c r="BA466" s="11"/>
      <c r="BB466" s="11"/>
      <c r="BC466" s="11"/>
      <c r="BD466" s="247"/>
      <c r="BE466" s="247"/>
      <c r="BF466" s="247"/>
      <c r="BG466" s="11"/>
      <c r="BH466" s="11"/>
      <c r="BI466" s="11"/>
      <c r="BJ466" s="247"/>
      <c r="BK466" s="247"/>
      <c r="BL466" s="247"/>
      <c r="BM466" s="11"/>
      <c r="BN466" s="11"/>
      <c r="BO466" s="11"/>
      <c r="BP466" s="247"/>
      <c r="BQ466" s="11"/>
      <c r="BR466" s="11"/>
      <c r="BS466" s="11"/>
      <c r="BT466" s="11"/>
      <c r="BU466" s="11"/>
      <c r="BV466" s="236">
        <v>564200</v>
      </c>
      <c r="BW466" s="125">
        <f t="shared" si="182"/>
        <v>107198</v>
      </c>
      <c r="BX466" s="97">
        <f>+BV466+BW466</f>
        <v>671398</v>
      </c>
      <c r="BY466" s="245" t="s">
        <v>319</v>
      </c>
      <c r="BZ466" s="245" t="s">
        <v>93</v>
      </c>
      <c r="CA466" s="11"/>
      <c r="CB466" s="247"/>
      <c r="CC466" s="247"/>
      <c r="CD466" s="247"/>
      <c r="CE466" s="11"/>
      <c r="CF466" s="11"/>
      <c r="CG466" s="11"/>
      <c r="CH466" s="236">
        <v>586768</v>
      </c>
      <c r="CI466" s="238">
        <f t="shared" si="184"/>
        <v>111485.92</v>
      </c>
      <c r="CJ466" s="236">
        <f>+CH466+CI466</f>
        <v>698253.92</v>
      </c>
      <c r="CK466" s="245" t="s">
        <v>319</v>
      </c>
      <c r="CL466" s="245" t="s">
        <v>93</v>
      </c>
      <c r="CM466" s="11"/>
      <c r="CN466" s="247"/>
      <c r="CO466" s="247"/>
      <c r="CP466" s="247"/>
      <c r="CQ466" s="11"/>
      <c r="CR466" s="11"/>
      <c r="CS466" s="11"/>
      <c r="CT466" s="247"/>
      <c r="CU466" s="51"/>
      <c r="CV466" s="247"/>
      <c r="CW466" s="11"/>
      <c r="CX466" s="11"/>
      <c r="CY466" s="11"/>
      <c r="CZ466" s="102">
        <v>293946</v>
      </c>
      <c r="DA466" s="125">
        <f>+CZ466*0.19</f>
        <v>55849.74</v>
      </c>
      <c r="DB466" s="102">
        <f>+CZ466+DA466</f>
        <v>349795.74</v>
      </c>
      <c r="DC466" s="31" t="s">
        <v>379</v>
      </c>
      <c r="DD466" s="11" t="s">
        <v>484</v>
      </c>
      <c r="DE466" s="11"/>
      <c r="DF466" s="11"/>
      <c r="DG466" s="11"/>
      <c r="DH466" s="11"/>
      <c r="DI466" s="11"/>
      <c r="DJ466" s="11"/>
      <c r="DK466" s="11"/>
      <c r="DL466" s="11"/>
      <c r="DM466" s="11"/>
      <c r="DN466" s="11"/>
      <c r="DO466" s="11"/>
      <c r="DP466" s="11"/>
      <c r="DQ466" s="11"/>
      <c r="DR466" s="11"/>
      <c r="DS466" s="11"/>
      <c r="DT466" s="11"/>
      <c r="DU466" s="11"/>
      <c r="DV466" s="11"/>
      <c r="DW466" s="11"/>
      <c r="DX466" s="11"/>
      <c r="DY466" s="11"/>
      <c r="DZ466" s="11"/>
      <c r="EA466" s="11"/>
      <c r="EB466" s="11"/>
      <c r="EC466" s="11"/>
      <c r="ED466" s="11"/>
      <c r="EE466" s="11"/>
      <c r="EF466" s="11"/>
      <c r="EG466" s="11"/>
      <c r="EH466" s="11"/>
      <c r="EI466" s="11"/>
      <c r="EJ466" s="11"/>
      <c r="EK466" s="11"/>
      <c r="EL466" s="11"/>
      <c r="EM466" s="11"/>
      <c r="EN466" s="11"/>
      <c r="EO466" s="11"/>
      <c r="EP466" s="11"/>
      <c r="EQ466" s="11"/>
      <c r="ER466" s="11"/>
      <c r="ES466" s="11"/>
      <c r="ET466" s="11"/>
      <c r="EU466" s="11"/>
      <c r="EV466" s="11"/>
      <c r="EW466" s="11"/>
      <c r="EX466" s="11"/>
      <c r="EY466" s="11"/>
      <c r="EZ466" s="11"/>
      <c r="FA466" s="11"/>
      <c r="FB466" s="11"/>
      <c r="FC466" s="11"/>
      <c r="FD466" s="11"/>
      <c r="FE466" s="11"/>
      <c r="FF466" s="11"/>
      <c r="FG466" s="11"/>
      <c r="FH466" s="17">
        <f t="shared" si="186"/>
        <v>2164805.16</v>
      </c>
      <c r="FI466" s="31">
        <f t="shared" si="187"/>
        <v>4</v>
      </c>
      <c r="FJ466" s="68">
        <f t="shared" si="188"/>
        <v>541201.29</v>
      </c>
    </row>
    <row r="467" spans="1:166" ht="13.5" x14ac:dyDescent="0.25">
      <c r="A467" s="248">
        <f>Distribución_Reactivos!A467</f>
        <v>465</v>
      </c>
      <c r="B467" s="248" t="str">
        <f>Distribución_Reactivos!B467</f>
        <v>Caldo Caso o Tripticasa de Soya</v>
      </c>
      <c r="C467" s="248" t="str">
        <f>Distribución_Reactivos!C467</f>
        <v>MERCK</v>
      </c>
      <c r="D467" s="248" t="str">
        <f>Distribución_Reactivos!D467</f>
        <v>Frasco x 500 g</v>
      </c>
      <c r="E467" s="29">
        <v>1</v>
      </c>
      <c r="F467" s="212">
        <v>0</v>
      </c>
      <c r="G467" s="214">
        <v>0</v>
      </c>
      <c r="H467" s="221">
        <v>0</v>
      </c>
      <c r="I467" s="221">
        <v>0</v>
      </c>
      <c r="J467" s="221">
        <v>0</v>
      </c>
      <c r="K467" s="221">
        <v>0</v>
      </c>
      <c r="L467" s="247"/>
      <c r="M467" s="247"/>
      <c r="N467" s="219">
        <v>342000</v>
      </c>
      <c r="O467" s="97">
        <f t="shared" si="189"/>
        <v>64980</v>
      </c>
      <c r="P467" s="97">
        <f t="shared" si="190"/>
        <v>406980</v>
      </c>
      <c r="Q467" s="34" t="s">
        <v>118</v>
      </c>
      <c r="R467" s="116" t="s">
        <v>119</v>
      </c>
      <c r="S467" s="5" t="s">
        <v>209</v>
      </c>
      <c r="T467" s="102"/>
      <c r="U467" s="102"/>
      <c r="V467" s="102"/>
      <c r="W467" s="11"/>
      <c r="X467" s="11"/>
      <c r="Y467" s="11"/>
      <c r="Z467" s="102"/>
      <c r="AA467" s="102"/>
      <c r="AB467" s="102"/>
      <c r="AC467" s="44"/>
      <c r="AD467" s="44"/>
      <c r="AE467" s="11"/>
      <c r="AF467" s="102"/>
      <c r="AG467" s="102"/>
      <c r="AH467" s="102"/>
      <c r="AI467" s="11"/>
      <c r="AJ467" s="11"/>
      <c r="AK467" s="11"/>
      <c r="AL467" s="102"/>
      <c r="AM467" s="102"/>
      <c r="AN467" s="102"/>
      <c r="AO467" s="248"/>
      <c r="AP467" s="11"/>
      <c r="AQ467" s="11"/>
      <c r="AR467" s="247"/>
      <c r="AS467" s="247"/>
      <c r="AT467" s="247"/>
      <c r="AU467" s="52"/>
      <c r="AV467" s="42"/>
      <c r="AW467" s="11"/>
      <c r="AX467" s="247"/>
      <c r="AY467" s="247"/>
      <c r="AZ467" s="247"/>
      <c r="BA467" s="11"/>
      <c r="BB467" s="11"/>
      <c r="BC467" s="11"/>
      <c r="BD467" s="247"/>
      <c r="BE467" s="247"/>
      <c r="BF467" s="247"/>
      <c r="BG467" s="11"/>
      <c r="BH467" s="11"/>
      <c r="BI467" s="11"/>
      <c r="BJ467" s="247"/>
      <c r="BK467" s="247"/>
      <c r="BL467" s="247"/>
      <c r="BM467" s="11"/>
      <c r="BN467" s="11"/>
      <c r="BO467" s="11"/>
      <c r="BP467" s="247"/>
      <c r="BQ467" s="11"/>
      <c r="BR467" s="11"/>
      <c r="BS467" s="11"/>
      <c r="BT467" s="11"/>
      <c r="BU467" s="11"/>
      <c r="BV467" s="236">
        <v>558200</v>
      </c>
      <c r="BW467" s="125">
        <f t="shared" si="182"/>
        <v>106058</v>
      </c>
      <c r="BX467" s="97">
        <f>+BV467+BW467</f>
        <v>664258</v>
      </c>
      <c r="BY467" s="245" t="s">
        <v>319</v>
      </c>
      <c r="BZ467" s="245" t="s">
        <v>93</v>
      </c>
      <c r="CA467" s="11"/>
      <c r="CB467" s="247"/>
      <c r="CC467" s="247"/>
      <c r="CD467" s="247"/>
      <c r="CE467" s="11"/>
      <c r="CF467" s="11"/>
      <c r="CG467" s="11"/>
      <c r="CH467" s="236">
        <v>574946</v>
      </c>
      <c r="CI467" s="238">
        <f t="shared" si="184"/>
        <v>109239.74</v>
      </c>
      <c r="CJ467" s="236">
        <f>+CH467+CI467</f>
        <v>684185.74</v>
      </c>
      <c r="CK467" s="245" t="s">
        <v>319</v>
      </c>
      <c r="CL467" s="245" t="s">
        <v>93</v>
      </c>
      <c r="CM467" s="11"/>
      <c r="CN467" s="247"/>
      <c r="CO467" s="247"/>
      <c r="CP467" s="247"/>
      <c r="CQ467" s="11"/>
      <c r="CR467" s="11"/>
      <c r="CS467" s="11"/>
      <c r="CT467" s="247"/>
      <c r="CU467" s="51"/>
      <c r="CV467" s="247"/>
      <c r="CW467" s="11"/>
      <c r="CX467" s="11"/>
      <c r="CY467" s="11"/>
      <c r="CZ467" s="102">
        <v>262222</v>
      </c>
      <c r="DA467" s="125">
        <f>+CZ467*0.19</f>
        <v>49822.18</v>
      </c>
      <c r="DB467" s="102">
        <f>+CZ467+DA467</f>
        <v>312044.18</v>
      </c>
      <c r="DC467" s="31" t="s">
        <v>80</v>
      </c>
      <c r="DD467" s="11" t="s">
        <v>65</v>
      </c>
      <c r="DE467" s="11">
        <v>1054590500</v>
      </c>
      <c r="DF467" s="11"/>
      <c r="DG467" s="11"/>
      <c r="DH467" s="11"/>
      <c r="DI467" s="11"/>
      <c r="DJ467" s="11"/>
      <c r="DK467" s="11"/>
      <c r="DL467" s="11"/>
      <c r="DM467" s="11"/>
      <c r="DN467" s="11"/>
      <c r="DO467" s="11"/>
      <c r="DP467" s="11"/>
      <c r="DQ467" s="11"/>
      <c r="DR467" s="11"/>
      <c r="DS467" s="11"/>
      <c r="DT467" s="11"/>
      <c r="DU467" s="11"/>
      <c r="DV467" s="11"/>
      <c r="DW467" s="11"/>
      <c r="DX467" s="11"/>
      <c r="DY467" s="11"/>
      <c r="DZ467" s="11"/>
      <c r="EA467" s="11"/>
      <c r="EB467" s="11"/>
      <c r="EC467" s="11"/>
      <c r="ED467" s="11"/>
      <c r="EE467" s="11"/>
      <c r="EF467" s="11"/>
      <c r="EG467" s="11"/>
      <c r="EH467" s="11"/>
      <c r="EI467" s="11"/>
      <c r="EJ467" s="11"/>
      <c r="EK467" s="11"/>
      <c r="EL467" s="11"/>
      <c r="EM467" s="11"/>
      <c r="EN467" s="11"/>
      <c r="EO467" s="11"/>
      <c r="EP467" s="11"/>
      <c r="EQ467" s="11"/>
      <c r="ER467" s="11"/>
      <c r="ES467" s="11"/>
      <c r="ET467" s="11"/>
      <c r="EU467" s="11"/>
      <c r="EV467" s="11"/>
      <c r="EW467" s="11"/>
      <c r="EX467" s="11"/>
      <c r="EY467" s="11"/>
      <c r="EZ467" s="11"/>
      <c r="FA467" s="11"/>
      <c r="FB467" s="11"/>
      <c r="FC467" s="11"/>
      <c r="FD467" s="11"/>
      <c r="FE467" s="11"/>
      <c r="FF467" s="11"/>
      <c r="FG467" s="11"/>
      <c r="FH467" s="17">
        <f t="shared" si="186"/>
        <v>2067467.92</v>
      </c>
      <c r="FI467" s="31">
        <f t="shared" si="187"/>
        <v>4</v>
      </c>
      <c r="FJ467" s="68">
        <f t="shared" si="188"/>
        <v>516866.98</v>
      </c>
    </row>
    <row r="468" spans="1:166" x14ac:dyDescent="0.25">
      <c r="A468" s="248">
        <f>Distribución_Reactivos!A468</f>
        <v>466</v>
      </c>
      <c r="B468" s="248" t="str">
        <f>Distribución_Reactivos!B468</f>
        <v>Agar TSN</v>
      </c>
      <c r="C468" s="248" t="str">
        <f>Distribución_Reactivos!C468</f>
        <v>Oxoid  Merck</v>
      </c>
      <c r="D468" s="248" t="str">
        <f>Distribución_Reactivos!D468</f>
        <v>Frasco x 500 g</v>
      </c>
      <c r="E468" s="29">
        <v>1</v>
      </c>
      <c r="F468" s="212">
        <v>447440</v>
      </c>
      <c r="G468" s="214">
        <v>440657</v>
      </c>
      <c r="H468" s="221">
        <v>848644.53333333333</v>
      </c>
      <c r="I468" s="221">
        <v>0</v>
      </c>
      <c r="J468" s="221">
        <v>0</v>
      </c>
      <c r="K468" s="221">
        <v>0</v>
      </c>
      <c r="L468" s="247">
        <f>AVERAGE(F468,H468)</f>
        <v>648042.2666666666</v>
      </c>
      <c r="M468" s="247">
        <f>G468*E1</f>
        <v>453876.71</v>
      </c>
      <c r="N468" s="218"/>
      <c r="O468" s="102"/>
      <c r="P468" s="102"/>
      <c r="Q468" s="44"/>
      <c r="R468" s="44"/>
      <c r="S468" s="5"/>
      <c r="T468" s="102"/>
      <c r="U468" s="102"/>
      <c r="V468" s="102"/>
      <c r="W468" s="11"/>
      <c r="X468" s="11"/>
      <c r="Y468" s="11"/>
      <c r="Z468" s="102"/>
      <c r="AA468" s="102"/>
      <c r="AB468" s="102"/>
      <c r="AC468" s="44"/>
      <c r="AD468" s="44"/>
      <c r="AE468" s="11"/>
      <c r="AF468" s="102"/>
      <c r="AG468" s="102"/>
      <c r="AH468" s="102"/>
      <c r="AI468" s="11"/>
      <c r="AJ468" s="11"/>
      <c r="AK468" s="11"/>
      <c r="AL468" s="102"/>
      <c r="AM468" s="102"/>
      <c r="AN468" s="102"/>
      <c r="AO468" s="248"/>
      <c r="AP468" s="11"/>
      <c r="AQ468" s="11"/>
      <c r="AR468" s="247"/>
      <c r="AS468" s="247"/>
      <c r="AT468" s="247"/>
      <c r="AU468" s="52"/>
      <c r="AV468" s="42"/>
      <c r="AW468" s="11"/>
      <c r="AX468" s="247"/>
      <c r="AY468" s="247"/>
      <c r="AZ468" s="247"/>
      <c r="BA468" s="11"/>
      <c r="BB468" s="11"/>
      <c r="BC468" s="11"/>
      <c r="BD468" s="247"/>
      <c r="BE468" s="247"/>
      <c r="BF468" s="247"/>
      <c r="BG468" s="11"/>
      <c r="BH468" s="11"/>
      <c r="BI468" s="11"/>
      <c r="BJ468" s="247"/>
      <c r="BK468" s="247"/>
      <c r="BL468" s="247"/>
      <c r="BM468" s="11"/>
      <c r="BN468" s="11"/>
      <c r="BO468" s="11"/>
      <c r="BP468" s="247"/>
      <c r="BQ468" s="11"/>
      <c r="BR468" s="11"/>
      <c r="BS468" s="11"/>
      <c r="BT468" s="11"/>
      <c r="BU468" s="11"/>
      <c r="BV468" s="187"/>
      <c r="BW468" s="125"/>
      <c r="BX468" s="97"/>
      <c r="BY468" s="246"/>
      <c r="BZ468" s="246"/>
      <c r="CA468" s="11"/>
      <c r="CB468" s="247"/>
      <c r="CC468" s="247"/>
      <c r="CD468" s="247"/>
      <c r="CE468" s="11"/>
      <c r="CF468" s="11"/>
      <c r="CG468" s="11"/>
      <c r="CH468" s="187"/>
      <c r="CI468" s="195"/>
      <c r="CJ468" s="187"/>
      <c r="CK468" s="246"/>
      <c r="CL468" s="246"/>
      <c r="CM468" s="11"/>
      <c r="CN468" s="247"/>
      <c r="CO468" s="247"/>
      <c r="CP468" s="247"/>
      <c r="CQ468" s="11"/>
      <c r="CR468" s="11"/>
      <c r="CS468" s="11"/>
      <c r="CT468" s="11"/>
      <c r="CU468" s="11"/>
      <c r="CV468" s="11"/>
      <c r="CW468" s="11"/>
      <c r="CX468" s="11"/>
      <c r="CY468" s="11"/>
      <c r="CZ468" s="102"/>
      <c r="DA468" s="125"/>
      <c r="DB468" s="102"/>
      <c r="DC468" s="31"/>
      <c r="DD468" s="11"/>
      <c r="DE468" s="11"/>
      <c r="DF468" s="11"/>
      <c r="DG468" s="11"/>
      <c r="DH468" s="11"/>
      <c r="DI468" s="11"/>
      <c r="DJ468" s="11"/>
      <c r="DK468" s="11"/>
      <c r="DL468" s="11"/>
      <c r="DM468" s="11"/>
      <c r="DN468" s="11"/>
      <c r="DO468" s="11"/>
      <c r="DP468" s="11"/>
      <c r="DQ468" s="11"/>
      <c r="DR468" s="11"/>
      <c r="DS468" s="11"/>
      <c r="DT468" s="11"/>
      <c r="DU468" s="11"/>
      <c r="DV468" s="11"/>
      <c r="DW468" s="11"/>
      <c r="DX468" s="11"/>
      <c r="DY468" s="11"/>
      <c r="DZ468" s="11"/>
      <c r="EA468" s="11"/>
      <c r="EB468" s="11"/>
      <c r="EC468" s="11"/>
      <c r="ED468" s="11"/>
      <c r="EE468" s="11"/>
      <c r="EF468" s="11"/>
      <c r="EG468" s="11"/>
      <c r="EH468" s="11"/>
      <c r="EI468" s="11"/>
      <c r="EJ468" s="11"/>
      <c r="EK468" s="11"/>
      <c r="EL468" s="11"/>
      <c r="EM468" s="11"/>
      <c r="EN468" s="11"/>
      <c r="EO468" s="11"/>
      <c r="EP468" s="11"/>
      <c r="EQ468" s="11"/>
      <c r="ER468" s="11"/>
      <c r="ES468" s="11"/>
      <c r="ET468" s="11"/>
      <c r="EU468" s="11"/>
      <c r="EV468" s="11"/>
      <c r="EW468" s="11"/>
      <c r="EX468" s="11"/>
      <c r="EY468" s="11"/>
      <c r="EZ468" s="11"/>
      <c r="FA468" s="11"/>
      <c r="FB468" s="11"/>
      <c r="FC468" s="11"/>
      <c r="FD468" s="11"/>
      <c r="FE468" s="11"/>
      <c r="FF468" s="11"/>
      <c r="FG468" s="11"/>
      <c r="FH468" s="17">
        <f t="shared" si="186"/>
        <v>453876.71</v>
      </c>
      <c r="FI468" s="31">
        <f t="shared" si="187"/>
        <v>1</v>
      </c>
      <c r="FJ468" s="68">
        <f t="shared" si="188"/>
        <v>453876.71</v>
      </c>
    </row>
    <row r="469" spans="1:166" ht="13.5" x14ac:dyDescent="0.25">
      <c r="A469" s="248">
        <f>Distribución_Reactivos!A469</f>
        <v>467</v>
      </c>
      <c r="B469" s="248" t="str">
        <f>Distribución_Reactivos!B469</f>
        <v>Agar VRB G</v>
      </c>
      <c r="C469" s="248" t="str">
        <f>Distribución_Reactivos!C469</f>
        <v>Oxoid  Merck</v>
      </c>
      <c r="D469" s="248" t="str">
        <f>Distribución_Reactivos!D469</f>
        <v>Frasco x 500 g</v>
      </c>
      <c r="E469" s="29">
        <v>1</v>
      </c>
      <c r="F469" s="212">
        <v>0</v>
      </c>
      <c r="G469" s="214">
        <v>0</v>
      </c>
      <c r="H469" s="221">
        <v>0</v>
      </c>
      <c r="I469" s="221">
        <v>0</v>
      </c>
      <c r="J469" s="221">
        <v>0</v>
      </c>
      <c r="K469" s="221">
        <v>0</v>
      </c>
      <c r="L469" s="247"/>
      <c r="M469" s="247"/>
      <c r="N469" s="219">
        <v>769400</v>
      </c>
      <c r="O469" s="97">
        <f t="shared" ref="O469:O475" si="191">+N469*0.19</f>
        <v>146186</v>
      </c>
      <c r="P469" s="97">
        <f t="shared" ref="P469:P475" si="192">+O469+N469</f>
        <v>915586</v>
      </c>
      <c r="Q469" s="34" t="s">
        <v>118</v>
      </c>
      <c r="R469" s="116" t="s">
        <v>119</v>
      </c>
      <c r="S469" s="25"/>
      <c r="T469" s="102"/>
      <c r="U469" s="102"/>
      <c r="V469" s="102"/>
      <c r="W469" s="11"/>
      <c r="X469" s="11"/>
      <c r="Y469" s="11"/>
      <c r="Z469" s="102"/>
      <c r="AA469" s="102"/>
      <c r="AB469" s="102"/>
      <c r="AC469" s="44"/>
      <c r="AD469" s="44"/>
      <c r="AE469" s="11"/>
      <c r="AF469" s="102"/>
      <c r="AG469" s="102"/>
      <c r="AH469" s="102"/>
      <c r="AI469" s="11"/>
      <c r="AJ469" s="11"/>
      <c r="AK469" s="11"/>
      <c r="AL469" s="102"/>
      <c r="AM469" s="102"/>
      <c r="AN469" s="102"/>
      <c r="AO469" s="248"/>
      <c r="AP469" s="11"/>
      <c r="AQ469" s="11"/>
      <c r="AR469" s="247"/>
      <c r="AS469" s="247"/>
      <c r="AT469" s="247"/>
      <c r="AU469" s="52"/>
      <c r="AV469" s="42"/>
      <c r="AW469" s="11"/>
      <c r="AX469" s="247"/>
      <c r="AY469" s="247"/>
      <c r="AZ469" s="247"/>
      <c r="BA469" s="11"/>
      <c r="BB469" s="11"/>
      <c r="BC469" s="11"/>
      <c r="BD469" s="247"/>
      <c r="BE469" s="247"/>
      <c r="BF469" s="247"/>
      <c r="BG469" s="11"/>
      <c r="BH469" s="11"/>
      <c r="BI469" s="11"/>
      <c r="BJ469" s="247"/>
      <c r="BK469" s="247"/>
      <c r="BL469" s="247"/>
      <c r="BM469" s="11"/>
      <c r="BN469" s="11"/>
      <c r="BO469" s="11"/>
      <c r="BP469" s="247"/>
      <c r="BQ469" s="11"/>
      <c r="BR469" s="11"/>
      <c r="BS469" s="11"/>
      <c r="BT469" s="11"/>
      <c r="BU469" s="11"/>
      <c r="BV469" s="236">
        <v>1538800</v>
      </c>
      <c r="BW469" s="125">
        <f t="shared" ref="BW469:BW479" si="193">BV469*19%</f>
        <v>292372</v>
      </c>
      <c r="BX469" s="97">
        <f t="shared" ref="BX469:BX479" si="194">+BV469+BW469</f>
        <v>1831172</v>
      </c>
      <c r="BY469" s="245" t="s">
        <v>319</v>
      </c>
      <c r="BZ469" s="245" t="s">
        <v>485</v>
      </c>
      <c r="CA469" s="11"/>
      <c r="CB469" s="247"/>
      <c r="CC469" s="247"/>
      <c r="CD469" s="247"/>
      <c r="CE469" s="11"/>
      <c r="CF469" s="11"/>
      <c r="CG469" s="11"/>
      <c r="CH469" s="241">
        <v>1646516</v>
      </c>
      <c r="CI469" s="238">
        <f>+CH469*0.19</f>
        <v>312838.03999999998</v>
      </c>
      <c r="CJ469" s="236">
        <f>+CH469+CI469</f>
        <v>1959354.04</v>
      </c>
      <c r="CK469" s="245" t="s">
        <v>319</v>
      </c>
      <c r="CL469" s="245" t="s">
        <v>485</v>
      </c>
      <c r="CM469" s="11"/>
      <c r="CN469" s="247"/>
      <c r="CO469" s="247"/>
      <c r="CP469" s="247"/>
      <c r="CQ469" s="11"/>
      <c r="CR469" s="11"/>
      <c r="CS469" s="11"/>
      <c r="CT469" s="11"/>
      <c r="CU469" s="11"/>
      <c r="CV469" s="11"/>
      <c r="CW469" s="11"/>
      <c r="CX469" s="11"/>
      <c r="CY469" s="11"/>
      <c r="CZ469" s="102">
        <v>315497</v>
      </c>
      <c r="DA469" s="125">
        <f>+CZ469*0.19</f>
        <v>59944.43</v>
      </c>
      <c r="DB469" s="102">
        <f>+CZ469+DA469</f>
        <v>375441.43</v>
      </c>
      <c r="DC469" s="31" t="s">
        <v>379</v>
      </c>
      <c r="DD469" s="11" t="s">
        <v>65</v>
      </c>
      <c r="DE469" s="11">
        <v>1014060500</v>
      </c>
      <c r="DF469" s="11"/>
      <c r="DG469" s="11"/>
      <c r="DH469" s="11"/>
      <c r="DI469" s="11"/>
      <c r="DJ469" s="11"/>
      <c r="DK469" s="11"/>
      <c r="DL469" s="11"/>
      <c r="DM469" s="11"/>
      <c r="DN469" s="11"/>
      <c r="DO469" s="11"/>
      <c r="DP469" s="11"/>
      <c r="DQ469" s="11"/>
      <c r="DR469" s="11"/>
      <c r="DS469" s="11"/>
      <c r="DT469" s="11"/>
      <c r="DU469" s="11"/>
      <c r="DV469" s="11"/>
      <c r="DW469" s="11"/>
      <c r="DX469" s="11"/>
      <c r="DY469" s="11"/>
      <c r="DZ469" s="11"/>
      <c r="EA469" s="11"/>
      <c r="EB469" s="11"/>
      <c r="EC469" s="11"/>
      <c r="ED469" s="11"/>
      <c r="EE469" s="11"/>
      <c r="EF469" s="11"/>
      <c r="EG469" s="11"/>
      <c r="EH469" s="11"/>
      <c r="EI469" s="11"/>
      <c r="EJ469" s="11"/>
      <c r="EK469" s="11"/>
      <c r="EL469" s="11"/>
      <c r="EM469" s="11"/>
      <c r="EN469" s="11"/>
      <c r="EO469" s="11"/>
      <c r="EP469" s="11"/>
      <c r="EQ469" s="11"/>
      <c r="ER469" s="11"/>
      <c r="ES469" s="11"/>
      <c r="ET469" s="11"/>
      <c r="EU469" s="11"/>
      <c r="EV469" s="11"/>
      <c r="EW469" s="11"/>
      <c r="EX469" s="11"/>
      <c r="EY469" s="11"/>
      <c r="EZ469" s="11"/>
      <c r="FA469" s="11"/>
      <c r="FB469" s="11"/>
      <c r="FC469" s="11"/>
      <c r="FD469" s="11"/>
      <c r="FE469" s="11"/>
      <c r="FF469" s="11"/>
      <c r="FG469" s="11"/>
      <c r="FH469" s="17">
        <f t="shared" si="186"/>
        <v>5081553.47</v>
      </c>
      <c r="FI469" s="31">
        <f t="shared" si="187"/>
        <v>4</v>
      </c>
      <c r="FJ469" s="68">
        <f t="shared" si="188"/>
        <v>1270388.3674999999</v>
      </c>
    </row>
    <row r="470" spans="1:166" ht="13.5" x14ac:dyDescent="0.25">
      <c r="A470" s="248">
        <f>Distribución_Reactivos!A470</f>
        <v>468</v>
      </c>
      <c r="B470" s="248" t="str">
        <f>Distribución_Reactivos!B470</f>
        <v>Agar YGC</v>
      </c>
      <c r="C470" s="248" t="str">
        <f>Distribución_Reactivos!C470</f>
        <v>Oxoid  Merck</v>
      </c>
      <c r="D470" s="248" t="str">
        <f>Distribución_Reactivos!D470</f>
        <v>Frasco x 500 g</v>
      </c>
      <c r="E470" s="29">
        <v>1</v>
      </c>
      <c r="F470" s="212">
        <v>0</v>
      </c>
      <c r="G470" s="214">
        <v>0</v>
      </c>
      <c r="H470" s="221">
        <v>0</v>
      </c>
      <c r="I470" s="221">
        <v>0</v>
      </c>
      <c r="J470" s="221">
        <v>0</v>
      </c>
      <c r="K470" s="221">
        <v>0</v>
      </c>
      <c r="L470" s="247"/>
      <c r="M470" s="247"/>
      <c r="N470" s="219">
        <v>708050</v>
      </c>
      <c r="O470" s="97">
        <f t="shared" si="191"/>
        <v>134529.5</v>
      </c>
      <c r="P470" s="97">
        <f t="shared" si="192"/>
        <v>842579.5</v>
      </c>
      <c r="Q470" s="34" t="s">
        <v>118</v>
      </c>
      <c r="R470" s="116" t="s">
        <v>193</v>
      </c>
      <c r="S470" s="25"/>
      <c r="T470" s="102"/>
      <c r="U470" s="102"/>
      <c r="V470" s="102"/>
      <c r="W470" s="11"/>
      <c r="X470" s="11"/>
      <c r="Y470" s="11"/>
      <c r="Z470" s="102"/>
      <c r="AA470" s="102"/>
      <c r="AB470" s="102"/>
      <c r="AC470" s="44"/>
      <c r="AD470" s="44"/>
      <c r="AE470" s="11"/>
      <c r="AF470" s="102"/>
      <c r="AG470" s="102"/>
      <c r="AH470" s="102"/>
      <c r="AI470" s="11"/>
      <c r="AJ470" s="11"/>
      <c r="AK470" s="11"/>
      <c r="AL470" s="102"/>
      <c r="AM470" s="102"/>
      <c r="AN470" s="102"/>
      <c r="AO470" s="248"/>
      <c r="AP470" s="11"/>
      <c r="AQ470" s="11"/>
      <c r="AR470" s="247"/>
      <c r="AS470" s="247"/>
      <c r="AT470" s="247"/>
      <c r="AU470" s="52"/>
      <c r="AV470" s="42"/>
      <c r="AW470" s="11"/>
      <c r="AX470" s="247"/>
      <c r="AY470" s="247"/>
      <c r="AZ470" s="247"/>
      <c r="BA470" s="11"/>
      <c r="BB470" s="11"/>
      <c r="BC470" s="11"/>
      <c r="BD470" s="247"/>
      <c r="BE470" s="247"/>
      <c r="BF470" s="247"/>
      <c r="BG470" s="11"/>
      <c r="BH470" s="11"/>
      <c r="BI470" s="11"/>
      <c r="BJ470" s="247"/>
      <c r="BK470" s="247"/>
      <c r="BL470" s="247"/>
      <c r="BM470" s="11"/>
      <c r="BN470" s="11"/>
      <c r="BO470" s="11"/>
      <c r="BP470" s="247"/>
      <c r="BQ470" s="11"/>
      <c r="BR470" s="11"/>
      <c r="BS470" s="11"/>
      <c r="BT470" s="11"/>
      <c r="BU470" s="11"/>
      <c r="BV470" s="236">
        <v>741900</v>
      </c>
      <c r="BW470" s="125">
        <f t="shared" si="193"/>
        <v>140961</v>
      </c>
      <c r="BX470" s="97">
        <f t="shared" si="194"/>
        <v>882861</v>
      </c>
      <c r="BY470" s="245" t="s">
        <v>319</v>
      </c>
      <c r="BZ470" s="245" t="s">
        <v>93</v>
      </c>
      <c r="CA470" s="11"/>
      <c r="CB470" s="247"/>
      <c r="CC470" s="247"/>
      <c r="CD470" s="247"/>
      <c r="CE470" s="11"/>
      <c r="CF470" s="11"/>
      <c r="CG470" s="11"/>
      <c r="CH470" s="236">
        <v>786414</v>
      </c>
      <c r="CI470" s="238">
        <f>+CH470*0.19</f>
        <v>149418.66</v>
      </c>
      <c r="CJ470" s="236">
        <f>+CH470+CI470</f>
        <v>935832.66</v>
      </c>
      <c r="CK470" s="245" t="s">
        <v>319</v>
      </c>
      <c r="CL470" s="245" t="s">
        <v>93</v>
      </c>
      <c r="CM470" s="11"/>
      <c r="CN470" s="247"/>
      <c r="CO470" s="247"/>
      <c r="CP470" s="247"/>
      <c r="CQ470" s="11"/>
      <c r="CR470" s="11"/>
      <c r="CS470" s="11"/>
      <c r="CT470" s="11"/>
      <c r="CU470" s="11"/>
      <c r="CV470" s="11"/>
      <c r="CW470" s="11"/>
      <c r="CX470" s="11"/>
      <c r="CY470" s="11"/>
      <c r="CZ470" s="102">
        <v>391929</v>
      </c>
      <c r="DA470" s="125">
        <f>+CZ470*0.19</f>
        <v>74466.509999999995</v>
      </c>
      <c r="DB470" s="102">
        <f>+CZ470+DA470</f>
        <v>466395.51</v>
      </c>
      <c r="DC470" s="31" t="s">
        <v>122</v>
      </c>
      <c r="DD470" s="11" t="s">
        <v>65</v>
      </c>
      <c r="DE470" s="11">
        <v>1160000500</v>
      </c>
      <c r="DF470" s="11"/>
      <c r="DG470" s="11"/>
      <c r="DH470" s="11"/>
      <c r="DI470" s="11"/>
      <c r="DJ470" s="11"/>
      <c r="DK470" s="11"/>
      <c r="DL470" s="11"/>
      <c r="DM470" s="11"/>
      <c r="DN470" s="11"/>
      <c r="DO470" s="11"/>
      <c r="DP470" s="11"/>
      <c r="DQ470" s="11"/>
      <c r="DR470" s="11"/>
      <c r="DS470" s="11"/>
      <c r="DT470" s="11"/>
      <c r="DU470" s="11"/>
      <c r="DV470" s="11"/>
      <c r="DW470" s="11"/>
      <c r="DX470" s="11"/>
      <c r="DY470" s="11"/>
      <c r="DZ470" s="11"/>
      <c r="EA470" s="11"/>
      <c r="EB470" s="11"/>
      <c r="EC470" s="11"/>
      <c r="ED470" s="11"/>
      <c r="EE470" s="11"/>
      <c r="EF470" s="11"/>
      <c r="EG470" s="11"/>
      <c r="EH470" s="11"/>
      <c r="EI470" s="11"/>
      <c r="EJ470" s="11"/>
      <c r="EK470" s="11"/>
      <c r="EL470" s="11"/>
      <c r="EM470" s="11"/>
      <c r="EN470" s="11"/>
      <c r="EO470" s="11"/>
      <c r="EP470" s="11"/>
      <c r="EQ470" s="11"/>
      <c r="ER470" s="11"/>
      <c r="ES470" s="11"/>
      <c r="ET470" s="11"/>
      <c r="EU470" s="11"/>
      <c r="EV470" s="11"/>
      <c r="EW470" s="11"/>
      <c r="EX470" s="11"/>
      <c r="EY470" s="11"/>
      <c r="EZ470" s="11"/>
      <c r="FA470" s="11"/>
      <c r="FB470" s="11"/>
      <c r="FC470" s="11"/>
      <c r="FD470" s="11"/>
      <c r="FE470" s="11"/>
      <c r="FF470" s="11"/>
      <c r="FG470" s="11"/>
      <c r="FH470" s="17">
        <f t="shared" si="186"/>
        <v>3127668.67</v>
      </c>
      <c r="FI470" s="31">
        <f t="shared" si="187"/>
        <v>4</v>
      </c>
      <c r="FJ470" s="68">
        <f t="shared" si="188"/>
        <v>781917.16749999998</v>
      </c>
    </row>
    <row r="471" spans="1:166" ht="13.5" x14ac:dyDescent="0.25">
      <c r="A471" s="248">
        <f>Distribución_Reactivos!A471</f>
        <v>469</v>
      </c>
      <c r="B471" s="248" t="str">
        <f>Distribución_Reactivos!B471</f>
        <v xml:space="preserve">Agar VRB </v>
      </c>
      <c r="C471" s="248" t="str">
        <f>Distribución_Reactivos!C471</f>
        <v>Oxoid  Merck</v>
      </c>
      <c r="D471" s="248" t="str">
        <f>Distribución_Reactivos!D471</f>
        <v>Frasco x 500 g</v>
      </c>
      <c r="E471" s="29">
        <v>1</v>
      </c>
      <c r="F471" s="212">
        <v>0</v>
      </c>
      <c r="G471" s="214">
        <v>0</v>
      </c>
      <c r="H471" s="221">
        <v>0</v>
      </c>
      <c r="I471" s="221">
        <v>0</v>
      </c>
      <c r="J471" s="221">
        <v>0</v>
      </c>
      <c r="K471" s="221">
        <v>0</v>
      </c>
      <c r="L471" s="247"/>
      <c r="M471" s="247"/>
      <c r="N471" s="219">
        <v>346500</v>
      </c>
      <c r="O471" s="97">
        <f t="shared" si="191"/>
        <v>65835</v>
      </c>
      <c r="P471" s="97">
        <f t="shared" si="192"/>
        <v>412335</v>
      </c>
      <c r="Q471" s="34" t="s">
        <v>118</v>
      </c>
      <c r="R471" s="116" t="s">
        <v>119</v>
      </c>
      <c r="S471" s="25"/>
      <c r="T471" s="102"/>
      <c r="U471" s="102"/>
      <c r="V471" s="102"/>
      <c r="W471" s="11"/>
      <c r="X471" s="11"/>
      <c r="Y471" s="11"/>
      <c r="Z471" s="102"/>
      <c r="AA471" s="102"/>
      <c r="AB471" s="102"/>
      <c r="AC471" s="44"/>
      <c r="AD471" s="44"/>
      <c r="AE471" s="11"/>
      <c r="AF471" s="102"/>
      <c r="AG471" s="102"/>
      <c r="AH471" s="102"/>
      <c r="AI471" s="11"/>
      <c r="AJ471" s="11"/>
      <c r="AK471" s="11"/>
      <c r="AL471" s="102"/>
      <c r="AM471" s="102"/>
      <c r="AN471" s="102"/>
      <c r="AO471" s="248"/>
      <c r="AP471" s="11"/>
      <c r="AQ471" s="11"/>
      <c r="AR471" s="247"/>
      <c r="AS471" s="247"/>
      <c r="AT471" s="247"/>
      <c r="AU471" s="52"/>
      <c r="AV471" s="42"/>
      <c r="AW471" s="11"/>
      <c r="AX471" s="247"/>
      <c r="AY471" s="247"/>
      <c r="AZ471" s="247"/>
      <c r="BA471" s="11"/>
      <c r="BB471" s="11"/>
      <c r="BC471" s="11"/>
      <c r="BD471" s="247"/>
      <c r="BE471" s="247"/>
      <c r="BF471" s="247"/>
      <c r="BG471" s="11"/>
      <c r="BH471" s="11"/>
      <c r="BI471" s="11"/>
      <c r="BJ471" s="247"/>
      <c r="BK471" s="247"/>
      <c r="BL471" s="247"/>
      <c r="BM471" s="11"/>
      <c r="BN471" s="11"/>
      <c r="BO471" s="11"/>
      <c r="BP471" s="247"/>
      <c r="BQ471" s="11"/>
      <c r="BR471" s="11"/>
      <c r="BS471" s="11"/>
      <c r="BT471" s="11"/>
      <c r="BU471" s="11"/>
      <c r="BV471" s="236">
        <v>624100</v>
      </c>
      <c r="BW471" s="125">
        <f t="shared" si="193"/>
        <v>118579</v>
      </c>
      <c r="BX471" s="97">
        <f t="shared" si="194"/>
        <v>742679</v>
      </c>
      <c r="BY471" s="245" t="s">
        <v>319</v>
      </c>
      <c r="BZ471" s="245" t="s">
        <v>93</v>
      </c>
      <c r="CA471" s="11"/>
      <c r="CB471" s="247"/>
      <c r="CC471" s="247"/>
      <c r="CD471" s="247"/>
      <c r="CE471" s="11"/>
      <c r="CF471" s="11"/>
      <c r="CG471" s="11"/>
      <c r="CH471" s="236">
        <v>661546</v>
      </c>
      <c r="CI471" s="238">
        <f>+CH471*0.19</f>
        <v>125693.74</v>
      </c>
      <c r="CJ471" s="236">
        <f>+CH471+CI471</f>
        <v>787239.74</v>
      </c>
      <c r="CK471" s="245" t="s">
        <v>319</v>
      </c>
      <c r="CL471" s="245" t="s">
        <v>93</v>
      </c>
      <c r="CM471" s="11"/>
      <c r="CN471" s="247"/>
      <c r="CO471" s="247"/>
      <c r="CP471" s="247"/>
      <c r="CQ471" s="11"/>
      <c r="CR471" s="11"/>
      <c r="CS471" s="11"/>
      <c r="CT471" s="11"/>
      <c r="CU471" s="11"/>
      <c r="CV471" s="11"/>
      <c r="CW471" s="11"/>
      <c r="CX471" s="11"/>
      <c r="CY471" s="11"/>
      <c r="CZ471" s="102"/>
      <c r="DA471" s="125"/>
      <c r="DB471" s="102"/>
      <c r="DC471" s="31"/>
      <c r="DD471" s="11"/>
      <c r="DE471" s="11"/>
      <c r="DF471" s="11"/>
      <c r="DG471" s="11"/>
      <c r="DH471" s="11"/>
      <c r="DI471" s="11"/>
      <c r="DJ471" s="11"/>
      <c r="DK471" s="11"/>
      <c r="DL471" s="11"/>
      <c r="DM471" s="11"/>
      <c r="DN471" s="11"/>
      <c r="DO471" s="11"/>
      <c r="DP471" s="11"/>
      <c r="DQ471" s="11"/>
      <c r="DR471" s="11"/>
      <c r="DS471" s="11"/>
      <c r="DT471" s="11"/>
      <c r="DU471" s="11"/>
      <c r="DV471" s="11"/>
      <c r="DW471" s="11"/>
      <c r="DX471" s="11"/>
      <c r="DY471" s="11"/>
      <c r="DZ471" s="11"/>
      <c r="EA471" s="11"/>
      <c r="EB471" s="11"/>
      <c r="EC471" s="11"/>
      <c r="ED471" s="11"/>
      <c r="EE471" s="11"/>
      <c r="EF471" s="11"/>
      <c r="EG471" s="11"/>
      <c r="EH471" s="11"/>
      <c r="EI471" s="11"/>
      <c r="EJ471" s="11"/>
      <c r="EK471" s="11"/>
      <c r="EL471" s="11"/>
      <c r="EM471" s="11"/>
      <c r="EN471" s="11"/>
      <c r="EO471" s="11"/>
      <c r="EP471" s="11"/>
      <c r="EQ471" s="11"/>
      <c r="ER471" s="11"/>
      <c r="ES471" s="11"/>
      <c r="ET471" s="11"/>
      <c r="EU471" s="11"/>
      <c r="EV471" s="11"/>
      <c r="EW471" s="11"/>
      <c r="EX471" s="11"/>
      <c r="EY471" s="11"/>
      <c r="EZ471" s="11"/>
      <c r="FA471" s="11"/>
      <c r="FB471" s="11"/>
      <c r="FC471" s="11"/>
      <c r="FD471" s="11"/>
      <c r="FE471" s="11"/>
      <c r="FF471" s="11"/>
      <c r="FG471" s="11"/>
      <c r="FH471" s="17">
        <f t="shared" si="186"/>
        <v>1942253.74</v>
      </c>
      <c r="FI471" s="31">
        <f t="shared" si="187"/>
        <v>3</v>
      </c>
      <c r="FJ471" s="68">
        <f t="shared" si="188"/>
        <v>647417.91333333333</v>
      </c>
    </row>
    <row r="472" spans="1:166" ht="13.5" x14ac:dyDescent="0.25">
      <c r="A472" s="248">
        <f>Distribución_Reactivos!A472</f>
        <v>470</v>
      </c>
      <c r="B472" s="248" t="str">
        <f>Distribución_Reactivos!B472</f>
        <v>Caldo Brila</v>
      </c>
      <c r="C472" s="248" t="str">
        <f>Distribución_Reactivos!C472</f>
        <v>Oxoid  Merck</v>
      </c>
      <c r="D472" s="248" t="str">
        <f>Distribución_Reactivos!D472</f>
        <v>Frasco x 500 g</v>
      </c>
      <c r="E472" s="29">
        <v>1</v>
      </c>
      <c r="F472" s="212">
        <v>0</v>
      </c>
      <c r="G472" s="214">
        <v>0</v>
      </c>
      <c r="H472" s="221">
        <v>0</v>
      </c>
      <c r="I472" s="221">
        <v>0</v>
      </c>
      <c r="J472" s="221">
        <v>0</v>
      </c>
      <c r="K472" s="221">
        <v>0</v>
      </c>
      <c r="L472" s="247"/>
      <c r="M472" s="247"/>
      <c r="N472" s="219">
        <v>612000</v>
      </c>
      <c r="O472" s="97">
        <f t="shared" si="191"/>
        <v>116280</v>
      </c>
      <c r="P472" s="97">
        <f t="shared" si="192"/>
        <v>728280</v>
      </c>
      <c r="Q472" s="34" t="s">
        <v>118</v>
      </c>
      <c r="R472" s="116" t="s">
        <v>119</v>
      </c>
      <c r="S472" s="25"/>
      <c r="T472" s="102"/>
      <c r="U472" s="102"/>
      <c r="V472" s="102"/>
      <c r="W472" s="11"/>
      <c r="X472" s="11"/>
      <c r="Y472" s="11"/>
      <c r="Z472" s="102"/>
      <c r="AA472" s="102"/>
      <c r="AB472" s="102"/>
      <c r="AC472" s="44"/>
      <c r="AD472" s="44"/>
      <c r="AE472" s="11"/>
      <c r="AF472" s="102"/>
      <c r="AG472" s="102"/>
      <c r="AH472" s="102"/>
      <c r="AI472" s="11"/>
      <c r="AJ472" s="11"/>
      <c r="AK472" s="11"/>
      <c r="AL472" s="102"/>
      <c r="AM472" s="102"/>
      <c r="AN472" s="102"/>
      <c r="AO472" s="248"/>
      <c r="AP472" s="11"/>
      <c r="AQ472" s="11"/>
      <c r="AR472" s="247"/>
      <c r="AS472" s="247"/>
      <c r="AT472" s="247"/>
      <c r="AU472" s="52"/>
      <c r="AV472" s="42"/>
      <c r="AW472" s="11"/>
      <c r="AX472" s="247"/>
      <c r="AY472" s="247"/>
      <c r="AZ472" s="247"/>
      <c r="BA472" s="11"/>
      <c r="BB472" s="11"/>
      <c r="BC472" s="11"/>
      <c r="BD472" s="247"/>
      <c r="BE472" s="247"/>
      <c r="BF472" s="247"/>
      <c r="BG472" s="11"/>
      <c r="BH472" s="11"/>
      <c r="BI472" s="11"/>
      <c r="BJ472" s="247"/>
      <c r="BK472" s="247"/>
      <c r="BL472" s="247"/>
      <c r="BM472" s="11"/>
      <c r="BN472" s="11"/>
      <c r="BO472" s="11"/>
      <c r="BP472" s="247"/>
      <c r="BQ472" s="11"/>
      <c r="BR472" s="11"/>
      <c r="BS472" s="11"/>
      <c r="BT472" s="11"/>
      <c r="BU472" s="11"/>
      <c r="BV472" s="236">
        <v>324575</v>
      </c>
      <c r="BW472" s="125">
        <f t="shared" si="193"/>
        <v>61669.25</v>
      </c>
      <c r="BX472" s="97">
        <f t="shared" si="194"/>
        <v>386244.25</v>
      </c>
      <c r="BY472" s="245" t="s">
        <v>319</v>
      </c>
      <c r="BZ472" s="245" t="s">
        <v>93</v>
      </c>
      <c r="CA472" s="11"/>
      <c r="CB472" s="247"/>
      <c r="CC472" s="247"/>
      <c r="CD472" s="247"/>
      <c r="CE472" s="11"/>
      <c r="CF472" s="11"/>
      <c r="CG472" s="11"/>
      <c r="CH472" s="236">
        <v>340803.75</v>
      </c>
      <c r="CI472" s="238">
        <f>+CH472*0.19</f>
        <v>64752.712500000001</v>
      </c>
      <c r="CJ472" s="236">
        <f>+CH472+CI472</f>
        <v>405556.46250000002</v>
      </c>
      <c r="CK472" s="245" t="s">
        <v>319</v>
      </c>
      <c r="CL472" s="245" t="s">
        <v>93</v>
      </c>
      <c r="CM472" s="11"/>
      <c r="CN472" s="247"/>
      <c r="CO472" s="247"/>
      <c r="CP472" s="247"/>
      <c r="CQ472" s="11"/>
      <c r="CR472" s="11"/>
      <c r="CS472" s="11"/>
      <c r="CT472" s="11"/>
      <c r="CU472" s="11"/>
      <c r="CV472" s="11"/>
      <c r="CW472" s="11"/>
      <c r="CX472" s="11"/>
      <c r="CY472" s="11"/>
      <c r="CZ472" s="102">
        <v>372331</v>
      </c>
      <c r="DA472" s="125">
        <f>+CZ472*0.19</f>
        <v>70742.89</v>
      </c>
      <c r="DB472" s="102">
        <f>+CZ472+DA472</f>
        <v>443073.89</v>
      </c>
      <c r="DC472" s="31" t="s">
        <v>122</v>
      </c>
      <c r="DD472" s="11" t="s">
        <v>65</v>
      </c>
      <c r="DE472" s="11">
        <v>1054540500</v>
      </c>
      <c r="DF472" s="11"/>
      <c r="DG472" s="11"/>
      <c r="DH472" s="11"/>
      <c r="DI472" s="11"/>
      <c r="DJ472" s="11"/>
      <c r="DK472" s="11"/>
      <c r="DL472" s="11"/>
      <c r="DM472" s="11"/>
      <c r="DN472" s="11"/>
      <c r="DO472" s="11"/>
      <c r="DP472" s="11"/>
      <c r="DQ472" s="11"/>
      <c r="DR472" s="11"/>
      <c r="DS472" s="11"/>
      <c r="DT472" s="11"/>
      <c r="DU472" s="11"/>
      <c r="DV472" s="11"/>
      <c r="DW472" s="11"/>
      <c r="DX472" s="11"/>
      <c r="DY472" s="11"/>
      <c r="DZ472" s="11"/>
      <c r="EA472" s="11"/>
      <c r="EB472" s="11"/>
      <c r="EC472" s="11"/>
      <c r="ED472" s="11"/>
      <c r="EE472" s="11"/>
      <c r="EF472" s="11"/>
      <c r="EG472" s="11"/>
      <c r="EH472" s="11"/>
      <c r="EI472" s="11"/>
      <c r="EJ472" s="11"/>
      <c r="EK472" s="11"/>
      <c r="EL472" s="11"/>
      <c r="EM472" s="11"/>
      <c r="EN472" s="11"/>
      <c r="EO472" s="11"/>
      <c r="EP472" s="11"/>
      <c r="EQ472" s="11"/>
      <c r="ER472" s="11"/>
      <c r="ES472" s="11"/>
      <c r="ET472" s="11"/>
      <c r="EU472" s="11"/>
      <c r="EV472" s="11"/>
      <c r="EW472" s="11"/>
      <c r="EX472" s="11"/>
      <c r="EY472" s="11"/>
      <c r="EZ472" s="11"/>
      <c r="FA472" s="11"/>
      <c r="FB472" s="11"/>
      <c r="FC472" s="11"/>
      <c r="FD472" s="11"/>
      <c r="FE472" s="11"/>
      <c r="FF472" s="11"/>
      <c r="FG472" s="11"/>
      <c r="FH472" s="17">
        <f t="shared" si="186"/>
        <v>1963154.6025</v>
      </c>
      <c r="FI472" s="31">
        <f t="shared" si="187"/>
        <v>4</v>
      </c>
      <c r="FJ472" s="68">
        <f t="shared" si="188"/>
        <v>490788.65062500001</v>
      </c>
    </row>
    <row r="473" spans="1:166" ht="13.5" x14ac:dyDescent="0.25">
      <c r="A473" s="248">
        <f>Distribución_Reactivos!A473</f>
        <v>471</v>
      </c>
      <c r="B473" s="248" t="str">
        <f>Distribución_Reactivos!B473</f>
        <v>Caldo Tertrationate</v>
      </c>
      <c r="C473" s="248" t="str">
        <f>Distribución_Reactivos!C473</f>
        <v>Oxoid  Merck</v>
      </c>
      <c r="D473" s="248" t="str">
        <f>Distribución_Reactivos!D473</f>
        <v>Frasco x 500 g</v>
      </c>
      <c r="E473" s="29">
        <v>1</v>
      </c>
      <c r="F473" s="212">
        <v>0</v>
      </c>
      <c r="G473" s="214">
        <v>0</v>
      </c>
      <c r="H473" s="221">
        <v>0</v>
      </c>
      <c r="I473" s="221">
        <v>0</v>
      </c>
      <c r="J473" s="221">
        <v>0</v>
      </c>
      <c r="K473" s="221">
        <v>0</v>
      </c>
      <c r="L473" s="247"/>
      <c r="M473" s="247"/>
      <c r="N473" s="219">
        <v>416500</v>
      </c>
      <c r="O473" s="97">
        <f t="shared" si="191"/>
        <v>79135</v>
      </c>
      <c r="P473" s="97">
        <f t="shared" si="192"/>
        <v>495635</v>
      </c>
      <c r="Q473" s="34" t="s">
        <v>118</v>
      </c>
      <c r="R473" s="116" t="s">
        <v>119</v>
      </c>
      <c r="S473" s="25"/>
      <c r="T473" s="102"/>
      <c r="U473" s="102"/>
      <c r="V473" s="102"/>
      <c r="W473" s="11"/>
      <c r="X473" s="11"/>
      <c r="Y473" s="11"/>
      <c r="Z473" s="102"/>
      <c r="AA473" s="102"/>
      <c r="AB473" s="102"/>
      <c r="AC473" s="44"/>
      <c r="AD473" s="44"/>
      <c r="AE473" s="11"/>
      <c r="AF473" s="102"/>
      <c r="AG473" s="102"/>
      <c r="AH473" s="102"/>
      <c r="AI473" s="11"/>
      <c r="AJ473" s="11"/>
      <c r="AK473" s="11"/>
      <c r="AL473" s="102"/>
      <c r="AM473" s="102"/>
      <c r="AN473" s="102"/>
      <c r="AO473" s="248"/>
      <c r="AP473" s="11"/>
      <c r="AQ473" s="11"/>
      <c r="AR473" s="247"/>
      <c r="AS473" s="247"/>
      <c r="AT473" s="247"/>
      <c r="AU473" s="52"/>
      <c r="AV473" s="42"/>
      <c r="AW473" s="11"/>
      <c r="AX473" s="247"/>
      <c r="AY473" s="247"/>
      <c r="AZ473" s="247"/>
      <c r="BA473" s="11"/>
      <c r="BB473" s="11"/>
      <c r="BC473" s="11"/>
      <c r="BD473" s="247"/>
      <c r="BE473" s="247"/>
      <c r="BF473" s="247"/>
      <c r="BG473" s="11"/>
      <c r="BH473" s="11"/>
      <c r="BI473" s="11"/>
      <c r="BJ473" s="247"/>
      <c r="BK473" s="247"/>
      <c r="BL473" s="247"/>
      <c r="BM473" s="11"/>
      <c r="BN473" s="11"/>
      <c r="BO473" s="11"/>
      <c r="BP473" s="247"/>
      <c r="BQ473" s="11"/>
      <c r="BR473" s="11"/>
      <c r="BS473" s="11"/>
      <c r="BT473" s="11"/>
      <c r="BU473" s="11"/>
      <c r="BV473" s="236">
        <v>1344100</v>
      </c>
      <c r="BW473" s="125">
        <f t="shared" si="193"/>
        <v>255379</v>
      </c>
      <c r="BX473" s="97">
        <f t="shared" si="194"/>
        <v>1599479</v>
      </c>
      <c r="BY473" s="245" t="s">
        <v>319</v>
      </c>
      <c r="BZ473" s="245" t="s">
        <v>93</v>
      </c>
      <c r="CA473" s="11"/>
      <c r="CB473" s="247"/>
      <c r="CC473" s="247"/>
      <c r="CD473" s="247"/>
      <c r="CE473" s="11"/>
      <c r="CF473" s="11"/>
      <c r="CG473" s="11"/>
      <c r="CH473" s="241"/>
      <c r="CI473" s="238"/>
      <c r="CJ473" s="236"/>
      <c r="CK473" s="245"/>
      <c r="CL473" s="245"/>
      <c r="CM473" s="11"/>
      <c r="CN473" s="247"/>
      <c r="CO473" s="247"/>
      <c r="CP473" s="247"/>
      <c r="CQ473" s="11"/>
      <c r="CR473" s="11"/>
      <c r="CS473" s="11"/>
      <c r="CT473" s="11"/>
      <c r="CU473" s="11"/>
      <c r="CV473" s="11"/>
      <c r="CW473" s="11"/>
      <c r="CX473" s="11"/>
      <c r="CY473" s="11"/>
      <c r="CZ473" s="102">
        <v>1123281</v>
      </c>
      <c r="DA473" s="125">
        <f>+CZ473*0.19</f>
        <v>213423.39</v>
      </c>
      <c r="DB473" s="102">
        <f>+CZ473+DA473</f>
        <v>1336704.3900000001</v>
      </c>
      <c r="DC473" s="31" t="s">
        <v>80</v>
      </c>
      <c r="DD473" s="11" t="s">
        <v>65</v>
      </c>
      <c r="DE473" s="11">
        <v>1058780500</v>
      </c>
      <c r="DF473" s="11"/>
      <c r="DG473" s="11"/>
      <c r="DH473" s="11"/>
      <c r="DI473" s="11"/>
      <c r="DJ473" s="11"/>
      <c r="DK473" s="11"/>
      <c r="DL473" s="11"/>
      <c r="DM473" s="11"/>
      <c r="DN473" s="11"/>
      <c r="DO473" s="11"/>
      <c r="DP473" s="11"/>
      <c r="DQ473" s="11"/>
      <c r="DR473" s="11"/>
      <c r="DS473" s="11"/>
      <c r="DT473" s="11"/>
      <c r="DU473" s="11"/>
      <c r="DV473" s="11"/>
      <c r="DW473" s="11"/>
      <c r="DX473" s="11"/>
      <c r="DY473" s="11"/>
      <c r="DZ473" s="11"/>
      <c r="EA473" s="11"/>
      <c r="EB473" s="11"/>
      <c r="EC473" s="11"/>
      <c r="ED473" s="11"/>
      <c r="EE473" s="11"/>
      <c r="EF473" s="11"/>
      <c r="EG473" s="11"/>
      <c r="EH473" s="11"/>
      <c r="EI473" s="11"/>
      <c r="EJ473" s="11"/>
      <c r="EK473" s="11"/>
      <c r="EL473" s="11"/>
      <c r="EM473" s="11"/>
      <c r="EN473" s="11"/>
      <c r="EO473" s="11"/>
      <c r="EP473" s="11"/>
      <c r="EQ473" s="11"/>
      <c r="ER473" s="11"/>
      <c r="ES473" s="11"/>
      <c r="ET473" s="11"/>
      <c r="EU473" s="11"/>
      <c r="EV473" s="11"/>
      <c r="EW473" s="11"/>
      <c r="EX473" s="11"/>
      <c r="EY473" s="11"/>
      <c r="EZ473" s="11"/>
      <c r="FA473" s="11"/>
      <c r="FB473" s="11"/>
      <c r="FC473" s="11"/>
      <c r="FD473" s="11"/>
      <c r="FE473" s="11"/>
      <c r="FF473" s="11"/>
      <c r="FG473" s="11"/>
      <c r="FH473" s="17">
        <f t="shared" si="186"/>
        <v>3431818.39</v>
      </c>
      <c r="FI473" s="31">
        <f t="shared" si="187"/>
        <v>3</v>
      </c>
      <c r="FJ473" s="68">
        <f t="shared" si="188"/>
        <v>1143939.4633333334</v>
      </c>
    </row>
    <row r="474" spans="1:166" ht="25.5" x14ac:dyDescent="0.25">
      <c r="A474" s="248">
        <f>Distribución_Reactivos!A474</f>
        <v>472</v>
      </c>
      <c r="B474" s="248" t="str">
        <f>Distribución_Reactivos!B474</f>
        <v xml:space="preserve">Caldo Rappaport </v>
      </c>
      <c r="C474" s="248" t="str">
        <f>Distribución_Reactivos!C474</f>
        <v xml:space="preserve">Oxoid  CM 0669,Merck </v>
      </c>
      <c r="D474" s="248" t="str">
        <f>Distribución_Reactivos!D474</f>
        <v>Frasco x 500 g</v>
      </c>
      <c r="E474" s="29">
        <v>1</v>
      </c>
      <c r="F474" s="212">
        <v>0</v>
      </c>
      <c r="G474" s="214">
        <v>0</v>
      </c>
      <c r="H474" s="221">
        <v>0</v>
      </c>
      <c r="I474" s="221">
        <v>0</v>
      </c>
      <c r="J474" s="221">
        <v>0</v>
      </c>
      <c r="K474" s="221">
        <v>0</v>
      </c>
      <c r="L474" s="247"/>
      <c r="M474" s="247"/>
      <c r="N474" s="219">
        <v>292300</v>
      </c>
      <c r="O474" s="97">
        <f t="shared" si="191"/>
        <v>55537</v>
      </c>
      <c r="P474" s="97">
        <f t="shared" si="192"/>
        <v>347837</v>
      </c>
      <c r="Q474" s="34" t="s">
        <v>118</v>
      </c>
      <c r="R474" s="116" t="s">
        <v>119</v>
      </c>
      <c r="S474" s="25"/>
      <c r="T474" s="102"/>
      <c r="U474" s="102"/>
      <c r="V474" s="102"/>
      <c r="W474" s="11"/>
      <c r="X474" s="11"/>
      <c r="Y474" s="11"/>
      <c r="Z474" s="102"/>
      <c r="AA474" s="102"/>
      <c r="AB474" s="102"/>
      <c r="AC474" s="44"/>
      <c r="AD474" s="44"/>
      <c r="AE474" s="11"/>
      <c r="AF474" s="102"/>
      <c r="AG474" s="102"/>
      <c r="AH474" s="102"/>
      <c r="AI474" s="11"/>
      <c r="AJ474" s="11"/>
      <c r="AK474" s="11"/>
      <c r="AL474" s="102"/>
      <c r="AM474" s="102"/>
      <c r="AN474" s="102"/>
      <c r="AO474" s="248"/>
      <c r="AP474" s="11"/>
      <c r="AQ474" s="11"/>
      <c r="AR474" s="247"/>
      <c r="AS474" s="247"/>
      <c r="AT474" s="247"/>
      <c r="AU474" s="52"/>
      <c r="AV474" s="42"/>
      <c r="AW474" s="11"/>
      <c r="AX474" s="247"/>
      <c r="AY474" s="247"/>
      <c r="AZ474" s="247"/>
      <c r="BA474" s="11"/>
      <c r="BB474" s="11"/>
      <c r="BC474" s="11"/>
      <c r="BD474" s="247"/>
      <c r="BE474" s="247"/>
      <c r="BF474" s="247"/>
      <c r="BG474" s="11"/>
      <c r="BH474" s="11"/>
      <c r="BI474" s="11"/>
      <c r="BJ474" s="247"/>
      <c r="BK474" s="247"/>
      <c r="BL474" s="247"/>
      <c r="BM474" s="11"/>
      <c r="BN474" s="11"/>
      <c r="BO474" s="11"/>
      <c r="BP474" s="247"/>
      <c r="BQ474" s="11"/>
      <c r="BR474" s="11"/>
      <c r="BS474" s="11"/>
      <c r="BT474" s="11"/>
      <c r="BU474" s="11"/>
      <c r="BV474" s="236">
        <v>584600</v>
      </c>
      <c r="BW474" s="125">
        <f t="shared" si="193"/>
        <v>111074</v>
      </c>
      <c r="BX474" s="97">
        <f t="shared" si="194"/>
        <v>695674</v>
      </c>
      <c r="BY474" s="245" t="s">
        <v>319</v>
      </c>
      <c r="BZ474" s="245" t="s">
        <v>119</v>
      </c>
      <c r="CA474" s="11"/>
      <c r="CB474" s="247"/>
      <c r="CC474" s="247"/>
      <c r="CD474" s="247"/>
      <c r="CE474" s="11"/>
      <c r="CF474" s="11"/>
      <c r="CG474" s="11"/>
      <c r="CH474" s="236">
        <v>625522</v>
      </c>
      <c r="CI474" s="238">
        <f>+CH474*0.19</f>
        <v>118849.18000000001</v>
      </c>
      <c r="CJ474" s="236">
        <f>+CH474+CI474</f>
        <v>744371.18</v>
      </c>
      <c r="CK474" s="245" t="s">
        <v>319</v>
      </c>
      <c r="CL474" s="245" t="s">
        <v>119</v>
      </c>
      <c r="CM474" s="11"/>
      <c r="CN474" s="247"/>
      <c r="CO474" s="247"/>
      <c r="CP474" s="247"/>
      <c r="CQ474" s="11"/>
      <c r="CR474" s="11"/>
      <c r="CS474" s="11"/>
      <c r="CT474" s="11"/>
      <c r="CU474" s="11"/>
      <c r="CV474" s="11"/>
      <c r="CW474" s="11"/>
      <c r="CX474" s="11"/>
      <c r="CY474" s="11"/>
      <c r="CZ474" s="102">
        <v>445309</v>
      </c>
      <c r="DA474" s="125">
        <f>+CZ474*0.19</f>
        <v>84608.71</v>
      </c>
      <c r="DB474" s="102">
        <f>+CZ474+DA474</f>
        <v>529917.71</v>
      </c>
      <c r="DC474" s="31" t="s">
        <v>122</v>
      </c>
      <c r="DD474" s="11" t="s">
        <v>65</v>
      </c>
      <c r="DE474" s="11">
        <v>1077000500</v>
      </c>
      <c r="DF474" s="11"/>
      <c r="DG474" s="11"/>
      <c r="DH474" s="11"/>
      <c r="DI474" s="11"/>
      <c r="DJ474" s="11"/>
      <c r="DK474" s="11"/>
      <c r="DL474" s="11"/>
      <c r="DM474" s="11"/>
      <c r="DN474" s="11"/>
      <c r="DO474" s="11"/>
      <c r="DP474" s="11"/>
      <c r="DQ474" s="11"/>
      <c r="DR474" s="11"/>
      <c r="DS474" s="11"/>
      <c r="DT474" s="11"/>
      <c r="DU474" s="11"/>
      <c r="DV474" s="11"/>
      <c r="DW474" s="11"/>
      <c r="DX474" s="11"/>
      <c r="DY474" s="11"/>
      <c r="DZ474" s="11"/>
      <c r="EA474" s="11"/>
      <c r="EB474" s="11"/>
      <c r="EC474" s="11"/>
      <c r="ED474" s="11"/>
      <c r="EE474" s="11"/>
      <c r="EF474" s="11"/>
      <c r="EG474" s="11"/>
      <c r="EH474" s="11"/>
      <c r="EI474" s="11"/>
      <c r="EJ474" s="11"/>
      <c r="EK474" s="11"/>
      <c r="EL474" s="11"/>
      <c r="EM474" s="11"/>
      <c r="EN474" s="11"/>
      <c r="EO474" s="11"/>
      <c r="EP474" s="11"/>
      <c r="EQ474" s="11"/>
      <c r="ER474" s="11"/>
      <c r="ES474" s="11"/>
      <c r="ET474" s="11"/>
      <c r="EU474" s="11"/>
      <c r="EV474" s="11"/>
      <c r="EW474" s="11"/>
      <c r="EX474" s="11"/>
      <c r="EY474" s="11"/>
      <c r="EZ474" s="11"/>
      <c r="FA474" s="11"/>
      <c r="FB474" s="11"/>
      <c r="FC474" s="11"/>
      <c r="FD474" s="11"/>
      <c r="FE474" s="11"/>
      <c r="FF474" s="11"/>
      <c r="FG474" s="11"/>
      <c r="FH474" s="17">
        <f t="shared" si="186"/>
        <v>2317799.89</v>
      </c>
      <c r="FI474" s="31">
        <f t="shared" si="187"/>
        <v>4</v>
      </c>
      <c r="FJ474" s="68">
        <f t="shared" si="188"/>
        <v>579449.97250000003</v>
      </c>
    </row>
    <row r="475" spans="1:166" ht="25.5" x14ac:dyDescent="0.25">
      <c r="A475" s="248">
        <f>Distribución_Reactivos!A475</f>
        <v>473</v>
      </c>
      <c r="B475" s="248" t="str">
        <f>Distribución_Reactivos!B475</f>
        <v>Caldo tripticasa soya  modificado E.coli O:157</v>
      </c>
      <c r="C475" s="248" t="str">
        <f>Distribución_Reactivos!C475</f>
        <v xml:space="preserve">Oxoid  </v>
      </c>
      <c r="D475" s="248" t="str">
        <f>Distribución_Reactivos!D475</f>
        <v>Frasco x 500 g</v>
      </c>
      <c r="E475" s="29">
        <v>1</v>
      </c>
      <c r="F475" s="212">
        <v>0</v>
      </c>
      <c r="G475" s="214">
        <v>0</v>
      </c>
      <c r="H475" s="221">
        <v>0</v>
      </c>
      <c r="I475" s="221">
        <v>0</v>
      </c>
      <c r="J475" s="221">
        <v>0</v>
      </c>
      <c r="K475" s="221">
        <v>0</v>
      </c>
      <c r="L475" s="247"/>
      <c r="M475" s="247"/>
      <c r="N475" s="219">
        <v>639600</v>
      </c>
      <c r="O475" s="97">
        <f t="shared" si="191"/>
        <v>121524</v>
      </c>
      <c r="P475" s="97">
        <f t="shared" si="192"/>
        <v>761124</v>
      </c>
      <c r="Q475" s="34" t="s">
        <v>118</v>
      </c>
      <c r="R475" s="116" t="s">
        <v>119</v>
      </c>
      <c r="S475" s="25"/>
      <c r="T475" s="102"/>
      <c r="U475" s="102"/>
      <c r="V475" s="102"/>
      <c r="W475" s="11"/>
      <c r="X475" s="11"/>
      <c r="Y475" s="11"/>
      <c r="Z475" s="102"/>
      <c r="AA475" s="102"/>
      <c r="AB475" s="102"/>
      <c r="AC475" s="44"/>
      <c r="AD475" s="44"/>
      <c r="AE475" s="11"/>
      <c r="AF475" s="102"/>
      <c r="AG475" s="102"/>
      <c r="AH475" s="102"/>
      <c r="AI475" s="11"/>
      <c r="AJ475" s="11"/>
      <c r="AK475" s="11"/>
      <c r="AL475" s="102"/>
      <c r="AM475" s="102"/>
      <c r="AN475" s="102"/>
      <c r="AO475" s="248"/>
      <c r="AP475" s="11"/>
      <c r="AQ475" s="11"/>
      <c r="AR475" s="247"/>
      <c r="AS475" s="247"/>
      <c r="AT475" s="247"/>
      <c r="AU475" s="52"/>
      <c r="AV475" s="42"/>
      <c r="AW475" s="11"/>
      <c r="AX475" s="247"/>
      <c r="AY475" s="247"/>
      <c r="AZ475" s="247"/>
      <c r="BA475" s="11"/>
      <c r="BB475" s="11"/>
      <c r="BC475" s="11"/>
      <c r="BD475" s="247"/>
      <c r="BE475" s="247"/>
      <c r="BF475" s="247"/>
      <c r="BG475" s="11"/>
      <c r="BH475" s="11"/>
      <c r="BI475" s="11"/>
      <c r="BJ475" s="247"/>
      <c r="BK475" s="247"/>
      <c r="BL475" s="247"/>
      <c r="BM475" s="11"/>
      <c r="BN475" s="11"/>
      <c r="BO475" s="11"/>
      <c r="BP475" s="247"/>
      <c r="BQ475" s="11"/>
      <c r="BR475" s="11"/>
      <c r="BS475" s="11"/>
      <c r="BT475" s="11"/>
      <c r="BU475" s="11"/>
      <c r="BV475" s="236">
        <v>1279200</v>
      </c>
      <c r="BW475" s="125">
        <f t="shared" si="193"/>
        <v>243048</v>
      </c>
      <c r="BX475" s="97">
        <f t="shared" si="194"/>
        <v>1522248</v>
      </c>
      <c r="BY475" s="245" t="s">
        <v>319</v>
      </c>
      <c r="BZ475" s="245" t="s">
        <v>119</v>
      </c>
      <c r="CA475" s="11"/>
      <c r="CB475" s="247"/>
      <c r="CC475" s="247"/>
      <c r="CD475" s="247"/>
      <c r="CE475" s="11"/>
      <c r="CF475" s="11"/>
      <c r="CG475" s="11"/>
      <c r="CH475" s="241">
        <v>1317576</v>
      </c>
      <c r="CI475" s="238">
        <f>+CH475*0.19</f>
        <v>250339.44</v>
      </c>
      <c r="CJ475" s="236">
        <f>+CH475+CI475</f>
        <v>1567915.44</v>
      </c>
      <c r="CK475" s="245" t="s">
        <v>319</v>
      </c>
      <c r="CL475" s="245" t="s">
        <v>119</v>
      </c>
      <c r="CM475" s="11"/>
      <c r="CN475" s="247"/>
      <c r="CO475" s="247"/>
      <c r="CP475" s="247"/>
      <c r="CQ475" s="11"/>
      <c r="CR475" s="11"/>
      <c r="CS475" s="11"/>
      <c r="CT475" s="11"/>
      <c r="CU475" s="11"/>
      <c r="CV475" s="11"/>
      <c r="CW475" s="11"/>
      <c r="CX475" s="11"/>
      <c r="CY475" s="11"/>
      <c r="CZ475" s="102"/>
      <c r="DA475" s="125"/>
      <c r="DB475" s="102"/>
      <c r="DC475" s="31"/>
      <c r="DD475" s="11"/>
      <c r="DE475" s="11"/>
      <c r="DF475" s="11"/>
      <c r="DG475" s="11"/>
      <c r="DH475" s="11"/>
      <c r="DI475" s="11"/>
      <c r="DJ475" s="11"/>
      <c r="DK475" s="11"/>
      <c r="DL475" s="11"/>
      <c r="DM475" s="11"/>
      <c r="DN475" s="11"/>
      <c r="DO475" s="11"/>
      <c r="DP475" s="11"/>
      <c r="DQ475" s="11"/>
      <c r="DR475" s="11"/>
      <c r="DS475" s="11"/>
      <c r="DT475" s="11"/>
      <c r="DU475" s="11"/>
      <c r="DV475" s="11"/>
      <c r="DW475" s="11"/>
      <c r="DX475" s="11"/>
      <c r="DY475" s="11"/>
      <c r="DZ475" s="11"/>
      <c r="EA475" s="11"/>
      <c r="EB475" s="11"/>
      <c r="EC475" s="11"/>
      <c r="ED475" s="11"/>
      <c r="EE475" s="11"/>
      <c r="EF475" s="11"/>
      <c r="EG475" s="11"/>
      <c r="EH475" s="11"/>
      <c r="EI475" s="11"/>
      <c r="EJ475" s="11"/>
      <c r="EK475" s="11"/>
      <c r="EL475" s="11"/>
      <c r="EM475" s="11"/>
      <c r="EN475" s="11"/>
      <c r="EO475" s="11"/>
      <c r="EP475" s="11"/>
      <c r="EQ475" s="11"/>
      <c r="ER475" s="11"/>
      <c r="ES475" s="11"/>
      <c r="ET475" s="11"/>
      <c r="EU475" s="11"/>
      <c r="EV475" s="11"/>
      <c r="EW475" s="11"/>
      <c r="EX475" s="11"/>
      <c r="EY475" s="11"/>
      <c r="EZ475" s="11"/>
      <c r="FA475" s="11"/>
      <c r="FB475" s="11"/>
      <c r="FC475" s="11"/>
      <c r="FD475" s="11"/>
      <c r="FE475" s="11"/>
      <c r="FF475" s="11"/>
      <c r="FG475" s="11"/>
      <c r="FH475" s="17">
        <f t="shared" si="186"/>
        <v>3851287.44</v>
      </c>
      <c r="FI475" s="31">
        <f t="shared" si="187"/>
        <v>3</v>
      </c>
      <c r="FJ475" s="68">
        <f t="shared" si="188"/>
        <v>1283762.48</v>
      </c>
    </row>
    <row r="476" spans="1:166" ht="13.5" x14ac:dyDescent="0.25">
      <c r="A476" s="248">
        <f>Distribución_Reactivos!A476</f>
        <v>474</v>
      </c>
      <c r="B476" s="248" t="str">
        <f>Distribución_Reactivos!B476</f>
        <v>Agar BHI-Presentación:Frasco x 500 g-</v>
      </c>
      <c r="C476" s="248" t="str">
        <f>Distribución_Reactivos!C476</f>
        <v>Marca:Oxoid</v>
      </c>
      <c r="D476" s="248" t="str">
        <f>Distribución_Reactivos!D476</f>
        <v>Frasco x 500 g</v>
      </c>
      <c r="E476" s="29">
        <v>1</v>
      </c>
      <c r="F476" s="212">
        <v>0</v>
      </c>
      <c r="G476" s="214">
        <v>0</v>
      </c>
      <c r="H476" s="221">
        <v>0</v>
      </c>
      <c r="I476" s="221">
        <v>0</v>
      </c>
      <c r="J476" s="221">
        <v>0</v>
      </c>
      <c r="K476" s="221">
        <v>0</v>
      </c>
      <c r="L476" s="247"/>
      <c r="M476" s="247"/>
      <c r="N476" s="219">
        <v>864750</v>
      </c>
      <c r="O476" s="97">
        <f>+N476*0.19</f>
        <v>164302.5</v>
      </c>
      <c r="P476" s="97">
        <f>+O476+N476</f>
        <v>1029052.5</v>
      </c>
      <c r="Q476" s="34" t="s">
        <v>118</v>
      </c>
      <c r="R476" s="116" t="s">
        <v>119</v>
      </c>
      <c r="S476" s="5"/>
      <c r="T476" s="102"/>
      <c r="U476" s="102"/>
      <c r="V476" s="102"/>
      <c r="W476" s="11"/>
      <c r="X476" s="11"/>
      <c r="Y476" s="11"/>
      <c r="Z476" s="102"/>
      <c r="AA476" s="102"/>
      <c r="AB476" s="102"/>
      <c r="AC476" s="44"/>
      <c r="AD476" s="44"/>
      <c r="AE476" s="11"/>
      <c r="AF476" s="102"/>
      <c r="AG476" s="102"/>
      <c r="AH476" s="102"/>
      <c r="AI476" s="11"/>
      <c r="AJ476" s="11"/>
      <c r="AK476" s="11"/>
      <c r="AL476" s="102">
        <v>620000</v>
      </c>
      <c r="AM476" s="97">
        <f>+AL476*0.19</f>
        <v>117800</v>
      </c>
      <c r="AN476" s="103">
        <f>+AL476+AM476</f>
        <v>737800</v>
      </c>
      <c r="AO476" s="248" t="s">
        <v>77</v>
      </c>
      <c r="AP476" s="11" t="s">
        <v>52</v>
      </c>
      <c r="AQ476" s="11"/>
      <c r="AR476" s="247"/>
      <c r="AS476" s="247"/>
      <c r="AT476" s="247"/>
      <c r="AU476" s="52"/>
      <c r="AV476" s="42"/>
      <c r="AW476" s="11"/>
      <c r="AX476" s="247"/>
      <c r="AY476" s="247"/>
      <c r="AZ476" s="247"/>
      <c r="BA476" s="11"/>
      <c r="BB476" s="11"/>
      <c r="BC476" s="11"/>
      <c r="BD476" s="247"/>
      <c r="BE476" s="247"/>
      <c r="BF476" s="247"/>
      <c r="BG476" s="11"/>
      <c r="BH476" s="11"/>
      <c r="BI476" s="11"/>
      <c r="BJ476" s="247"/>
      <c r="BK476" s="247"/>
      <c r="BL476" s="247"/>
      <c r="BM476" s="11"/>
      <c r="BN476" s="11"/>
      <c r="BO476" s="11"/>
      <c r="BP476" s="247"/>
      <c r="BQ476" s="11"/>
      <c r="BR476" s="11"/>
      <c r="BS476" s="11"/>
      <c r="BT476" s="11"/>
      <c r="BU476" s="11"/>
      <c r="BV476" s="236">
        <v>1383600</v>
      </c>
      <c r="BW476" s="125">
        <f t="shared" si="193"/>
        <v>262884</v>
      </c>
      <c r="BX476" s="97">
        <f t="shared" si="194"/>
        <v>1646484</v>
      </c>
      <c r="BY476" s="245" t="s">
        <v>319</v>
      </c>
      <c r="BZ476" s="245" t="s">
        <v>119</v>
      </c>
      <c r="CA476" s="11"/>
      <c r="CB476" s="247"/>
      <c r="CC476" s="247"/>
      <c r="CD476" s="247"/>
      <c r="CE476" s="11"/>
      <c r="CF476" s="11"/>
      <c r="CG476" s="11"/>
      <c r="CH476" s="241"/>
      <c r="CI476" s="238"/>
      <c r="CJ476" s="236"/>
      <c r="CK476" s="245"/>
      <c r="CL476" s="245"/>
      <c r="CM476" s="11"/>
      <c r="CN476" s="247"/>
      <c r="CO476" s="247"/>
      <c r="CP476" s="247"/>
      <c r="CQ476" s="11"/>
      <c r="CR476" s="11"/>
      <c r="CS476" s="11"/>
      <c r="CT476" s="11"/>
      <c r="CU476" s="11"/>
      <c r="CV476" s="11"/>
      <c r="CW476" s="11"/>
      <c r="CX476" s="11"/>
      <c r="CY476" s="11"/>
      <c r="CZ476" s="102"/>
      <c r="DA476" s="102"/>
      <c r="DB476" s="102"/>
      <c r="DC476" s="11"/>
      <c r="DD476" s="11"/>
      <c r="DE476" s="59"/>
      <c r="DF476" s="11"/>
      <c r="DG476" s="11"/>
      <c r="DH476" s="11"/>
      <c r="DI476" s="11"/>
      <c r="DJ476" s="11"/>
      <c r="DK476" s="11"/>
      <c r="DL476" s="11"/>
      <c r="DM476" s="11"/>
      <c r="DN476" s="11"/>
      <c r="DO476" s="11"/>
      <c r="DP476" s="11"/>
      <c r="DQ476" s="11"/>
      <c r="DR476" s="11"/>
      <c r="DS476" s="11"/>
      <c r="DT476" s="11"/>
      <c r="DU476" s="11"/>
      <c r="DV476" s="11"/>
      <c r="DW476" s="11"/>
      <c r="DX476" s="11"/>
      <c r="DY476" s="11"/>
      <c r="DZ476" s="11"/>
      <c r="EA476" s="11"/>
      <c r="EB476" s="11"/>
      <c r="EC476" s="11"/>
      <c r="ED476" s="11"/>
      <c r="EE476" s="11"/>
      <c r="EF476" s="11"/>
      <c r="EG476" s="11"/>
      <c r="EH476" s="11"/>
      <c r="EI476" s="11"/>
      <c r="EJ476" s="11"/>
      <c r="EK476" s="11"/>
      <c r="EL476" s="11"/>
      <c r="EM476" s="11"/>
      <c r="EN476" s="11"/>
      <c r="EO476" s="11"/>
      <c r="EP476" s="11"/>
      <c r="EQ476" s="11"/>
      <c r="ER476" s="11"/>
      <c r="ES476" s="11"/>
      <c r="ET476" s="11"/>
      <c r="EU476" s="11"/>
      <c r="EV476" s="11"/>
      <c r="EW476" s="11"/>
      <c r="EX476" s="11"/>
      <c r="EY476" s="11"/>
      <c r="EZ476" s="11"/>
      <c r="FA476" s="11"/>
      <c r="FB476" s="11"/>
      <c r="FC476" s="11"/>
      <c r="FD476" s="11"/>
      <c r="FE476" s="11"/>
      <c r="FF476" s="11"/>
      <c r="FG476" s="11"/>
      <c r="FH476" s="17">
        <f>SUM(M476,P476,V476,AB476,AH476,AN476,AT476,AZ476,BF476,BL476,BR476,BX476,CD476,CJ476,CP476,CV476,DB476,DH476,DN476,DT476,DZ476,EF476,EL476,ER476,EX476,FD476)</f>
        <v>3413336.5</v>
      </c>
      <c r="FI476" s="31">
        <f>COUNTA(M476,N476,T476,Z476,AF476,AL476,AR476,AX476,BD476,BJ476,BP476,BV476,CB476,CH476,CN476,CT476,CZ476,DF476,DL476,DR476,DX476,ED476,EJ476,EP476,EV476,FB476)</f>
        <v>3</v>
      </c>
      <c r="FJ476" s="68">
        <f>IFERROR(FH476/FI476," ")</f>
        <v>1137778.8333333333</v>
      </c>
    </row>
    <row r="477" spans="1:166" ht="13.5" x14ac:dyDescent="0.25">
      <c r="A477" s="248">
        <f>Distribución_Reactivos!A477</f>
        <v>475</v>
      </c>
      <c r="B477" s="248" t="str">
        <f>Distribución_Reactivos!B477</f>
        <v>Caldo tioglicolato --Marca:Oxoid</v>
      </c>
      <c r="C477" s="248" t="str">
        <f>Distribución_Reactivos!C477</f>
        <v>Marca:Oxoid</v>
      </c>
      <c r="D477" s="248" t="str">
        <f>Distribución_Reactivos!D477</f>
        <v>Frasco x 500 g</v>
      </c>
      <c r="E477" s="29">
        <v>1</v>
      </c>
      <c r="F477" s="212">
        <v>0</v>
      </c>
      <c r="G477" s="214">
        <v>0</v>
      </c>
      <c r="H477" s="221">
        <v>0</v>
      </c>
      <c r="I477" s="221">
        <v>0</v>
      </c>
      <c r="J477" s="221">
        <v>0</v>
      </c>
      <c r="K477" s="221">
        <v>0</v>
      </c>
      <c r="L477" s="247"/>
      <c r="M477" s="247"/>
      <c r="N477" s="219">
        <v>663750</v>
      </c>
      <c r="O477" s="97">
        <f>+N477*0.19</f>
        <v>126112.5</v>
      </c>
      <c r="P477" s="97">
        <f>+O477+N477</f>
        <v>789862.5</v>
      </c>
      <c r="Q477" s="34" t="s">
        <v>118</v>
      </c>
      <c r="R477" s="116" t="s">
        <v>119</v>
      </c>
      <c r="S477" s="5"/>
      <c r="T477" s="102"/>
      <c r="U477" s="102"/>
      <c r="V477" s="102"/>
      <c r="W477" s="11"/>
      <c r="X477" s="11"/>
      <c r="Y477" s="11"/>
      <c r="Z477" s="102"/>
      <c r="AA477" s="102"/>
      <c r="AB477" s="102"/>
      <c r="AC477" s="44"/>
      <c r="AD477" s="44"/>
      <c r="AE477" s="11"/>
      <c r="AF477" s="102"/>
      <c r="AG477" s="102"/>
      <c r="AH477" s="102"/>
      <c r="AI477" s="11"/>
      <c r="AJ477" s="11"/>
      <c r="AK477" s="11"/>
      <c r="AL477" s="102"/>
      <c r="AM477" s="102"/>
      <c r="AN477" s="102"/>
      <c r="AO477" s="248"/>
      <c r="AP477" s="11"/>
      <c r="AQ477" s="11"/>
      <c r="AR477" s="247"/>
      <c r="AS477" s="247"/>
      <c r="AT477" s="247"/>
      <c r="AU477" s="52"/>
      <c r="AV477" s="42"/>
      <c r="AW477" s="11"/>
      <c r="AX477" s="247"/>
      <c r="AY477" s="247"/>
      <c r="AZ477" s="247"/>
      <c r="BA477" s="11"/>
      <c r="BB477" s="11"/>
      <c r="BC477" s="11"/>
      <c r="BD477" s="247"/>
      <c r="BE477" s="247"/>
      <c r="BF477" s="247"/>
      <c r="BG477" s="11"/>
      <c r="BH477" s="11"/>
      <c r="BI477" s="11"/>
      <c r="BJ477" s="247"/>
      <c r="BK477" s="247"/>
      <c r="BL477" s="247"/>
      <c r="BM477" s="11"/>
      <c r="BN477" s="11"/>
      <c r="BO477" s="11"/>
      <c r="BP477" s="247"/>
      <c r="BQ477" s="11"/>
      <c r="BR477" s="11"/>
      <c r="BS477" s="11"/>
      <c r="BT477" s="11"/>
      <c r="BU477" s="11"/>
      <c r="BV477" s="236">
        <v>1062000</v>
      </c>
      <c r="BW477" s="125">
        <f t="shared" si="193"/>
        <v>201780</v>
      </c>
      <c r="BX477" s="97">
        <f t="shared" si="194"/>
        <v>1263780</v>
      </c>
      <c r="BY477" s="245" t="s">
        <v>319</v>
      </c>
      <c r="BZ477" s="245" t="s">
        <v>119</v>
      </c>
      <c r="CA477" s="11"/>
      <c r="CB477" s="247"/>
      <c r="CC477" s="247"/>
      <c r="CD477" s="247"/>
      <c r="CE477" s="11"/>
      <c r="CF477" s="11"/>
      <c r="CG477" s="11"/>
      <c r="CH477" s="241">
        <v>1093860</v>
      </c>
      <c r="CI477" s="238">
        <f>+CH477*0.19</f>
        <v>207833.4</v>
      </c>
      <c r="CJ477" s="236">
        <f>+CH477+CI477</f>
        <v>1301693.3999999999</v>
      </c>
      <c r="CK477" s="245" t="s">
        <v>319</v>
      </c>
      <c r="CL477" s="245" t="s">
        <v>119</v>
      </c>
      <c r="CM477" s="11"/>
      <c r="CN477" s="247"/>
      <c r="CO477" s="247"/>
      <c r="CP477" s="247"/>
      <c r="CQ477" s="11"/>
      <c r="CR477" s="11"/>
      <c r="CS477" s="11"/>
      <c r="CT477" s="11"/>
      <c r="CU477" s="11"/>
      <c r="CV477" s="11"/>
      <c r="CW477" s="11"/>
      <c r="CX477" s="11"/>
      <c r="CY477" s="11"/>
      <c r="CZ477" s="102"/>
      <c r="DA477" s="102"/>
      <c r="DB477" s="102"/>
      <c r="DC477" s="11"/>
      <c r="DD477" s="11"/>
      <c r="DE477" s="59"/>
      <c r="DF477" s="11"/>
      <c r="DG477" s="11"/>
      <c r="DH477" s="11"/>
      <c r="DI477" s="11"/>
      <c r="DJ477" s="11"/>
      <c r="DK477" s="11"/>
      <c r="DL477" s="11"/>
      <c r="DM477" s="11"/>
      <c r="DN477" s="11"/>
      <c r="DO477" s="11"/>
      <c r="DP477" s="11"/>
      <c r="DQ477" s="11"/>
      <c r="DR477" s="11"/>
      <c r="DS477" s="11"/>
      <c r="DT477" s="11"/>
      <c r="DU477" s="11"/>
      <c r="DV477" s="11"/>
      <c r="DW477" s="11"/>
      <c r="DX477" s="11"/>
      <c r="DY477" s="11"/>
      <c r="DZ477" s="11"/>
      <c r="EA477" s="11"/>
      <c r="EB477" s="11"/>
      <c r="EC477" s="11"/>
      <c r="ED477" s="11"/>
      <c r="EE477" s="11"/>
      <c r="EF477" s="11"/>
      <c r="EG477" s="11"/>
      <c r="EH477" s="11"/>
      <c r="EI477" s="11"/>
      <c r="EJ477" s="11"/>
      <c r="EK477" s="11"/>
      <c r="EL477" s="11"/>
      <c r="EM477" s="11"/>
      <c r="EN477" s="11"/>
      <c r="EO477" s="11"/>
      <c r="EP477" s="11"/>
      <c r="EQ477" s="11"/>
      <c r="ER477" s="11"/>
      <c r="ES477" s="11"/>
      <c r="ET477" s="11"/>
      <c r="EU477" s="11"/>
      <c r="EV477" s="11"/>
      <c r="EW477" s="11"/>
      <c r="EX477" s="11"/>
      <c r="EY477" s="11"/>
      <c r="EZ477" s="11"/>
      <c r="FA477" s="11"/>
      <c r="FB477" s="11"/>
      <c r="FC477" s="11"/>
      <c r="FD477" s="11"/>
      <c r="FE477" s="11"/>
      <c r="FF477" s="11"/>
      <c r="FG477" s="11"/>
      <c r="FH477" s="17">
        <f>SUM(M477,P477,V477,AB477,AH477,AN477,AT477,AZ477,BF477,BL477,BR477,BX477,CD477,CJ477,CP477,CV477,DB477,DH477,DN477,DT477,DZ477,EF477,EL477,ER477,EX477,FD477)</f>
        <v>3355335.9</v>
      </c>
      <c r="FI477" s="31">
        <f>COUNTA(M477,N477,T477,Z477,AF477,AL477,AR477,AX477,BD477,BJ477,BP477,BV477,CB477,CH477,CN477,CT477,CZ477,DF477,DL477,DR477,DX477,ED477,EJ477,EP477,EV477,FB477)</f>
        <v>3</v>
      </c>
      <c r="FJ477" s="68">
        <f>IFERROR(FH477/FI477," ")</f>
        <v>1118445.3</v>
      </c>
    </row>
    <row r="478" spans="1:166" ht="13.5" x14ac:dyDescent="0.25">
      <c r="A478" s="248">
        <f>Distribución_Reactivos!A478</f>
        <v>476</v>
      </c>
      <c r="B478" s="248" t="str">
        <f>Distribución_Reactivos!B478</f>
        <v>Caldo triptosa fosfato -Marca:Oxoid</v>
      </c>
      <c r="C478" s="248" t="str">
        <f>Distribución_Reactivos!C478</f>
        <v>Marca:Oxoid</v>
      </c>
      <c r="D478" s="248" t="str">
        <f>Distribución_Reactivos!D478</f>
        <v>Frasco x 500 g</v>
      </c>
      <c r="E478" s="29">
        <v>1</v>
      </c>
      <c r="F478" s="212">
        <v>0</v>
      </c>
      <c r="G478" s="214">
        <v>0</v>
      </c>
      <c r="H478" s="221">
        <v>0</v>
      </c>
      <c r="I478" s="221">
        <v>0</v>
      </c>
      <c r="J478" s="221">
        <v>0</v>
      </c>
      <c r="K478" s="221">
        <v>0</v>
      </c>
      <c r="L478" s="247"/>
      <c r="M478" s="247"/>
      <c r="N478" s="219">
        <v>1298000</v>
      </c>
      <c r="O478" s="97">
        <f>+N478*0.19</f>
        <v>246620</v>
      </c>
      <c r="P478" s="97">
        <f>+O478+N478</f>
        <v>1544620</v>
      </c>
      <c r="Q478" s="34" t="s">
        <v>118</v>
      </c>
      <c r="R478" s="116" t="s">
        <v>119</v>
      </c>
      <c r="S478" s="5"/>
      <c r="T478" s="102"/>
      <c r="U478" s="102"/>
      <c r="V478" s="102"/>
      <c r="W478" s="11"/>
      <c r="X478" s="11"/>
      <c r="Y478" s="11"/>
      <c r="Z478" s="102"/>
      <c r="AA478" s="102"/>
      <c r="AB478" s="102"/>
      <c r="AC478" s="44"/>
      <c r="AD478" s="44"/>
      <c r="AE478" s="11"/>
      <c r="AF478" s="102"/>
      <c r="AG478" s="102"/>
      <c r="AH478" s="102"/>
      <c r="AI478" s="11"/>
      <c r="AJ478" s="11"/>
      <c r="AK478" s="11"/>
      <c r="AL478" s="102"/>
      <c r="AM478" s="102"/>
      <c r="AN478" s="102"/>
      <c r="AO478" s="248"/>
      <c r="AP478" s="11"/>
      <c r="AQ478" s="11"/>
      <c r="AR478" s="247"/>
      <c r="AS478" s="247"/>
      <c r="AT478" s="247"/>
      <c r="AU478" s="52"/>
      <c r="AV478" s="42"/>
      <c r="AW478" s="11"/>
      <c r="AX478" s="247"/>
      <c r="AY478" s="247"/>
      <c r="AZ478" s="247"/>
      <c r="BA478" s="11"/>
      <c r="BB478" s="11"/>
      <c r="BC478" s="11"/>
      <c r="BD478" s="247"/>
      <c r="BE478" s="247"/>
      <c r="BF478" s="247"/>
      <c r="BG478" s="11"/>
      <c r="BH478" s="11"/>
      <c r="BI478" s="11"/>
      <c r="BJ478" s="247"/>
      <c r="BK478" s="247"/>
      <c r="BL478" s="247"/>
      <c r="BM478" s="11"/>
      <c r="BN478" s="11"/>
      <c r="BO478" s="11"/>
      <c r="BP478" s="247"/>
      <c r="BQ478" s="11"/>
      <c r="BR478" s="11"/>
      <c r="BS478" s="11"/>
      <c r="BT478" s="11"/>
      <c r="BU478" s="11"/>
      <c r="BV478" s="241">
        <v>2300000</v>
      </c>
      <c r="BW478" s="125">
        <f t="shared" si="193"/>
        <v>437000</v>
      </c>
      <c r="BX478" s="97">
        <f t="shared" si="194"/>
        <v>2737000</v>
      </c>
      <c r="BY478" s="245" t="s">
        <v>319</v>
      </c>
      <c r="BZ478" s="245" t="s">
        <v>119</v>
      </c>
      <c r="CA478" s="11"/>
      <c r="CB478" s="247"/>
      <c r="CC478" s="247"/>
      <c r="CD478" s="247"/>
      <c r="CE478" s="11"/>
      <c r="CF478" s="11"/>
      <c r="CG478" s="11"/>
      <c r="CH478" s="241">
        <v>2777720</v>
      </c>
      <c r="CI478" s="238">
        <f>+CH478*0.19</f>
        <v>527766.80000000005</v>
      </c>
      <c r="CJ478" s="236">
        <f>+CH478+CI478</f>
        <v>3305486.8</v>
      </c>
      <c r="CK478" s="245" t="s">
        <v>319</v>
      </c>
      <c r="CL478" s="245" t="s">
        <v>119</v>
      </c>
      <c r="CM478" s="11"/>
      <c r="CN478" s="247"/>
      <c r="CO478" s="247"/>
      <c r="CP478" s="247"/>
      <c r="CQ478" s="11"/>
      <c r="CR478" s="11"/>
      <c r="CS478" s="11"/>
      <c r="CT478" s="11"/>
      <c r="CU478" s="11"/>
      <c r="CV478" s="11"/>
      <c r="CW478" s="11"/>
      <c r="CX478" s="11"/>
      <c r="CY478" s="11"/>
      <c r="CZ478" s="102"/>
      <c r="DA478" s="102"/>
      <c r="DB478" s="102"/>
      <c r="DC478" s="11"/>
      <c r="DD478" s="11"/>
      <c r="DE478" s="59"/>
      <c r="DF478" s="11"/>
      <c r="DG478" s="11"/>
      <c r="DH478" s="11"/>
      <c r="DI478" s="11"/>
      <c r="DJ478" s="11"/>
      <c r="DK478" s="11"/>
      <c r="DL478" s="11"/>
      <c r="DM478" s="11"/>
      <c r="DN478" s="11"/>
      <c r="DO478" s="11"/>
      <c r="DP478" s="11"/>
      <c r="DQ478" s="11"/>
      <c r="DR478" s="11"/>
      <c r="DS478" s="11"/>
      <c r="DT478" s="11"/>
      <c r="DU478" s="11"/>
      <c r="DV478" s="11"/>
      <c r="DW478" s="11"/>
      <c r="DX478" s="11"/>
      <c r="DY478" s="11"/>
      <c r="DZ478" s="11"/>
      <c r="EA478" s="11"/>
      <c r="EB478" s="11"/>
      <c r="EC478" s="11"/>
      <c r="ED478" s="11"/>
      <c r="EE478" s="11"/>
      <c r="EF478" s="11"/>
      <c r="EG478" s="11"/>
      <c r="EH478" s="11"/>
      <c r="EI478" s="11"/>
      <c r="EJ478" s="11"/>
      <c r="EK478" s="11"/>
      <c r="EL478" s="11"/>
      <c r="EM478" s="11"/>
      <c r="EN478" s="11"/>
      <c r="EO478" s="11"/>
      <c r="EP478" s="11"/>
      <c r="EQ478" s="11"/>
      <c r="ER478" s="11"/>
      <c r="ES478" s="11"/>
      <c r="ET478" s="11"/>
      <c r="EU478" s="11"/>
      <c r="EV478" s="11"/>
      <c r="EW478" s="11"/>
      <c r="EX478" s="11"/>
      <c r="EY478" s="11"/>
      <c r="EZ478" s="11"/>
      <c r="FA478" s="11"/>
      <c r="FB478" s="11"/>
      <c r="FC478" s="11"/>
      <c r="FD478" s="11"/>
      <c r="FE478" s="11"/>
      <c r="FF478" s="11"/>
      <c r="FG478" s="11"/>
      <c r="FH478" s="17">
        <f>SUM(M478,P478,V478,AB478,AH478,AN478,AT478,AZ478,BF478,BL478,BR478,BX478,CD478,CJ478,CP478,CV478,DB478,DH478,DN478,DT478,DZ478,EF478,EL478,ER478,EX478,FD478)</f>
        <v>7587106.7999999998</v>
      </c>
      <c r="FI478" s="31">
        <f>COUNTA(M478,N478,T478,Z478,AF478,AL478,AR478,AX478,BD478,BJ478,BP478,BV478,CB478,CH478,CN478,CT478,CZ478,DF478,DL478,DR478,DX478,ED478,EJ478,EP478,EV478,FB478)</f>
        <v>3</v>
      </c>
      <c r="FJ478" s="68">
        <f>IFERROR(FH478/FI478," ")</f>
        <v>2529035.6</v>
      </c>
    </row>
    <row r="479" spans="1:166" ht="76.5" x14ac:dyDescent="0.25">
      <c r="A479" s="248">
        <f>Distribución_Reactivos!A479</f>
        <v>477</v>
      </c>
      <c r="B479" s="248" t="str">
        <f>Distribución_Reactivos!B479</f>
        <v xml:space="preserve">Estandar Ivermectin </v>
      </c>
      <c r="C479" s="248" t="str">
        <f>Distribución_Reactivos!C479</f>
        <v xml:space="preserve">
Dr. Ehrenstorfer
Sigma Aldrich (Estándar Secundario Farmacéutico)</v>
      </c>
      <c r="D479" s="248" t="str">
        <f>Distribución_Reactivos!D479</f>
        <v>La presentación depende del proveedor (Cantidad requerida: 200 mg)</v>
      </c>
      <c r="E479" s="29">
        <v>1</v>
      </c>
      <c r="F479" s="212">
        <v>0</v>
      </c>
      <c r="G479" s="214">
        <v>0</v>
      </c>
      <c r="H479" s="221">
        <v>0</v>
      </c>
      <c r="I479" s="221">
        <v>0</v>
      </c>
      <c r="J479" s="221">
        <v>0</v>
      </c>
      <c r="K479" s="221">
        <v>0</v>
      </c>
      <c r="L479" s="247"/>
      <c r="M479" s="247"/>
      <c r="N479" s="218"/>
      <c r="O479" s="102"/>
      <c r="P479" s="102"/>
      <c r="Q479" s="44"/>
      <c r="R479" s="44"/>
      <c r="S479" s="5"/>
      <c r="T479" s="102"/>
      <c r="U479" s="102"/>
      <c r="V479" s="102"/>
      <c r="W479" s="11"/>
      <c r="X479" s="11"/>
      <c r="Y479" s="11"/>
      <c r="Z479" s="102"/>
      <c r="AA479" s="102"/>
      <c r="AB479" s="102"/>
      <c r="AC479" s="44"/>
      <c r="AD479" s="44"/>
      <c r="AE479" s="11"/>
      <c r="AF479" s="102"/>
      <c r="AG479" s="102"/>
      <c r="AH479" s="102"/>
      <c r="AI479" s="11"/>
      <c r="AJ479" s="11"/>
      <c r="AK479" s="11"/>
      <c r="AL479" s="102"/>
      <c r="AM479" s="102"/>
      <c r="AN479" s="102"/>
      <c r="AO479" s="248"/>
      <c r="AP479" s="11"/>
      <c r="AQ479" s="11"/>
      <c r="AR479" s="247"/>
      <c r="AS479" s="247"/>
      <c r="AT479" s="247"/>
      <c r="AU479" s="52"/>
      <c r="AV479" s="42"/>
      <c r="AW479" s="11"/>
      <c r="AX479" s="247"/>
      <c r="AY479" s="247"/>
      <c r="AZ479" s="247"/>
      <c r="BA479" s="11"/>
      <c r="BB479" s="11"/>
      <c r="BC479" s="11"/>
      <c r="BD479" s="247"/>
      <c r="BE479" s="247"/>
      <c r="BF479" s="247"/>
      <c r="BG479" s="11"/>
      <c r="BH479" s="11"/>
      <c r="BI479" s="11"/>
      <c r="BJ479" s="247"/>
      <c r="BK479" s="247"/>
      <c r="BL479" s="247"/>
      <c r="BM479" s="11"/>
      <c r="BN479" s="11"/>
      <c r="BO479" s="11"/>
      <c r="BP479" s="247"/>
      <c r="BQ479" s="11"/>
      <c r="BR479" s="11"/>
      <c r="BS479" s="11"/>
      <c r="BT479" s="11"/>
      <c r="BU479" s="11"/>
      <c r="BV479" s="241">
        <v>3679200</v>
      </c>
      <c r="BW479" s="125">
        <f t="shared" si="193"/>
        <v>699048</v>
      </c>
      <c r="BX479" s="97">
        <f t="shared" si="194"/>
        <v>4378248</v>
      </c>
      <c r="BY479" s="245" t="s">
        <v>486</v>
      </c>
      <c r="BZ479" s="245" t="s">
        <v>480</v>
      </c>
      <c r="CA479" s="11"/>
      <c r="CB479" s="247"/>
      <c r="CC479" s="247"/>
      <c r="CD479" s="247"/>
      <c r="CE479" s="11"/>
      <c r="CF479" s="11"/>
      <c r="CG479" s="11"/>
      <c r="CH479" s="241">
        <v>3936744</v>
      </c>
      <c r="CI479" s="238">
        <f>+CH479*0.19</f>
        <v>747981.36</v>
      </c>
      <c r="CJ479" s="236">
        <f>+CH479+CI479</f>
        <v>4684725.3600000003</v>
      </c>
      <c r="CK479" s="245" t="s">
        <v>486</v>
      </c>
      <c r="CL479" s="245" t="s">
        <v>480</v>
      </c>
      <c r="CM479" s="11"/>
      <c r="CN479" s="247"/>
      <c r="CO479" s="247"/>
      <c r="CP479" s="247"/>
      <c r="CQ479" s="11"/>
      <c r="CR479" s="11"/>
      <c r="CS479" s="11"/>
      <c r="CT479" s="11"/>
      <c r="CU479" s="11"/>
      <c r="CV479" s="11"/>
      <c r="CW479" s="11"/>
      <c r="CX479" s="11"/>
      <c r="CY479" s="11"/>
      <c r="CZ479" s="102"/>
      <c r="DA479" s="102"/>
      <c r="DB479" s="102"/>
      <c r="DC479" s="11"/>
      <c r="DD479" s="11"/>
      <c r="DE479" s="59"/>
      <c r="DF479" s="11"/>
      <c r="DG479" s="11"/>
      <c r="DH479" s="11"/>
      <c r="DI479" s="11"/>
      <c r="DJ479" s="11"/>
      <c r="DK479" s="11"/>
      <c r="DL479" s="11"/>
      <c r="DM479" s="11"/>
      <c r="DN479" s="11"/>
      <c r="DO479" s="11"/>
      <c r="DP479" s="11"/>
      <c r="DQ479" s="11"/>
      <c r="DR479" s="11"/>
      <c r="DS479" s="11"/>
      <c r="DT479" s="11"/>
      <c r="DU479" s="11"/>
      <c r="DV479" s="11"/>
      <c r="DW479" s="11"/>
      <c r="DX479" s="11"/>
      <c r="DY479" s="11"/>
      <c r="DZ479" s="11"/>
      <c r="EA479" s="11"/>
      <c r="EB479" s="11"/>
      <c r="EC479" s="11"/>
      <c r="ED479" s="11"/>
      <c r="EE479" s="11"/>
      <c r="EF479" s="11"/>
      <c r="EG479" s="11"/>
      <c r="EH479" s="11"/>
      <c r="EI479" s="11"/>
      <c r="EJ479" s="11"/>
      <c r="EK479" s="11"/>
      <c r="EL479" s="11"/>
      <c r="EM479" s="11"/>
      <c r="EN479" s="11"/>
      <c r="EO479" s="11"/>
      <c r="EP479" s="11"/>
      <c r="EQ479" s="11"/>
      <c r="ER479" s="11"/>
      <c r="ES479" s="11"/>
      <c r="ET479" s="11"/>
      <c r="EU479" s="11"/>
      <c r="EV479" s="11"/>
      <c r="EW479" s="11"/>
      <c r="EX479" s="11"/>
      <c r="EY479" s="11"/>
      <c r="EZ479" s="11"/>
      <c r="FA479" s="11"/>
      <c r="FB479" s="11"/>
      <c r="FC479" s="11"/>
      <c r="FD479" s="11"/>
      <c r="FE479" s="11"/>
      <c r="FF479" s="11"/>
      <c r="FG479" s="11"/>
      <c r="FH479" s="17">
        <f>SUM(M479,P479,V479,AB479,AH479,AN479,AT479,AZ479,BF479,BL479,BR479,BX479,CD479,CJ479,CP479,CV479,DB479,DH479,DN479,DT479,DZ479,EF479,EL479,ER479,EX479,FD479)</f>
        <v>9062973.3599999994</v>
      </c>
      <c r="FI479" s="31">
        <f>COUNTA(M479,N479,T479,Z479,AF479,AL479,AR479,AX479,BD479,BJ479,BP479,BV479,CB479,CH479,CN479,CT479,CZ479,DF479,DL479,DR479,DX479,ED479,EJ479,EP479,EV479,FB479)</f>
        <v>2</v>
      </c>
      <c r="FJ479" s="68">
        <f>IFERROR(FH479/FI479," ")</f>
        <v>4531486.68</v>
      </c>
    </row>
    <row r="480" spans="1:166" ht="25.5" x14ac:dyDescent="0.25">
      <c r="A480" s="248">
        <f>Distribución_Reactivos!A480</f>
        <v>478</v>
      </c>
      <c r="B480" s="248" t="str">
        <f>Distribución_Reactivos!B480</f>
        <v xml:space="preserve">GA 3500s, Conditioning Reagent; (Bolsa 1 Unds); </v>
      </c>
      <c r="C480" s="248" t="str">
        <f>Distribución_Reactivos!C480</f>
        <v>Applied Biosystems</v>
      </c>
      <c r="D480" s="248" t="str">
        <f>Distribución_Reactivos!D480</f>
        <v xml:space="preserve">Unidad   </v>
      </c>
      <c r="E480" s="29">
        <v>1</v>
      </c>
      <c r="F480" s="221"/>
      <c r="G480" s="221"/>
      <c r="H480" s="258"/>
      <c r="I480" s="258"/>
      <c r="J480" s="102">
        <v>169900</v>
      </c>
      <c r="K480" s="102">
        <v>169900</v>
      </c>
      <c r="L480" s="102">
        <f>AVERAGE(H480,J480)</f>
        <v>169900</v>
      </c>
      <c r="M480" s="102">
        <f t="shared" ref="M480:M485" si="195">IFERROR((AVERAGE(K480)*1.03)," ")</f>
        <v>174997</v>
      </c>
      <c r="N480" s="102"/>
      <c r="O480" s="102"/>
      <c r="P480" s="102"/>
      <c r="Q480" s="44"/>
      <c r="R480" s="44"/>
      <c r="S480" s="5"/>
      <c r="T480" s="102"/>
      <c r="U480" s="102"/>
      <c r="V480" s="102"/>
      <c r="W480" s="11"/>
      <c r="X480" s="11"/>
      <c r="Y480" s="11"/>
      <c r="Z480" s="102"/>
      <c r="AA480" s="102"/>
      <c r="AB480" s="102"/>
      <c r="AC480" s="44"/>
      <c r="AD480" s="44"/>
      <c r="AE480" s="11"/>
      <c r="AF480" s="102"/>
      <c r="AG480" s="102"/>
      <c r="AH480" s="102"/>
      <c r="AI480" s="11"/>
      <c r="AJ480" s="11"/>
      <c r="AK480" s="11"/>
      <c r="AL480" s="102"/>
      <c r="AM480" s="102"/>
      <c r="AN480" s="102"/>
      <c r="AO480" s="248"/>
      <c r="AP480" s="11"/>
      <c r="AQ480" s="11"/>
      <c r="AR480" s="247"/>
      <c r="AS480" s="247"/>
      <c r="AT480" s="247"/>
      <c r="AU480" s="52"/>
      <c r="AV480" s="42"/>
      <c r="AW480" s="11"/>
      <c r="AX480" s="247"/>
      <c r="AY480" s="247"/>
      <c r="AZ480" s="247"/>
      <c r="BA480" s="11"/>
      <c r="BB480" s="11"/>
      <c r="BC480" s="11"/>
      <c r="BD480" s="247"/>
      <c r="BE480" s="247"/>
      <c r="BF480" s="247"/>
      <c r="BG480" s="11"/>
      <c r="BH480" s="11"/>
      <c r="BI480" s="11"/>
      <c r="BJ480" s="247"/>
      <c r="BK480" s="247"/>
      <c r="BL480" s="247"/>
      <c r="BM480" s="11"/>
      <c r="BN480" s="11"/>
      <c r="BO480" s="11"/>
      <c r="BP480" s="247"/>
      <c r="BQ480" s="11"/>
      <c r="BR480" s="11"/>
      <c r="BS480" s="11"/>
      <c r="BT480" s="11"/>
      <c r="BU480" s="11"/>
      <c r="BV480" s="241"/>
      <c r="BW480" s="125"/>
      <c r="BX480" s="97"/>
      <c r="BY480" s="245"/>
      <c r="BZ480" s="245"/>
      <c r="CA480" s="11"/>
      <c r="CB480" s="247"/>
      <c r="CC480" s="247"/>
      <c r="CD480" s="247"/>
      <c r="CE480" s="11"/>
      <c r="CF480" s="11"/>
      <c r="CG480" s="11"/>
      <c r="CH480" s="241"/>
      <c r="CI480" s="238"/>
      <c r="CJ480" s="236"/>
      <c r="CK480" s="245"/>
      <c r="CL480" s="245"/>
      <c r="CM480" s="11"/>
      <c r="CN480" s="247"/>
      <c r="CO480" s="247"/>
      <c r="CP480" s="247"/>
      <c r="CQ480" s="11"/>
      <c r="CR480" s="11"/>
      <c r="CS480" s="11"/>
      <c r="CT480" s="11"/>
      <c r="CU480" s="11"/>
      <c r="CV480" s="11"/>
      <c r="CW480" s="11"/>
      <c r="CX480" s="11"/>
      <c r="CY480" s="11"/>
      <c r="CZ480" s="102"/>
      <c r="DA480" s="102"/>
      <c r="DB480" s="102"/>
      <c r="DC480" s="11"/>
      <c r="DD480" s="11"/>
      <c r="DE480" s="59"/>
      <c r="DF480" s="11"/>
      <c r="DG480" s="11"/>
      <c r="DH480" s="11"/>
      <c r="DI480" s="11"/>
      <c r="DJ480" s="11"/>
      <c r="DK480" s="11"/>
      <c r="DL480" s="11"/>
      <c r="DM480" s="11"/>
      <c r="DN480" s="11"/>
      <c r="DO480" s="11"/>
      <c r="DP480" s="11"/>
      <c r="DQ480" s="11"/>
      <c r="DR480" s="102">
        <v>158100</v>
      </c>
      <c r="DS480" s="125">
        <f>+DR480*0</f>
        <v>0</v>
      </c>
      <c r="DT480" s="97">
        <f>+DR480+DS480</f>
        <v>158100</v>
      </c>
      <c r="DU480" s="11"/>
      <c r="DV480" s="11"/>
      <c r="DW480" s="11"/>
      <c r="DX480" s="11"/>
      <c r="DY480" s="11"/>
      <c r="DZ480" s="11"/>
      <c r="EA480" s="11"/>
      <c r="EB480" s="11"/>
      <c r="EC480" s="11"/>
      <c r="ED480" s="11"/>
      <c r="EE480" s="11"/>
      <c r="EF480" s="11"/>
      <c r="EG480" s="11"/>
      <c r="EH480" s="11"/>
      <c r="EI480" s="11"/>
      <c r="EJ480" s="11"/>
      <c r="EK480" s="11"/>
      <c r="EL480" s="11"/>
      <c r="EM480" s="11"/>
      <c r="EN480" s="11"/>
      <c r="EO480" s="11"/>
      <c r="EP480" s="11"/>
      <c r="EQ480" s="11"/>
      <c r="ER480" s="11"/>
      <c r="ES480" s="11"/>
      <c r="ET480" s="11"/>
      <c r="EU480" s="11"/>
      <c r="EV480" s="11"/>
      <c r="EW480" s="11"/>
      <c r="EX480" s="11"/>
      <c r="EY480" s="11"/>
      <c r="EZ480" s="11"/>
      <c r="FA480" s="11"/>
      <c r="FB480" s="11"/>
      <c r="FC480" s="11"/>
      <c r="FD480" s="11"/>
      <c r="FE480" s="11"/>
      <c r="FF480" s="11"/>
      <c r="FG480" s="11"/>
      <c r="FH480" s="17">
        <f t="shared" ref="FH480:FH501" si="196">SUM(M480,P480,V480,AB480,AH480,AN480,AT480,AZ480,BF480,BL480,BR480,BX480,CD480,CJ480,CP480,CV480,DB480,DH480,DN480,DT480,DZ480,EF480,EL480,ER480,EX480,FD480)</f>
        <v>333097</v>
      </c>
      <c r="FI480" s="31">
        <f t="shared" ref="FI480:FI501" si="197">COUNTA(M480,N480,T480,Z480,AF480,AL480,AR480,AX480,BD480,BJ480,BP480,BV480,CB480,CH480,CN480,CT480,CZ480,DF480,DL480,DR480,DX480,ED480,EJ480,EP480,EV480,FB480)</f>
        <v>2</v>
      </c>
      <c r="FJ480" s="68">
        <f t="shared" ref="FJ480:FJ500" si="198">IFERROR(FH480/FI480," ")</f>
        <v>166548.5</v>
      </c>
    </row>
    <row r="481" spans="1:166" ht="25.5" x14ac:dyDescent="0.25">
      <c r="A481" s="248">
        <f>Distribución_Reactivos!A481</f>
        <v>479</v>
      </c>
      <c r="B481" s="248" t="str">
        <f>Distribución_Reactivos!B481</f>
        <v>GA 3500s, Cathode Buffer Container (CBC); (Caja 4 Unds)</v>
      </c>
      <c r="C481" s="248" t="str">
        <f>Distribución_Reactivos!C481</f>
        <v>Applied Biosystems</v>
      </c>
      <c r="D481" s="248" t="str">
        <f>Distribución_Reactivos!D481</f>
        <v xml:space="preserve">Unidad   </v>
      </c>
      <c r="E481" s="29">
        <v>1</v>
      </c>
      <c r="F481" s="221"/>
      <c r="G481" s="221"/>
      <c r="H481" s="221"/>
      <c r="I481" s="221"/>
      <c r="J481" s="102">
        <v>890000</v>
      </c>
      <c r="K481" s="102">
        <v>890000</v>
      </c>
      <c r="L481" s="102"/>
      <c r="M481" s="102">
        <f t="shared" si="195"/>
        <v>916700</v>
      </c>
      <c r="N481" s="102"/>
      <c r="O481" s="102"/>
      <c r="P481" s="102"/>
      <c r="Q481" s="44"/>
      <c r="R481" s="44"/>
      <c r="S481" s="5"/>
      <c r="T481" s="102"/>
      <c r="U481" s="102"/>
      <c r="V481" s="102"/>
      <c r="W481" s="11"/>
      <c r="X481" s="11"/>
      <c r="Y481" s="11"/>
      <c r="Z481" s="102"/>
      <c r="AA481" s="102"/>
      <c r="AB481" s="102"/>
      <c r="AC481" s="44"/>
      <c r="AD481" s="44"/>
      <c r="AE481" s="11"/>
      <c r="AF481" s="102"/>
      <c r="AG481" s="102"/>
      <c r="AH481" s="102"/>
      <c r="AI481" s="11"/>
      <c r="AJ481" s="11"/>
      <c r="AK481" s="11"/>
      <c r="AL481" s="102"/>
      <c r="AM481" s="102"/>
      <c r="AN481" s="102"/>
      <c r="AO481" s="248"/>
      <c r="AP481" s="11"/>
      <c r="AQ481" s="11"/>
      <c r="AR481" s="247"/>
      <c r="AS481" s="247"/>
      <c r="AT481" s="247"/>
      <c r="AU481" s="52"/>
      <c r="AV481" s="42"/>
      <c r="AW481" s="11"/>
      <c r="AX481" s="247"/>
      <c r="AY481" s="247"/>
      <c r="AZ481" s="247"/>
      <c r="BA481" s="11"/>
      <c r="BB481" s="11"/>
      <c r="BC481" s="11"/>
      <c r="BD481" s="247"/>
      <c r="BE481" s="247"/>
      <c r="BF481" s="247"/>
      <c r="BG481" s="11"/>
      <c r="BH481" s="11"/>
      <c r="BI481" s="11"/>
      <c r="BJ481" s="247"/>
      <c r="BK481" s="247"/>
      <c r="BL481" s="247"/>
      <c r="BM481" s="11"/>
      <c r="BN481" s="11"/>
      <c r="BO481" s="11"/>
      <c r="BP481" s="247"/>
      <c r="BQ481" s="11"/>
      <c r="BR481" s="11"/>
      <c r="BS481" s="11"/>
      <c r="BT481" s="11"/>
      <c r="BU481" s="11"/>
      <c r="BV481" s="241"/>
      <c r="BW481" s="125"/>
      <c r="BX481" s="97"/>
      <c r="BY481" s="245"/>
      <c r="BZ481" s="245"/>
      <c r="CA481" s="11"/>
      <c r="CB481" s="247"/>
      <c r="CC481" s="247"/>
      <c r="CD481" s="247"/>
      <c r="CE481" s="11"/>
      <c r="CF481" s="11"/>
      <c r="CG481" s="11"/>
      <c r="CH481" s="241"/>
      <c r="CI481" s="238"/>
      <c r="CJ481" s="236"/>
      <c r="CK481" s="245"/>
      <c r="CL481" s="245"/>
      <c r="CM481" s="11"/>
      <c r="CN481" s="247"/>
      <c r="CO481" s="247"/>
      <c r="CP481" s="247"/>
      <c r="CQ481" s="11"/>
      <c r="CR481" s="11"/>
      <c r="CS481" s="11"/>
      <c r="CT481" s="11"/>
      <c r="CU481" s="11"/>
      <c r="CV481" s="11"/>
      <c r="CW481" s="11"/>
      <c r="CX481" s="11"/>
      <c r="CY481" s="11"/>
      <c r="CZ481" s="102"/>
      <c r="DA481" s="102"/>
      <c r="DB481" s="102"/>
      <c r="DC481" s="11"/>
      <c r="DD481" s="11"/>
      <c r="DE481" s="59"/>
      <c r="DF481" s="11"/>
      <c r="DG481" s="11"/>
      <c r="DH481" s="11"/>
      <c r="DI481" s="11"/>
      <c r="DJ481" s="11"/>
      <c r="DK481" s="11"/>
      <c r="DL481" s="11"/>
      <c r="DM481" s="11"/>
      <c r="DN481" s="11"/>
      <c r="DO481" s="11"/>
      <c r="DP481" s="11"/>
      <c r="DQ481" s="11"/>
      <c r="DR481" s="102">
        <v>827700</v>
      </c>
      <c r="DS481" s="125">
        <f>+DR481*0</f>
        <v>0</v>
      </c>
      <c r="DT481" s="97">
        <f>+DR481+DS481</f>
        <v>827700</v>
      </c>
      <c r="DU481" s="11"/>
      <c r="DV481" s="11"/>
      <c r="DW481" s="11"/>
      <c r="DX481" s="11"/>
      <c r="DY481" s="11"/>
      <c r="DZ481" s="11"/>
      <c r="EA481" s="11"/>
      <c r="EB481" s="11"/>
      <c r="EC481" s="11"/>
      <c r="ED481" s="11"/>
      <c r="EE481" s="11"/>
      <c r="EF481" s="11"/>
      <c r="EG481" s="11"/>
      <c r="EH481" s="11"/>
      <c r="EI481" s="11"/>
      <c r="EJ481" s="11"/>
      <c r="EK481" s="11"/>
      <c r="EL481" s="11"/>
      <c r="EM481" s="11"/>
      <c r="EN481" s="11"/>
      <c r="EO481" s="11"/>
      <c r="EP481" s="11"/>
      <c r="EQ481" s="11"/>
      <c r="ER481" s="11"/>
      <c r="ES481" s="11"/>
      <c r="ET481" s="11"/>
      <c r="EU481" s="11"/>
      <c r="EV481" s="11"/>
      <c r="EW481" s="11"/>
      <c r="EX481" s="11"/>
      <c r="EY481" s="11"/>
      <c r="EZ481" s="11"/>
      <c r="FA481" s="11"/>
      <c r="FB481" s="11"/>
      <c r="FC481" s="11"/>
      <c r="FD481" s="11"/>
      <c r="FE481" s="11"/>
      <c r="FF481" s="11"/>
      <c r="FG481" s="11"/>
      <c r="FH481" s="17">
        <f t="shared" si="196"/>
        <v>1744400</v>
      </c>
      <c r="FI481" s="31">
        <f t="shared" si="197"/>
        <v>2</v>
      </c>
      <c r="FJ481" s="68">
        <f t="shared" si="198"/>
        <v>872200</v>
      </c>
    </row>
    <row r="482" spans="1:166" ht="38.25" x14ac:dyDescent="0.25">
      <c r="A482" s="248">
        <f>Distribución_Reactivos!A482</f>
        <v>480</v>
      </c>
      <c r="B482" s="248" t="str">
        <f>Distribución_Reactivos!B482</f>
        <v>SuperScript™ III One-Step RT-PCR System with Platinum™ Taq High Fidelity DNA Polymerase. 12574035</v>
      </c>
      <c r="C482" s="248" t="str">
        <f>Distribución_Reactivos!C482</f>
        <v>Invitrogen</v>
      </c>
      <c r="D482" s="248" t="str">
        <f>Distribución_Reactivos!D482</f>
        <v>Unidad </v>
      </c>
      <c r="E482" s="29">
        <v>1</v>
      </c>
      <c r="F482" s="221"/>
      <c r="G482" s="221"/>
      <c r="H482" s="259">
        <v>4066230</v>
      </c>
      <c r="I482" s="259">
        <v>4066230</v>
      </c>
      <c r="J482" s="260">
        <v>4420850</v>
      </c>
      <c r="K482" s="260">
        <v>4420850</v>
      </c>
      <c r="L482" s="102"/>
      <c r="M482" s="102">
        <f t="shared" si="195"/>
        <v>4553475.5</v>
      </c>
      <c r="N482" s="102"/>
      <c r="O482" s="102"/>
      <c r="P482" s="102"/>
      <c r="Q482" s="44"/>
      <c r="R482" s="44"/>
      <c r="S482" s="5"/>
      <c r="T482" s="102"/>
      <c r="U482" s="102"/>
      <c r="V482" s="102"/>
      <c r="W482" s="11"/>
      <c r="X482" s="11"/>
      <c r="Y482" s="11"/>
      <c r="Z482" s="102"/>
      <c r="AA482" s="102"/>
      <c r="AB482" s="102"/>
      <c r="AC482" s="44"/>
      <c r="AD482" s="44"/>
      <c r="AE482" s="11"/>
      <c r="AF482" s="102"/>
      <c r="AG482" s="102"/>
      <c r="AH482" s="102"/>
      <c r="AI482" s="11"/>
      <c r="AJ482" s="11"/>
      <c r="AK482" s="11"/>
      <c r="AL482" s="102"/>
      <c r="AM482" s="102"/>
      <c r="AN482" s="102"/>
      <c r="AO482" s="248"/>
      <c r="AP482" s="11"/>
      <c r="AQ482" s="11"/>
      <c r="AR482" s="247"/>
      <c r="AS482" s="247"/>
      <c r="AT482" s="247"/>
      <c r="AU482" s="52"/>
      <c r="AV482" s="42"/>
      <c r="AW482" s="11"/>
      <c r="AX482" s="247"/>
      <c r="AY482" s="247"/>
      <c r="AZ482" s="247"/>
      <c r="BA482" s="11"/>
      <c r="BB482" s="11"/>
      <c r="BC482" s="11"/>
      <c r="BD482" s="247"/>
      <c r="BE482" s="247"/>
      <c r="BF482" s="247"/>
      <c r="BG482" s="11"/>
      <c r="BH482" s="11"/>
      <c r="BI482" s="11"/>
      <c r="BJ482" s="247"/>
      <c r="BK482" s="247"/>
      <c r="BL482" s="247"/>
      <c r="BM482" s="11"/>
      <c r="BN482" s="11"/>
      <c r="BO482" s="11"/>
      <c r="BP482" s="247"/>
      <c r="BQ482" s="11"/>
      <c r="BR482" s="11"/>
      <c r="BS482" s="11"/>
      <c r="BT482" s="11"/>
      <c r="BU482" s="11"/>
      <c r="BV482" s="241"/>
      <c r="BW482" s="125"/>
      <c r="BX482" s="97"/>
      <c r="BY482" s="245"/>
      <c r="BZ482" s="245"/>
      <c r="CA482" s="11"/>
      <c r="CB482" s="247"/>
      <c r="CC482" s="247"/>
      <c r="CD482" s="247"/>
      <c r="CE482" s="11"/>
      <c r="CF482" s="11"/>
      <c r="CG482" s="11"/>
      <c r="CH482" s="241"/>
      <c r="CI482" s="238"/>
      <c r="CJ482" s="236"/>
      <c r="CK482" s="245"/>
      <c r="CL482" s="245"/>
      <c r="CM482" s="11"/>
      <c r="CN482" s="247"/>
      <c r="CO482" s="247"/>
      <c r="CP482" s="247"/>
      <c r="CQ482" s="11"/>
      <c r="CR482" s="11"/>
      <c r="CS482" s="11"/>
      <c r="CT482" s="11"/>
      <c r="CU482" s="11"/>
      <c r="CV482" s="11"/>
      <c r="CW482" s="11"/>
      <c r="CX482" s="11"/>
      <c r="CY482" s="11"/>
      <c r="CZ482" s="102"/>
      <c r="DA482" s="102"/>
      <c r="DB482" s="102"/>
      <c r="DC482" s="11"/>
      <c r="DD482" s="11"/>
      <c r="DE482" s="59"/>
      <c r="DF482" s="11"/>
      <c r="DG482" s="11"/>
      <c r="DH482" s="11"/>
      <c r="DI482" s="11"/>
      <c r="DJ482" s="11"/>
      <c r="DK482" s="11"/>
      <c r="DL482" s="97">
        <v>3715000</v>
      </c>
      <c r="DM482" s="105">
        <v>0</v>
      </c>
      <c r="DN482" s="97">
        <f>+DL482+DM482</f>
        <v>3715000</v>
      </c>
      <c r="DO482" s="115" t="s">
        <v>140</v>
      </c>
      <c r="DP482" s="115"/>
      <c r="DQ482" s="11"/>
      <c r="DR482" s="102"/>
      <c r="DS482" s="125"/>
      <c r="DT482" s="102"/>
      <c r="DU482" s="11"/>
      <c r="DV482" s="11"/>
      <c r="DW482" s="11"/>
      <c r="DX482" s="11"/>
      <c r="DY482" s="11"/>
      <c r="DZ482" s="11"/>
      <c r="EA482" s="11"/>
      <c r="EB482" s="11"/>
      <c r="EC482" s="11"/>
      <c r="ED482" s="11"/>
      <c r="EE482" s="11"/>
      <c r="EF482" s="11"/>
      <c r="EG482" s="11"/>
      <c r="EH482" s="11"/>
      <c r="EI482" s="11"/>
      <c r="EJ482" s="11"/>
      <c r="EK482" s="11"/>
      <c r="EL482" s="11"/>
      <c r="EM482" s="11"/>
      <c r="EN482" s="11"/>
      <c r="EO482" s="11"/>
      <c r="EP482" s="11"/>
      <c r="EQ482" s="11"/>
      <c r="ER482" s="11"/>
      <c r="ES482" s="11"/>
      <c r="ET482" s="11"/>
      <c r="EU482" s="11"/>
      <c r="EV482" s="11"/>
      <c r="EW482" s="11"/>
      <c r="EX482" s="11"/>
      <c r="EY482" s="11"/>
      <c r="EZ482" s="11"/>
      <c r="FA482" s="11"/>
      <c r="FB482" s="11"/>
      <c r="FC482" s="11"/>
      <c r="FD482" s="11"/>
      <c r="FE482" s="11"/>
      <c r="FF482" s="11"/>
      <c r="FG482" s="11"/>
      <c r="FH482" s="17">
        <f t="shared" si="196"/>
        <v>8268475.5</v>
      </c>
      <c r="FI482" s="31">
        <f t="shared" si="197"/>
        <v>2</v>
      </c>
      <c r="FJ482" s="68">
        <f t="shared" si="198"/>
        <v>4134237.75</v>
      </c>
    </row>
    <row r="483" spans="1:166" ht="25.5" x14ac:dyDescent="0.25">
      <c r="A483" s="248">
        <f>Distribución_Reactivos!A483</f>
        <v>481</v>
      </c>
      <c r="B483" s="248" t="str">
        <f>Distribución_Reactivos!B483</f>
        <v xml:space="preserve">Kit Transcripción Reversa MMLV  Marca:Invitrogen 28025013 </v>
      </c>
      <c r="C483" s="248" t="str">
        <f>Distribución_Reactivos!C483</f>
        <v>Invitrogen</v>
      </c>
      <c r="D483" s="248" t="str">
        <f>Distribución_Reactivos!D483</f>
        <v>Unidad </v>
      </c>
      <c r="E483" s="29">
        <v>1</v>
      </c>
      <c r="F483" s="221"/>
      <c r="G483" s="221"/>
      <c r="H483" s="221"/>
      <c r="I483" s="221"/>
      <c r="J483" s="260">
        <v>2089640</v>
      </c>
      <c r="K483" s="260">
        <v>2089640</v>
      </c>
      <c r="L483" s="102"/>
      <c r="M483" s="102">
        <f t="shared" si="195"/>
        <v>2152329.2000000002</v>
      </c>
      <c r="N483" s="102"/>
      <c r="O483" s="102"/>
      <c r="P483" s="102"/>
      <c r="Q483" s="44"/>
      <c r="R483" s="44"/>
      <c r="S483" s="5"/>
      <c r="T483" s="102"/>
      <c r="U483" s="102"/>
      <c r="V483" s="102"/>
      <c r="W483" s="11"/>
      <c r="X483" s="11"/>
      <c r="Y483" s="11"/>
      <c r="Z483" s="102"/>
      <c r="AA483" s="102"/>
      <c r="AB483" s="102"/>
      <c r="AC483" s="44"/>
      <c r="AD483" s="44"/>
      <c r="AE483" s="11"/>
      <c r="AF483" s="102"/>
      <c r="AG483" s="102"/>
      <c r="AH483" s="102"/>
      <c r="AI483" s="11"/>
      <c r="AJ483" s="11"/>
      <c r="AK483" s="11"/>
      <c r="AL483" s="102"/>
      <c r="AM483" s="102"/>
      <c r="AN483" s="102"/>
      <c r="AO483" s="248"/>
      <c r="AP483" s="11"/>
      <c r="AQ483" s="11"/>
      <c r="AR483" s="247"/>
      <c r="AS483" s="247"/>
      <c r="AT483" s="247"/>
      <c r="AU483" s="52"/>
      <c r="AV483" s="42"/>
      <c r="AW483" s="11"/>
      <c r="AX483" s="247"/>
      <c r="AY483" s="247"/>
      <c r="AZ483" s="247"/>
      <c r="BA483" s="11"/>
      <c r="BB483" s="11"/>
      <c r="BC483" s="11"/>
      <c r="BD483" s="247"/>
      <c r="BE483" s="247"/>
      <c r="BF483" s="247"/>
      <c r="BG483" s="11"/>
      <c r="BH483" s="11"/>
      <c r="BI483" s="11"/>
      <c r="BJ483" s="247"/>
      <c r="BK483" s="247"/>
      <c r="BL483" s="247"/>
      <c r="BM483" s="11"/>
      <c r="BN483" s="11"/>
      <c r="BO483" s="11"/>
      <c r="BP483" s="247"/>
      <c r="BQ483" s="11"/>
      <c r="BR483" s="11"/>
      <c r="BS483" s="11"/>
      <c r="BT483" s="11"/>
      <c r="BU483" s="11"/>
      <c r="BV483" s="241"/>
      <c r="BW483" s="125"/>
      <c r="BX483" s="97"/>
      <c r="BY483" s="245"/>
      <c r="BZ483" s="245"/>
      <c r="CA483" s="11"/>
      <c r="CB483" s="247"/>
      <c r="CC483" s="247"/>
      <c r="CD483" s="247"/>
      <c r="CE483" s="11"/>
      <c r="CF483" s="11"/>
      <c r="CG483" s="11"/>
      <c r="CH483" s="241"/>
      <c r="CI483" s="238"/>
      <c r="CJ483" s="236"/>
      <c r="CK483" s="245"/>
      <c r="CL483" s="245"/>
      <c r="CM483" s="11"/>
      <c r="CN483" s="247"/>
      <c r="CO483" s="247"/>
      <c r="CP483" s="247"/>
      <c r="CQ483" s="11"/>
      <c r="CR483" s="11"/>
      <c r="CS483" s="11"/>
      <c r="CT483" s="11"/>
      <c r="CU483" s="11"/>
      <c r="CV483" s="11"/>
      <c r="CW483" s="11"/>
      <c r="CX483" s="11"/>
      <c r="CY483" s="11"/>
      <c r="CZ483" s="102"/>
      <c r="DA483" s="102"/>
      <c r="DB483" s="102"/>
      <c r="DC483" s="11"/>
      <c r="DD483" s="11"/>
      <c r="DE483" s="59"/>
      <c r="DF483" s="11"/>
      <c r="DG483" s="11"/>
      <c r="DH483" s="11"/>
      <c r="DI483" s="11"/>
      <c r="DJ483" s="11"/>
      <c r="DK483" s="11"/>
      <c r="DL483" s="97">
        <v>1756000</v>
      </c>
      <c r="DM483" s="101">
        <f>+DL483*0.19</f>
        <v>333640</v>
      </c>
      <c r="DN483" s="97">
        <f>+DL483+DM483</f>
        <v>2089640</v>
      </c>
      <c r="DO483" s="115" t="s">
        <v>140</v>
      </c>
      <c r="DP483" s="11"/>
      <c r="DQ483" s="11"/>
      <c r="DR483" s="11"/>
      <c r="DS483" s="11"/>
      <c r="DT483" s="11"/>
      <c r="DU483" s="11"/>
      <c r="DV483" s="11"/>
      <c r="DW483" s="11"/>
      <c r="DX483" s="11"/>
      <c r="DY483" s="11"/>
      <c r="DZ483" s="11"/>
      <c r="EA483" s="11"/>
      <c r="EB483" s="11"/>
      <c r="EC483" s="11"/>
      <c r="ED483" s="11"/>
      <c r="EE483" s="11"/>
      <c r="EF483" s="11"/>
      <c r="EG483" s="11"/>
      <c r="EH483" s="11"/>
      <c r="EI483" s="11"/>
      <c r="EJ483" s="11"/>
      <c r="EK483" s="11"/>
      <c r="EL483" s="11"/>
      <c r="EM483" s="11"/>
      <c r="EN483" s="11"/>
      <c r="EO483" s="11"/>
      <c r="EP483" s="11"/>
      <c r="EQ483" s="11"/>
      <c r="ER483" s="11"/>
      <c r="ES483" s="11"/>
      <c r="ET483" s="11"/>
      <c r="EU483" s="11"/>
      <c r="EV483" s="11"/>
      <c r="EW483" s="11"/>
      <c r="EX483" s="11"/>
      <c r="EY483" s="11"/>
      <c r="EZ483" s="11"/>
      <c r="FA483" s="11"/>
      <c r="FB483" s="11"/>
      <c r="FC483" s="11"/>
      <c r="FD483" s="11"/>
      <c r="FE483" s="11"/>
      <c r="FF483" s="11"/>
      <c r="FG483" s="11"/>
      <c r="FH483" s="17">
        <f t="shared" si="196"/>
        <v>4241969.2</v>
      </c>
      <c r="FI483" s="31">
        <f t="shared" si="197"/>
        <v>2</v>
      </c>
      <c r="FJ483" s="68">
        <f t="shared" si="198"/>
        <v>2120984.6</v>
      </c>
    </row>
    <row r="484" spans="1:166" ht="38.25" x14ac:dyDescent="0.25">
      <c r="A484" s="248">
        <f>Distribución_Reactivos!A484</f>
        <v>482</v>
      </c>
      <c r="B484" s="248" t="str">
        <f>Distribución_Reactivos!B484</f>
        <v>Sonda para PCR en tiempo real de rango 15-35pb en escala de 200nM marcación dual Marca:18064071</v>
      </c>
      <c r="C484" s="248" t="str">
        <f>Distribución_Reactivos!C484</f>
        <v>Invitrogen</v>
      </c>
      <c r="D484" s="248" t="str">
        <f>Distribución_Reactivos!D484</f>
        <v>Unidad </v>
      </c>
      <c r="E484" s="29">
        <v>1</v>
      </c>
      <c r="F484" s="221"/>
      <c r="G484" s="221"/>
      <c r="H484" s="221"/>
      <c r="I484" s="221"/>
      <c r="J484" s="260">
        <v>3140000</v>
      </c>
      <c r="K484" s="260">
        <v>3140000</v>
      </c>
      <c r="L484" s="102"/>
      <c r="M484" s="102">
        <f t="shared" si="195"/>
        <v>3234200</v>
      </c>
      <c r="N484" s="102"/>
      <c r="O484" s="102"/>
      <c r="P484" s="102"/>
      <c r="Q484" s="44"/>
      <c r="R484" s="44"/>
      <c r="S484" s="5"/>
      <c r="T484" s="102"/>
      <c r="U484" s="102"/>
      <c r="V484" s="102"/>
      <c r="W484" s="11"/>
      <c r="X484" s="11"/>
      <c r="Y484" s="11"/>
      <c r="Z484" s="102"/>
      <c r="AA484" s="102"/>
      <c r="AB484" s="102"/>
      <c r="AC484" s="44"/>
      <c r="AD484" s="44"/>
      <c r="AE484" s="11"/>
      <c r="AF484" s="102"/>
      <c r="AG484" s="102"/>
      <c r="AH484" s="102"/>
      <c r="AI484" s="11"/>
      <c r="AJ484" s="11"/>
      <c r="AK484" s="11"/>
      <c r="AL484" s="102"/>
      <c r="AM484" s="102"/>
      <c r="AN484" s="102"/>
      <c r="AO484" s="248"/>
      <c r="AP484" s="11"/>
      <c r="AQ484" s="11"/>
      <c r="AR484" s="247"/>
      <c r="AS484" s="247"/>
      <c r="AT484" s="247"/>
      <c r="AU484" s="52"/>
      <c r="AV484" s="42"/>
      <c r="AW484" s="11"/>
      <c r="AX484" s="247"/>
      <c r="AY484" s="247"/>
      <c r="AZ484" s="247"/>
      <c r="BA484" s="11"/>
      <c r="BB484" s="11"/>
      <c r="BC484" s="11"/>
      <c r="BD484" s="247"/>
      <c r="BE484" s="247"/>
      <c r="BF484" s="247"/>
      <c r="BG484" s="11"/>
      <c r="BH484" s="11"/>
      <c r="BI484" s="11"/>
      <c r="BJ484" s="247"/>
      <c r="BK484" s="247"/>
      <c r="BL484" s="247"/>
      <c r="BM484" s="11"/>
      <c r="BN484" s="11"/>
      <c r="BO484" s="11"/>
      <c r="BP484" s="247"/>
      <c r="BQ484" s="11"/>
      <c r="BR484" s="11"/>
      <c r="BS484" s="11"/>
      <c r="BT484" s="11"/>
      <c r="BU484" s="11"/>
      <c r="BV484" s="241"/>
      <c r="BW484" s="125"/>
      <c r="BX484" s="97"/>
      <c r="BY484" s="245"/>
      <c r="BZ484" s="245"/>
      <c r="CA484" s="11"/>
      <c r="CB484" s="247"/>
      <c r="CC484" s="247"/>
      <c r="CD484" s="247"/>
      <c r="CE484" s="11"/>
      <c r="CF484" s="11"/>
      <c r="CG484" s="11"/>
      <c r="CH484" s="241"/>
      <c r="CI484" s="238"/>
      <c r="CJ484" s="236"/>
      <c r="CK484" s="245"/>
      <c r="CL484" s="245"/>
      <c r="CM484" s="11"/>
      <c r="CN484" s="247"/>
      <c r="CO484" s="247"/>
      <c r="CP484" s="247"/>
      <c r="CQ484" s="11"/>
      <c r="CR484" s="11"/>
      <c r="CS484" s="11"/>
      <c r="CT484" s="11"/>
      <c r="CU484" s="11"/>
      <c r="CV484" s="11"/>
      <c r="CW484" s="11"/>
      <c r="CX484" s="11"/>
      <c r="CY484" s="11"/>
      <c r="CZ484" s="102"/>
      <c r="DA484" s="102"/>
      <c r="DB484" s="102"/>
      <c r="DC484" s="11"/>
      <c r="DD484" s="11"/>
      <c r="DE484" s="59"/>
      <c r="DF484" s="11"/>
      <c r="DG484" s="11"/>
      <c r="DH484" s="11"/>
      <c r="DI484" s="11"/>
      <c r="DJ484" s="11"/>
      <c r="DK484" s="11"/>
      <c r="DL484" s="11"/>
      <c r="DM484" s="11"/>
      <c r="DN484" s="11"/>
      <c r="DO484" s="11"/>
      <c r="DP484" s="11"/>
      <c r="DQ484" s="11"/>
      <c r="DR484" s="102">
        <v>3003200</v>
      </c>
      <c r="DS484" s="125">
        <v>0</v>
      </c>
      <c r="DT484" s="97">
        <f>+DR484+DS484</f>
        <v>3003200</v>
      </c>
      <c r="DU484" s="11"/>
      <c r="DV484" s="11"/>
      <c r="DW484" s="11"/>
      <c r="DX484" s="11"/>
      <c r="DY484" s="11"/>
      <c r="DZ484" s="11"/>
      <c r="EA484" s="11"/>
      <c r="EB484" s="11"/>
      <c r="EC484" s="11"/>
      <c r="ED484" s="11"/>
      <c r="EE484" s="11"/>
      <c r="EF484" s="11"/>
      <c r="EG484" s="11"/>
      <c r="EH484" s="11"/>
      <c r="EI484" s="11"/>
      <c r="EJ484" s="11"/>
      <c r="EK484" s="11"/>
      <c r="EL484" s="11"/>
      <c r="EM484" s="11"/>
      <c r="EN484" s="11"/>
      <c r="EO484" s="11"/>
      <c r="EP484" s="11"/>
      <c r="EQ484" s="11"/>
      <c r="ER484" s="11"/>
      <c r="ES484" s="11"/>
      <c r="ET484" s="11"/>
      <c r="EU484" s="11"/>
      <c r="EV484" s="11"/>
      <c r="EW484" s="11"/>
      <c r="EX484" s="11"/>
      <c r="EY484" s="11"/>
      <c r="EZ484" s="11"/>
      <c r="FA484" s="11"/>
      <c r="FB484" s="11"/>
      <c r="FC484" s="11"/>
      <c r="FD484" s="11"/>
      <c r="FE484" s="11"/>
      <c r="FF484" s="11"/>
      <c r="FG484" s="11"/>
      <c r="FH484" s="17">
        <f t="shared" si="196"/>
        <v>6237400</v>
      </c>
      <c r="FI484" s="31">
        <f t="shared" si="197"/>
        <v>2</v>
      </c>
      <c r="FJ484" s="68">
        <f t="shared" si="198"/>
        <v>3118700</v>
      </c>
    </row>
    <row r="485" spans="1:166" ht="51" x14ac:dyDescent="0.25">
      <c r="A485" s="248">
        <f>Distribución_Reactivos!A485</f>
        <v>483</v>
      </c>
      <c r="B485" s="248" t="str">
        <f>Distribución_Reactivos!B485</f>
        <v xml:space="preserve">AGUA tratada con DEPC, para uso con RNA, es Incubada con 0.1% de DEPC, autoclavada y luego filtrada. Caja x 4 Frascos de 100ml. Ref 750024 </v>
      </c>
      <c r="C485" s="248" t="str">
        <f>Distribución_Reactivos!C485</f>
        <v>Invitrogen</v>
      </c>
      <c r="D485" s="248" t="str">
        <f>Distribución_Reactivos!D485</f>
        <v>Unidad </v>
      </c>
      <c r="E485" s="29">
        <v>1</v>
      </c>
      <c r="F485" s="221"/>
      <c r="G485" s="221"/>
      <c r="H485" s="221"/>
      <c r="I485" s="221"/>
      <c r="J485" s="260">
        <v>677110</v>
      </c>
      <c r="K485" s="260">
        <v>677110</v>
      </c>
      <c r="L485" s="102"/>
      <c r="M485" s="102">
        <f t="shared" si="195"/>
        <v>697423.3</v>
      </c>
      <c r="N485" s="102"/>
      <c r="O485" s="102"/>
      <c r="P485" s="102"/>
      <c r="Q485" s="44"/>
      <c r="R485" s="44"/>
      <c r="S485" s="5"/>
      <c r="T485" s="102"/>
      <c r="U485" s="102"/>
      <c r="V485" s="102"/>
      <c r="W485" s="11"/>
      <c r="X485" s="11"/>
      <c r="Y485" s="11"/>
      <c r="Z485" s="102"/>
      <c r="AA485" s="102"/>
      <c r="AB485" s="102"/>
      <c r="AC485" s="44"/>
      <c r="AD485" s="44"/>
      <c r="AE485" s="11"/>
      <c r="AF485" s="102"/>
      <c r="AG485" s="102"/>
      <c r="AH485" s="102"/>
      <c r="AI485" s="11"/>
      <c r="AJ485" s="11"/>
      <c r="AK485" s="11"/>
      <c r="AL485" s="102"/>
      <c r="AM485" s="102"/>
      <c r="AN485" s="102"/>
      <c r="AO485" s="248"/>
      <c r="AP485" s="11"/>
      <c r="AQ485" s="11"/>
      <c r="AR485" s="247"/>
      <c r="AS485" s="247"/>
      <c r="AT485" s="247"/>
      <c r="AU485" s="52"/>
      <c r="AV485" s="42"/>
      <c r="AW485" s="11"/>
      <c r="AX485" s="247"/>
      <c r="AY485" s="247"/>
      <c r="AZ485" s="247"/>
      <c r="BA485" s="11"/>
      <c r="BB485" s="11"/>
      <c r="BC485" s="11"/>
      <c r="BD485" s="247"/>
      <c r="BE485" s="247"/>
      <c r="BF485" s="247"/>
      <c r="BG485" s="11"/>
      <c r="BH485" s="11"/>
      <c r="BI485" s="11"/>
      <c r="BJ485" s="247"/>
      <c r="BK485" s="247"/>
      <c r="BL485" s="247"/>
      <c r="BM485" s="11"/>
      <c r="BN485" s="11"/>
      <c r="BO485" s="11"/>
      <c r="BP485" s="247"/>
      <c r="BQ485" s="11"/>
      <c r="BR485" s="11"/>
      <c r="BS485" s="11"/>
      <c r="BT485" s="11"/>
      <c r="BU485" s="11"/>
      <c r="BV485" s="241"/>
      <c r="BW485" s="125"/>
      <c r="BX485" s="97"/>
      <c r="BY485" s="245"/>
      <c r="BZ485" s="245"/>
      <c r="CA485" s="11"/>
      <c r="CB485" s="247"/>
      <c r="CC485" s="247"/>
      <c r="CD485" s="247"/>
      <c r="CE485" s="11"/>
      <c r="CF485" s="11"/>
      <c r="CG485" s="11"/>
      <c r="CH485" s="241"/>
      <c r="CI485" s="238"/>
      <c r="CJ485" s="236"/>
      <c r="CK485" s="245"/>
      <c r="CL485" s="245"/>
      <c r="CM485" s="11"/>
      <c r="CN485" s="247"/>
      <c r="CO485" s="247"/>
      <c r="CP485" s="247"/>
      <c r="CQ485" s="11"/>
      <c r="CR485" s="11"/>
      <c r="CS485" s="11"/>
      <c r="CT485" s="11"/>
      <c r="CU485" s="11"/>
      <c r="CV485" s="11"/>
      <c r="CW485" s="11"/>
      <c r="CX485" s="11"/>
      <c r="CY485" s="11"/>
      <c r="CZ485" s="102"/>
      <c r="DA485" s="102"/>
      <c r="DB485" s="102"/>
      <c r="DC485" s="11"/>
      <c r="DD485" s="11"/>
      <c r="DE485" s="59"/>
      <c r="DF485" s="11"/>
      <c r="DG485" s="11"/>
      <c r="DH485" s="11"/>
      <c r="DI485" s="11"/>
      <c r="DJ485" s="11"/>
      <c r="DK485" s="11"/>
      <c r="DL485" s="105">
        <v>569000</v>
      </c>
      <c r="DM485" s="101">
        <f>+DL485*0.19</f>
        <v>108110</v>
      </c>
      <c r="DN485" s="97">
        <f t="shared" ref="DN485:DN496" si="199">+DL485+DM485</f>
        <v>677110</v>
      </c>
      <c r="DO485" s="115" t="s">
        <v>140</v>
      </c>
      <c r="DP485" s="11"/>
      <c r="DQ485" s="11"/>
      <c r="DR485" s="102">
        <v>520800</v>
      </c>
      <c r="DS485" s="125">
        <f>+DR485*0.19</f>
        <v>98952</v>
      </c>
      <c r="DT485" s="97">
        <f>+DR485+DS485</f>
        <v>619752</v>
      </c>
      <c r="DU485" s="11"/>
      <c r="DV485" s="11"/>
      <c r="DW485" s="11"/>
      <c r="DX485" s="11"/>
      <c r="DY485" s="11"/>
      <c r="DZ485" s="11"/>
      <c r="EA485" s="11"/>
      <c r="EB485" s="11"/>
      <c r="EC485" s="11"/>
      <c r="ED485" s="11"/>
      <c r="EE485" s="11"/>
      <c r="EF485" s="11"/>
      <c r="EG485" s="11"/>
      <c r="EH485" s="11"/>
      <c r="EI485" s="11"/>
      <c r="EJ485" s="11"/>
      <c r="EK485" s="11"/>
      <c r="EL485" s="11"/>
      <c r="EM485" s="11"/>
      <c r="EN485" s="11"/>
      <c r="EO485" s="11"/>
      <c r="EP485" s="11"/>
      <c r="EQ485" s="11"/>
      <c r="ER485" s="11"/>
      <c r="ES485" s="11"/>
      <c r="ET485" s="11"/>
      <c r="EU485" s="11"/>
      <c r="EV485" s="11"/>
      <c r="EW485" s="11"/>
      <c r="EX485" s="11"/>
      <c r="EY485" s="11"/>
      <c r="EZ485" s="11"/>
      <c r="FA485" s="11"/>
      <c r="FB485" s="11"/>
      <c r="FC485" s="11"/>
      <c r="FD485" s="11"/>
      <c r="FE485" s="11"/>
      <c r="FF485" s="11"/>
      <c r="FG485" s="11"/>
      <c r="FH485" s="17">
        <f t="shared" si="196"/>
        <v>1994285.3</v>
      </c>
      <c r="FI485" s="31">
        <f t="shared" si="197"/>
        <v>3</v>
      </c>
      <c r="FJ485" s="68">
        <f t="shared" si="198"/>
        <v>664761.76666666672</v>
      </c>
    </row>
    <row r="486" spans="1:166" ht="25.5" x14ac:dyDescent="0.25">
      <c r="A486" s="248">
        <f>Distribución_Reactivos!A486</f>
        <v>484</v>
      </c>
      <c r="B486" s="248" t="str">
        <f>Distribución_Reactivos!B486</f>
        <v>DNase I (RNase-free) x 2000Und.  Ref AM2222</v>
      </c>
      <c r="C486" s="248" t="str">
        <f>Distribución_Reactivos!C486</f>
        <v>Invitrogen</v>
      </c>
      <c r="D486" s="248" t="str">
        <f>Distribución_Reactivos!D486</f>
        <v>Unidad </v>
      </c>
      <c r="E486" s="29">
        <v>1</v>
      </c>
      <c r="F486" s="221"/>
      <c r="G486" s="221"/>
      <c r="H486" s="261">
        <v>852040</v>
      </c>
      <c r="I486" s="261">
        <v>852040</v>
      </c>
      <c r="J486" s="260">
        <v>1457750</v>
      </c>
      <c r="K486" s="260">
        <v>1457750</v>
      </c>
      <c r="L486" s="102"/>
      <c r="M486" s="102">
        <f>IFERROR((AVERAGE(I486,K486)*1.03)," ")</f>
        <v>1189541.8500000001</v>
      </c>
      <c r="N486" s="102"/>
      <c r="O486" s="102"/>
      <c r="P486" s="102"/>
      <c r="Q486" s="44"/>
      <c r="R486" s="44"/>
      <c r="S486" s="5"/>
      <c r="T486" s="102"/>
      <c r="U486" s="102"/>
      <c r="V486" s="102"/>
      <c r="W486" s="11"/>
      <c r="X486" s="11"/>
      <c r="Y486" s="11"/>
      <c r="Z486" s="102"/>
      <c r="AA486" s="102"/>
      <c r="AB486" s="102"/>
      <c r="AC486" s="44"/>
      <c r="AD486" s="44"/>
      <c r="AE486" s="11"/>
      <c r="AF486" s="102"/>
      <c r="AG486" s="102"/>
      <c r="AH486" s="102"/>
      <c r="AI486" s="11"/>
      <c r="AJ486" s="11"/>
      <c r="AK486" s="11"/>
      <c r="AL486" s="102"/>
      <c r="AM486" s="102"/>
      <c r="AN486" s="102"/>
      <c r="AO486" s="248"/>
      <c r="AP486" s="11"/>
      <c r="AQ486" s="11"/>
      <c r="AR486" s="247"/>
      <c r="AS486" s="247"/>
      <c r="AT486" s="247"/>
      <c r="AU486" s="52"/>
      <c r="AV486" s="42"/>
      <c r="AW486" s="11"/>
      <c r="AX486" s="247"/>
      <c r="AY486" s="247"/>
      <c r="AZ486" s="247"/>
      <c r="BA486" s="11"/>
      <c r="BB486" s="11"/>
      <c r="BC486" s="11"/>
      <c r="BD486" s="247"/>
      <c r="BE486" s="247"/>
      <c r="BF486" s="247"/>
      <c r="BG486" s="11"/>
      <c r="BH486" s="11"/>
      <c r="BI486" s="11"/>
      <c r="BJ486" s="247"/>
      <c r="BK486" s="247"/>
      <c r="BL486" s="247"/>
      <c r="BM486" s="11"/>
      <c r="BN486" s="11"/>
      <c r="BO486" s="11"/>
      <c r="BP486" s="247"/>
      <c r="BQ486" s="11"/>
      <c r="BR486" s="11"/>
      <c r="BS486" s="11"/>
      <c r="BT486" s="11"/>
      <c r="BU486" s="11"/>
      <c r="BV486" s="241"/>
      <c r="BW486" s="125"/>
      <c r="BX486" s="97"/>
      <c r="BY486" s="245"/>
      <c r="BZ486" s="245"/>
      <c r="CA486" s="11"/>
      <c r="CB486" s="247"/>
      <c r="CC486" s="247"/>
      <c r="CD486" s="247"/>
      <c r="CE486" s="11"/>
      <c r="CF486" s="11"/>
      <c r="CG486" s="11"/>
      <c r="CH486" s="241"/>
      <c r="CI486" s="238"/>
      <c r="CJ486" s="236"/>
      <c r="CK486" s="245"/>
      <c r="CL486" s="245"/>
      <c r="CM486" s="11"/>
      <c r="CN486" s="247"/>
      <c r="CO486" s="247"/>
      <c r="CP486" s="247"/>
      <c r="CQ486" s="11"/>
      <c r="CR486" s="11"/>
      <c r="CS486" s="11"/>
      <c r="CT486" s="11"/>
      <c r="CU486" s="11"/>
      <c r="CV486" s="11"/>
      <c r="CW486" s="11"/>
      <c r="CX486" s="11"/>
      <c r="CY486" s="11"/>
      <c r="CZ486" s="102"/>
      <c r="DA486" s="102"/>
      <c r="DB486" s="102"/>
      <c r="DC486" s="11"/>
      <c r="DD486" s="11"/>
      <c r="DE486" s="59"/>
      <c r="DF486" s="11"/>
      <c r="DG486" s="11"/>
      <c r="DH486" s="11"/>
      <c r="DI486" s="11"/>
      <c r="DJ486" s="11"/>
      <c r="DK486" s="11"/>
      <c r="DL486" s="105">
        <v>1225000</v>
      </c>
      <c r="DM486" s="101">
        <f>+DL486*0.19</f>
        <v>232750</v>
      </c>
      <c r="DN486" s="97">
        <f t="shared" si="199"/>
        <v>1457750</v>
      </c>
      <c r="DO486" s="115" t="s">
        <v>140</v>
      </c>
      <c r="DP486" s="11"/>
      <c r="DQ486" s="11"/>
      <c r="DR486" s="11"/>
      <c r="DS486" s="11"/>
      <c r="DT486" s="11"/>
      <c r="DU486" s="11"/>
      <c r="DV486" s="11"/>
      <c r="DW486" s="11"/>
      <c r="DX486" s="11"/>
      <c r="DY486" s="11"/>
      <c r="DZ486" s="11"/>
      <c r="EA486" s="11"/>
      <c r="EB486" s="11"/>
      <c r="EC486" s="11"/>
      <c r="ED486" s="11"/>
      <c r="EE486" s="11"/>
      <c r="EF486" s="11"/>
      <c r="EG486" s="11"/>
      <c r="EH486" s="11"/>
      <c r="EI486" s="11"/>
      <c r="EJ486" s="11"/>
      <c r="EK486" s="11"/>
      <c r="EL486" s="11"/>
      <c r="EM486" s="11"/>
      <c r="EN486" s="11"/>
      <c r="EO486" s="11"/>
      <c r="EP486" s="11"/>
      <c r="EQ486" s="11"/>
      <c r="ER486" s="11"/>
      <c r="ES486" s="11"/>
      <c r="ET486" s="11"/>
      <c r="EU486" s="11"/>
      <c r="EV486" s="11"/>
      <c r="EW486" s="11"/>
      <c r="EX486" s="11"/>
      <c r="EY486" s="11"/>
      <c r="EZ486" s="11"/>
      <c r="FA486" s="11"/>
      <c r="FB486" s="11"/>
      <c r="FC486" s="11"/>
      <c r="FD486" s="11"/>
      <c r="FE486" s="11"/>
      <c r="FF486" s="11"/>
      <c r="FG486" s="11"/>
      <c r="FH486" s="17">
        <f t="shared" si="196"/>
        <v>2647291.85</v>
      </c>
      <c r="FI486" s="31">
        <f t="shared" si="197"/>
        <v>2</v>
      </c>
      <c r="FJ486" s="68">
        <f t="shared" si="198"/>
        <v>1323645.925</v>
      </c>
    </row>
    <row r="487" spans="1:166" ht="25.5" x14ac:dyDescent="0.25">
      <c r="A487" s="248">
        <f>Distribución_Reactivos!A487</f>
        <v>485</v>
      </c>
      <c r="B487" s="248" t="str">
        <f>Distribución_Reactivos!B487</f>
        <v xml:space="preserve">DNA Ladder 1 Kb Plus X 1000 ug Ref 10787026 </v>
      </c>
      <c r="C487" s="248" t="str">
        <f>Distribución_Reactivos!C487</f>
        <v>Invitrogen</v>
      </c>
      <c r="D487" s="248" t="str">
        <f>Distribución_Reactivos!D487</f>
        <v>Unidad </v>
      </c>
      <c r="E487" s="29">
        <v>1</v>
      </c>
      <c r="F487" s="221"/>
      <c r="G487" s="221"/>
      <c r="H487" s="221"/>
      <c r="I487" s="221"/>
      <c r="J487" s="260">
        <v>2945250</v>
      </c>
      <c r="K487" s="260">
        <v>2945250</v>
      </c>
      <c r="L487" s="102"/>
      <c r="M487" s="102">
        <f t="shared" ref="M487:M496" si="200">IFERROR((AVERAGE(K487)*1.03)," ")</f>
        <v>3033607.5</v>
      </c>
      <c r="N487" s="102"/>
      <c r="O487" s="102"/>
      <c r="P487" s="102"/>
      <c r="Q487" s="44"/>
      <c r="R487" s="44"/>
      <c r="S487" s="5"/>
      <c r="T487" s="102"/>
      <c r="U487" s="102"/>
      <c r="V487" s="102"/>
      <c r="W487" s="11"/>
      <c r="X487" s="11"/>
      <c r="Y487" s="11"/>
      <c r="Z487" s="102"/>
      <c r="AA487" s="102"/>
      <c r="AB487" s="102"/>
      <c r="AC487" s="44"/>
      <c r="AD487" s="44"/>
      <c r="AE487" s="11"/>
      <c r="AF487" s="102"/>
      <c r="AG487" s="102"/>
      <c r="AH487" s="102"/>
      <c r="AI487" s="11"/>
      <c r="AJ487" s="11"/>
      <c r="AK487" s="11"/>
      <c r="AL487" s="102"/>
      <c r="AM487" s="102"/>
      <c r="AN487" s="102"/>
      <c r="AO487" s="248"/>
      <c r="AP487" s="11"/>
      <c r="AQ487" s="11"/>
      <c r="AR487" s="247"/>
      <c r="AS487" s="247"/>
      <c r="AT487" s="247"/>
      <c r="AU487" s="52"/>
      <c r="AV487" s="42"/>
      <c r="AW487" s="11"/>
      <c r="AX487" s="247"/>
      <c r="AY487" s="247"/>
      <c r="AZ487" s="247"/>
      <c r="BA487" s="11"/>
      <c r="BB487" s="11"/>
      <c r="BC487" s="11"/>
      <c r="BD487" s="247"/>
      <c r="BE487" s="247"/>
      <c r="BF487" s="247"/>
      <c r="BG487" s="11"/>
      <c r="BH487" s="11"/>
      <c r="BI487" s="11"/>
      <c r="BJ487" s="247"/>
      <c r="BK487" s="247"/>
      <c r="BL487" s="247"/>
      <c r="BM487" s="11"/>
      <c r="BN487" s="11"/>
      <c r="BO487" s="11"/>
      <c r="BP487" s="247"/>
      <c r="BQ487" s="11"/>
      <c r="BR487" s="11"/>
      <c r="BS487" s="11"/>
      <c r="BT487" s="11"/>
      <c r="BU487" s="11"/>
      <c r="BV487" s="241"/>
      <c r="BW487" s="125"/>
      <c r="BX487" s="97"/>
      <c r="BY487" s="245"/>
      <c r="BZ487" s="245"/>
      <c r="CA487" s="11"/>
      <c r="CB487" s="247"/>
      <c r="CC487" s="247"/>
      <c r="CD487" s="247"/>
      <c r="CE487" s="11"/>
      <c r="CF487" s="11"/>
      <c r="CG487" s="11"/>
      <c r="CH487" s="241"/>
      <c r="CI487" s="238"/>
      <c r="CJ487" s="236"/>
      <c r="CK487" s="245"/>
      <c r="CL487" s="245"/>
      <c r="CM487" s="11"/>
      <c r="CN487" s="247"/>
      <c r="CO487" s="247"/>
      <c r="CP487" s="247"/>
      <c r="CQ487" s="11"/>
      <c r="CR487" s="11"/>
      <c r="CS487" s="11"/>
      <c r="CT487" s="11"/>
      <c r="CU487" s="11"/>
      <c r="CV487" s="11"/>
      <c r="CW487" s="11"/>
      <c r="CX487" s="11"/>
      <c r="CY487" s="11"/>
      <c r="CZ487" s="102"/>
      <c r="DA487" s="102"/>
      <c r="DB487" s="102"/>
      <c r="DC487" s="11"/>
      <c r="DD487" s="11"/>
      <c r="DE487" s="59"/>
      <c r="DF487" s="11"/>
      <c r="DG487" s="11"/>
      <c r="DH487" s="11"/>
      <c r="DI487" s="11"/>
      <c r="DJ487" s="11"/>
      <c r="DK487" s="11"/>
      <c r="DL487" s="105">
        <v>2475000</v>
      </c>
      <c r="DM487" s="101">
        <f>+DL487*0.19</f>
        <v>470250</v>
      </c>
      <c r="DN487" s="97">
        <f t="shared" si="199"/>
        <v>2945250</v>
      </c>
      <c r="DO487" s="115" t="s">
        <v>140</v>
      </c>
      <c r="DP487" s="11"/>
      <c r="DQ487" s="11"/>
      <c r="DR487" s="11"/>
      <c r="DS487" s="11"/>
      <c r="DT487" s="11"/>
      <c r="DU487" s="11"/>
      <c r="DV487" s="11"/>
      <c r="DW487" s="11"/>
      <c r="DX487" s="11"/>
      <c r="DY487" s="11"/>
      <c r="DZ487" s="11"/>
      <c r="EA487" s="11"/>
      <c r="EB487" s="11"/>
      <c r="EC487" s="11"/>
      <c r="ED487" s="11"/>
      <c r="EE487" s="11"/>
      <c r="EF487" s="11"/>
      <c r="EG487" s="11"/>
      <c r="EH487" s="11"/>
      <c r="EI487" s="11"/>
      <c r="EJ487" s="11"/>
      <c r="EK487" s="11"/>
      <c r="EL487" s="11"/>
      <c r="EM487" s="11"/>
      <c r="EN487" s="11"/>
      <c r="EO487" s="11"/>
      <c r="EP487" s="11"/>
      <c r="EQ487" s="11"/>
      <c r="ER487" s="11"/>
      <c r="ES487" s="11"/>
      <c r="ET487" s="11"/>
      <c r="EU487" s="11"/>
      <c r="EV487" s="11"/>
      <c r="EW487" s="11"/>
      <c r="EX487" s="11"/>
      <c r="EY487" s="11"/>
      <c r="EZ487" s="11"/>
      <c r="FA487" s="11"/>
      <c r="FB487" s="11"/>
      <c r="FC487" s="11"/>
      <c r="FD487" s="11"/>
      <c r="FE487" s="11"/>
      <c r="FF487" s="11"/>
      <c r="FG487" s="11"/>
      <c r="FH487" s="17">
        <f t="shared" si="196"/>
        <v>5978857.5</v>
      </c>
      <c r="FI487" s="31">
        <f t="shared" si="197"/>
        <v>2</v>
      </c>
      <c r="FJ487" s="68">
        <f t="shared" si="198"/>
        <v>2989428.75</v>
      </c>
    </row>
    <row r="488" spans="1:166" ht="25.5" x14ac:dyDescent="0.25">
      <c r="A488" s="248">
        <f>Distribución_Reactivos!A488</f>
        <v>486</v>
      </c>
      <c r="B488" s="248" t="str">
        <f>Distribución_Reactivos!B488</f>
        <v>SYBR Green PCR Master Mix. Set 2x5 mL. Ref 4364344</v>
      </c>
      <c r="C488" s="248" t="str">
        <f>Distribución_Reactivos!C488</f>
        <v>Invitrogen</v>
      </c>
      <c r="D488" s="248" t="str">
        <f>Distribución_Reactivos!D488</f>
        <v>Unidad </v>
      </c>
      <c r="E488" s="29">
        <v>1</v>
      </c>
      <c r="F488" s="221"/>
      <c r="G488" s="221"/>
      <c r="H488" s="221"/>
      <c r="I488" s="221"/>
      <c r="J488" s="260">
        <v>4458000</v>
      </c>
      <c r="K488" s="260">
        <v>4458000</v>
      </c>
      <c r="L488" s="102"/>
      <c r="M488" s="102">
        <f t="shared" si="200"/>
        <v>4591740</v>
      </c>
      <c r="N488" s="102"/>
      <c r="O488" s="102"/>
      <c r="P488" s="102"/>
      <c r="Q488" s="44"/>
      <c r="R488" s="44"/>
      <c r="S488" s="5"/>
      <c r="T488" s="102"/>
      <c r="U488" s="102"/>
      <c r="V488" s="102"/>
      <c r="W488" s="11"/>
      <c r="X488" s="11"/>
      <c r="Y488" s="11"/>
      <c r="Z488" s="102"/>
      <c r="AA488" s="102"/>
      <c r="AB488" s="102"/>
      <c r="AC488" s="44"/>
      <c r="AD488" s="44"/>
      <c r="AE488" s="11"/>
      <c r="AF488" s="102"/>
      <c r="AG488" s="102"/>
      <c r="AH488" s="102"/>
      <c r="AI488" s="11"/>
      <c r="AJ488" s="11"/>
      <c r="AK488" s="11"/>
      <c r="AL488" s="102"/>
      <c r="AM488" s="102"/>
      <c r="AN488" s="102"/>
      <c r="AO488" s="248"/>
      <c r="AP488" s="11"/>
      <c r="AQ488" s="11"/>
      <c r="AR488" s="247"/>
      <c r="AS488" s="247"/>
      <c r="AT488" s="247"/>
      <c r="AU488" s="52"/>
      <c r="AV488" s="42"/>
      <c r="AW488" s="11"/>
      <c r="AX488" s="247"/>
      <c r="AY488" s="247"/>
      <c r="AZ488" s="247"/>
      <c r="BA488" s="11"/>
      <c r="BB488" s="11"/>
      <c r="BC488" s="11"/>
      <c r="BD488" s="247"/>
      <c r="BE488" s="247"/>
      <c r="BF488" s="247"/>
      <c r="BG488" s="11"/>
      <c r="BH488" s="11"/>
      <c r="BI488" s="11"/>
      <c r="BJ488" s="247"/>
      <c r="BK488" s="247"/>
      <c r="BL488" s="247"/>
      <c r="BM488" s="11"/>
      <c r="BN488" s="11"/>
      <c r="BO488" s="11"/>
      <c r="BP488" s="247"/>
      <c r="BQ488" s="11"/>
      <c r="BR488" s="11"/>
      <c r="BS488" s="11"/>
      <c r="BT488" s="11"/>
      <c r="BU488" s="11"/>
      <c r="BV488" s="241"/>
      <c r="BW488" s="125"/>
      <c r="BX488" s="97"/>
      <c r="BY488" s="245"/>
      <c r="BZ488" s="245"/>
      <c r="CA488" s="11"/>
      <c r="CB488" s="247"/>
      <c r="CC488" s="247"/>
      <c r="CD488" s="247"/>
      <c r="CE488" s="11"/>
      <c r="CF488" s="11"/>
      <c r="CG488" s="11"/>
      <c r="CH488" s="241"/>
      <c r="CI488" s="238"/>
      <c r="CJ488" s="236"/>
      <c r="CK488" s="245"/>
      <c r="CL488" s="245"/>
      <c r="CM488" s="11"/>
      <c r="CN488" s="247"/>
      <c r="CO488" s="247"/>
      <c r="CP488" s="247"/>
      <c r="CQ488" s="11"/>
      <c r="CR488" s="11"/>
      <c r="CS488" s="11"/>
      <c r="CT488" s="11"/>
      <c r="CU488" s="11"/>
      <c r="CV488" s="11"/>
      <c r="CW488" s="11"/>
      <c r="CX488" s="11"/>
      <c r="CY488" s="11"/>
      <c r="CZ488" s="102"/>
      <c r="DA488" s="102"/>
      <c r="DB488" s="102"/>
      <c r="DC488" s="11"/>
      <c r="DD488" s="11"/>
      <c r="DE488" s="59"/>
      <c r="DF488" s="11"/>
      <c r="DG488" s="11"/>
      <c r="DH488" s="11"/>
      <c r="DI488" s="11"/>
      <c r="DJ488" s="11"/>
      <c r="DK488" s="11"/>
      <c r="DL488" s="105">
        <v>4458000</v>
      </c>
      <c r="DM488" s="105">
        <v>0</v>
      </c>
      <c r="DN488" s="97">
        <f t="shared" si="199"/>
        <v>4458000</v>
      </c>
      <c r="DO488" s="115" t="s">
        <v>140</v>
      </c>
      <c r="DP488" s="11"/>
      <c r="DQ488" s="11"/>
      <c r="DR488" s="102">
        <v>3822300</v>
      </c>
      <c r="DS488" s="125">
        <v>0</v>
      </c>
      <c r="DT488" s="97">
        <f>+DR488+DS488</f>
        <v>3822300</v>
      </c>
      <c r="DU488" s="11"/>
      <c r="DV488" s="11"/>
      <c r="DW488" s="11"/>
      <c r="DX488" s="11"/>
      <c r="DY488" s="11"/>
      <c r="DZ488" s="11"/>
      <c r="EA488" s="11"/>
      <c r="EB488" s="11"/>
      <c r="EC488" s="11"/>
      <c r="ED488" s="11"/>
      <c r="EE488" s="11"/>
      <c r="EF488" s="11"/>
      <c r="EG488" s="11"/>
      <c r="EH488" s="11"/>
      <c r="EI488" s="11"/>
      <c r="EJ488" s="11"/>
      <c r="EK488" s="11"/>
      <c r="EL488" s="11"/>
      <c r="EM488" s="11"/>
      <c r="EN488" s="11"/>
      <c r="EO488" s="11"/>
      <c r="EP488" s="11"/>
      <c r="EQ488" s="11"/>
      <c r="ER488" s="11"/>
      <c r="ES488" s="11"/>
      <c r="ET488" s="11"/>
      <c r="EU488" s="11"/>
      <c r="EV488" s="11"/>
      <c r="EW488" s="11"/>
      <c r="EX488" s="11"/>
      <c r="EY488" s="11"/>
      <c r="EZ488" s="11"/>
      <c r="FA488" s="11"/>
      <c r="FB488" s="11"/>
      <c r="FC488" s="11"/>
      <c r="FD488" s="11"/>
      <c r="FE488" s="11"/>
      <c r="FF488" s="11"/>
      <c r="FG488" s="11"/>
      <c r="FH488" s="17">
        <f t="shared" si="196"/>
        <v>12872040</v>
      </c>
      <c r="FI488" s="31">
        <f t="shared" si="197"/>
        <v>3</v>
      </c>
      <c r="FJ488" s="68">
        <f t="shared" si="198"/>
        <v>4290680</v>
      </c>
    </row>
    <row r="489" spans="1:166" ht="25.5" x14ac:dyDescent="0.25">
      <c r="A489" s="248">
        <f>Distribución_Reactivos!A489</f>
        <v>487</v>
      </c>
      <c r="B489" s="248" t="str">
        <f>Distribución_Reactivos!B489</f>
        <v>Base de primers desalados en escala 50nM sintetizado por. Ref 10629012</v>
      </c>
      <c r="C489" s="248" t="str">
        <f>Distribución_Reactivos!C489</f>
        <v>Invitrogen</v>
      </c>
      <c r="D489" s="248" t="str">
        <f>Distribución_Reactivos!D489</f>
        <v>Unidad </v>
      </c>
      <c r="E489" s="29">
        <v>1</v>
      </c>
      <c r="F489" s="221"/>
      <c r="G489" s="221"/>
      <c r="H489" s="221"/>
      <c r="I489" s="221"/>
      <c r="J489" s="260">
        <v>3000</v>
      </c>
      <c r="K489" s="260">
        <v>3000</v>
      </c>
      <c r="L489" s="102"/>
      <c r="M489" s="102">
        <f t="shared" si="200"/>
        <v>3090</v>
      </c>
      <c r="N489" s="102"/>
      <c r="O489" s="102"/>
      <c r="P489" s="102"/>
      <c r="Q489" s="44"/>
      <c r="R489" s="44"/>
      <c r="S489" s="5"/>
      <c r="T489" s="102"/>
      <c r="U489" s="102"/>
      <c r="V489" s="102"/>
      <c r="W489" s="11"/>
      <c r="X489" s="11"/>
      <c r="Y489" s="11"/>
      <c r="Z489" s="102"/>
      <c r="AA489" s="102"/>
      <c r="AB489" s="102"/>
      <c r="AC489" s="44"/>
      <c r="AD489" s="44"/>
      <c r="AE489" s="11"/>
      <c r="AF489" s="102"/>
      <c r="AG489" s="102"/>
      <c r="AH489" s="102"/>
      <c r="AI489" s="11"/>
      <c r="AJ489" s="11"/>
      <c r="AK489" s="11"/>
      <c r="AL489" s="102"/>
      <c r="AM489" s="102"/>
      <c r="AN489" s="102"/>
      <c r="AO489" s="248"/>
      <c r="AP489" s="11"/>
      <c r="AQ489" s="11"/>
      <c r="AR489" s="247"/>
      <c r="AS489" s="247"/>
      <c r="AT489" s="247"/>
      <c r="AU489" s="52"/>
      <c r="AV489" s="42"/>
      <c r="AW489" s="11"/>
      <c r="AX489" s="247"/>
      <c r="AY489" s="247"/>
      <c r="AZ489" s="247"/>
      <c r="BA489" s="11"/>
      <c r="BB489" s="11"/>
      <c r="BC489" s="11"/>
      <c r="BD489" s="247"/>
      <c r="BE489" s="247"/>
      <c r="BF489" s="247"/>
      <c r="BG489" s="11"/>
      <c r="BH489" s="11"/>
      <c r="BI489" s="11"/>
      <c r="BJ489" s="247"/>
      <c r="BK489" s="247"/>
      <c r="BL489" s="247"/>
      <c r="BM489" s="11"/>
      <c r="BN489" s="11"/>
      <c r="BO489" s="11"/>
      <c r="BP489" s="247"/>
      <c r="BQ489" s="11"/>
      <c r="BR489" s="11"/>
      <c r="BS489" s="11"/>
      <c r="BT489" s="11"/>
      <c r="BU489" s="11"/>
      <c r="BV489" s="241"/>
      <c r="BW489" s="125"/>
      <c r="BX489" s="97"/>
      <c r="BY489" s="245"/>
      <c r="BZ489" s="245"/>
      <c r="CA489" s="11"/>
      <c r="CB489" s="247"/>
      <c r="CC489" s="247"/>
      <c r="CD489" s="247"/>
      <c r="CE489" s="11"/>
      <c r="CF489" s="11"/>
      <c r="CG489" s="11"/>
      <c r="CH489" s="241"/>
      <c r="CI489" s="238"/>
      <c r="CJ489" s="236"/>
      <c r="CK489" s="245"/>
      <c r="CL489" s="245"/>
      <c r="CM489" s="11"/>
      <c r="CN489" s="247"/>
      <c r="CO489" s="247"/>
      <c r="CP489" s="247"/>
      <c r="CQ489" s="11"/>
      <c r="CR489" s="11"/>
      <c r="CS489" s="11"/>
      <c r="CT489" s="11"/>
      <c r="CU489" s="11"/>
      <c r="CV489" s="11"/>
      <c r="CW489" s="11"/>
      <c r="CX489" s="11"/>
      <c r="CY489" s="11"/>
      <c r="CZ489" s="102"/>
      <c r="DA489" s="102"/>
      <c r="DB489" s="102"/>
      <c r="DC489" s="11"/>
      <c r="DD489" s="11"/>
      <c r="DE489" s="59"/>
      <c r="DF489" s="11"/>
      <c r="DG489" s="11"/>
      <c r="DH489" s="11"/>
      <c r="DI489" s="11"/>
      <c r="DJ489" s="11"/>
      <c r="DK489" s="11"/>
      <c r="DL489" s="105">
        <v>2800</v>
      </c>
      <c r="DM489" s="105">
        <v>0</v>
      </c>
      <c r="DN489" s="97">
        <f t="shared" si="199"/>
        <v>2800</v>
      </c>
      <c r="DO489" s="115" t="s">
        <v>140</v>
      </c>
      <c r="DP489" s="11"/>
      <c r="DQ489" s="11"/>
      <c r="DR489" s="11"/>
      <c r="DS489" s="11"/>
      <c r="DT489" s="11"/>
      <c r="DU489" s="11"/>
      <c r="DV489" s="11"/>
      <c r="DW489" s="11"/>
      <c r="DX489" s="11"/>
      <c r="DY489" s="11"/>
      <c r="DZ489" s="11"/>
      <c r="EA489" s="11"/>
      <c r="EB489" s="11"/>
      <c r="EC489" s="11"/>
      <c r="ED489" s="11"/>
      <c r="EE489" s="11"/>
      <c r="EF489" s="11"/>
      <c r="EG489" s="11"/>
      <c r="EH489" s="11"/>
      <c r="EI489" s="11"/>
      <c r="EJ489" s="11"/>
      <c r="EK489" s="11"/>
      <c r="EL489" s="11"/>
      <c r="EM489" s="11"/>
      <c r="EN489" s="11"/>
      <c r="EO489" s="11"/>
      <c r="EP489" s="11"/>
      <c r="EQ489" s="11"/>
      <c r="ER489" s="11"/>
      <c r="ES489" s="11"/>
      <c r="ET489" s="11"/>
      <c r="EU489" s="11"/>
      <c r="EV489" s="11"/>
      <c r="EW489" s="11"/>
      <c r="EX489" s="11"/>
      <c r="EY489" s="11"/>
      <c r="EZ489" s="11"/>
      <c r="FA489" s="11"/>
      <c r="FB489" s="11"/>
      <c r="FC489" s="11"/>
      <c r="FD489" s="11"/>
      <c r="FE489" s="11"/>
      <c r="FF489" s="11"/>
      <c r="FG489" s="11"/>
      <c r="FH489" s="17">
        <f t="shared" si="196"/>
        <v>5890</v>
      </c>
      <c r="FI489" s="31">
        <f t="shared" si="197"/>
        <v>2</v>
      </c>
      <c r="FJ489" s="68">
        <f t="shared" si="198"/>
        <v>2945</v>
      </c>
    </row>
    <row r="490" spans="1:166" ht="76.5" x14ac:dyDescent="0.25">
      <c r="A490" s="248">
        <f>Distribución_Reactivos!A490</f>
        <v>488</v>
      </c>
      <c r="B490" s="248" t="str">
        <f>Distribución_Reactivos!B490</f>
        <v xml:space="preserve">Sonda Custom TaqMan Probe, diseñada por usted mismo purificacada con HPLC
X20,000 pmol (20nm), marcada con 6FAM/ VIC/ TET/ NED como reportero y MGBNFQ como atenuador. NO Incluye primers Ref 4316033 </v>
      </c>
      <c r="C490" s="248" t="str">
        <f>Distribución_Reactivos!C490</f>
        <v>Applied Biosystem</v>
      </c>
      <c r="D490" s="248" t="str">
        <f>Distribución_Reactivos!D490</f>
        <v>Unidad </v>
      </c>
      <c r="E490" s="29">
        <v>1</v>
      </c>
      <c r="F490" s="221"/>
      <c r="G490" s="221"/>
      <c r="H490" s="221"/>
      <c r="I490" s="221"/>
      <c r="J490" s="260">
        <v>3140000</v>
      </c>
      <c r="K490" s="260">
        <v>3140000</v>
      </c>
      <c r="L490" s="102"/>
      <c r="M490" s="102">
        <f t="shared" si="200"/>
        <v>3234200</v>
      </c>
      <c r="N490" s="102"/>
      <c r="O490" s="102"/>
      <c r="P490" s="102"/>
      <c r="Q490" s="44"/>
      <c r="R490" s="44"/>
      <c r="S490" s="5"/>
      <c r="T490" s="102"/>
      <c r="U490" s="102"/>
      <c r="V490" s="102"/>
      <c r="W490" s="11"/>
      <c r="X490" s="11"/>
      <c r="Y490" s="11"/>
      <c r="Z490" s="102"/>
      <c r="AA490" s="102"/>
      <c r="AB490" s="102"/>
      <c r="AC490" s="44"/>
      <c r="AD490" s="44"/>
      <c r="AE490" s="11"/>
      <c r="AF490" s="102"/>
      <c r="AG490" s="102"/>
      <c r="AH490" s="102"/>
      <c r="AI490" s="11"/>
      <c r="AJ490" s="11"/>
      <c r="AK490" s="11"/>
      <c r="AL490" s="102"/>
      <c r="AM490" s="102"/>
      <c r="AN490" s="102"/>
      <c r="AO490" s="248"/>
      <c r="AP490" s="11"/>
      <c r="AQ490" s="11"/>
      <c r="AR490" s="247"/>
      <c r="AS490" s="247"/>
      <c r="AT490" s="247"/>
      <c r="AU490" s="52"/>
      <c r="AV490" s="42"/>
      <c r="AW490" s="11"/>
      <c r="AX490" s="247"/>
      <c r="AY490" s="247"/>
      <c r="AZ490" s="247"/>
      <c r="BA490" s="11"/>
      <c r="BB490" s="11"/>
      <c r="BC490" s="11"/>
      <c r="BD490" s="247"/>
      <c r="BE490" s="247"/>
      <c r="BF490" s="247"/>
      <c r="BG490" s="11"/>
      <c r="BH490" s="11"/>
      <c r="BI490" s="11"/>
      <c r="BJ490" s="247"/>
      <c r="BK490" s="247"/>
      <c r="BL490" s="247"/>
      <c r="BM490" s="11"/>
      <c r="BN490" s="11"/>
      <c r="BO490" s="11"/>
      <c r="BP490" s="247"/>
      <c r="BQ490" s="11"/>
      <c r="BR490" s="11"/>
      <c r="BS490" s="11"/>
      <c r="BT490" s="11"/>
      <c r="BU490" s="11"/>
      <c r="BV490" s="241"/>
      <c r="BW490" s="125"/>
      <c r="BX490" s="97"/>
      <c r="BY490" s="245"/>
      <c r="BZ490" s="245"/>
      <c r="CA490" s="11"/>
      <c r="CB490" s="247"/>
      <c r="CC490" s="247"/>
      <c r="CD490" s="247"/>
      <c r="CE490" s="11"/>
      <c r="CF490" s="11"/>
      <c r="CG490" s="11"/>
      <c r="CH490" s="241"/>
      <c r="CI490" s="238"/>
      <c r="CJ490" s="236"/>
      <c r="CK490" s="245"/>
      <c r="CL490" s="245"/>
      <c r="CM490" s="11"/>
      <c r="CN490" s="247"/>
      <c r="CO490" s="247"/>
      <c r="CP490" s="247"/>
      <c r="CQ490" s="11"/>
      <c r="CR490" s="11"/>
      <c r="CS490" s="11"/>
      <c r="CT490" s="11"/>
      <c r="CU490" s="11"/>
      <c r="CV490" s="11"/>
      <c r="CW490" s="11"/>
      <c r="CX490" s="11"/>
      <c r="CY490" s="11"/>
      <c r="CZ490" s="102"/>
      <c r="DA490" s="102"/>
      <c r="DB490" s="102"/>
      <c r="DC490" s="11"/>
      <c r="DD490" s="11"/>
      <c r="DE490" s="59"/>
      <c r="DF490" s="11"/>
      <c r="DG490" s="11"/>
      <c r="DH490" s="11"/>
      <c r="DI490" s="11"/>
      <c r="DJ490" s="11"/>
      <c r="DK490" s="11"/>
      <c r="DL490" s="105">
        <v>3140000</v>
      </c>
      <c r="DM490" s="101">
        <v>0</v>
      </c>
      <c r="DN490" s="97">
        <f t="shared" si="199"/>
        <v>3140000</v>
      </c>
      <c r="DO490" s="115" t="s">
        <v>140</v>
      </c>
      <c r="DP490" s="11"/>
      <c r="DQ490" s="11"/>
      <c r="DR490" s="102">
        <v>3003200</v>
      </c>
      <c r="DS490" s="125">
        <v>0</v>
      </c>
      <c r="DT490" s="97">
        <f>+DR490+DS490</f>
        <v>3003200</v>
      </c>
      <c r="DU490" s="11"/>
      <c r="DV490" s="11"/>
      <c r="DW490" s="11"/>
      <c r="DX490" s="11"/>
      <c r="DY490" s="11"/>
      <c r="DZ490" s="11"/>
      <c r="EA490" s="11"/>
      <c r="EB490" s="11"/>
      <c r="EC490" s="11"/>
      <c r="ED490" s="11"/>
      <c r="EE490" s="11"/>
      <c r="EF490" s="11"/>
      <c r="EG490" s="11"/>
      <c r="EH490" s="11"/>
      <c r="EI490" s="11"/>
      <c r="EJ490" s="11"/>
      <c r="EK490" s="11"/>
      <c r="EL490" s="11"/>
      <c r="EM490" s="11"/>
      <c r="EN490" s="11"/>
      <c r="EO490" s="11"/>
      <c r="EP490" s="11"/>
      <c r="EQ490" s="11"/>
      <c r="ER490" s="11"/>
      <c r="ES490" s="11"/>
      <c r="ET490" s="11"/>
      <c r="EU490" s="11"/>
      <c r="EV490" s="11"/>
      <c r="EW490" s="11"/>
      <c r="EX490" s="11"/>
      <c r="EY490" s="11"/>
      <c r="EZ490" s="11"/>
      <c r="FA490" s="11"/>
      <c r="FB490" s="11"/>
      <c r="FC490" s="11"/>
      <c r="FD490" s="11"/>
      <c r="FE490" s="11"/>
      <c r="FF490" s="11"/>
      <c r="FG490" s="11"/>
      <c r="FH490" s="17">
        <f t="shared" si="196"/>
        <v>9377400</v>
      </c>
      <c r="FI490" s="31">
        <f t="shared" si="197"/>
        <v>3</v>
      </c>
      <c r="FJ490" s="68">
        <f t="shared" si="198"/>
        <v>3125800</v>
      </c>
    </row>
    <row r="491" spans="1:166" ht="25.5" x14ac:dyDescent="0.25">
      <c r="A491" s="248">
        <f>Distribución_Reactivos!A491</f>
        <v>489</v>
      </c>
      <c r="B491" s="248" t="str">
        <f>Distribución_Reactivos!B491</f>
        <v xml:space="preserve">RNase A, en concentración 20mg/ml. Frasco x10 ml. Ref 12091021 </v>
      </c>
      <c r="C491" s="248" t="str">
        <f>Distribución_Reactivos!C491</f>
        <v>Invitrogen</v>
      </c>
      <c r="D491" s="248" t="str">
        <f>Distribución_Reactivos!D491</f>
        <v>Unidad </v>
      </c>
      <c r="E491" s="29">
        <v>1</v>
      </c>
      <c r="F491" s="221"/>
      <c r="G491" s="221"/>
      <c r="H491" s="221"/>
      <c r="I491" s="221"/>
      <c r="J491" s="260">
        <v>1201900</v>
      </c>
      <c r="K491" s="260">
        <v>1201900</v>
      </c>
      <c r="L491" s="102"/>
      <c r="M491" s="102">
        <f t="shared" si="200"/>
        <v>1237957</v>
      </c>
      <c r="N491" s="102"/>
      <c r="O491" s="102"/>
      <c r="P491" s="102"/>
      <c r="Q491" s="44"/>
      <c r="R491" s="44"/>
      <c r="S491" s="5"/>
      <c r="T491" s="102"/>
      <c r="U491" s="102"/>
      <c r="V491" s="102"/>
      <c r="W491" s="11"/>
      <c r="X491" s="11"/>
      <c r="Y491" s="11"/>
      <c r="Z491" s="102"/>
      <c r="AA491" s="102"/>
      <c r="AB491" s="102"/>
      <c r="AC491" s="44"/>
      <c r="AD491" s="44"/>
      <c r="AE491" s="11"/>
      <c r="AF491" s="102"/>
      <c r="AG491" s="102"/>
      <c r="AH491" s="102"/>
      <c r="AI491" s="11"/>
      <c r="AJ491" s="11"/>
      <c r="AK491" s="11"/>
      <c r="AL491" s="102"/>
      <c r="AM491" s="102"/>
      <c r="AN491" s="102"/>
      <c r="AO491" s="248"/>
      <c r="AP491" s="11"/>
      <c r="AQ491" s="11"/>
      <c r="AR491" s="247"/>
      <c r="AS491" s="247"/>
      <c r="AT491" s="247"/>
      <c r="AU491" s="52"/>
      <c r="AV491" s="42"/>
      <c r="AW491" s="11"/>
      <c r="AX491" s="247"/>
      <c r="AY491" s="247"/>
      <c r="AZ491" s="247"/>
      <c r="BA491" s="11"/>
      <c r="BB491" s="11"/>
      <c r="BC491" s="11"/>
      <c r="BD491" s="247"/>
      <c r="BE491" s="247"/>
      <c r="BF491" s="247"/>
      <c r="BG491" s="11"/>
      <c r="BH491" s="11"/>
      <c r="BI491" s="11"/>
      <c r="BJ491" s="247"/>
      <c r="BK491" s="247"/>
      <c r="BL491" s="247"/>
      <c r="BM491" s="11"/>
      <c r="BN491" s="11"/>
      <c r="BO491" s="11"/>
      <c r="BP491" s="247"/>
      <c r="BQ491" s="11"/>
      <c r="BR491" s="11"/>
      <c r="BS491" s="11"/>
      <c r="BT491" s="11"/>
      <c r="BU491" s="11"/>
      <c r="BV491" s="241"/>
      <c r="BW491" s="125"/>
      <c r="BX491" s="97"/>
      <c r="BY491" s="245"/>
      <c r="BZ491" s="245"/>
      <c r="CA491" s="11"/>
      <c r="CB491" s="247"/>
      <c r="CC491" s="247"/>
      <c r="CD491" s="247"/>
      <c r="CE491" s="11"/>
      <c r="CF491" s="11"/>
      <c r="CG491" s="11"/>
      <c r="CH491" s="241"/>
      <c r="CI491" s="238"/>
      <c r="CJ491" s="236"/>
      <c r="CK491" s="245"/>
      <c r="CL491" s="245"/>
      <c r="CM491" s="11"/>
      <c r="CN491" s="247"/>
      <c r="CO491" s="247"/>
      <c r="CP491" s="247"/>
      <c r="CQ491" s="11"/>
      <c r="CR491" s="11"/>
      <c r="CS491" s="11"/>
      <c r="CT491" s="11"/>
      <c r="CU491" s="11"/>
      <c r="CV491" s="11"/>
      <c r="CW491" s="11"/>
      <c r="CX491" s="11"/>
      <c r="CY491" s="11"/>
      <c r="CZ491" s="102"/>
      <c r="DA491" s="102"/>
      <c r="DB491" s="102"/>
      <c r="DC491" s="11"/>
      <c r="DD491" s="11"/>
      <c r="DE491" s="59"/>
      <c r="DF491" s="11"/>
      <c r="DG491" s="11"/>
      <c r="DH491" s="11"/>
      <c r="DI491" s="11"/>
      <c r="DJ491" s="11"/>
      <c r="DK491" s="11"/>
      <c r="DL491" s="105">
        <v>1040000</v>
      </c>
      <c r="DM491" s="101">
        <f t="shared" ref="DM491:DM496" si="201">+DL491*0.19</f>
        <v>197600</v>
      </c>
      <c r="DN491" s="97">
        <f t="shared" si="199"/>
        <v>1237600</v>
      </c>
      <c r="DO491" s="115" t="s">
        <v>140</v>
      </c>
      <c r="DP491" s="11"/>
      <c r="DQ491" s="11"/>
      <c r="DR491" s="11"/>
      <c r="DS491" s="11"/>
      <c r="DT491" s="11"/>
      <c r="DU491" s="11"/>
      <c r="DV491" s="11"/>
      <c r="DW491" s="11"/>
      <c r="DX491" s="11"/>
      <c r="DY491" s="11"/>
      <c r="DZ491" s="11"/>
      <c r="EA491" s="11"/>
      <c r="EB491" s="11"/>
      <c r="EC491" s="11"/>
      <c r="ED491" s="11"/>
      <c r="EE491" s="11"/>
      <c r="EF491" s="11"/>
      <c r="EG491" s="11"/>
      <c r="EH491" s="11"/>
      <c r="EI491" s="11"/>
      <c r="EJ491" s="11"/>
      <c r="EK491" s="11"/>
      <c r="EL491" s="11"/>
      <c r="EM491" s="11"/>
      <c r="EN491" s="11"/>
      <c r="EO491" s="11"/>
      <c r="EP491" s="11"/>
      <c r="EQ491" s="11"/>
      <c r="ER491" s="11"/>
      <c r="ES491" s="11"/>
      <c r="ET491" s="11"/>
      <c r="EU491" s="11"/>
      <c r="EV491" s="11"/>
      <c r="EW491" s="11"/>
      <c r="EX491" s="11"/>
      <c r="EY491" s="11"/>
      <c r="EZ491" s="11"/>
      <c r="FA491" s="11"/>
      <c r="FB491" s="11"/>
      <c r="FC491" s="11"/>
      <c r="FD491" s="11"/>
      <c r="FE491" s="11"/>
      <c r="FF491" s="11"/>
      <c r="FG491" s="11"/>
      <c r="FH491" s="17">
        <f t="shared" si="196"/>
        <v>2475557</v>
      </c>
      <c r="FI491" s="31">
        <f t="shared" si="197"/>
        <v>2</v>
      </c>
      <c r="FJ491" s="68">
        <f t="shared" si="198"/>
        <v>1237778.5</v>
      </c>
    </row>
    <row r="492" spans="1:166" ht="38.25" x14ac:dyDescent="0.25">
      <c r="A492" s="248">
        <f>Distribución_Reactivos!A492</f>
        <v>490</v>
      </c>
      <c r="B492" s="248" t="str">
        <f>Distribución_Reactivos!B492</f>
        <v xml:space="preserve">Random Primers 1.5mM, [~297ug/100ul].
Kit 100ul. Ref 48190011 </v>
      </c>
      <c r="C492" s="248" t="str">
        <f>Distribución_Reactivos!C492</f>
        <v>Invitrogen</v>
      </c>
      <c r="D492" s="248" t="str">
        <f>Distribución_Reactivos!D492</f>
        <v>Unidad </v>
      </c>
      <c r="E492" s="29">
        <v>1</v>
      </c>
      <c r="F492" s="221"/>
      <c r="G492" s="221"/>
      <c r="H492" s="221"/>
      <c r="I492" s="221"/>
      <c r="J492" s="260">
        <v>904400</v>
      </c>
      <c r="K492" s="260">
        <v>904400</v>
      </c>
      <c r="L492" s="102"/>
      <c r="M492" s="102">
        <f t="shared" si="200"/>
        <v>931532</v>
      </c>
      <c r="N492" s="102"/>
      <c r="O492" s="102"/>
      <c r="P492" s="102"/>
      <c r="Q492" s="44"/>
      <c r="R492" s="44"/>
      <c r="S492" s="5"/>
      <c r="T492" s="102"/>
      <c r="U492" s="102"/>
      <c r="V492" s="102"/>
      <c r="W492" s="11"/>
      <c r="X492" s="11"/>
      <c r="Y492" s="11"/>
      <c r="Z492" s="102"/>
      <c r="AA492" s="102"/>
      <c r="AB492" s="102"/>
      <c r="AC492" s="44"/>
      <c r="AD492" s="44"/>
      <c r="AE492" s="11"/>
      <c r="AF492" s="102"/>
      <c r="AG492" s="102"/>
      <c r="AH492" s="102"/>
      <c r="AI492" s="11"/>
      <c r="AJ492" s="11"/>
      <c r="AK492" s="11"/>
      <c r="AL492" s="102"/>
      <c r="AM492" s="102"/>
      <c r="AN492" s="102"/>
      <c r="AO492" s="248"/>
      <c r="AP492" s="11"/>
      <c r="AQ492" s="11"/>
      <c r="AR492" s="247"/>
      <c r="AS492" s="247"/>
      <c r="AT492" s="247"/>
      <c r="AU492" s="52"/>
      <c r="AV492" s="42"/>
      <c r="AW492" s="11"/>
      <c r="AX492" s="247"/>
      <c r="AY492" s="247"/>
      <c r="AZ492" s="247"/>
      <c r="BA492" s="11"/>
      <c r="BB492" s="11"/>
      <c r="BC492" s="11"/>
      <c r="BD492" s="247"/>
      <c r="BE492" s="247"/>
      <c r="BF492" s="247"/>
      <c r="BG492" s="11"/>
      <c r="BH492" s="11"/>
      <c r="BI492" s="11"/>
      <c r="BJ492" s="247"/>
      <c r="BK492" s="247"/>
      <c r="BL492" s="247"/>
      <c r="BM492" s="11"/>
      <c r="BN492" s="11"/>
      <c r="BO492" s="11"/>
      <c r="BP492" s="247"/>
      <c r="BQ492" s="11"/>
      <c r="BR492" s="11"/>
      <c r="BS492" s="11"/>
      <c r="BT492" s="11"/>
      <c r="BU492" s="11"/>
      <c r="BV492" s="241"/>
      <c r="BW492" s="125"/>
      <c r="BX492" s="97"/>
      <c r="BY492" s="245"/>
      <c r="BZ492" s="245"/>
      <c r="CA492" s="11"/>
      <c r="CB492" s="247"/>
      <c r="CC492" s="247"/>
      <c r="CD492" s="247"/>
      <c r="CE492" s="11"/>
      <c r="CF492" s="11"/>
      <c r="CG492" s="11"/>
      <c r="CH492" s="241"/>
      <c r="CI492" s="238"/>
      <c r="CJ492" s="236"/>
      <c r="CK492" s="245"/>
      <c r="CL492" s="245"/>
      <c r="CM492" s="11"/>
      <c r="CN492" s="247"/>
      <c r="CO492" s="247"/>
      <c r="CP492" s="247"/>
      <c r="CQ492" s="11"/>
      <c r="CR492" s="11"/>
      <c r="CS492" s="11"/>
      <c r="CT492" s="11"/>
      <c r="CU492" s="11"/>
      <c r="CV492" s="11"/>
      <c r="CW492" s="11"/>
      <c r="CX492" s="11"/>
      <c r="CY492" s="11"/>
      <c r="CZ492" s="102"/>
      <c r="DA492" s="102"/>
      <c r="DB492" s="102"/>
      <c r="DC492" s="11"/>
      <c r="DD492" s="11"/>
      <c r="DE492" s="59"/>
      <c r="DF492" s="11"/>
      <c r="DG492" s="11"/>
      <c r="DH492" s="11"/>
      <c r="DI492" s="11"/>
      <c r="DJ492" s="11"/>
      <c r="DK492" s="11"/>
      <c r="DL492" s="97">
        <v>760000</v>
      </c>
      <c r="DM492" s="97">
        <f t="shared" si="201"/>
        <v>144400</v>
      </c>
      <c r="DN492" s="97">
        <f t="shared" si="199"/>
        <v>904400</v>
      </c>
      <c r="DO492" s="115" t="s">
        <v>140</v>
      </c>
      <c r="DP492" s="11"/>
      <c r="DQ492" s="11"/>
      <c r="DR492" s="11"/>
      <c r="DS492" s="11"/>
      <c r="DT492" s="11"/>
      <c r="DU492" s="11"/>
      <c r="DV492" s="11"/>
      <c r="DW492" s="11"/>
      <c r="DX492" s="11"/>
      <c r="DY492" s="11"/>
      <c r="DZ492" s="11"/>
      <c r="EA492" s="11"/>
      <c r="EB492" s="11"/>
      <c r="EC492" s="11"/>
      <c r="ED492" s="11"/>
      <c r="EE492" s="11"/>
      <c r="EF492" s="11"/>
      <c r="EG492" s="11"/>
      <c r="EH492" s="11"/>
      <c r="EI492" s="11"/>
      <c r="EJ492" s="11"/>
      <c r="EK492" s="11"/>
      <c r="EL492" s="11"/>
      <c r="EM492" s="11"/>
      <c r="EN492" s="11"/>
      <c r="EO492" s="11"/>
      <c r="EP492" s="11"/>
      <c r="EQ492" s="11"/>
      <c r="ER492" s="11"/>
      <c r="ES492" s="11"/>
      <c r="ET492" s="11"/>
      <c r="EU492" s="11"/>
      <c r="EV492" s="11"/>
      <c r="EW492" s="11"/>
      <c r="EX492" s="11"/>
      <c r="EY492" s="11"/>
      <c r="EZ492" s="11"/>
      <c r="FA492" s="11"/>
      <c r="FB492" s="11"/>
      <c r="FC492" s="11"/>
      <c r="FD492" s="11"/>
      <c r="FE492" s="11"/>
      <c r="FF492" s="11"/>
      <c r="FG492" s="11"/>
      <c r="FH492" s="17">
        <f t="shared" si="196"/>
        <v>1835932</v>
      </c>
      <c r="FI492" s="31">
        <f t="shared" si="197"/>
        <v>2</v>
      </c>
      <c r="FJ492" s="68">
        <f t="shared" si="198"/>
        <v>917966</v>
      </c>
    </row>
    <row r="493" spans="1:166" ht="63.75" x14ac:dyDescent="0.25">
      <c r="A493" s="248">
        <f>Distribución_Reactivos!A493</f>
        <v>491</v>
      </c>
      <c r="B493" s="248" t="str">
        <f>Distribución_Reactivos!B493</f>
        <v xml:space="preserve">RNase OUT. Kit x 5.000Und. INVITROGEN Es un potente inhibibor de ribonucleasas
de tipo pancreático tales como la Rnase A, RNasa B, Rnasa C Ref 10777019 </v>
      </c>
      <c r="C493" s="248" t="str">
        <f>Distribución_Reactivos!C493</f>
        <v>Invitrogen</v>
      </c>
      <c r="D493" s="248" t="str">
        <f>Distribución_Reactivos!D493</f>
        <v>Unidad </v>
      </c>
      <c r="E493" s="29">
        <v>1</v>
      </c>
      <c r="F493" s="221"/>
      <c r="G493" s="221"/>
      <c r="H493" s="221"/>
      <c r="I493" s="221"/>
      <c r="J493" s="260">
        <v>1502970</v>
      </c>
      <c r="K493" s="260">
        <v>1502970</v>
      </c>
      <c r="L493" s="102"/>
      <c r="M493" s="102">
        <f t="shared" si="200"/>
        <v>1548059.1</v>
      </c>
      <c r="N493" s="102"/>
      <c r="O493" s="102"/>
      <c r="P493" s="102"/>
      <c r="Q493" s="44"/>
      <c r="R493" s="44"/>
      <c r="S493" s="5"/>
      <c r="T493" s="102"/>
      <c r="U493" s="102"/>
      <c r="V493" s="102"/>
      <c r="W493" s="11"/>
      <c r="X493" s="11"/>
      <c r="Y493" s="11"/>
      <c r="Z493" s="102"/>
      <c r="AA493" s="102"/>
      <c r="AB493" s="102"/>
      <c r="AC493" s="44"/>
      <c r="AD493" s="44"/>
      <c r="AE493" s="11"/>
      <c r="AF493" s="102"/>
      <c r="AG493" s="102"/>
      <c r="AH493" s="102"/>
      <c r="AI493" s="11"/>
      <c r="AJ493" s="11"/>
      <c r="AK493" s="11"/>
      <c r="AL493" s="102"/>
      <c r="AM493" s="102"/>
      <c r="AN493" s="102"/>
      <c r="AO493" s="248"/>
      <c r="AP493" s="11"/>
      <c r="AQ493" s="11"/>
      <c r="AR493" s="247"/>
      <c r="AS493" s="247"/>
      <c r="AT493" s="247"/>
      <c r="AU493" s="52"/>
      <c r="AV493" s="42"/>
      <c r="AW493" s="11"/>
      <c r="AX493" s="247"/>
      <c r="AY493" s="247"/>
      <c r="AZ493" s="247"/>
      <c r="BA493" s="11"/>
      <c r="BB493" s="11"/>
      <c r="BC493" s="11"/>
      <c r="BD493" s="247"/>
      <c r="BE493" s="247"/>
      <c r="BF493" s="247"/>
      <c r="BG493" s="11"/>
      <c r="BH493" s="11"/>
      <c r="BI493" s="11"/>
      <c r="BJ493" s="247"/>
      <c r="BK493" s="247"/>
      <c r="BL493" s="247"/>
      <c r="BM493" s="11"/>
      <c r="BN493" s="11"/>
      <c r="BO493" s="11"/>
      <c r="BP493" s="247"/>
      <c r="BQ493" s="11"/>
      <c r="BR493" s="11"/>
      <c r="BS493" s="11"/>
      <c r="BT493" s="11"/>
      <c r="BU493" s="11"/>
      <c r="BV493" s="241"/>
      <c r="BW493" s="125"/>
      <c r="BX493" s="97"/>
      <c r="BY493" s="245"/>
      <c r="BZ493" s="245"/>
      <c r="CA493" s="11"/>
      <c r="CB493" s="247"/>
      <c r="CC493" s="247"/>
      <c r="CD493" s="247"/>
      <c r="CE493" s="11"/>
      <c r="CF493" s="11"/>
      <c r="CG493" s="11"/>
      <c r="CH493" s="241"/>
      <c r="CI493" s="238"/>
      <c r="CJ493" s="236"/>
      <c r="CK493" s="245"/>
      <c r="CL493" s="245"/>
      <c r="CM493" s="11"/>
      <c r="CN493" s="247"/>
      <c r="CO493" s="247"/>
      <c r="CP493" s="247"/>
      <c r="CQ493" s="11"/>
      <c r="CR493" s="11"/>
      <c r="CS493" s="11"/>
      <c r="CT493" s="11"/>
      <c r="CU493" s="11"/>
      <c r="CV493" s="11"/>
      <c r="CW493" s="11"/>
      <c r="CX493" s="11"/>
      <c r="CY493" s="11"/>
      <c r="CZ493" s="102"/>
      <c r="DA493" s="102"/>
      <c r="DB493" s="102"/>
      <c r="DC493" s="11"/>
      <c r="DD493" s="11"/>
      <c r="DE493" s="59"/>
      <c r="DF493" s="11"/>
      <c r="DG493" s="11"/>
      <c r="DH493" s="11"/>
      <c r="DI493" s="11"/>
      <c r="DJ493" s="11"/>
      <c r="DK493" s="11"/>
      <c r="DL493" s="97">
        <v>1002000</v>
      </c>
      <c r="DM493" s="97">
        <f t="shared" si="201"/>
        <v>190380</v>
      </c>
      <c r="DN493" s="97">
        <f t="shared" si="199"/>
        <v>1192380</v>
      </c>
      <c r="DO493" s="115" t="s">
        <v>140</v>
      </c>
      <c r="DP493" s="11"/>
      <c r="DQ493" s="11"/>
      <c r="DR493" s="11"/>
      <c r="DS493" s="11"/>
      <c r="DT493" s="11"/>
      <c r="DU493" s="11"/>
      <c r="DV493" s="11"/>
      <c r="DW493" s="11"/>
      <c r="DX493" s="11"/>
      <c r="DY493" s="11"/>
      <c r="DZ493" s="11"/>
      <c r="EA493" s="11"/>
      <c r="EB493" s="11"/>
      <c r="EC493" s="11"/>
      <c r="ED493" s="11"/>
      <c r="EE493" s="11"/>
      <c r="EF493" s="11"/>
      <c r="EG493" s="11"/>
      <c r="EH493" s="11"/>
      <c r="EI493" s="11"/>
      <c r="EJ493" s="11"/>
      <c r="EK493" s="11"/>
      <c r="EL493" s="11"/>
      <c r="EM493" s="11"/>
      <c r="EN493" s="11"/>
      <c r="EO493" s="11"/>
      <c r="EP493" s="11"/>
      <c r="EQ493" s="11"/>
      <c r="ER493" s="11"/>
      <c r="ES493" s="11"/>
      <c r="ET493" s="11"/>
      <c r="EU493" s="11"/>
      <c r="EV493" s="11"/>
      <c r="EW493" s="11"/>
      <c r="EX493" s="11"/>
      <c r="EY493" s="11"/>
      <c r="EZ493" s="11"/>
      <c r="FA493" s="11"/>
      <c r="FB493" s="11"/>
      <c r="FC493" s="11"/>
      <c r="FD493" s="11"/>
      <c r="FE493" s="11"/>
      <c r="FF493" s="11"/>
      <c r="FG493" s="11"/>
      <c r="FH493" s="17">
        <f t="shared" si="196"/>
        <v>2740439.1</v>
      </c>
      <c r="FI493" s="31">
        <f t="shared" si="197"/>
        <v>2</v>
      </c>
      <c r="FJ493" s="68">
        <f t="shared" si="198"/>
        <v>1370219.55</v>
      </c>
    </row>
    <row r="494" spans="1:166" ht="38.25" x14ac:dyDescent="0.25">
      <c r="A494" s="248">
        <f>Distribución_Reactivos!A494</f>
        <v>492</v>
      </c>
      <c r="B494" s="248" t="str">
        <f>Distribución_Reactivos!B494</f>
        <v xml:space="preserve">SYBR Safe (10.000X), para tinción de ácidos nucleicos en gel. Vial x400µl. Ref S33102 </v>
      </c>
      <c r="C494" s="248" t="str">
        <f>Distribución_Reactivos!C494</f>
        <v>Invitrogen</v>
      </c>
      <c r="D494" s="248" t="str">
        <f>Distribución_Reactivos!D494</f>
        <v>Unidad </v>
      </c>
      <c r="E494" s="29">
        <v>1</v>
      </c>
      <c r="F494" s="221"/>
      <c r="G494" s="221"/>
      <c r="H494" s="221"/>
      <c r="I494" s="221"/>
      <c r="J494" s="260">
        <v>619990</v>
      </c>
      <c r="K494" s="260">
        <v>619990</v>
      </c>
      <c r="L494" s="102"/>
      <c r="M494" s="102">
        <f t="shared" si="200"/>
        <v>638589.70000000007</v>
      </c>
      <c r="N494" s="102"/>
      <c r="O494" s="102"/>
      <c r="P494" s="102"/>
      <c r="Q494" s="44"/>
      <c r="R494" s="44"/>
      <c r="S494" s="5"/>
      <c r="T494" s="102"/>
      <c r="U494" s="102"/>
      <c r="V494" s="102"/>
      <c r="W494" s="11"/>
      <c r="X494" s="11"/>
      <c r="Y494" s="11"/>
      <c r="Z494" s="102"/>
      <c r="AA494" s="102"/>
      <c r="AB494" s="102"/>
      <c r="AC494" s="44"/>
      <c r="AD494" s="44"/>
      <c r="AE494" s="11"/>
      <c r="AF494" s="102"/>
      <c r="AG494" s="102"/>
      <c r="AH494" s="102"/>
      <c r="AI494" s="11"/>
      <c r="AJ494" s="11"/>
      <c r="AK494" s="11"/>
      <c r="AL494" s="102"/>
      <c r="AM494" s="102"/>
      <c r="AN494" s="102"/>
      <c r="AO494" s="248"/>
      <c r="AP494" s="11"/>
      <c r="AQ494" s="11"/>
      <c r="AR494" s="247"/>
      <c r="AS494" s="247"/>
      <c r="AT494" s="247"/>
      <c r="AU494" s="52"/>
      <c r="AV494" s="42"/>
      <c r="AW494" s="11"/>
      <c r="AX494" s="247"/>
      <c r="AY494" s="247"/>
      <c r="AZ494" s="247"/>
      <c r="BA494" s="11"/>
      <c r="BB494" s="11"/>
      <c r="BC494" s="11"/>
      <c r="BD494" s="247"/>
      <c r="BE494" s="247"/>
      <c r="BF494" s="247"/>
      <c r="BG494" s="11"/>
      <c r="BH494" s="11"/>
      <c r="BI494" s="11"/>
      <c r="BJ494" s="247"/>
      <c r="BK494" s="247"/>
      <c r="BL494" s="247"/>
      <c r="BM494" s="11"/>
      <c r="BN494" s="11"/>
      <c r="BO494" s="11"/>
      <c r="BP494" s="247"/>
      <c r="BQ494" s="11"/>
      <c r="BR494" s="11"/>
      <c r="BS494" s="11"/>
      <c r="BT494" s="11"/>
      <c r="BU494" s="11"/>
      <c r="BV494" s="241"/>
      <c r="BW494" s="125"/>
      <c r="BX494" s="97"/>
      <c r="BY494" s="245"/>
      <c r="BZ494" s="245"/>
      <c r="CA494" s="11"/>
      <c r="CB494" s="247"/>
      <c r="CC494" s="247"/>
      <c r="CD494" s="247"/>
      <c r="CE494" s="11"/>
      <c r="CF494" s="11"/>
      <c r="CG494" s="11"/>
      <c r="CH494" s="241"/>
      <c r="CI494" s="238"/>
      <c r="CJ494" s="236"/>
      <c r="CK494" s="245"/>
      <c r="CL494" s="245"/>
      <c r="CM494" s="11"/>
      <c r="CN494" s="247"/>
      <c r="CO494" s="247"/>
      <c r="CP494" s="247"/>
      <c r="CQ494" s="11"/>
      <c r="CR494" s="11"/>
      <c r="CS494" s="11"/>
      <c r="CT494" s="11"/>
      <c r="CU494" s="11"/>
      <c r="CV494" s="11"/>
      <c r="CW494" s="11"/>
      <c r="CX494" s="11"/>
      <c r="CY494" s="11"/>
      <c r="CZ494" s="102"/>
      <c r="DA494" s="102"/>
      <c r="DB494" s="102"/>
      <c r="DC494" s="11"/>
      <c r="DD494" s="11"/>
      <c r="DE494" s="59"/>
      <c r="DF494" s="11"/>
      <c r="DG494" s="11"/>
      <c r="DH494" s="11"/>
      <c r="DI494" s="11"/>
      <c r="DJ494" s="11"/>
      <c r="DK494" s="11"/>
      <c r="DL494" s="97">
        <v>486000</v>
      </c>
      <c r="DM494" s="97">
        <f t="shared" si="201"/>
        <v>92340</v>
      </c>
      <c r="DN494" s="97">
        <f t="shared" si="199"/>
        <v>578340</v>
      </c>
      <c r="DO494" s="115" t="s">
        <v>140</v>
      </c>
      <c r="DP494" s="11"/>
      <c r="DQ494" s="11"/>
      <c r="DR494" s="102">
        <v>364000</v>
      </c>
      <c r="DS494" s="125">
        <v>0</v>
      </c>
      <c r="DT494" s="97">
        <f>+DR494+DS494</f>
        <v>364000</v>
      </c>
      <c r="DU494" s="11"/>
      <c r="DV494" s="11"/>
      <c r="DW494" s="11"/>
      <c r="DX494" s="11"/>
      <c r="DY494" s="11"/>
      <c r="DZ494" s="11"/>
      <c r="EA494" s="11"/>
      <c r="EB494" s="11"/>
      <c r="EC494" s="11"/>
      <c r="ED494" s="11"/>
      <c r="EE494" s="11"/>
      <c r="EF494" s="11"/>
      <c r="EG494" s="11"/>
      <c r="EH494" s="11"/>
      <c r="EI494" s="11"/>
      <c r="EJ494" s="11"/>
      <c r="EK494" s="11"/>
      <c r="EL494" s="11"/>
      <c r="EM494" s="11"/>
      <c r="EN494" s="11"/>
      <c r="EO494" s="11"/>
      <c r="EP494" s="11"/>
      <c r="EQ494" s="11"/>
      <c r="ER494" s="11"/>
      <c r="ES494" s="11"/>
      <c r="ET494" s="11"/>
      <c r="EU494" s="11"/>
      <c r="EV494" s="11"/>
      <c r="EW494" s="11"/>
      <c r="EX494" s="11"/>
      <c r="EY494" s="11"/>
      <c r="EZ494" s="11"/>
      <c r="FA494" s="11"/>
      <c r="FB494" s="11"/>
      <c r="FC494" s="11"/>
      <c r="FD494" s="11"/>
      <c r="FE494" s="11"/>
      <c r="FF494" s="11"/>
      <c r="FG494" s="11"/>
      <c r="FH494" s="17">
        <f t="shared" si="196"/>
        <v>1580929.7000000002</v>
      </c>
      <c r="FI494" s="31">
        <f t="shared" si="197"/>
        <v>3</v>
      </c>
      <c r="FJ494" s="68">
        <f t="shared" si="198"/>
        <v>526976.56666666677</v>
      </c>
    </row>
    <row r="495" spans="1:166" ht="38.25" x14ac:dyDescent="0.25">
      <c r="A495" s="248">
        <f>Distribución_Reactivos!A495</f>
        <v>493</v>
      </c>
      <c r="B495" s="248" t="str">
        <f>Distribución_Reactivos!B495</f>
        <v>TRIS (base) UltraPuro, libre de RNasas, DNasas y proteasas, pureza =99.9%. X 1Kg Ref 15504020</v>
      </c>
      <c r="C495" s="248" t="str">
        <f>Distribución_Reactivos!C495</f>
        <v>Invitrogen</v>
      </c>
      <c r="D495" s="248" t="str">
        <f>Distribución_Reactivos!D495</f>
        <v>Unidad </v>
      </c>
      <c r="E495" s="29">
        <v>1</v>
      </c>
      <c r="F495" s="221"/>
      <c r="G495" s="221"/>
      <c r="H495" s="221"/>
      <c r="I495" s="221"/>
      <c r="J495" s="260">
        <v>905590</v>
      </c>
      <c r="K495" s="260">
        <v>905590</v>
      </c>
      <c r="L495" s="102"/>
      <c r="M495" s="102">
        <f t="shared" si="200"/>
        <v>932757.70000000007</v>
      </c>
      <c r="N495" s="102"/>
      <c r="O495" s="102"/>
      <c r="P495" s="102"/>
      <c r="Q495" s="44"/>
      <c r="R495" s="44"/>
      <c r="S495" s="5"/>
      <c r="T495" s="102"/>
      <c r="U495" s="102"/>
      <c r="V495" s="102"/>
      <c r="W495" s="11"/>
      <c r="X495" s="11"/>
      <c r="Y495" s="11"/>
      <c r="Z495" s="102"/>
      <c r="AA495" s="102"/>
      <c r="AB495" s="102"/>
      <c r="AC495" s="44"/>
      <c r="AD495" s="44"/>
      <c r="AE495" s="11"/>
      <c r="AF495" s="102"/>
      <c r="AG495" s="102"/>
      <c r="AH495" s="102"/>
      <c r="AI495" s="11"/>
      <c r="AJ495" s="11"/>
      <c r="AK495" s="11"/>
      <c r="AL495" s="102"/>
      <c r="AM495" s="102"/>
      <c r="AN495" s="102"/>
      <c r="AO495" s="248"/>
      <c r="AP495" s="11"/>
      <c r="AQ495" s="11"/>
      <c r="AR495" s="247"/>
      <c r="AS495" s="247"/>
      <c r="AT495" s="247"/>
      <c r="AU495" s="52"/>
      <c r="AV495" s="42"/>
      <c r="AW495" s="11"/>
      <c r="AX495" s="247"/>
      <c r="AY495" s="247"/>
      <c r="AZ495" s="247"/>
      <c r="BA495" s="11"/>
      <c r="BB495" s="11"/>
      <c r="BC495" s="11"/>
      <c r="BD495" s="247"/>
      <c r="BE495" s="247"/>
      <c r="BF495" s="247"/>
      <c r="BG495" s="11"/>
      <c r="BH495" s="11"/>
      <c r="BI495" s="11"/>
      <c r="BJ495" s="247"/>
      <c r="BK495" s="247"/>
      <c r="BL495" s="247"/>
      <c r="BM495" s="11"/>
      <c r="BN495" s="11"/>
      <c r="BO495" s="11"/>
      <c r="BP495" s="247"/>
      <c r="BQ495" s="11"/>
      <c r="BR495" s="11"/>
      <c r="BS495" s="11"/>
      <c r="BT495" s="11"/>
      <c r="BU495" s="11"/>
      <c r="BV495" s="241"/>
      <c r="BW495" s="125"/>
      <c r="BX495" s="97"/>
      <c r="BY495" s="245"/>
      <c r="BZ495" s="245"/>
      <c r="CA495" s="11"/>
      <c r="CB495" s="247"/>
      <c r="CC495" s="247"/>
      <c r="CD495" s="247"/>
      <c r="CE495" s="11"/>
      <c r="CF495" s="11"/>
      <c r="CG495" s="11"/>
      <c r="CH495" s="241"/>
      <c r="CI495" s="238"/>
      <c r="CJ495" s="236"/>
      <c r="CK495" s="245"/>
      <c r="CL495" s="245"/>
      <c r="CM495" s="11"/>
      <c r="CN495" s="247"/>
      <c r="CO495" s="247"/>
      <c r="CP495" s="247"/>
      <c r="CQ495" s="11"/>
      <c r="CR495" s="11"/>
      <c r="CS495" s="11"/>
      <c r="CT495" s="11"/>
      <c r="CU495" s="11"/>
      <c r="CV495" s="11"/>
      <c r="CW495" s="11"/>
      <c r="CX495" s="11"/>
      <c r="CY495" s="11"/>
      <c r="CZ495" s="102"/>
      <c r="DA495" s="102"/>
      <c r="DB495" s="102"/>
      <c r="DC495" s="11"/>
      <c r="DD495" s="11"/>
      <c r="DE495" s="59"/>
      <c r="DF495" s="11"/>
      <c r="DG495" s="11"/>
      <c r="DH495" s="11"/>
      <c r="DI495" s="11"/>
      <c r="DJ495" s="11"/>
      <c r="DK495" s="11"/>
      <c r="DL495" s="97">
        <v>761000</v>
      </c>
      <c r="DM495" s="97">
        <f t="shared" si="201"/>
        <v>144590</v>
      </c>
      <c r="DN495" s="97">
        <f t="shared" si="199"/>
        <v>905590</v>
      </c>
      <c r="DO495" s="115" t="s">
        <v>140</v>
      </c>
      <c r="DP495" s="11"/>
      <c r="DQ495" s="11"/>
      <c r="DR495" s="11"/>
      <c r="DS495" s="11"/>
      <c r="DT495" s="11"/>
      <c r="DU495" s="11"/>
      <c r="DV495" s="11"/>
      <c r="DW495" s="11"/>
      <c r="DX495" s="11"/>
      <c r="DY495" s="11"/>
      <c r="DZ495" s="11"/>
      <c r="EA495" s="11"/>
      <c r="EB495" s="11"/>
      <c r="EC495" s="11"/>
      <c r="ED495" s="11"/>
      <c r="EE495" s="11"/>
      <c r="EF495" s="11"/>
      <c r="EG495" s="11"/>
      <c r="EH495" s="11"/>
      <c r="EI495" s="11"/>
      <c r="EJ495" s="11"/>
      <c r="EK495" s="11"/>
      <c r="EL495" s="11"/>
      <c r="EM495" s="11"/>
      <c r="EN495" s="11"/>
      <c r="EO495" s="11"/>
      <c r="EP495" s="11"/>
      <c r="EQ495" s="11"/>
      <c r="ER495" s="11"/>
      <c r="ES495" s="11"/>
      <c r="ET495" s="11"/>
      <c r="EU495" s="11"/>
      <c r="EV495" s="11"/>
      <c r="EW495" s="11"/>
      <c r="EX495" s="11"/>
      <c r="EY495" s="11"/>
      <c r="EZ495" s="11"/>
      <c r="FA495" s="11"/>
      <c r="FB495" s="11"/>
      <c r="FC495" s="11"/>
      <c r="FD495" s="11"/>
      <c r="FE495" s="11"/>
      <c r="FF495" s="11"/>
      <c r="FG495" s="11"/>
      <c r="FH495" s="17">
        <f t="shared" si="196"/>
        <v>1838347.7000000002</v>
      </c>
      <c r="FI495" s="31">
        <f t="shared" si="197"/>
        <v>2</v>
      </c>
      <c r="FJ495" s="68">
        <f t="shared" si="198"/>
        <v>919173.85000000009</v>
      </c>
    </row>
    <row r="496" spans="1:166" ht="51" x14ac:dyDescent="0.25">
      <c r="A496" s="248">
        <f>Distribución_Reactivos!A496</f>
        <v>494</v>
      </c>
      <c r="B496" s="248" t="str">
        <f>Distribución_Reactivos!B496</f>
        <v xml:space="preserve">Oligo (dt) 12-18 PRIMER. Esta listo para usar como un primer en la sintesis de cDNA con transcriptasa reversa. Vial
x25ug. Ref 18418012 </v>
      </c>
      <c r="C496" s="248" t="str">
        <f>Distribución_Reactivos!C496</f>
        <v>Invitrogen</v>
      </c>
      <c r="D496" s="248" t="str">
        <f>Distribución_Reactivos!D496</f>
        <v>Unidad </v>
      </c>
      <c r="E496" s="29">
        <v>1</v>
      </c>
      <c r="F496" s="221"/>
      <c r="G496" s="221"/>
      <c r="H496" s="221"/>
      <c r="I496" s="221"/>
      <c r="J496" s="260">
        <v>829430</v>
      </c>
      <c r="K496" s="260">
        <v>829430</v>
      </c>
      <c r="L496" s="102"/>
      <c r="M496" s="102">
        <f t="shared" si="200"/>
        <v>854312.9</v>
      </c>
      <c r="N496" s="102"/>
      <c r="O496" s="102"/>
      <c r="P496" s="102"/>
      <c r="Q496" s="44"/>
      <c r="R496" s="44"/>
      <c r="S496" s="5"/>
      <c r="T496" s="102"/>
      <c r="U496" s="102"/>
      <c r="V496" s="102"/>
      <c r="W496" s="11"/>
      <c r="X496" s="11"/>
      <c r="Y496" s="11"/>
      <c r="Z496" s="102"/>
      <c r="AA496" s="102"/>
      <c r="AB496" s="102"/>
      <c r="AC496" s="44"/>
      <c r="AD496" s="44"/>
      <c r="AE496" s="11"/>
      <c r="AF496" s="102"/>
      <c r="AG496" s="102"/>
      <c r="AH496" s="102"/>
      <c r="AI496" s="11"/>
      <c r="AJ496" s="11"/>
      <c r="AK496" s="11"/>
      <c r="AL496" s="102"/>
      <c r="AM496" s="102"/>
      <c r="AN496" s="102"/>
      <c r="AO496" s="248"/>
      <c r="AP496" s="11"/>
      <c r="AQ496" s="11"/>
      <c r="AR496" s="247"/>
      <c r="AS496" s="247"/>
      <c r="AT496" s="247"/>
      <c r="AU496" s="52"/>
      <c r="AV496" s="42"/>
      <c r="AW496" s="11"/>
      <c r="AX496" s="247"/>
      <c r="AY496" s="247"/>
      <c r="AZ496" s="247"/>
      <c r="BA496" s="11"/>
      <c r="BB496" s="11"/>
      <c r="BC496" s="11"/>
      <c r="BD496" s="247"/>
      <c r="BE496" s="247"/>
      <c r="BF496" s="247"/>
      <c r="BG496" s="11"/>
      <c r="BH496" s="11"/>
      <c r="BI496" s="11"/>
      <c r="BJ496" s="247"/>
      <c r="BK496" s="247"/>
      <c r="BL496" s="247"/>
      <c r="BM496" s="11"/>
      <c r="BN496" s="11"/>
      <c r="BO496" s="11"/>
      <c r="BP496" s="247"/>
      <c r="BQ496" s="11"/>
      <c r="BR496" s="11"/>
      <c r="BS496" s="11"/>
      <c r="BT496" s="11"/>
      <c r="BU496" s="11"/>
      <c r="BV496" s="241"/>
      <c r="BW496" s="125"/>
      <c r="BX496" s="97"/>
      <c r="BY496" s="245"/>
      <c r="BZ496" s="245"/>
      <c r="CA496" s="11"/>
      <c r="CB496" s="247"/>
      <c r="CC496" s="247"/>
      <c r="CD496" s="247"/>
      <c r="CE496" s="11"/>
      <c r="CF496" s="11"/>
      <c r="CG496" s="11"/>
      <c r="CH496" s="241"/>
      <c r="CI496" s="238"/>
      <c r="CJ496" s="236"/>
      <c r="CK496" s="245"/>
      <c r="CL496" s="245"/>
      <c r="CM496" s="11"/>
      <c r="CN496" s="247"/>
      <c r="CO496" s="247"/>
      <c r="CP496" s="247"/>
      <c r="CQ496" s="11"/>
      <c r="CR496" s="11"/>
      <c r="CS496" s="11"/>
      <c r="CT496" s="11"/>
      <c r="CU496" s="11"/>
      <c r="CV496" s="11"/>
      <c r="CW496" s="11"/>
      <c r="CX496" s="11"/>
      <c r="CY496" s="11"/>
      <c r="CZ496" s="102"/>
      <c r="DA496" s="102"/>
      <c r="DB496" s="102"/>
      <c r="DC496" s="11"/>
      <c r="DD496" s="11"/>
      <c r="DE496" s="59"/>
      <c r="DF496" s="11"/>
      <c r="DG496" s="11"/>
      <c r="DH496" s="11"/>
      <c r="DI496" s="11"/>
      <c r="DJ496" s="11"/>
      <c r="DK496" s="11"/>
      <c r="DL496" s="97">
        <v>697000</v>
      </c>
      <c r="DM496" s="101">
        <f t="shared" si="201"/>
        <v>132430</v>
      </c>
      <c r="DN496" s="97">
        <f t="shared" si="199"/>
        <v>829430</v>
      </c>
      <c r="DO496" s="115" t="s">
        <v>140</v>
      </c>
      <c r="DP496" s="11"/>
      <c r="DQ496" s="11"/>
      <c r="DR496" s="11"/>
      <c r="DS496" s="11"/>
      <c r="DT496" s="11"/>
      <c r="DU496" s="11"/>
      <c r="DV496" s="11"/>
      <c r="DW496" s="11"/>
      <c r="DX496" s="11"/>
      <c r="DY496" s="11"/>
      <c r="DZ496" s="11"/>
      <c r="EA496" s="11"/>
      <c r="EB496" s="11"/>
      <c r="EC496" s="11"/>
      <c r="ED496" s="11"/>
      <c r="EE496" s="11"/>
      <c r="EF496" s="11"/>
      <c r="EG496" s="11"/>
      <c r="EH496" s="11"/>
      <c r="EI496" s="11"/>
      <c r="EJ496" s="11"/>
      <c r="EK496" s="11"/>
      <c r="EL496" s="11"/>
      <c r="EM496" s="11"/>
      <c r="EN496" s="11"/>
      <c r="EO496" s="11"/>
      <c r="EP496" s="11"/>
      <c r="EQ496" s="11"/>
      <c r="ER496" s="11"/>
      <c r="ES496" s="11"/>
      <c r="ET496" s="11"/>
      <c r="EU496" s="11"/>
      <c r="EV496" s="11"/>
      <c r="EW496" s="11"/>
      <c r="EX496" s="11"/>
      <c r="EY496" s="11"/>
      <c r="EZ496" s="11"/>
      <c r="FA496" s="11"/>
      <c r="FB496" s="11"/>
      <c r="FC496" s="11"/>
      <c r="FD496" s="11"/>
      <c r="FE496" s="11"/>
      <c r="FF496" s="11"/>
      <c r="FG496" s="11"/>
      <c r="FH496" s="17">
        <f t="shared" si="196"/>
        <v>1683742.9</v>
      </c>
      <c r="FI496" s="31">
        <f t="shared" si="197"/>
        <v>2</v>
      </c>
      <c r="FJ496" s="68">
        <f t="shared" si="198"/>
        <v>841871.45</v>
      </c>
    </row>
    <row r="497" spans="1:166" ht="13.5" x14ac:dyDescent="0.25">
      <c r="A497" s="248">
        <f>Distribución_Reactivos!A497</f>
        <v>495</v>
      </c>
      <c r="B497" s="248" t="str">
        <f>Distribución_Reactivos!B497</f>
        <v>Tube Bacte MGIT 7ML</v>
      </c>
      <c r="C497" s="248" t="str">
        <f>Distribución_Reactivos!C497</f>
        <v>BD 245122</v>
      </c>
      <c r="D497" s="248" t="str">
        <f>Distribución_Reactivos!D497</f>
        <v>CAJA X 100</v>
      </c>
      <c r="E497" s="29">
        <v>1</v>
      </c>
      <c r="F497" s="221"/>
      <c r="G497" s="221"/>
      <c r="H497" s="221"/>
      <c r="I497" s="221"/>
      <c r="J497" s="221"/>
      <c r="K497" s="221"/>
      <c r="L497" s="247"/>
      <c r="M497" s="247"/>
      <c r="N497" s="102"/>
      <c r="O497" s="102"/>
      <c r="P497" s="102"/>
      <c r="Q497" s="44"/>
      <c r="R497" s="44"/>
      <c r="S497" s="5"/>
      <c r="T497" s="102"/>
      <c r="U497" s="102"/>
      <c r="V497" s="102"/>
      <c r="W497" s="11"/>
      <c r="X497" s="11"/>
      <c r="Y497" s="11"/>
      <c r="Z497" s="102"/>
      <c r="AA497" s="102"/>
      <c r="AB497" s="102"/>
      <c r="AC497" s="44"/>
      <c r="AD497" s="44"/>
      <c r="AE497" s="11"/>
      <c r="AF497" s="102"/>
      <c r="AG497" s="102"/>
      <c r="AH497" s="102"/>
      <c r="AI497" s="11"/>
      <c r="AJ497" s="11"/>
      <c r="AK497" s="11"/>
      <c r="AL497" s="102"/>
      <c r="AM497" s="102"/>
      <c r="AN497" s="102"/>
      <c r="AO497" s="248"/>
      <c r="AP497" s="11"/>
      <c r="AQ497" s="11"/>
      <c r="AR497" s="247"/>
      <c r="AS497" s="247"/>
      <c r="AT497" s="247"/>
      <c r="AU497" s="52"/>
      <c r="AV497" s="42"/>
      <c r="AW497" s="11"/>
      <c r="AX497" s="247"/>
      <c r="AY497" s="247"/>
      <c r="AZ497" s="247"/>
      <c r="BA497" s="11"/>
      <c r="BB497" s="11"/>
      <c r="BC497" s="11"/>
      <c r="BD497" s="247"/>
      <c r="BE497" s="247"/>
      <c r="BF497" s="247"/>
      <c r="BG497" s="11"/>
      <c r="BH497" s="11"/>
      <c r="BI497" s="11"/>
      <c r="BJ497" s="247"/>
      <c r="BK497" s="247"/>
      <c r="BL497" s="247"/>
      <c r="BM497" s="11"/>
      <c r="BN497" s="11"/>
      <c r="BO497" s="11"/>
      <c r="BP497" s="247"/>
      <c r="BQ497" s="11"/>
      <c r="BR497" s="11"/>
      <c r="BS497" s="11"/>
      <c r="BT497" s="11"/>
      <c r="BU497" s="11"/>
      <c r="BV497" s="241"/>
      <c r="BW497" s="125"/>
      <c r="BX497" s="97"/>
      <c r="BY497" s="245"/>
      <c r="BZ497" s="245"/>
      <c r="CA497" s="11"/>
      <c r="CB497" s="247"/>
      <c r="CC497" s="247"/>
      <c r="CD497" s="247"/>
      <c r="CE497" s="11"/>
      <c r="CF497" s="11"/>
      <c r="CG497" s="11"/>
      <c r="CH497" s="241"/>
      <c r="CI497" s="238"/>
      <c r="CJ497" s="236"/>
      <c r="CK497" s="245"/>
      <c r="CL497" s="245"/>
      <c r="CM497" s="11"/>
      <c r="CN497" s="247"/>
      <c r="CO497" s="247"/>
      <c r="CP497" s="247"/>
      <c r="CQ497" s="11"/>
      <c r="CR497" s="11"/>
      <c r="CS497" s="11"/>
      <c r="CT497" s="11"/>
      <c r="CU497" s="11"/>
      <c r="CV497" s="11"/>
      <c r="CW497" s="11"/>
      <c r="CX497" s="11"/>
      <c r="CY497" s="11"/>
      <c r="CZ497" s="102"/>
      <c r="DA497" s="102"/>
      <c r="DB497" s="102"/>
      <c r="DC497" s="11"/>
      <c r="DD497" s="11"/>
      <c r="DE497" s="59"/>
      <c r="DF497" s="11"/>
      <c r="DG497" s="11"/>
      <c r="DH497" s="11"/>
      <c r="DI497" s="11"/>
      <c r="DJ497" s="11"/>
      <c r="DK497" s="11"/>
      <c r="DL497" s="11"/>
      <c r="DM497" s="11"/>
      <c r="DN497" s="11"/>
      <c r="DO497" s="11"/>
      <c r="DP497" s="11"/>
      <c r="DQ497" s="11"/>
      <c r="DR497" s="11"/>
      <c r="DS497" s="11"/>
      <c r="DT497" s="11"/>
      <c r="DU497" s="11"/>
      <c r="DV497" s="11"/>
      <c r="DW497" s="11"/>
      <c r="DX497" s="103">
        <v>1000000</v>
      </c>
      <c r="DY497" s="97">
        <f>+DX497*0.19</f>
        <v>190000</v>
      </c>
      <c r="DZ497" s="97">
        <f>+DX497+DY497</f>
        <v>1190000</v>
      </c>
      <c r="EA497" s="11"/>
      <c r="EB497" s="11"/>
      <c r="EC497" s="11"/>
      <c r="ED497" s="11"/>
      <c r="EE497" s="11"/>
      <c r="EF497" s="11"/>
      <c r="EG497" s="11"/>
      <c r="EH497" s="11"/>
      <c r="EI497" s="11"/>
      <c r="EJ497" s="11"/>
      <c r="EK497" s="11"/>
      <c r="EL497" s="11"/>
      <c r="EM497" s="11"/>
      <c r="EN497" s="11"/>
      <c r="EO497" s="11"/>
      <c r="EP497" s="11"/>
      <c r="EQ497" s="11"/>
      <c r="ER497" s="11"/>
      <c r="ES497" s="11"/>
      <c r="ET497" s="11"/>
      <c r="EU497" s="11"/>
      <c r="EV497" s="11"/>
      <c r="EW497" s="11"/>
      <c r="EX497" s="11"/>
      <c r="EY497" s="11"/>
      <c r="EZ497" s="11"/>
      <c r="FA497" s="11"/>
      <c r="FB497" s="11"/>
      <c r="FC497" s="11"/>
      <c r="FD497" s="11"/>
      <c r="FE497" s="11"/>
      <c r="FF497" s="11"/>
      <c r="FG497" s="11"/>
      <c r="FH497" s="17">
        <f t="shared" si="196"/>
        <v>1190000</v>
      </c>
      <c r="FI497" s="31">
        <f t="shared" si="197"/>
        <v>1</v>
      </c>
      <c r="FJ497" s="68">
        <f t="shared" si="198"/>
        <v>1190000</v>
      </c>
    </row>
    <row r="498" spans="1:166" ht="13.5" x14ac:dyDescent="0.25">
      <c r="A498" s="248">
        <f>Distribución_Reactivos!A498</f>
        <v>496</v>
      </c>
      <c r="B498" s="248" t="str">
        <f>Distribución_Reactivos!B498</f>
        <v>Tube Lowenstein- Jensen Gruft 100EA</v>
      </c>
      <c r="C498" s="248" t="str">
        <f>Distribución_Reactivos!C498</f>
        <v>BD 297653</v>
      </c>
      <c r="D498" s="248" t="str">
        <f>Distribución_Reactivos!D498</f>
        <v>CAJA X 100</v>
      </c>
      <c r="E498" s="29">
        <v>1</v>
      </c>
      <c r="F498" s="221"/>
      <c r="G498" s="221"/>
      <c r="H498" s="221"/>
      <c r="I498" s="221"/>
      <c r="J498" s="221"/>
      <c r="K498" s="221"/>
      <c r="L498" s="247"/>
      <c r="M498" s="247"/>
      <c r="N498" s="102"/>
      <c r="O498" s="102"/>
      <c r="P498" s="102"/>
      <c r="Q498" s="44"/>
      <c r="R498" s="44"/>
      <c r="S498" s="5"/>
      <c r="T498" s="102"/>
      <c r="U498" s="102"/>
      <c r="V498" s="102"/>
      <c r="W498" s="11"/>
      <c r="X498" s="11"/>
      <c r="Y498" s="11"/>
      <c r="Z498" s="102"/>
      <c r="AA498" s="102"/>
      <c r="AB498" s="102"/>
      <c r="AC498" s="44"/>
      <c r="AD498" s="44"/>
      <c r="AE498" s="11"/>
      <c r="AF498" s="102"/>
      <c r="AG498" s="102"/>
      <c r="AH498" s="102"/>
      <c r="AI498" s="11"/>
      <c r="AJ498" s="11"/>
      <c r="AK498" s="11"/>
      <c r="AL498" s="102"/>
      <c r="AM498" s="102"/>
      <c r="AN498" s="102"/>
      <c r="AO498" s="248"/>
      <c r="AP498" s="11"/>
      <c r="AQ498" s="11"/>
      <c r="AR498" s="247"/>
      <c r="AS498" s="247"/>
      <c r="AT498" s="247"/>
      <c r="AU498" s="52"/>
      <c r="AV498" s="42"/>
      <c r="AW498" s="11"/>
      <c r="AX498" s="247"/>
      <c r="AY498" s="247"/>
      <c r="AZ498" s="247"/>
      <c r="BA498" s="11"/>
      <c r="BB498" s="11"/>
      <c r="BC498" s="11"/>
      <c r="BD498" s="247"/>
      <c r="BE498" s="247"/>
      <c r="BF498" s="247"/>
      <c r="BG498" s="11"/>
      <c r="BH498" s="11"/>
      <c r="BI498" s="11"/>
      <c r="BJ498" s="247"/>
      <c r="BK498" s="247"/>
      <c r="BL498" s="247"/>
      <c r="BM498" s="11"/>
      <c r="BN498" s="11"/>
      <c r="BO498" s="11"/>
      <c r="BP498" s="247"/>
      <c r="BQ498" s="11"/>
      <c r="BR498" s="11"/>
      <c r="BS498" s="11"/>
      <c r="BT498" s="11"/>
      <c r="BU498" s="11"/>
      <c r="BV498" s="241"/>
      <c r="BW498" s="125"/>
      <c r="BX498" s="97"/>
      <c r="BY498" s="245"/>
      <c r="BZ498" s="245"/>
      <c r="CA498" s="11"/>
      <c r="CB498" s="247"/>
      <c r="CC498" s="247"/>
      <c r="CD498" s="247"/>
      <c r="CE498" s="11"/>
      <c r="CF498" s="11"/>
      <c r="CG498" s="11"/>
      <c r="CH498" s="241"/>
      <c r="CI498" s="238"/>
      <c r="CJ498" s="236"/>
      <c r="CK498" s="245"/>
      <c r="CL498" s="245"/>
      <c r="CM498" s="11"/>
      <c r="CN498" s="247"/>
      <c r="CO498" s="247"/>
      <c r="CP498" s="247"/>
      <c r="CQ498" s="11"/>
      <c r="CR498" s="11"/>
      <c r="CS498" s="11"/>
      <c r="CT498" s="11"/>
      <c r="CU498" s="11"/>
      <c r="CV498" s="11"/>
      <c r="CW498" s="11"/>
      <c r="CX498" s="11"/>
      <c r="CY498" s="11"/>
      <c r="CZ498" s="102"/>
      <c r="DA498" s="102"/>
      <c r="DB498" s="102"/>
      <c r="DC498" s="11"/>
      <c r="DD498" s="11"/>
      <c r="DE498" s="59"/>
      <c r="DF498" s="11"/>
      <c r="DG498" s="11"/>
      <c r="DH498" s="11"/>
      <c r="DI498" s="11"/>
      <c r="DJ498" s="11"/>
      <c r="DK498" s="11"/>
      <c r="DL498" s="11"/>
      <c r="DM498" s="11"/>
      <c r="DN498" s="11"/>
      <c r="DO498" s="11"/>
      <c r="DP498" s="11"/>
      <c r="DQ498" s="11"/>
      <c r="DR498" s="11"/>
      <c r="DS498" s="11"/>
      <c r="DT498" s="11"/>
      <c r="DU498" s="11"/>
      <c r="DV498" s="11"/>
      <c r="DW498" s="11"/>
      <c r="DX498" s="103">
        <v>950000</v>
      </c>
      <c r="DY498" s="97">
        <f>+DX498*0.19</f>
        <v>180500</v>
      </c>
      <c r="DZ498" s="97">
        <f>+DX498+DY498</f>
        <v>1130500</v>
      </c>
      <c r="EA498" s="11"/>
      <c r="EB498" s="11"/>
      <c r="EC498" s="11"/>
      <c r="ED498" s="11"/>
      <c r="EE498" s="11"/>
      <c r="EF498" s="11"/>
      <c r="EG498" s="11"/>
      <c r="EH498" s="11"/>
      <c r="EI498" s="11"/>
      <c r="EJ498" s="11"/>
      <c r="EK498" s="11"/>
      <c r="EL498" s="11"/>
      <c r="EM498" s="11"/>
      <c r="EN498" s="11"/>
      <c r="EO498" s="11"/>
      <c r="EP498" s="11"/>
      <c r="EQ498" s="11"/>
      <c r="ER498" s="11"/>
      <c r="ES498" s="11"/>
      <c r="ET498" s="11"/>
      <c r="EU498" s="11"/>
      <c r="EV498" s="11"/>
      <c r="EW498" s="11"/>
      <c r="EX498" s="11"/>
      <c r="EY498" s="11"/>
      <c r="EZ498" s="11"/>
      <c r="FA498" s="11"/>
      <c r="FB498" s="11"/>
      <c r="FC498" s="11"/>
      <c r="FD498" s="11"/>
      <c r="FE498" s="11"/>
      <c r="FF498" s="11"/>
      <c r="FG498" s="11"/>
      <c r="FH498" s="17">
        <f t="shared" si="196"/>
        <v>1130500</v>
      </c>
      <c r="FI498" s="31">
        <f t="shared" si="197"/>
        <v>1</v>
      </c>
      <c r="FJ498" s="68">
        <f t="shared" si="198"/>
        <v>1130500</v>
      </c>
    </row>
    <row r="499" spans="1:166" ht="13.5" x14ac:dyDescent="0.25">
      <c r="A499" s="248">
        <f>Distribución_Reactivos!A499</f>
        <v>497</v>
      </c>
      <c r="B499" s="248" t="str">
        <f>Distribución_Reactivos!B499</f>
        <v>Kit Mycoprep 75 ML</v>
      </c>
      <c r="C499" s="248" t="str">
        <f>Distribución_Reactivos!C499</f>
        <v>BD 240862</v>
      </c>
      <c r="D499" s="248" t="str">
        <f>Distribución_Reactivos!D499</f>
        <v>CAJA X 10</v>
      </c>
      <c r="E499" s="29">
        <v>1</v>
      </c>
      <c r="F499" s="221"/>
      <c r="G499" s="221"/>
      <c r="H499" s="221"/>
      <c r="I499" s="221"/>
      <c r="J499" s="221"/>
      <c r="K499" s="221"/>
      <c r="L499" s="247"/>
      <c r="M499" s="247"/>
      <c r="N499" s="102"/>
      <c r="O499" s="102"/>
      <c r="P499" s="102"/>
      <c r="Q499" s="44"/>
      <c r="R499" s="44"/>
      <c r="S499" s="5"/>
      <c r="T499" s="102"/>
      <c r="U499" s="102"/>
      <c r="V499" s="102"/>
      <c r="W499" s="11"/>
      <c r="X499" s="11"/>
      <c r="Y499" s="11"/>
      <c r="Z499" s="102"/>
      <c r="AA499" s="102"/>
      <c r="AB499" s="102"/>
      <c r="AC499" s="44"/>
      <c r="AD499" s="44"/>
      <c r="AE499" s="11"/>
      <c r="AF499" s="102"/>
      <c r="AG499" s="102"/>
      <c r="AH499" s="102"/>
      <c r="AI499" s="11"/>
      <c r="AJ499" s="11"/>
      <c r="AK499" s="11"/>
      <c r="AL499" s="102"/>
      <c r="AM499" s="102"/>
      <c r="AN499" s="102"/>
      <c r="AO499" s="248"/>
      <c r="AP499" s="11"/>
      <c r="AQ499" s="11"/>
      <c r="AR499" s="247"/>
      <c r="AS499" s="247"/>
      <c r="AT499" s="247"/>
      <c r="AU499" s="52"/>
      <c r="AV499" s="42"/>
      <c r="AW499" s="11"/>
      <c r="AX499" s="247"/>
      <c r="AY499" s="247"/>
      <c r="AZ499" s="247"/>
      <c r="BA499" s="11"/>
      <c r="BB499" s="11"/>
      <c r="BC499" s="11"/>
      <c r="BD499" s="247"/>
      <c r="BE499" s="247"/>
      <c r="BF499" s="247"/>
      <c r="BG499" s="11"/>
      <c r="BH499" s="11"/>
      <c r="BI499" s="11"/>
      <c r="BJ499" s="247"/>
      <c r="BK499" s="247"/>
      <c r="BL499" s="247"/>
      <c r="BM499" s="11"/>
      <c r="BN499" s="11"/>
      <c r="BO499" s="11"/>
      <c r="BP499" s="247"/>
      <c r="BQ499" s="11"/>
      <c r="BR499" s="11"/>
      <c r="BS499" s="11"/>
      <c r="BT499" s="11"/>
      <c r="BU499" s="11"/>
      <c r="BV499" s="241"/>
      <c r="BW499" s="125"/>
      <c r="BX499" s="97"/>
      <c r="BY499" s="245"/>
      <c r="BZ499" s="245"/>
      <c r="CA499" s="11"/>
      <c r="CB499" s="247"/>
      <c r="CC499" s="247"/>
      <c r="CD499" s="247"/>
      <c r="CE499" s="11"/>
      <c r="CF499" s="11"/>
      <c r="CG499" s="11"/>
      <c r="CH499" s="241"/>
      <c r="CI499" s="238"/>
      <c r="CJ499" s="236"/>
      <c r="CK499" s="245"/>
      <c r="CL499" s="245"/>
      <c r="CM499" s="11"/>
      <c r="CN499" s="247"/>
      <c r="CO499" s="247"/>
      <c r="CP499" s="247"/>
      <c r="CQ499" s="11"/>
      <c r="CR499" s="11"/>
      <c r="CS499" s="11"/>
      <c r="CT499" s="11"/>
      <c r="CU499" s="11"/>
      <c r="CV499" s="11"/>
      <c r="CW499" s="11"/>
      <c r="CX499" s="11"/>
      <c r="CY499" s="11"/>
      <c r="CZ499" s="102"/>
      <c r="DA499" s="102"/>
      <c r="DB499" s="102"/>
      <c r="DC499" s="11"/>
      <c r="DD499" s="11"/>
      <c r="DE499" s="59"/>
      <c r="DF499" s="11"/>
      <c r="DG499" s="11"/>
      <c r="DH499" s="11"/>
      <c r="DI499" s="11"/>
      <c r="DJ499" s="11"/>
      <c r="DK499" s="11"/>
      <c r="DL499" s="11"/>
      <c r="DM499" s="11"/>
      <c r="DN499" s="11"/>
      <c r="DO499" s="11"/>
      <c r="DP499" s="11"/>
      <c r="DQ499" s="11"/>
      <c r="DR499" s="11"/>
      <c r="DS499" s="11"/>
      <c r="DT499" s="11"/>
      <c r="DU499" s="11"/>
      <c r="DV499" s="11"/>
      <c r="DW499" s="11"/>
      <c r="DX499" s="97">
        <v>500000</v>
      </c>
      <c r="DY499" s="97">
        <f>+DX499*0.19</f>
        <v>95000</v>
      </c>
      <c r="DZ499" s="97">
        <f>+DX499+DY499</f>
        <v>595000</v>
      </c>
      <c r="EA499" s="11"/>
      <c r="EB499" s="11"/>
      <c r="EC499" s="11"/>
      <c r="ED499" s="11"/>
      <c r="EE499" s="11"/>
      <c r="EF499" s="11"/>
      <c r="EG499" s="11"/>
      <c r="EH499" s="11"/>
      <c r="EI499" s="11"/>
      <c r="EJ499" s="11"/>
      <c r="EK499" s="11"/>
      <c r="EL499" s="11"/>
      <c r="EM499" s="11"/>
      <c r="EN499" s="11"/>
      <c r="EO499" s="11"/>
      <c r="EP499" s="11"/>
      <c r="EQ499" s="11"/>
      <c r="ER499" s="11"/>
      <c r="ES499" s="11"/>
      <c r="ET499" s="11"/>
      <c r="EU499" s="11"/>
      <c r="EV499" s="11"/>
      <c r="EW499" s="11"/>
      <c r="EX499" s="11"/>
      <c r="EY499" s="11"/>
      <c r="EZ499" s="11"/>
      <c r="FA499" s="11"/>
      <c r="FB499" s="11"/>
      <c r="FC499" s="11"/>
      <c r="FD499" s="11"/>
      <c r="FE499" s="11"/>
      <c r="FF499" s="11"/>
      <c r="FG499" s="11"/>
      <c r="FH499" s="17">
        <f t="shared" si="196"/>
        <v>595000</v>
      </c>
      <c r="FI499" s="31">
        <f t="shared" si="197"/>
        <v>1</v>
      </c>
      <c r="FJ499" s="68">
        <f t="shared" si="198"/>
        <v>595000</v>
      </c>
    </row>
    <row r="500" spans="1:166" ht="25.5" x14ac:dyDescent="0.25">
      <c r="A500" s="248">
        <f>Distribución_Reactivos!A500</f>
        <v>498</v>
      </c>
      <c r="B500" s="248" t="str">
        <f>Distribución_Reactivos!B500</f>
        <v>Kit ELISA por  5 placas INGEZIM  CORONA DIFERENCIAL 2.0 </v>
      </c>
      <c r="C500" s="248" t="str">
        <f>Distribución_Reactivos!C500</f>
        <v>(INGENASA)</v>
      </c>
      <c r="D500" s="248" t="str">
        <f>Distribución_Reactivos!D500</f>
        <v>Kit x 5 placas</v>
      </c>
      <c r="E500" s="29">
        <v>1</v>
      </c>
      <c r="F500" s="221"/>
      <c r="G500" s="221"/>
      <c r="H500" s="221"/>
      <c r="I500" s="221"/>
      <c r="J500" s="221"/>
      <c r="K500" s="221"/>
      <c r="L500" s="247"/>
      <c r="M500" s="247"/>
      <c r="N500" s="102"/>
      <c r="O500" s="102"/>
      <c r="P500" s="102"/>
      <c r="Q500" s="44"/>
      <c r="R500" s="44"/>
      <c r="S500" s="5"/>
      <c r="T500" s="102"/>
      <c r="U500" s="102"/>
      <c r="V500" s="102"/>
      <c r="W500" s="11"/>
      <c r="X500" s="11"/>
      <c r="Y500" s="11"/>
      <c r="Z500" s="102"/>
      <c r="AA500" s="102"/>
      <c r="AB500" s="102"/>
      <c r="AC500" s="44"/>
      <c r="AD500" s="44"/>
      <c r="AE500" s="11"/>
      <c r="AF500" s="102"/>
      <c r="AG500" s="102"/>
      <c r="AH500" s="102"/>
      <c r="AI500" s="11"/>
      <c r="AJ500" s="11"/>
      <c r="AK500" s="11"/>
      <c r="AL500" s="102"/>
      <c r="AM500" s="102"/>
      <c r="AN500" s="102"/>
      <c r="AO500" s="248"/>
      <c r="AP500" s="11"/>
      <c r="AQ500" s="11"/>
      <c r="AR500" s="247"/>
      <c r="AS500" s="247"/>
      <c r="AT500" s="247"/>
      <c r="AU500" s="52"/>
      <c r="AV500" s="42"/>
      <c r="AW500" s="11"/>
      <c r="AX500" s="247"/>
      <c r="AY500" s="247"/>
      <c r="AZ500" s="247"/>
      <c r="BA500" s="11"/>
      <c r="BB500" s="11"/>
      <c r="BC500" s="11"/>
      <c r="BD500" s="247"/>
      <c r="BE500" s="247"/>
      <c r="BF500" s="247"/>
      <c r="BG500" s="11"/>
      <c r="BH500" s="11"/>
      <c r="BI500" s="11"/>
      <c r="BJ500" s="247"/>
      <c r="BK500" s="247"/>
      <c r="BL500" s="247"/>
      <c r="BM500" s="11"/>
      <c r="BN500" s="11"/>
      <c r="BO500" s="11"/>
      <c r="BP500" s="247"/>
      <c r="BQ500" s="11"/>
      <c r="BR500" s="11"/>
      <c r="BS500" s="11"/>
      <c r="BT500" s="11"/>
      <c r="BU500" s="11"/>
      <c r="BV500" s="241"/>
      <c r="BW500" s="125"/>
      <c r="BX500" s="97"/>
      <c r="BY500" s="245"/>
      <c r="BZ500" s="245"/>
      <c r="CA500" s="11"/>
      <c r="CB500" s="247"/>
      <c r="CC500" s="247"/>
      <c r="CD500" s="247"/>
      <c r="CE500" s="11"/>
      <c r="CF500" s="11"/>
      <c r="CG500" s="11"/>
      <c r="CH500" s="241"/>
      <c r="CI500" s="238"/>
      <c r="CJ500" s="236"/>
      <c r="CK500" s="245"/>
      <c r="CL500" s="245"/>
      <c r="CM500" s="11"/>
      <c r="CN500" s="247"/>
      <c r="CO500" s="247"/>
      <c r="CP500" s="247"/>
      <c r="CQ500" s="11"/>
      <c r="CR500" s="11"/>
      <c r="CS500" s="11"/>
      <c r="CT500" s="11"/>
      <c r="CU500" s="11"/>
      <c r="CV500" s="11"/>
      <c r="CW500" s="11"/>
      <c r="CX500" s="11"/>
      <c r="CY500" s="11"/>
      <c r="CZ500" s="102"/>
      <c r="DA500" s="102"/>
      <c r="DB500" s="102"/>
      <c r="DC500" s="11"/>
      <c r="DD500" s="11"/>
      <c r="DE500" s="59"/>
      <c r="DF500" s="11"/>
      <c r="DG500" s="11"/>
      <c r="DH500" s="11"/>
      <c r="DI500" s="11"/>
      <c r="DJ500" s="11"/>
      <c r="DK500" s="11"/>
      <c r="DL500" s="11"/>
      <c r="DM500" s="11"/>
      <c r="DN500" s="11"/>
      <c r="DO500" s="11"/>
      <c r="DP500" s="11"/>
      <c r="DQ500" s="11"/>
      <c r="DR500" s="11"/>
      <c r="DS500" s="11"/>
      <c r="DT500" s="11"/>
      <c r="DU500" s="11"/>
      <c r="DV500" s="11"/>
      <c r="DW500" s="11"/>
      <c r="DX500" s="11"/>
      <c r="DY500" s="11"/>
      <c r="DZ500" s="11"/>
      <c r="EA500" s="11"/>
      <c r="EB500" s="11"/>
      <c r="EC500" s="11"/>
      <c r="ED500" s="97">
        <v>3039500</v>
      </c>
      <c r="EE500" s="103">
        <f>+ED500*0</f>
        <v>0</v>
      </c>
      <c r="EF500" s="97">
        <f>+ED500+EE500</f>
        <v>3039500</v>
      </c>
      <c r="EG500" s="115" t="s">
        <v>487</v>
      </c>
      <c r="EH500" s="115" t="s">
        <v>488</v>
      </c>
      <c r="EI500" s="11"/>
      <c r="EJ500" s="11"/>
      <c r="EK500" s="11"/>
      <c r="EL500" s="11"/>
      <c r="EM500" s="11"/>
      <c r="EN500" s="11"/>
      <c r="EO500" s="11"/>
      <c r="EP500" s="11"/>
      <c r="EQ500" s="11"/>
      <c r="ER500" s="11"/>
      <c r="ES500" s="11"/>
      <c r="ET500" s="11"/>
      <c r="EU500" s="11"/>
      <c r="EV500" s="11"/>
      <c r="EW500" s="11"/>
      <c r="EX500" s="11"/>
      <c r="EY500" s="11"/>
      <c r="EZ500" s="11"/>
      <c r="FA500" s="11"/>
      <c r="FB500" s="11"/>
      <c r="FC500" s="11"/>
      <c r="FD500" s="11"/>
      <c r="FE500" s="11"/>
      <c r="FF500" s="11"/>
      <c r="FG500" s="11"/>
      <c r="FH500" s="17">
        <f t="shared" si="196"/>
        <v>3039500</v>
      </c>
      <c r="FI500" s="31">
        <f t="shared" si="197"/>
        <v>1</v>
      </c>
      <c r="FJ500" s="17">
        <f t="shared" si="198"/>
        <v>3039500</v>
      </c>
    </row>
    <row r="501" spans="1:166" ht="25.5" customHeight="1" x14ac:dyDescent="0.25">
      <c r="A501" s="262">
        <v>499</v>
      </c>
      <c r="B501" s="248" t="str">
        <f>Distribución_Reactivos!B501</f>
        <v>REVEAL FOR RUMINANT IN FEED REF 8100</v>
      </c>
      <c r="C501" s="248" t="str">
        <f>Distribución_Reactivos!C501</f>
        <v>Feed</v>
      </c>
      <c r="D501" s="248" t="str">
        <f>Distribución_Reactivos!D501</f>
        <v>KIT x 25 Pruebas</v>
      </c>
      <c r="E501" s="29">
        <v>1</v>
      </c>
      <c r="F501" s="221"/>
      <c r="G501" s="221"/>
      <c r="H501" s="221"/>
      <c r="I501" s="221"/>
      <c r="J501" s="221">
        <v>589301</v>
      </c>
      <c r="K501" s="221">
        <v>549500</v>
      </c>
      <c r="L501" s="247">
        <f>+J501</f>
        <v>589301</v>
      </c>
      <c r="M501" s="247">
        <f>+K501*1.03</f>
        <v>565985</v>
      </c>
      <c r="N501" s="102"/>
      <c r="O501" s="102"/>
      <c r="P501" s="102"/>
      <c r="Q501" s="44"/>
      <c r="R501" s="44"/>
      <c r="S501" s="5"/>
      <c r="T501" s="102"/>
      <c r="U501" s="102"/>
      <c r="V501" s="102"/>
      <c r="W501" s="11"/>
      <c r="X501" s="11"/>
      <c r="Y501" s="11"/>
      <c r="Z501" s="102"/>
      <c r="AA501" s="102"/>
      <c r="AB501" s="102"/>
      <c r="AC501" s="44"/>
      <c r="AD501" s="44"/>
      <c r="AE501" s="11"/>
      <c r="AF501" s="102"/>
      <c r="AG501" s="102"/>
      <c r="AH501" s="102"/>
      <c r="AI501" s="11"/>
      <c r="AJ501" s="11"/>
      <c r="AK501" s="11"/>
      <c r="AL501" s="102"/>
      <c r="AM501" s="102"/>
      <c r="AN501" s="102"/>
      <c r="AO501" s="248"/>
      <c r="AP501" s="11"/>
      <c r="AQ501" s="11"/>
      <c r="AR501" s="247"/>
      <c r="AS501" s="247"/>
      <c r="AT501" s="247"/>
      <c r="AU501" s="52"/>
      <c r="AV501" s="42"/>
      <c r="AW501" s="11"/>
      <c r="AX501" s="247"/>
      <c r="AY501" s="247"/>
      <c r="AZ501" s="247"/>
      <c r="BA501" s="11"/>
      <c r="BB501" s="11"/>
      <c r="BC501" s="11"/>
      <c r="BD501" s="247"/>
      <c r="BE501" s="247"/>
      <c r="BF501" s="247"/>
      <c r="BG501" s="11"/>
      <c r="BH501" s="11"/>
      <c r="BI501" s="11"/>
      <c r="BJ501" s="247"/>
      <c r="BK501" s="247"/>
      <c r="BL501" s="247"/>
      <c r="BM501" s="11"/>
      <c r="BN501" s="11"/>
      <c r="BO501" s="11"/>
      <c r="BP501" s="247"/>
      <c r="BQ501" s="11"/>
      <c r="BR501" s="11"/>
      <c r="BS501" s="11"/>
      <c r="BT501" s="11"/>
      <c r="BU501" s="11"/>
      <c r="BV501" s="241"/>
      <c r="BW501" s="125"/>
      <c r="BX501" s="97"/>
      <c r="BY501" s="245"/>
      <c r="BZ501" s="245"/>
      <c r="CA501" s="11"/>
      <c r="CB501" s="247"/>
      <c r="CC501" s="247"/>
      <c r="CD501" s="247"/>
      <c r="CE501" s="11"/>
      <c r="CF501" s="11"/>
      <c r="CG501" s="11"/>
      <c r="CH501" s="241"/>
      <c r="CI501" s="238"/>
      <c r="CJ501" s="236"/>
      <c r="CK501" s="245"/>
      <c r="CL501" s="245"/>
      <c r="CM501" s="11"/>
      <c r="CN501" s="247"/>
      <c r="CO501" s="247"/>
      <c r="CP501" s="247"/>
      <c r="CQ501" s="11"/>
      <c r="CR501" s="11"/>
      <c r="CS501" s="11"/>
      <c r="CT501" s="11"/>
      <c r="CU501" s="11"/>
      <c r="CV501" s="11"/>
      <c r="CW501" s="11"/>
      <c r="CX501" s="11"/>
      <c r="CY501" s="11"/>
      <c r="CZ501" s="102"/>
      <c r="DA501" s="102"/>
      <c r="DB501" s="102"/>
      <c r="DC501" s="11"/>
      <c r="DD501" s="11"/>
      <c r="DE501" s="59"/>
      <c r="DF501" s="11"/>
      <c r="DG501" s="11"/>
      <c r="DH501" s="11"/>
      <c r="DI501" s="11"/>
      <c r="DJ501" s="11"/>
      <c r="DK501" s="11"/>
      <c r="DL501" s="11"/>
      <c r="DM501" s="11"/>
      <c r="DN501" s="11"/>
      <c r="DO501" s="11"/>
      <c r="DP501" s="11"/>
      <c r="DQ501" s="11"/>
      <c r="DR501" s="11"/>
      <c r="DS501" s="11"/>
      <c r="DT501" s="11"/>
      <c r="DU501" s="11"/>
      <c r="DV501" s="11"/>
      <c r="DW501" s="11"/>
      <c r="DX501" s="11"/>
      <c r="DY501" s="11"/>
      <c r="DZ501" s="11"/>
      <c r="EA501" s="11"/>
      <c r="EB501" s="11"/>
      <c r="EC501" s="11"/>
      <c r="ED501" s="97"/>
      <c r="EE501" s="103"/>
      <c r="EF501" s="97"/>
      <c r="EG501" s="115"/>
      <c r="EH501" s="115"/>
      <c r="EI501" s="11"/>
      <c r="EJ501" s="15">
        <v>659800</v>
      </c>
      <c r="EK501" s="33">
        <f>+EJ501*0</f>
        <v>0</v>
      </c>
      <c r="EL501" s="15">
        <f>+EJ501+EK501</f>
        <v>659800</v>
      </c>
      <c r="EM501" s="11" t="s">
        <v>489</v>
      </c>
      <c r="EN501" s="11"/>
      <c r="EO501" s="11"/>
      <c r="EP501" s="33">
        <v>573000</v>
      </c>
      <c r="EQ501" s="33">
        <f>+EP501*0</f>
        <v>0</v>
      </c>
      <c r="ER501" s="33">
        <f>+EP501+EQ501</f>
        <v>573000</v>
      </c>
      <c r="ES501" s="11" t="s">
        <v>489</v>
      </c>
      <c r="ET501" s="11"/>
      <c r="EU501" s="11"/>
      <c r="EV501" s="11"/>
      <c r="EW501" s="11"/>
      <c r="EX501" s="11"/>
      <c r="EY501" s="11"/>
      <c r="EZ501" s="11"/>
      <c r="FA501" s="11"/>
      <c r="FB501" s="11"/>
      <c r="FC501" s="11"/>
      <c r="FD501" s="11"/>
      <c r="FE501" s="11"/>
      <c r="FF501" s="11"/>
      <c r="FG501" s="11"/>
      <c r="FH501" s="17">
        <f t="shared" si="196"/>
        <v>1798785</v>
      </c>
      <c r="FI501" s="31">
        <f t="shared" si="197"/>
        <v>3</v>
      </c>
      <c r="FJ501" s="17">
        <f>IFERROR(FH501/FI501," ")</f>
        <v>599595</v>
      </c>
    </row>
    <row r="502" spans="1:166" ht="12" customHeight="1" x14ac:dyDescent="0.25">
      <c r="P502" s="257">
        <f>SUBTOTAL(9,P3:P479)</f>
        <v>42373806.5</v>
      </c>
      <c r="V502" s="257">
        <f>SUBTOTAL(9,V3:V479)</f>
        <v>30157147.5</v>
      </c>
      <c r="AB502" s="257">
        <f>SUBTOTAL(9,AB3:AB479)</f>
        <v>28288000</v>
      </c>
      <c r="AH502" s="257">
        <f>SUBTOTAL(9,AH3:AH479)</f>
        <v>59935805</v>
      </c>
      <c r="AL502" s="257">
        <f>SUBTOTAL(9,AL3:AL479)</f>
        <v>45950750</v>
      </c>
      <c r="AN502" s="257">
        <f>SUBTOTAL(9,AN3:AN479)</f>
        <v>54396392.5</v>
      </c>
      <c r="AT502" s="257">
        <f>SUBTOTAL(9,AT3:AT479)</f>
        <v>126560806.90299998</v>
      </c>
      <c r="AZ502" s="257">
        <f>SUBTOTAL(9,AZ3:AZ479)</f>
        <v>13508625.822993634</v>
      </c>
      <c r="BF502" s="257">
        <f>SUBTOTAL(9,BF3:BF479)</f>
        <v>16593360</v>
      </c>
      <c r="BL502" s="257">
        <f>SUBTOTAL(9,BL3:BL479)</f>
        <v>6104462</v>
      </c>
      <c r="BR502" s="257">
        <f>SUBTOTAL(9,BR3:BR479)</f>
        <v>22075127.368000004</v>
      </c>
      <c r="BX502" s="257">
        <f>SUBTOTAL(9,BX3:BX479)</f>
        <v>514182226.90611106</v>
      </c>
      <c r="CD502" s="257">
        <f>SUBTOTAL(9,CD3:CD479)</f>
        <v>17489101.859999999</v>
      </c>
      <c r="CJ502" s="257">
        <f>SUBTOTAL(9,CJ3:CJ479)</f>
        <v>267160899.48531115</v>
      </c>
      <c r="CP502" s="257">
        <f>SUBTOTAL(9,CP3:CP479)</f>
        <v>23611421.890000001</v>
      </c>
      <c r="CV502" s="257">
        <f>SUBTOTAL(9,CV3:CV479)</f>
        <v>95404725.929999977</v>
      </c>
    </row>
  </sheetData>
  <protectedRanges>
    <protectedRange password="E406" sqref="AO377" name="Plan de compras_2_2_3"/>
    <protectedRange sqref="AY271 AY421:AY422 AY297 BE49 AY304:AY305 BE430:BE431 AY400:AY401 BE45 AY3:AY253" name="Rango1_1_2_7_3"/>
    <protectedRange sqref="AY298:AY303 AY306:AY381 AY272:AY296 AY255:AY270" name="Rango1_1_2_8_3"/>
    <protectedRange sqref="AX3:AX253" name="Rango1_1_2_9_3"/>
    <protectedRange sqref="AX255:AX381" name="Rango1_1_2_10_3"/>
    <protectedRange sqref="AZ271 AZ421:AZ422 AZ297 BF49 AZ304:AZ305 BF430:BF431 AZ400:AZ401 BF45 AZ3:AZ253" name="Rango1_1_2_11_3"/>
    <protectedRange sqref="AZ298:AZ303 AZ306:AZ381 AZ272:AZ296 AZ255:AZ270" name="Rango1_1_2_12_3"/>
    <protectedRange sqref="AY254" name="Rango1_1_2_1_3"/>
    <protectedRange sqref="AX254" name="Rango1_1_2_5_3"/>
    <protectedRange sqref="AR171 AR179:AR180 AR216 AR220 AR309 AR232" name="Rango1_1_2"/>
    <protectedRange sqref="AW8" name="Rango1_1_2_5"/>
    <protectedRange sqref="AR279" name="Rango1_1_2_21"/>
    <protectedRange sqref="AR346" name="Rango1_1_2_64"/>
  </protectedRanges>
  <sortState xmlns:xlrd2="http://schemas.microsoft.com/office/spreadsheetml/2017/richdata2" ref="A4:ES650">
    <sortCondition ref="B3:B650"/>
  </sortState>
  <mergeCells count="36">
    <mergeCell ref="FB1:FG1"/>
    <mergeCell ref="DF1:DK1"/>
    <mergeCell ref="DL1:DQ1"/>
    <mergeCell ref="DR1:DW1"/>
    <mergeCell ref="DX1:EC1"/>
    <mergeCell ref="ED1:EI1"/>
    <mergeCell ref="CT1:CY1"/>
    <mergeCell ref="CZ1:DE1"/>
    <mergeCell ref="EJ1:EO1"/>
    <mergeCell ref="EP1:EU1"/>
    <mergeCell ref="EV1:FA1"/>
    <mergeCell ref="A1:A2"/>
    <mergeCell ref="B1:B2"/>
    <mergeCell ref="C1:C2"/>
    <mergeCell ref="D1:D2"/>
    <mergeCell ref="N1:S1"/>
    <mergeCell ref="F1:G1"/>
    <mergeCell ref="H1:I1"/>
    <mergeCell ref="J1:K1"/>
    <mergeCell ref="L1:M1"/>
    <mergeCell ref="FJ1:FJ2"/>
    <mergeCell ref="FH1:FH2"/>
    <mergeCell ref="FI1:FI2"/>
    <mergeCell ref="T1:Y1"/>
    <mergeCell ref="Z1:AE1"/>
    <mergeCell ref="AF1:AK1"/>
    <mergeCell ref="AL1:AQ1"/>
    <mergeCell ref="AR1:AW1"/>
    <mergeCell ref="AX1:BC1"/>
    <mergeCell ref="BD1:BI1"/>
    <mergeCell ref="BJ1:BO1"/>
    <mergeCell ref="BP1:BU1"/>
    <mergeCell ref="BV1:CA1"/>
    <mergeCell ref="CB1:CG1"/>
    <mergeCell ref="CH1:CM1"/>
    <mergeCell ref="CN1:CS1"/>
  </mergeCells>
  <conditionalFormatting sqref="CY5">
    <cfRule type="duplicateValues" dxfId="112" priority="37"/>
  </conditionalFormatting>
  <conditionalFormatting sqref="CP435">
    <cfRule type="cellIs" dxfId="111" priority="20" operator="lessThan">
      <formula>0</formula>
    </cfRule>
    <cfRule type="cellIs" dxfId="110" priority="21" operator="greaterThan">
      <formula>0</formula>
    </cfRule>
  </conditionalFormatting>
  <conditionalFormatting sqref="CP436">
    <cfRule type="cellIs" dxfId="109" priority="19" operator="greaterThan">
      <formula>0</formula>
    </cfRule>
  </conditionalFormatting>
  <conditionalFormatting sqref="CV435">
    <cfRule type="cellIs" dxfId="108" priority="17" operator="lessThan">
      <formula>0</formula>
    </cfRule>
    <cfRule type="cellIs" dxfId="107" priority="18" operator="greaterThan">
      <formula>0</formula>
    </cfRule>
  </conditionalFormatting>
  <conditionalFormatting sqref="CV436">
    <cfRule type="cellIs" dxfId="106" priority="16" operator="greaterThan">
      <formula>0</formula>
    </cfRule>
  </conditionalFormatting>
  <conditionalFormatting sqref="DB435">
    <cfRule type="cellIs" dxfId="105" priority="2" operator="lessThan">
      <formula>0</formula>
    </cfRule>
    <cfRule type="cellIs" dxfId="104" priority="5" operator="greaterThan">
      <formula>0</formula>
    </cfRule>
  </conditionalFormatting>
  <conditionalFormatting sqref="DD435">
    <cfRule type="cellIs" dxfId="103" priority="3" operator="lessThan">
      <formula>0</formula>
    </cfRule>
    <cfRule type="cellIs" dxfId="102" priority="4" operator="greaterThan">
      <formula>0</formula>
    </cfRule>
  </conditionalFormatting>
  <conditionalFormatting sqref="DB436">
    <cfRule type="cellIs" dxfId="101" priority="1" operator="greaterThan">
      <formula>0</formula>
    </cfRule>
  </conditionalFormatting>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BG568"/>
  <sheetViews>
    <sheetView zoomScale="115" zoomScaleNormal="115" workbookViewId="0">
      <pane xSplit="4" ySplit="2" topLeftCell="AT3" activePane="bottomRight" state="frozen"/>
      <selection pane="topRight" activeCell="E1" sqref="E1"/>
      <selection pane="bottomLeft" activeCell="A2" sqref="A2"/>
      <selection pane="bottomRight" activeCell="BF5" sqref="BF5"/>
    </sheetView>
  </sheetViews>
  <sheetFormatPr baseColWidth="10" defaultColWidth="11.42578125" defaultRowHeight="12.75" x14ac:dyDescent="0.25"/>
  <cols>
    <col min="1" max="1" width="4.42578125" style="268" customWidth="1"/>
    <col min="2" max="2" width="18.85546875" style="269" customWidth="1"/>
    <col min="3" max="3" width="11.42578125" style="269" customWidth="1"/>
    <col min="4" max="4" width="11.42578125" style="270" customWidth="1"/>
    <col min="5" max="5" width="7.7109375" style="271" customWidth="1"/>
    <col min="6" max="6" width="8.140625" style="271" customWidth="1"/>
    <col min="7" max="7" width="9.28515625" style="271" customWidth="1"/>
    <col min="8" max="8" width="11.42578125" style="271" customWidth="1"/>
    <col min="9" max="9" width="8.5703125" style="271" customWidth="1"/>
    <col min="10" max="10" width="11.42578125" style="271" customWidth="1"/>
    <col min="11" max="11" width="7" style="271" customWidth="1"/>
    <col min="12" max="12" width="7.42578125" style="271" customWidth="1"/>
    <col min="13" max="13" width="11.28515625" style="271" customWidth="1"/>
    <col min="14" max="14" width="20.140625" style="271" customWidth="1"/>
    <col min="15" max="15" width="7" style="271" customWidth="1"/>
    <col min="16" max="16" width="11.28515625" style="271" customWidth="1"/>
    <col min="17" max="18" width="11.42578125" style="271" customWidth="1"/>
    <col min="19" max="19" width="8.5703125" style="271" customWidth="1"/>
    <col min="20" max="20" width="11.42578125" style="271" customWidth="1"/>
    <col min="21" max="21" width="7" style="271" customWidth="1"/>
    <col min="22" max="22" width="5.85546875" style="271" customWidth="1"/>
    <col min="23" max="23" width="9" style="271" customWidth="1"/>
    <col min="24" max="24" width="11.42578125" style="271" customWidth="1"/>
    <col min="25" max="25" width="7" style="271" customWidth="1"/>
    <col min="26" max="26" width="8.5703125" style="271" customWidth="1"/>
    <col min="27" max="28" width="11.42578125" style="271" customWidth="1"/>
    <col min="29" max="29" width="8.5703125" style="271" customWidth="1"/>
    <col min="30" max="30" width="11.42578125" style="271" customWidth="1"/>
    <col min="31" max="31" width="7" style="271" customWidth="1"/>
    <col min="32" max="32" width="6" style="287" customWidth="1"/>
    <col min="33" max="33" width="9.28515625" style="271" customWidth="1"/>
    <col min="34" max="34" width="21.42578125" style="271" customWidth="1"/>
    <col min="35" max="35" width="7" style="271" customWidth="1"/>
    <col min="36" max="36" width="8.5703125" style="271" customWidth="1"/>
    <col min="37" max="37" width="9.28515625" style="271" customWidth="1"/>
    <col min="38" max="38" width="11.140625" style="271" customWidth="1"/>
    <col min="39" max="39" width="8.5703125" style="271" customWidth="1"/>
    <col min="40" max="40" width="11.42578125" style="271" customWidth="1"/>
    <col min="41" max="41" width="7" style="271" customWidth="1"/>
    <col min="42" max="42" width="7.85546875" style="271" customWidth="1"/>
    <col min="43" max="43" width="11.42578125" style="271" customWidth="1"/>
    <col min="44" max="44" width="31.85546875" style="271" customWidth="1"/>
    <col min="45" max="45" width="7" style="271" customWidth="1"/>
    <col min="46" max="46" width="8.5703125" style="271" customWidth="1"/>
    <col min="47" max="47" width="9.28515625" style="271" customWidth="1"/>
    <col min="48" max="48" width="11.140625" style="271" customWidth="1"/>
    <col min="49" max="49" width="8.5703125" style="271" customWidth="1"/>
    <col min="50" max="50" width="11.42578125" style="271" customWidth="1"/>
    <col min="51" max="51" width="7" style="271" bestFit="1" customWidth="1"/>
    <col min="52" max="52" width="5.85546875" style="271" customWidth="1"/>
    <col min="53" max="53" width="11.42578125" style="271"/>
    <col min="54" max="54" width="15.7109375" style="281" customWidth="1"/>
    <col min="55" max="16384" width="11.42578125" style="27"/>
  </cols>
  <sheetData>
    <row r="1" spans="1:59" x14ac:dyDescent="0.25">
      <c r="E1" s="465" t="s">
        <v>490</v>
      </c>
      <c r="F1" s="465"/>
      <c r="G1" s="465"/>
      <c r="H1" s="465"/>
      <c r="I1" s="465"/>
      <c r="J1" s="465"/>
      <c r="K1" s="465"/>
      <c r="L1" s="465"/>
      <c r="M1" s="465"/>
      <c r="N1" s="465"/>
      <c r="O1" s="466" t="s">
        <v>491</v>
      </c>
      <c r="P1" s="466"/>
      <c r="Q1" s="466"/>
      <c r="R1" s="466"/>
      <c r="S1" s="466"/>
      <c r="T1" s="466"/>
      <c r="U1" s="466"/>
      <c r="V1" s="466"/>
      <c r="W1" s="466"/>
      <c r="X1" s="466"/>
      <c r="Y1" s="467" t="s">
        <v>492</v>
      </c>
      <c r="Z1" s="467"/>
      <c r="AA1" s="467"/>
      <c r="AB1" s="467"/>
      <c r="AC1" s="467"/>
      <c r="AD1" s="467"/>
      <c r="AE1" s="467"/>
      <c r="AF1" s="467"/>
      <c r="AG1" s="467"/>
      <c r="AH1" s="467"/>
      <c r="AI1" s="468" t="s">
        <v>493</v>
      </c>
      <c r="AJ1" s="468"/>
      <c r="AK1" s="468"/>
      <c r="AL1" s="468"/>
      <c r="AM1" s="468"/>
      <c r="AN1" s="468"/>
      <c r="AO1" s="468"/>
      <c r="AP1" s="468"/>
      <c r="AQ1" s="468"/>
      <c r="AR1" s="468"/>
      <c r="AS1" s="469" t="s">
        <v>494</v>
      </c>
      <c r="AT1" s="469"/>
      <c r="AU1" s="469"/>
      <c r="AV1" s="469"/>
      <c r="AW1" s="469"/>
      <c r="AX1" s="469"/>
      <c r="AY1" s="469"/>
      <c r="AZ1" s="469"/>
      <c r="BA1" s="469"/>
      <c r="BB1" s="469"/>
    </row>
    <row r="2" spans="1:59" ht="63.75" x14ac:dyDescent="0.25">
      <c r="A2" s="272" t="s">
        <v>0</v>
      </c>
      <c r="B2" s="272" t="s">
        <v>1</v>
      </c>
      <c r="C2" s="272" t="s">
        <v>2</v>
      </c>
      <c r="D2" s="272" t="s">
        <v>3</v>
      </c>
      <c r="E2" s="274" t="s">
        <v>495</v>
      </c>
      <c r="F2" s="274" t="s">
        <v>496</v>
      </c>
      <c r="G2" s="274" t="s">
        <v>497</v>
      </c>
      <c r="H2" s="274" t="s">
        <v>498</v>
      </c>
      <c r="I2" s="274" t="s">
        <v>499</v>
      </c>
      <c r="J2" s="274" t="s">
        <v>500</v>
      </c>
      <c r="K2" s="274" t="s">
        <v>501</v>
      </c>
      <c r="L2" s="274" t="s">
        <v>503</v>
      </c>
      <c r="M2" s="274" t="s">
        <v>504</v>
      </c>
      <c r="N2" s="274" t="s">
        <v>40</v>
      </c>
      <c r="O2" s="275" t="s">
        <v>495</v>
      </c>
      <c r="P2" s="275" t="s">
        <v>496</v>
      </c>
      <c r="Q2" s="275" t="s">
        <v>497</v>
      </c>
      <c r="R2" s="275" t="s">
        <v>498</v>
      </c>
      <c r="S2" s="275" t="s">
        <v>499</v>
      </c>
      <c r="T2" s="275" t="s">
        <v>505</v>
      </c>
      <c r="U2" s="275" t="s">
        <v>501</v>
      </c>
      <c r="V2" s="275" t="s">
        <v>503</v>
      </c>
      <c r="W2" s="275" t="s">
        <v>504</v>
      </c>
      <c r="X2" s="275" t="s">
        <v>40</v>
      </c>
      <c r="Y2" s="276" t="s">
        <v>495</v>
      </c>
      <c r="Z2" s="276" t="s">
        <v>496</v>
      </c>
      <c r="AA2" s="276" t="s">
        <v>497</v>
      </c>
      <c r="AB2" s="276" t="s">
        <v>498</v>
      </c>
      <c r="AC2" s="276" t="s">
        <v>499</v>
      </c>
      <c r="AD2" s="276" t="s">
        <v>505</v>
      </c>
      <c r="AE2" s="276" t="s">
        <v>501</v>
      </c>
      <c r="AF2" s="288" t="s">
        <v>503</v>
      </c>
      <c r="AG2" s="276" t="s">
        <v>504</v>
      </c>
      <c r="AH2" s="277" t="s">
        <v>40</v>
      </c>
      <c r="AI2" s="278" t="s">
        <v>495</v>
      </c>
      <c r="AJ2" s="278" t="s">
        <v>496</v>
      </c>
      <c r="AK2" s="278" t="s">
        <v>497</v>
      </c>
      <c r="AL2" s="278" t="s">
        <v>498</v>
      </c>
      <c r="AM2" s="278" t="s">
        <v>499</v>
      </c>
      <c r="AN2" s="278" t="s">
        <v>505</v>
      </c>
      <c r="AO2" s="278" t="s">
        <v>501</v>
      </c>
      <c r="AP2" s="278" t="s">
        <v>503</v>
      </c>
      <c r="AQ2" s="278" t="s">
        <v>504</v>
      </c>
      <c r="AR2" s="278" t="s">
        <v>40</v>
      </c>
      <c r="AS2" s="279" t="s">
        <v>495</v>
      </c>
      <c r="AT2" s="279" t="s">
        <v>496</v>
      </c>
      <c r="AU2" s="279" t="s">
        <v>497</v>
      </c>
      <c r="AV2" s="279" t="s">
        <v>498</v>
      </c>
      <c r="AW2" s="279" t="s">
        <v>499</v>
      </c>
      <c r="AX2" s="279" t="s">
        <v>505</v>
      </c>
      <c r="AY2" s="279" t="s">
        <v>501</v>
      </c>
      <c r="AZ2" s="279" t="s">
        <v>503</v>
      </c>
      <c r="BA2" s="279" t="s">
        <v>504</v>
      </c>
      <c r="BB2" s="279" t="s">
        <v>40</v>
      </c>
      <c r="BC2" s="293" t="s">
        <v>506</v>
      </c>
      <c r="BD2" s="415" t="s">
        <v>2848</v>
      </c>
    </row>
    <row r="3" spans="1:59" ht="15" customHeight="1" x14ac:dyDescent="0.25">
      <c r="A3" s="308">
        <v>1</v>
      </c>
      <c r="B3" s="309" t="s">
        <v>507</v>
      </c>
      <c r="C3" s="310" t="s">
        <v>508</v>
      </c>
      <c r="D3" s="310" t="s">
        <v>509</v>
      </c>
      <c r="E3" s="311"/>
      <c r="F3" s="311"/>
      <c r="G3" s="311"/>
      <c r="H3" s="311"/>
      <c r="I3" s="311"/>
      <c r="J3" s="311"/>
      <c r="K3" s="311"/>
      <c r="L3" s="408">
        <f>+K3</f>
        <v>0</v>
      </c>
      <c r="M3" s="311"/>
      <c r="N3" s="301"/>
      <c r="O3" s="311"/>
      <c r="P3" s="311"/>
      <c r="Q3" s="311"/>
      <c r="R3" s="311"/>
      <c r="S3" s="311"/>
      <c r="T3" s="311"/>
      <c r="U3" s="311"/>
      <c r="V3" s="409">
        <f>+U3</f>
        <v>0</v>
      </c>
      <c r="W3" s="311"/>
      <c r="X3" s="311"/>
      <c r="Y3" s="300"/>
      <c r="Z3" s="312"/>
      <c r="AA3" s="312"/>
      <c r="AB3" s="312"/>
      <c r="AC3" s="312"/>
      <c r="AD3" s="312"/>
      <c r="AE3" s="313"/>
      <c r="AF3" s="410">
        <f>AE3</f>
        <v>0</v>
      </c>
      <c r="AG3" s="312"/>
      <c r="AH3" s="312"/>
      <c r="AI3" s="303"/>
      <c r="AJ3" s="303"/>
      <c r="AK3" s="303"/>
      <c r="AL3" s="303"/>
      <c r="AM3" s="303"/>
      <c r="AN3" s="303"/>
      <c r="AO3" s="303"/>
      <c r="AP3" s="290">
        <f>+AO3</f>
        <v>0</v>
      </c>
      <c r="AQ3" s="303"/>
      <c r="AR3" s="303"/>
      <c r="AS3" s="303" t="s">
        <v>510</v>
      </c>
      <c r="AT3" s="303" t="s">
        <v>510</v>
      </c>
      <c r="AU3" s="303" t="s">
        <v>510</v>
      </c>
      <c r="AV3" s="303" t="s">
        <v>511</v>
      </c>
      <c r="AW3" s="303" t="s">
        <v>510</v>
      </c>
      <c r="AX3" s="303" t="s">
        <v>511</v>
      </c>
      <c r="AY3" s="303">
        <v>0</v>
      </c>
      <c r="AZ3" s="290">
        <f>+AY3</f>
        <v>0</v>
      </c>
      <c r="BA3" s="303" t="s">
        <v>504</v>
      </c>
      <c r="BB3" s="303"/>
      <c r="BC3" s="315">
        <f t="shared" ref="BC3:BC66" si="0">COUNTIF(M3,"Habilitado")+COUNTIF(W3,"Habilitado")+COUNTIF(AG3,"Habilitado")+COUNTIF(AQ3,"Habilitado")+COUNTIF(AS3,"Habilitado")+COUNTIF(BA3,"Habilitado")</f>
        <v>1</v>
      </c>
      <c r="BD3" s="316" t="str">
        <f>IF(BC3&gt;=1,"Habilitado","Desierto")</f>
        <v>Habilitado</v>
      </c>
      <c r="BE3" s="291" t="s">
        <v>512</v>
      </c>
      <c r="BF3" s="11">
        <f>COUNTIF(BD3:BD568,"Habilitado")</f>
        <v>335</v>
      </c>
      <c r="BG3" s="292">
        <f>+BF3/BF5</f>
        <v>0.67134268537074149</v>
      </c>
    </row>
    <row r="4" spans="1:59" ht="38.25" x14ac:dyDescent="0.25">
      <c r="A4" s="308">
        <v>2</v>
      </c>
      <c r="B4" s="309" t="s">
        <v>513</v>
      </c>
      <c r="C4" s="310" t="s">
        <v>514</v>
      </c>
      <c r="D4" s="310" t="s">
        <v>515</v>
      </c>
      <c r="E4" s="303" t="s">
        <v>510</v>
      </c>
      <c r="F4" s="303" t="s">
        <v>510</v>
      </c>
      <c r="G4" s="303" t="s">
        <v>510</v>
      </c>
      <c r="H4" s="303" t="s">
        <v>511</v>
      </c>
      <c r="I4" s="303" t="s">
        <v>510</v>
      </c>
      <c r="J4" s="303" t="s">
        <v>511</v>
      </c>
      <c r="K4" s="303">
        <v>40</v>
      </c>
      <c r="L4" s="408">
        <f t="shared" ref="L4:L67" si="1">+K4</f>
        <v>40</v>
      </c>
      <c r="M4" s="303" t="s">
        <v>504</v>
      </c>
      <c r="N4" s="303"/>
      <c r="O4" s="311"/>
      <c r="P4" s="311"/>
      <c r="Q4" s="311"/>
      <c r="R4" s="311"/>
      <c r="S4" s="311"/>
      <c r="T4" s="311"/>
      <c r="U4" s="311"/>
      <c r="V4" s="409">
        <f t="shared" ref="V4:V67" si="2">+U4</f>
        <v>0</v>
      </c>
      <c r="W4" s="311"/>
      <c r="X4" s="311"/>
      <c r="Y4" s="312"/>
      <c r="Z4" s="312"/>
      <c r="AA4" s="312"/>
      <c r="AB4" s="312"/>
      <c r="AC4" s="312"/>
      <c r="AD4" s="312"/>
      <c r="AE4" s="313"/>
      <c r="AF4" s="410">
        <f t="shared" ref="AF4:AF67" si="3">AE4</f>
        <v>0</v>
      </c>
      <c r="AG4" s="312"/>
      <c r="AH4" s="317"/>
      <c r="AI4" s="303"/>
      <c r="AJ4" s="303"/>
      <c r="AK4" s="303"/>
      <c r="AL4" s="303"/>
      <c r="AM4" s="303"/>
      <c r="AN4" s="303"/>
      <c r="AO4" s="303"/>
      <c r="AP4" s="290">
        <f>+AO4</f>
        <v>0</v>
      </c>
      <c r="AQ4" s="303"/>
      <c r="AR4" s="303"/>
      <c r="AS4" s="303" t="s">
        <v>510</v>
      </c>
      <c r="AT4" s="303" t="s">
        <v>510</v>
      </c>
      <c r="AU4" s="303" t="s">
        <v>510</v>
      </c>
      <c r="AV4" s="303" t="s">
        <v>511</v>
      </c>
      <c r="AW4" s="303" t="s">
        <v>510</v>
      </c>
      <c r="AX4" s="303" t="s">
        <v>511</v>
      </c>
      <c r="AY4" s="303">
        <v>0</v>
      </c>
      <c r="AZ4" s="290">
        <f t="shared" ref="AZ4:AZ67" si="4">+AY4</f>
        <v>0</v>
      </c>
      <c r="BA4" s="303" t="s">
        <v>504</v>
      </c>
      <c r="BB4" s="303"/>
      <c r="BC4" s="315">
        <f t="shared" si="0"/>
        <v>2</v>
      </c>
      <c r="BD4" s="316" t="str">
        <f t="shared" ref="BD4:BD67" si="5">IF(BC4&gt;=1,"Habilitado","Desierto")</f>
        <v>Habilitado</v>
      </c>
      <c r="BE4" s="294" t="s">
        <v>516</v>
      </c>
      <c r="BF4" s="11">
        <f>COUNTIF(BD3:BD568,"Desierto")</f>
        <v>164</v>
      </c>
      <c r="BG4" s="292">
        <f>+BF4/BF5</f>
        <v>0.32865731462925851</v>
      </c>
    </row>
    <row r="5" spans="1:59" ht="51" x14ac:dyDescent="0.25">
      <c r="A5" s="308">
        <v>3</v>
      </c>
      <c r="B5" s="309" t="s">
        <v>517</v>
      </c>
      <c r="C5" s="310" t="s">
        <v>518</v>
      </c>
      <c r="D5" s="310" t="s">
        <v>262</v>
      </c>
      <c r="E5" s="303" t="s">
        <v>510</v>
      </c>
      <c r="F5" s="303" t="s">
        <v>510</v>
      </c>
      <c r="G5" s="303" t="s">
        <v>510</v>
      </c>
      <c r="H5" s="303" t="s">
        <v>511</v>
      </c>
      <c r="I5" s="303" t="s">
        <v>510</v>
      </c>
      <c r="J5" s="303" t="s">
        <v>511</v>
      </c>
      <c r="K5" s="303">
        <v>40</v>
      </c>
      <c r="L5" s="408">
        <f t="shared" si="1"/>
        <v>40</v>
      </c>
      <c r="M5" s="303" t="s">
        <v>504</v>
      </c>
      <c r="N5" s="303"/>
      <c r="O5" s="311"/>
      <c r="P5" s="311"/>
      <c r="Q5" s="311"/>
      <c r="R5" s="311"/>
      <c r="S5" s="311"/>
      <c r="T5" s="311"/>
      <c r="U5" s="311"/>
      <c r="V5" s="409">
        <f t="shared" si="2"/>
        <v>0</v>
      </c>
      <c r="W5" s="311"/>
      <c r="X5" s="311"/>
      <c r="Y5" s="300"/>
      <c r="Z5" s="300"/>
      <c r="AA5" s="300"/>
      <c r="AB5" s="300"/>
      <c r="AC5" s="300"/>
      <c r="AD5" s="300"/>
      <c r="AE5" s="318"/>
      <c r="AF5" s="410">
        <f t="shared" si="3"/>
        <v>0</v>
      </c>
      <c r="AG5" s="300"/>
      <c r="AH5" s="300"/>
      <c r="AI5" s="303"/>
      <c r="AJ5" s="303"/>
      <c r="AK5" s="303"/>
      <c r="AL5" s="303"/>
      <c r="AM5" s="303"/>
      <c r="AN5" s="303"/>
      <c r="AO5" s="303"/>
      <c r="AP5" s="290">
        <f>+AO5</f>
        <v>0</v>
      </c>
      <c r="AQ5" s="303"/>
      <c r="AR5" s="303"/>
      <c r="AS5" s="303" t="s">
        <v>510</v>
      </c>
      <c r="AT5" s="303" t="s">
        <v>519</v>
      </c>
      <c r="AU5" s="303" t="s">
        <v>519</v>
      </c>
      <c r="AV5" s="303" t="s">
        <v>511</v>
      </c>
      <c r="AW5" s="303" t="s">
        <v>510</v>
      </c>
      <c r="AX5" s="303" t="s">
        <v>511</v>
      </c>
      <c r="AY5" s="303">
        <v>0</v>
      </c>
      <c r="AZ5" s="290">
        <f t="shared" si="4"/>
        <v>0</v>
      </c>
      <c r="BA5" s="303" t="s">
        <v>520</v>
      </c>
      <c r="BB5" s="301" t="s">
        <v>521</v>
      </c>
      <c r="BC5" s="315">
        <f t="shared" si="0"/>
        <v>1</v>
      </c>
      <c r="BD5" s="316" t="str">
        <f t="shared" si="5"/>
        <v>Habilitado</v>
      </c>
      <c r="BE5" s="295" t="s">
        <v>522</v>
      </c>
      <c r="BF5" s="44">
        <f>+BF3+BF4</f>
        <v>499</v>
      </c>
    </row>
    <row r="6" spans="1:59" x14ac:dyDescent="0.25">
      <c r="A6" s="308">
        <v>4</v>
      </c>
      <c r="B6" s="309" t="s">
        <v>523</v>
      </c>
      <c r="C6" s="310" t="s">
        <v>518</v>
      </c>
      <c r="D6" s="310" t="s">
        <v>51</v>
      </c>
      <c r="E6" s="303" t="s">
        <v>510</v>
      </c>
      <c r="F6" s="303" t="s">
        <v>510</v>
      </c>
      <c r="G6" s="303" t="s">
        <v>511</v>
      </c>
      <c r="H6" s="303" t="s">
        <v>511</v>
      </c>
      <c r="I6" s="303" t="s">
        <v>510</v>
      </c>
      <c r="J6" s="303" t="s">
        <v>511</v>
      </c>
      <c r="K6" s="303">
        <v>40</v>
      </c>
      <c r="L6" s="408">
        <f t="shared" si="1"/>
        <v>40</v>
      </c>
      <c r="M6" s="303" t="s">
        <v>504</v>
      </c>
      <c r="N6" s="303"/>
      <c r="O6" s="311"/>
      <c r="P6" s="311"/>
      <c r="Q6" s="311"/>
      <c r="R6" s="311"/>
      <c r="S6" s="311"/>
      <c r="T6" s="311"/>
      <c r="U6" s="311"/>
      <c r="V6" s="409">
        <f t="shared" si="2"/>
        <v>0</v>
      </c>
      <c r="W6" s="311"/>
      <c r="X6" s="311"/>
      <c r="Y6" s="300" t="s">
        <v>510</v>
      </c>
      <c r="Z6" s="300" t="s">
        <v>510</v>
      </c>
      <c r="AA6" s="300" t="s">
        <v>511</v>
      </c>
      <c r="AB6" s="300" t="s">
        <v>511</v>
      </c>
      <c r="AC6" s="300" t="s">
        <v>510</v>
      </c>
      <c r="AD6" s="300" t="s">
        <v>511</v>
      </c>
      <c r="AE6" s="318">
        <v>40</v>
      </c>
      <c r="AF6" s="410">
        <f t="shared" si="3"/>
        <v>40</v>
      </c>
      <c r="AG6" s="300" t="s">
        <v>504</v>
      </c>
      <c r="AH6" s="300"/>
      <c r="AI6" s="303" t="s">
        <v>510</v>
      </c>
      <c r="AJ6" s="303" t="s">
        <v>510</v>
      </c>
      <c r="AK6" s="303" t="s">
        <v>510</v>
      </c>
      <c r="AL6" s="303" t="s">
        <v>511</v>
      </c>
      <c r="AM6" s="303" t="s">
        <v>510</v>
      </c>
      <c r="AN6" s="303" t="s">
        <v>511</v>
      </c>
      <c r="AO6" s="303">
        <v>20</v>
      </c>
      <c r="AP6" s="290">
        <f t="shared" ref="AP6:AP67" si="6">+AO6</f>
        <v>20</v>
      </c>
      <c r="AQ6" s="303" t="s">
        <v>504</v>
      </c>
      <c r="AR6" s="303"/>
      <c r="AS6" s="303" t="s">
        <v>510</v>
      </c>
      <c r="AT6" s="303" t="s">
        <v>510</v>
      </c>
      <c r="AU6" s="303" t="s">
        <v>511</v>
      </c>
      <c r="AV6" s="303" t="s">
        <v>511</v>
      </c>
      <c r="AW6" s="303" t="s">
        <v>510</v>
      </c>
      <c r="AX6" s="303" t="s">
        <v>511</v>
      </c>
      <c r="AY6" s="303">
        <v>0</v>
      </c>
      <c r="AZ6" s="290">
        <f t="shared" si="4"/>
        <v>0</v>
      </c>
      <c r="BA6" s="303" t="s">
        <v>504</v>
      </c>
      <c r="BB6" s="301"/>
      <c r="BC6" s="315">
        <f t="shared" si="0"/>
        <v>4</v>
      </c>
      <c r="BD6" s="316" t="str">
        <f t="shared" si="5"/>
        <v>Habilitado</v>
      </c>
    </row>
    <row r="7" spans="1:59" ht="88.5" customHeight="1" x14ac:dyDescent="0.25">
      <c r="A7" s="308">
        <v>5</v>
      </c>
      <c r="B7" s="309" t="s">
        <v>524</v>
      </c>
      <c r="C7" s="310" t="s">
        <v>518</v>
      </c>
      <c r="D7" s="310" t="s">
        <v>174</v>
      </c>
      <c r="E7" s="303" t="s">
        <v>510</v>
      </c>
      <c r="F7" s="303" t="s">
        <v>510</v>
      </c>
      <c r="G7" s="303" t="s">
        <v>510</v>
      </c>
      <c r="H7" s="303" t="s">
        <v>511</v>
      </c>
      <c r="I7" s="303" t="s">
        <v>510</v>
      </c>
      <c r="J7" s="303" t="s">
        <v>511</v>
      </c>
      <c r="K7" s="303">
        <v>40</v>
      </c>
      <c r="L7" s="408">
        <f t="shared" si="1"/>
        <v>40</v>
      </c>
      <c r="M7" s="303" t="s">
        <v>504</v>
      </c>
      <c r="N7" s="303"/>
      <c r="O7" s="311"/>
      <c r="P7" s="311"/>
      <c r="Q7" s="311"/>
      <c r="R7" s="311"/>
      <c r="S7" s="311"/>
      <c r="T7" s="311"/>
      <c r="U7" s="311"/>
      <c r="V7" s="409">
        <f t="shared" si="2"/>
        <v>0</v>
      </c>
      <c r="W7" s="311"/>
      <c r="X7" s="311"/>
      <c r="Y7" s="300"/>
      <c r="Z7" s="300"/>
      <c r="AA7" s="300"/>
      <c r="AB7" s="300"/>
      <c r="AC7" s="300"/>
      <c r="AD7" s="300"/>
      <c r="AE7" s="318"/>
      <c r="AF7" s="410">
        <f t="shared" si="3"/>
        <v>0</v>
      </c>
      <c r="AG7" s="300"/>
      <c r="AH7" s="300"/>
      <c r="AI7" s="303" t="s">
        <v>510</v>
      </c>
      <c r="AJ7" s="303" t="s">
        <v>510</v>
      </c>
      <c r="AK7" s="303" t="s">
        <v>510</v>
      </c>
      <c r="AL7" s="303" t="s">
        <v>511</v>
      </c>
      <c r="AM7" s="303" t="s">
        <v>510</v>
      </c>
      <c r="AN7" s="303" t="s">
        <v>511</v>
      </c>
      <c r="AO7" s="303">
        <v>20</v>
      </c>
      <c r="AP7" s="290">
        <f t="shared" si="6"/>
        <v>20</v>
      </c>
      <c r="AQ7" s="303" t="s">
        <v>504</v>
      </c>
      <c r="AR7" s="301" t="s">
        <v>525</v>
      </c>
      <c r="AS7" s="303" t="s">
        <v>510</v>
      </c>
      <c r="AT7" s="303" t="s">
        <v>510</v>
      </c>
      <c r="AU7" s="303" t="s">
        <v>510</v>
      </c>
      <c r="AV7" s="303" t="s">
        <v>511</v>
      </c>
      <c r="AW7" s="303" t="s">
        <v>510</v>
      </c>
      <c r="AX7" s="303" t="s">
        <v>511</v>
      </c>
      <c r="AY7" s="303">
        <v>0</v>
      </c>
      <c r="AZ7" s="290">
        <f t="shared" si="4"/>
        <v>0</v>
      </c>
      <c r="BA7" s="303" t="s">
        <v>504</v>
      </c>
      <c r="BB7" s="301" t="s">
        <v>525</v>
      </c>
      <c r="BC7" s="315">
        <f t="shared" si="0"/>
        <v>3</v>
      </c>
      <c r="BD7" s="316" t="str">
        <f t="shared" si="5"/>
        <v>Habilitado</v>
      </c>
    </row>
    <row r="8" spans="1:59" ht="51" x14ac:dyDescent="0.25">
      <c r="A8" s="308">
        <v>6</v>
      </c>
      <c r="B8" s="309" t="s">
        <v>526</v>
      </c>
      <c r="C8" s="310" t="s">
        <v>527</v>
      </c>
      <c r="D8" s="310" t="s">
        <v>61</v>
      </c>
      <c r="E8" s="303"/>
      <c r="F8" s="303"/>
      <c r="G8" s="303"/>
      <c r="H8" s="303"/>
      <c r="I8" s="303"/>
      <c r="J8" s="303"/>
      <c r="K8" s="303"/>
      <c r="L8" s="408">
        <f t="shared" si="1"/>
        <v>0</v>
      </c>
      <c r="M8" s="303"/>
      <c r="N8" s="303"/>
      <c r="O8" s="311"/>
      <c r="P8" s="311"/>
      <c r="Q8" s="311"/>
      <c r="R8" s="311"/>
      <c r="S8" s="311"/>
      <c r="T8" s="311"/>
      <c r="U8" s="311"/>
      <c r="V8" s="409">
        <f t="shared" si="2"/>
        <v>0</v>
      </c>
      <c r="W8" s="311"/>
      <c r="X8" s="319"/>
      <c r="Y8" s="300"/>
      <c r="Z8" s="312"/>
      <c r="AA8" s="312"/>
      <c r="AB8" s="312"/>
      <c r="AC8" s="312"/>
      <c r="AD8" s="312"/>
      <c r="AE8" s="313"/>
      <c r="AF8" s="410">
        <f t="shared" si="3"/>
        <v>0</v>
      </c>
      <c r="AG8" s="312"/>
      <c r="AH8" s="312"/>
      <c r="AI8" s="303"/>
      <c r="AJ8" s="303"/>
      <c r="AK8" s="303"/>
      <c r="AL8" s="303"/>
      <c r="AM8" s="303"/>
      <c r="AN8" s="303"/>
      <c r="AO8" s="303"/>
      <c r="AP8" s="290">
        <f t="shared" si="6"/>
        <v>0</v>
      </c>
      <c r="AQ8" s="303"/>
      <c r="AR8" s="303"/>
      <c r="AS8" s="303" t="s">
        <v>510</v>
      </c>
      <c r="AT8" s="303" t="s">
        <v>510</v>
      </c>
      <c r="AU8" s="303" t="s">
        <v>510</v>
      </c>
      <c r="AV8" s="303" t="s">
        <v>511</v>
      </c>
      <c r="AW8" s="303" t="s">
        <v>510</v>
      </c>
      <c r="AX8" s="303" t="s">
        <v>511</v>
      </c>
      <c r="AY8" s="303">
        <v>0</v>
      </c>
      <c r="AZ8" s="290">
        <f t="shared" si="4"/>
        <v>0</v>
      </c>
      <c r="BA8" s="303" t="s">
        <v>504</v>
      </c>
      <c r="BB8" s="303"/>
      <c r="BC8" s="315">
        <f t="shared" si="0"/>
        <v>1</v>
      </c>
      <c r="BD8" s="316" t="str">
        <f t="shared" si="5"/>
        <v>Habilitado</v>
      </c>
    </row>
    <row r="9" spans="1:59" ht="48" customHeight="1" x14ac:dyDescent="0.25">
      <c r="A9" s="308">
        <v>7</v>
      </c>
      <c r="B9" s="309" t="s">
        <v>528</v>
      </c>
      <c r="C9" s="310" t="s">
        <v>529</v>
      </c>
      <c r="D9" s="310" t="s">
        <v>56</v>
      </c>
      <c r="E9" s="311"/>
      <c r="F9" s="311"/>
      <c r="G9" s="311"/>
      <c r="H9" s="311"/>
      <c r="I9" s="311"/>
      <c r="J9" s="311"/>
      <c r="K9" s="311"/>
      <c r="L9" s="408">
        <f t="shared" si="1"/>
        <v>0</v>
      </c>
      <c r="M9" s="311"/>
      <c r="N9" s="303"/>
      <c r="O9" s="311"/>
      <c r="P9" s="311"/>
      <c r="Q9" s="311"/>
      <c r="R9" s="311"/>
      <c r="S9" s="311"/>
      <c r="T9" s="311"/>
      <c r="U9" s="311"/>
      <c r="V9" s="409">
        <f t="shared" si="2"/>
        <v>0</v>
      </c>
      <c r="W9" s="311"/>
      <c r="X9" s="320"/>
      <c r="Y9" s="300" t="s">
        <v>510</v>
      </c>
      <c r="Z9" s="300" t="s">
        <v>510</v>
      </c>
      <c r="AA9" s="300" t="s">
        <v>510</v>
      </c>
      <c r="AB9" s="300" t="s">
        <v>511</v>
      </c>
      <c r="AC9" s="300" t="s">
        <v>510</v>
      </c>
      <c r="AD9" s="300" t="s">
        <v>510</v>
      </c>
      <c r="AE9" s="318">
        <v>40</v>
      </c>
      <c r="AF9" s="410">
        <f t="shared" si="3"/>
        <v>40</v>
      </c>
      <c r="AG9" s="300" t="s">
        <v>504</v>
      </c>
      <c r="AH9" s="299"/>
      <c r="AI9" s="303"/>
      <c r="AJ9" s="303"/>
      <c r="AK9" s="303"/>
      <c r="AL9" s="303"/>
      <c r="AM9" s="303"/>
      <c r="AN9" s="303"/>
      <c r="AO9" s="303"/>
      <c r="AP9" s="290">
        <f t="shared" si="6"/>
        <v>0</v>
      </c>
      <c r="AQ9" s="303"/>
      <c r="AR9" s="301"/>
      <c r="AS9" s="303"/>
      <c r="AT9" s="303"/>
      <c r="AU9" s="303"/>
      <c r="AV9" s="303"/>
      <c r="AW9" s="303"/>
      <c r="AX9" s="303"/>
      <c r="AY9" s="303"/>
      <c r="AZ9" s="290">
        <f t="shared" si="4"/>
        <v>0</v>
      </c>
      <c r="BA9" s="303"/>
      <c r="BB9" s="301"/>
      <c r="BC9" s="315">
        <f t="shared" si="0"/>
        <v>1</v>
      </c>
      <c r="BD9" s="316" t="str">
        <f t="shared" si="5"/>
        <v>Habilitado</v>
      </c>
    </row>
    <row r="10" spans="1:59" ht="38.25" x14ac:dyDescent="0.25">
      <c r="A10" s="308">
        <v>8</v>
      </c>
      <c r="B10" s="309" t="s">
        <v>530</v>
      </c>
      <c r="C10" s="310" t="s">
        <v>529</v>
      </c>
      <c r="D10" s="310" t="s">
        <v>71</v>
      </c>
      <c r="E10" s="307" t="s">
        <v>510</v>
      </c>
      <c r="F10" s="307" t="s">
        <v>510</v>
      </c>
      <c r="G10" s="307" t="s">
        <v>510</v>
      </c>
      <c r="H10" s="307" t="s">
        <v>511</v>
      </c>
      <c r="I10" s="307" t="s">
        <v>510</v>
      </c>
      <c r="J10" s="307" t="s">
        <v>510</v>
      </c>
      <c r="K10" s="307">
        <v>40</v>
      </c>
      <c r="L10" s="408">
        <f t="shared" si="1"/>
        <v>40</v>
      </c>
      <c r="M10" s="303" t="s">
        <v>504</v>
      </c>
      <c r="N10" s="303"/>
      <c r="O10" s="311"/>
      <c r="P10" s="311"/>
      <c r="Q10" s="311"/>
      <c r="R10" s="311"/>
      <c r="S10" s="311"/>
      <c r="T10" s="311"/>
      <c r="U10" s="311"/>
      <c r="V10" s="409">
        <f t="shared" si="2"/>
        <v>0</v>
      </c>
      <c r="W10" s="311"/>
      <c r="X10" s="320"/>
      <c r="Y10" s="300" t="s">
        <v>510</v>
      </c>
      <c r="Z10" s="300" t="s">
        <v>510</v>
      </c>
      <c r="AA10" s="300" t="s">
        <v>510</v>
      </c>
      <c r="AB10" s="300" t="s">
        <v>511</v>
      </c>
      <c r="AC10" s="300" t="s">
        <v>510</v>
      </c>
      <c r="AD10" s="300" t="s">
        <v>510</v>
      </c>
      <c r="AE10" s="318">
        <v>40</v>
      </c>
      <c r="AF10" s="410">
        <f t="shared" si="3"/>
        <v>40</v>
      </c>
      <c r="AG10" s="300" t="s">
        <v>504</v>
      </c>
      <c r="AH10" s="300"/>
      <c r="AI10" s="303"/>
      <c r="AJ10" s="303"/>
      <c r="AK10" s="303"/>
      <c r="AL10" s="303"/>
      <c r="AM10" s="303"/>
      <c r="AN10" s="303"/>
      <c r="AO10" s="303"/>
      <c r="AP10" s="290">
        <f t="shared" si="6"/>
        <v>0</v>
      </c>
      <c r="AQ10" s="303"/>
      <c r="AR10" s="301"/>
      <c r="AS10" s="303"/>
      <c r="AT10" s="303"/>
      <c r="AU10" s="303"/>
      <c r="AV10" s="303"/>
      <c r="AW10" s="303"/>
      <c r="AX10" s="303"/>
      <c r="AY10" s="303"/>
      <c r="AZ10" s="290">
        <f t="shared" si="4"/>
        <v>0</v>
      </c>
      <c r="BA10" s="303"/>
      <c r="BB10" s="301"/>
      <c r="BC10" s="315">
        <f t="shared" si="0"/>
        <v>2</v>
      </c>
      <c r="BD10" s="316" t="str">
        <f t="shared" si="5"/>
        <v>Habilitado</v>
      </c>
    </row>
    <row r="11" spans="1:59" ht="25.5" x14ac:dyDescent="0.25">
      <c r="A11" s="308">
        <v>9</v>
      </c>
      <c r="B11" s="309" t="s">
        <v>531</v>
      </c>
      <c r="C11" s="310" t="s">
        <v>532</v>
      </c>
      <c r="D11" s="310" t="s">
        <v>533</v>
      </c>
      <c r="E11" s="311"/>
      <c r="F11" s="311"/>
      <c r="G11" s="311"/>
      <c r="H11" s="311"/>
      <c r="I11" s="311"/>
      <c r="J11" s="311"/>
      <c r="K11" s="311"/>
      <c r="L11" s="408">
        <f t="shared" si="1"/>
        <v>0</v>
      </c>
      <c r="M11" s="311"/>
      <c r="N11" s="303"/>
      <c r="O11" s="311"/>
      <c r="P11" s="311"/>
      <c r="Q11" s="311"/>
      <c r="R11" s="311"/>
      <c r="S11" s="311"/>
      <c r="T11" s="311"/>
      <c r="U11" s="311"/>
      <c r="V11" s="409">
        <f t="shared" si="2"/>
        <v>0</v>
      </c>
      <c r="W11" s="311"/>
      <c r="X11" s="311"/>
      <c r="Y11" s="312"/>
      <c r="Z11" s="300"/>
      <c r="AA11" s="300"/>
      <c r="AB11" s="300"/>
      <c r="AC11" s="300"/>
      <c r="AD11" s="300"/>
      <c r="AE11" s="318"/>
      <c r="AF11" s="410">
        <f t="shared" si="3"/>
        <v>0</v>
      </c>
      <c r="AG11" s="300"/>
      <c r="AH11" s="300"/>
      <c r="AI11" s="303"/>
      <c r="AJ11" s="303"/>
      <c r="AK11" s="303"/>
      <c r="AL11" s="303"/>
      <c r="AM11" s="303"/>
      <c r="AN11" s="303"/>
      <c r="AO11" s="303"/>
      <c r="AP11" s="290">
        <f t="shared" si="6"/>
        <v>0</v>
      </c>
      <c r="AQ11" s="303"/>
      <c r="AR11" s="303"/>
      <c r="AS11" s="303"/>
      <c r="AT11" s="303"/>
      <c r="AU11" s="303"/>
      <c r="AV11" s="303"/>
      <c r="AW11" s="303"/>
      <c r="AX11" s="303"/>
      <c r="AY11" s="303"/>
      <c r="AZ11" s="290">
        <f t="shared" si="4"/>
        <v>0</v>
      </c>
      <c r="BA11" s="303"/>
      <c r="BB11" s="303"/>
      <c r="BC11" s="315">
        <f t="shared" si="0"/>
        <v>0</v>
      </c>
      <c r="BD11" s="316" t="str">
        <f t="shared" si="5"/>
        <v>Desierto</v>
      </c>
    </row>
    <row r="12" spans="1:59" x14ac:dyDescent="0.25">
      <c r="A12" s="308">
        <v>10</v>
      </c>
      <c r="B12" s="309" t="s">
        <v>534</v>
      </c>
      <c r="C12" s="310" t="s">
        <v>518</v>
      </c>
      <c r="D12" s="310" t="s">
        <v>77</v>
      </c>
      <c r="E12" s="303" t="s">
        <v>510</v>
      </c>
      <c r="F12" s="303" t="s">
        <v>510</v>
      </c>
      <c r="G12" s="303" t="s">
        <v>510</v>
      </c>
      <c r="H12" s="303" t="s">
        <v>511</v>
      </c>
      <c r="I12" s="303" t="s">
        <v>510</v>
      </c>
      <c r="J12" s="303" t="s">
        <v>511</v>
      </c>
      <c r="K12" s="303">
        <v>40</v>
      </c>
      <c r="L12" s="408">
        <f t="shared" si="1"/>
        <v>40</v>
      </c>
      <c r="M12" s="303" t="s">
        <v>504</v>
      </c>
      <c r="N12" s="303"/>
      <c r="O12" s="311"/>
      <c r="P12" s="311"/>
      <c r="Q12" s="311"/>
      <c r="R12" s="311"/>
      <c r="S12" s="311"/>
      <c r="T12" s="311"/>
      <c r="U12" s="311"/>
      <c r="V12" s="409">
        <f t="shared" si="2"/>
        <v>0</v>
      </c>
      <c r="W12" s="311"/>
      <c r="X12" s="311"/>
      <c r="Y12" s="300" t="s">
        <v>510</v>
      </c>
      <c r="Z12" s="300" t="s">
        <v>510</v>
      </c>
      <c r="AA12" s="300" t="s">
        <v>510</v>
      </c>
      <c r="AB12" s="300" t="s">
        <v>511</v>
      </c>
      <c r="AC12" s="300" t="s">
        <v>510</v>
      </c>
      <c r="AD12" s="300" t="s">
        <v>511</v>
      </c>
      <c r="AE12" s="318">
        <v>40</v>
      </c>
      <c r="AF12" s="410">
        <f t="shared" si="3"/>
        <v>40</v>
      </c>
      <c r="AG12" s="300" t="s">
        <v>504</v>
      </c>
      <c r="AH12" s="300"/>
      <c r="AI12" s="303" t="s">
        <v>510</v>
      </c>
      <c r="AJ12" s="303" t="s">
        <v>510</v>
      </c>
      <c r="AK12" s="303" t="s">
        <v>510</v>
      </c>
      <c r="AL12" s="303" t="s">
        <v>511</v>
      </c>
      <c r="AM12" s="303" t="s">
        <v>510</v>
      </c>
      <c r="AN12" s="303" t="s">
        <v>511</v>
      </c>
      <c r="AO12" s="303">
        <v>20</v>
      </c>
      <c r="AP12" s="290">
        <f t="shared" si="6"/>
        <v>20</v>
      </c>
      <c r="AQ12" s="303" t="s">
        <v>504</v>
      </c>
      <c r="AR12" s="303"/>
      <c r="AS12" s="303"/>
      <c r="AT12" s="303"/>
      <c r="AU12" s="303"/>
      <c r="AV12" s="303"/>
      <c r="AW12" s="303"/>
      <c r="AX12" s="303"/>
      <c r="AY12" s="303"/>
      <c r="AZ12" s="290">
        <f t="shared" si="4"/>
        <v>0</v>
      </c>
      <c r="BA12" s="303"/>
      <c r="BB12" s="301"/>
      <c r="BC12" s="315">
        <f t="shared" si="0"/>
        <v>3</v>
      </c>
      <c r="BD12" s="316" t="str">
        <f t="shared" si="5"/>
        <v>Habilitado</v>
      </c>
    </row>
    <row r="13" spans="1:59" ht="89.25" x14ac:dyDescent="0.25">
      <c r="A13" s="308">
        <v>11</v>
      </c>
      <c r="B13" s="309" t="s">
        <v>535</v>
      </c>
      <c r="C13" s="321" t="s">
        <v>518</v>
      </c>
      <c r="D13" s="310" t="s">
        <v>280</v>
      </c>
      <c r="E13" s="303" t="s">
        <v>510</v>
      </c>
      <c r="F13" s="303" t="s">
        <v>510</v>
      </c>
      <c r="G13" s="303" t="s">
        <v>510</v>
      </c>
      <c r="H13" s="303" t="s">
        <v>511</v>
      </c>
      <c r="I13" s="303" t="s">
        <v>510</v>
      </c>
      <c r="J13" s="303" t="s">
        <v>511</v>
      </c>
      <c r="K13" s="303">
        <v>40</v>
      </c>
      <c r="L13" s="408">
        <f t="shared" si="1"/>
        <v>40</v>
      </c>
      <c r="M13" s="303" t="s">
        <v>504</v>
      </c>
      <c r="N13" s="301"/>
      <c r="O13" s="311"/>
      <c r="P13" s="311"/>
      <c r="Q13" s="311"/>
      <c r="R13" s="311"/>
      <c r="S13" s="311"/>
      <c r="T13" s="311"/>
      <c r="U13" s="311"/>
      <c r="V13" s="409">
        <f t="shared" si="2"/>
        <v>0</v>
      </c>
      <c r="W13" s="311"/>
      <c r="X13" s="320"/>
      <c r="Y13" s="300" t="s">
        <v>510</v>
      </c>
      <c r="Z13" s="300" t="s">
        <v>510</v>
      </c>
      <c r="AA13" s="300" t="s">
        <v>510</v>
      </c>
      <c r="AB13" s="300" t="s">
        <v>511</v>
      </c>
      <c r="AC13" s="300" t="s">
        <v>510</v>
      </c>
      <c r="AD13" s="300" t="s">
        <v>511</v>
      </c>
      <c r="AE13" s="318">
        <v>40</v>
      </c>
      <c r="AF13" s="410">
        <f t="shared" si="3"/>
        <v>40</v>
      </c>
      <c r="AG13" s="300" t="s">
        <v>504</v>
      </c>
      <c r="AH13" s="300"/>
      <c r="AI13" s="303" t="s">
        <v>510</v>
      </c>
      <c r="AJ13" s="303" t="s">
        <v>510</v>
      </c>
      <c r="AK13" s="303" t="s">
        <v>510</v>
      </c>
      <c r="AL13" s="303" t="s">
        <v>511</v>
      </c>
      <c r="AM13" s="303" t="s">
        <v>510</v>
      </c>
      <c r="AN13" s="303" t="s">
        <v>511</v>
      </c>
      <c r="AO13" s="303">
        <v>20</v>
      </c>
      <c r="AP13" s="290">
        <f t="shared" si="6"/>
        <v>20</v>
      </c>
      <c r="AQ13" s="303" t="s">
        <v>504</v>
      </c>
      <c r="AR13" s="301" t="s">
        <v>536</v>
      </c>
      <c r="AS13" s="303"/>
      <c r="AT13" s="303"/>
      <c r="AU13" s="303"/>
      <c r="AV13" s="303"/>
      <c r="AW13" s="303"/>
      <c r="AX13" s="303"/>
      <c r="AY13" s="303"/>
      <c r="AZ13" s="290">
        <f t="shared" si="4"/>
        <v>0</v>
      </c>
      <c r="BA13" s="303"/>
      <c r="BB13" s="301"/>
      <c r="BC13" s="315">
        <f t="shared" si="0"/>
        <v>3</v>
      </c>
      <c r="BD13" s="316" t="str">
        <f t="shared" si="5"/>
        <v>Habilitado</v>
      </c>
    </row>
    <row r="14" spans="1:59" ht="38.25" x14ac:dyDescent="0.25">
      <c r="A14" s="308">
        <v>12</v>
      </c>
      <c r="B14" s="309" t="s">
        <v>537</v>
      </c>
      <c r="C14" s="310" t="s">
        <v>538</v>
      </c>
      <c r="D14" s="310" t="s">
        <v>71</v>
      </c>
      <c r="E14" s="303" t="s">
        <v>510</v>
      </c>
      <c r="F14" s="303" t="s">
        <v>510</v>
      </c>
      <c r="G14" s="303" t="s">
        <v>510</v>
      </c>
      <c r="H14" s="303" t="s">
        <v>511</v>
      </c>
      <c r="I14" s="303" t="s">
        <v>510</v>
      </c>
      <c r="J14" s="303" t="s">
        <v>510</v>
      </c>
      <c r="K14" s="303">
        <v>40</v>
      </c>
      <c r="L14" s="408">
        <f t="shared" si="1"/>
        <v>40</v>
      </c>
      <c r="M14" s="303" t="s">
        <v>504</v>
      </c>
      <c r="N14" s="303"/>
      <c r="O14" s="311"/>
      <c r="P14" s="311"/>
      <c r="Q14" s="311"/>
      <c r="R14" s="311"/>
      <c r="S14" s="311"/>
      <c r="T14" s="311"/>
      <c r="U14" s="311"/>
      <c r="V14" s="409">
        <f t="shared" si="2"/>
        <v>0</v>
      </c>
      <c r="W14" s="311"/>
      <c r="X14" s="320"/>
      <c r="Y14" s="300"/>
      <c r="Z14" s="300"/>
      <c r="AA14" s="300"/>
      <c r="AB14" s="300"/>
      <c r="AC14" s="300"/>
      <c r="AD14" s="300"/>
      <c r="AE14" s="318"/>
      <c r="AF14" s="410">
        <f t="shared" si="3"/>
        <v>0</v>
      </c>
      <c r="AG14" s="300"/>
      <c r="AH14" s="300"/>
      <c r="AI14" s="303"/>
      <c r="AJ14" s="303"/>
      <c r="AK14" s="303"/>
      <c r="AL14" s="303"/>
      <c r="AM14" s="303"/>
      <c r="AN14" s="303"/>
      <c r="AO14" s="303"/>
      <c r="AP14" s="290">
        <f t="shared" si="6"/>
        <v>0</v>
      </c>
      <c r="AQ14" s="303"/>
      <c r="AR14" s="303"/>
      <c r="AS14" s="303" t="s">
        <v>510</v>
      </c>
      <c r="AT14" s="303" t="s">
        <v>510</v>
      </c>
      <c r="AU14" s="303" t="s">
        <v>510</v>
      </c>
      <c r="AV14" s="303" t="s">
        <v>511</v>
      </c>
      <c r="AW14" s="303" t="s">
        <v>510</v>
      </c>
      <c r="AX14" s="303" t="s">
        <v>510</v>
      </c>
      <c r="AY14" s="303">
        <v>0</v>
      </c>
      <c r="AZ14" s="290">
        <f t="shared" si="4"/>
        <v>0</v>
      </c>
      <c r="BA14" s="303" t="s">
        <v>504</v>
      </c>
      <c r="BB14" s="306"/>
      <c r="BC14" s="315">
        <f t="shared" si="0"/>
        <v>2</v>
      </c>
      <c r="BD14" s="316" t="str">
        <f t="shared" si="5"/>
        <v>Habilitado</v>
      </c>
    </row>
    <row r="15" spans="1:59" ht="89.25" x14ac:dyDescent="0.25">
      <c r="A15" s="308">
        <v>13</v>
      </c>
      <c r="B15" s="309" t="s">
        <v>539</v>
      </c>
      <c r="C15" s="310" t="s">
        <v>540</v>
      </c>
      <c r="D15" s="310" t="s">
        <v>71</v>
      </c>
      <c r="E15" s="303" t="s">
        <v>510</v>
      </c>
      <c r="F15" s="303" t="s">
        <v>510</v>
      </c>
      <c r="G15" s="303" t="s">
        <v>510</v>
      </c>
      <c r="H15" s="303" t="s">
        <v>511</v>
      </c>
      <c r="I15" s="303" t="s">
        <v>510</v>
      </c>
      <c r="J15" s="303" t="s">
        <v>510</v>
      </c>
      <c r="K15" s="303">
        <v>40</v>
      </c>
      <c r="L15" s="408">
        <f t="shared" si="1"/>
        <v>40</v>
      </c>
      <c r="M15" s="303" t="s">
        <v>504</v>
      </c>
      <c r="N15" s="303"/>
      <c r="O15" s="311"/>
      <c r="P15" s="311"/>
      <c r="Q15" s="311"/>
      <c r="R15" s="311"/>
      <c r="S15" s="311"/>
      <c r="T15" s="311"/>
      <c r="U15" s="311"/>
      <c r="V15" s="409">
        <f t="shared" si="2"/>
        <v>0</v>
      </c>
      <c r="W15" s="311"/>
      <c r="X15" s="320"/>
      <c r="Y15" s="300" t="s">
        <v>510</v>
      </c>
      <c r="Z15" s="300" t="s">
        <v>510</v>
      </c>
      <c r="AA15" s="300" t="s">
        <v>510</v>
      </c>
      <c r="AB15" s="300" t="s">
        <v>511</v>
      </c>
      <c r="AC15" s="300" t="s">
        <v>510</v>
      </c>
      <c r="AD15" s="300" t="s">
        <v>510</v>
      </c>
      <c r="AE15" s="318">
        <v>40</v>
      </c>
      <c r="AF15" s="410">
        <f t="shared" si="3"/>
        <v>40</v>
      </c>
      <c r="AG15" s="300" t="s">
        <v>504</v>
      </c>
      <c r="AH15" s="299" t="s">
        <v>541</v>
      </c>
      <c r="AI15" s="303" t="s">
        <v>510</v>
      </c>
      <c r="AJ15" s="303" t="s">
        <v>510</v>
      </c>
      <c r="AK15" s="303" t="s">
        <v>510</v>
      </c>
      <c r="AL15" s="303" t="s">
        <v>511</v>
      </c>
      <c r="AM15" s="303" t="s">
        <v>510</v>
      </c>
      <c r="AN15" s="303" t="s">
        <v>510</v>
      </c>
      <c r="AO15" s="303">
        <v>20</v>
      </c>
      <c r="AP15" s="290">
        <f t="shared" si="6"/>
        <v>20</v>
      </c>
      <c r="AQ15" s="303" t="s">
        <v>504</v>
      </c>
      <c r="AR15" s="303"/>
      <c r="AS15" s="303" t="s">
        <v>510</v>
      </c>
      <c r="AT15" s="303" t="s">
        <v>510</v>
      </c>
      <c r="AU15" s="303" t="s">
        <v>510</v>
      </c>
      <c r="AV15" s="303" t="s">
        <v>511</v>
      </c>
      <c r="AW15" s="303" t="s">
        <v>510</v>
      </c>
      <c r="AX15" s="303" t="s">
        <v>510</v>
      </c>
      <c r="AY15" s="303">
        <v>0</v>
      </c>
      <c r="AZ15" s="290">
        <f t="shared" si="4"/>
        <v>0</v>
      </c>
      <c r="BA15" s="303" t="s">
        <v>504</v>
      </c>
      <c r="BB15" s="306"/>
      <c r="BC15" s="315">
        <f t="shared" si="0"/>
        <v>4</v>
      </c>
      <c r="BD15" s="316" t="str">
        <f t="shared" si="5"/>
        <v>Habilitado</v>
      </c>
    </row>
    <row r="16" spans="1:59" ht="38.25" x14ac:dyDescent="0.25">
      <c r="A16" s="308">
        <v>14</v>
      </c>
      <c r="B16" s="309" t="s">
        <v>542</v>
      </c>
      <c r="C16" s="310" t="s">
        <v>518</v>
      </c>
      <c r="D16" s="310" t="s">
        <v>71</v>
      </c>
      <c r="E16" s="303" t="s">
        <v>510</v>
      </c>
      <c r="F16" s="303" t="s">
        <v>510</v>
      </c>
      <c r="G16" s="303" t="s">
        <v>510</v>
      </c>
      <c r="H16" s="303" t="s">
        <v>511</v>
      </c>
      <c r="I16" s="303" t="s">
        <v>510</v>
      </c>
      <c r="J16" s="303" t="s">
        <v>511</v>
      </c>
      <c r="K16" s="303">
        <v>40</v>
      </c>
      <c r="L16" s="408">
        <f t="shared" si="1"/>
        <v>40</v>
      </c>
      <c r="M16" s="303" t="s">
        <v>504</v>
      </c>
      <c r="N16" s="303"/>
      <c r="O16" s="311"/>
      <c r="P16" s="311"/>
      <c r="Q16" s="311"/>
      <c r="R16" s="311"/>
      <c r="S16" s="311"/>
      <c r="T16" s="311"/>
      <c r="U16" s="311"/>
      <c r="V16" s="409">
        <f t="shared" si="2"/>
        <v>0</v>
      </c>
      <c r="W16" s="311"/>
      <c r="X16" s="320"/>
      <c r="Y16" s="300" t="s">
        <v>510</v>
      </c>
      <c r="Z16" s="300" t="s">
        <v>510</v>
      </c>
      <c r="AA16" s="300" t="s">
        <v>510</v>
      </c>
      <c r="AB16" s="300" t="s">
        <v>511</v>
      </c>
      <c r="AC16" s="300" t="s">
        <v>510</v>
      </c>
      <c r="AD16" s="300" t="s">
        <v>511</v>
      </c>
      <c r="AE16" s="318">
        <v>40</v>
      </c>
      <c r="AF16" s="410">
        <f t="shared" si="3"/>
        <v>40</v>
      </c>
      <c r="AG16" s="300" t="s">
        <v>504</v>
      </c>
      <c r="AH16" s="299"/>
      <c r="AI16" s="303" t="s">
        <v>510</v>
      </c>
      <c r="AJ16" s="303" t="s">
        <v>510</v>
      </c>
      <c r="AK16" s="303" t="s">
        <v>510</v>
      </c>
      <c r="AL16" s="303" t="s">
        <v>511</v>
      </c>
      <c r="AM16" s="303" t="s">
        <v>510</v>
      </c>
      <c r="AN16" s="303" t="s">
        <v>511</v>
      </c>
      <c r="AO16" s="303">
        <v>20</v>
      </c>
      <c r="AP16" s="290">
        <f t="shared" si="6"/>
        <v>20</v>
      </c>
      <c r="AQ16" s="303" t="s">
        <v>504</v>
      </c>
      <c r="AR16" s="303"/>
      <c r="AS16" s="303" t="s">
        <v>510</v>
      </c>
      <c r="AT16" s="303" t="s">
        <v>510</v>
      </c>
      <c r="AU16" s="303" t="s">
        <v>510</v>
      </c>
      <c r="AV16" s="303" t="s">
        <v>511</v>
      </c>
      <c r="AW16" s="303" t="s">
        <v>510</v>
      </c>
      <c r="AX16" s="303" t="s">
        <v>511</v>
      </c>
      <c r="AY16" s="303">
        <v>0</v>
      </c>
      <c r="AZ16" s="290">
        <f t="shared" si="4"/>
        <v>0</v>
      </c>
      <c r="BA16" s="303" t="s">
        <v>504</v>
      </c>
      <c r="BB16" s="301"/>
      <c r="BC16" s="315">
        <f t="shared" si="0"/>
        <v>4</v>
      </c>
      <c r="BD16" s="316" t="str">
        <f t="shared" si="5"/>
        <v>Habilitado</v>
      </c>
    </row>
    <row r="17" spans="1:56" ht="38.25" x14ac:dyDescent="0.25">
      <c r="A17" s="308">
        <v>15</v>
      </c>
      <c r="B17" s="309" t="s">
        <v>543</v>
      </c>
      <c r="C17" s="310" t="s">
        <v>544</v>
      </c>
      <c r="D17" s="310" t="s">
        <v>71</v>
      </c>
      <c r="E17" s="303" t="s">
        <v>510</v>
      </c>
      <c r="F17" s="303" t="s">
        <v>510</v>
      </c>
      <c r="G17" s="303" t="s">
        <v>510</v>
      </c>
      <c r="H17" s="303" t="s">
        <v>511</v>
      </c>
      <c r="I17" s="303" t="s">
        <v>510</v>
      </c>
      <c r="J17" s="303" t="s">
        <v>511</v>
      </c>
      <c r="K17" s="303">
        <v>40</v>
      </c>
      <c r="L17" s="408">
        <f t="shared" si="1"/>
        <v>40</v>
      </c>
      <c r="M17" s="303" t="s">
        <v>504</v>
      </c>
      <c r="N17" s="303"/>
      <c r="O17" s="311"/>
      <c r="P17" s="311"/>
      <c r="Q17" s="311"/>
      <c r="R17" s="311"/>
      <c r="S17" s="311"/>
      <c r="T17" s="311"/>
      <c r="U17" s="311"/>
      <c r="V17" s="409">
        <f t="shared" si="2"/>
        <v>0</v>
      </c>
      <c r="W17" s="311"/>
      <c r="X17" s="311"/>
      <c r="Y17" s="300"/>
      <c r="Z17" s="300"/>
      <c r="AA17" s="300"/>
      <c r="AB17" s="300"/>
      <c r="AC17" s="300"/>
      <c r="AD17" s="300"/>
      <c r="AE17" s="318"/>
      <c r="AF17" s="410">
        <f t="shared" si="3"/>
        <v>0</v>
      </c>
      <c r="AG17" s="300"/>
      <c r="AH17" s="300"/>
      <c r="AI17" s="303"/>
      <c r="AJ17" s="303"/>
      <c r="AK17" s="303"/>
      <c r="AL17" s="303"/>
      <c r="AM17" s="303"/>
      <c r="AN17" s="303"/>
      <c r="AO17" s="303"/>
      <c r="AP17" s="290">
        <f t="shared" si="6"/>
        <v>0</v>
      </c>
      <c r="AQ17" s="303"/>
      <c r="AR17" s="303"/>
      <c r="AS17" s="303" t="s">
        <v>510</v>
      </c>
      <c r="AT17" s="303" t="s">
        <v>510</v>
      </c>
      <c r="AU17" s="303" t="s">
        <v>510</v>
      </c>
      <c r="AV17" s="303" t="s">
        <v>511</v>
      </c>
      <c r="AW17" s="303" t="s">
        <v>510</v>
      </c>
      <c r="AX17" s="303" t="s">
        <v>511</v>
      </c>
      <c r="AY17" s="303">
        <v>0</v>
      </c>
      <c r="AZ17" s="290">
        <f t="shared" si="4"/>
        <v>0</v>
      </c>
      <c r="BA17" s="303" t="s">
        <v>504</v>
      </c>
      <c r="BB17" s="303"/>
      <c r="BC17" s="315">
        <f t="shared" si="0"/>
        <v>2</v>
      </c>
      <c r="BD17" s="316" t="str">
        <f t="shared" si="5"/>
        <v>Habilitado</v>
      </c>
    </row>
    <row r="18" spans="1:56" ht="63.75" x14ac:dyDescent="0.25">
      <c r="A18" s="308">
        <v>16</v>
      </c>
      <c r="B18" s="309" t="s">
        <v>545</v>
      </c>
      <c r="C18" s="310" t="s">
        <v>546</v>
      </c>
      <c r="D18" s="310" t="s">
        <v>547</v>
      </c>
      <c r="E18" s="303" t="s">
        <v>510</v>
      </c>
      <c r="F18" s="303" t="s">
        <v>510</v>
      </c>
      <c r="G18" s="303" t="s">
        <v>510</v>
      </c>
      <c r="H18" s="303" t="s">
        <v>511</v>
      </c>
      <c r="I18" s="303" t="s">
        <v>510</v>
      </c>
      <c r="J18" s="303" t="s">
        <v>511</v>
      </c>
      <c r="K18" s="303">
        <v>40</v>
      </c>
      <c r="L18" s="408">
        <f t="shared" si="1"/>
        <v>40</v>
      </c>
      <c r="M18" s="303" t="s">
        <v>504</v>
      </c>
      <c r="N18" s="303"/>
      <c r="O18" s="311"/>
      <c r="P18" s="311"/>
      <c r="Q18" s="311"/>
      <c r="R18" s="311"/>
      <c r="S18" s="311"/>
      <c r="T18" s="311"/>
      <c r="U18" s="311"/>
      <c r="V18" s="409">
        <f t="shared" si="2"/>
        <v>0</v>
      </c>
      <c r="W18" s="311"/>
      <c r="X18" s="311"/>
      <c r="Y18" s="300" t="s">
        <v>510</v>
      </c>
      <c r="Z18" s="300" t="s">
        <v>510</v>
      </c>
      <c r="AA18" s="300" t="s">
        <v>510</v>
      </c>
      <c r="AB18" s="300" t="s">
        <v>511</v>
      </c>
      <c r="AC18" s="300" t="s">
        <v>510</v>
      </c>
      <c r="AD18" s="300" t="s">
        <v>511</v>
      </c>
      <c r="AE18" s="318">
        <v>40</v>
      </c>
      <c r="AF18" s="410">
        <f t="shared" si="3"/>
        <v>40</v>
      </c>
      <c r="AG18" s="300" t="s">
        <v>504</v>
      </c>
      <c r="AH18" s="299"/>
      <c r="AI18" s="303"/>
      <c r="AJ18" s="303"/>
      <c r="AK18" s="303"/>
      <c r="AL18" s="303"/>
      <c r="AM18" s="303"/>
      <c r="AN18" s="303"/>
      <c r="AO18" s="303"/>
      <c r="AP18" s="290">
        <f t="shared" si="6"/>
        <v>0</v>
      </c>
      <c r="AQ18" s="303"/>
      <c r="AR18" s="303"/>
      <c r="AS18" s="303" t="s">
        <v>519</v>
      </c>
      <c r="AT18" s="322" t="s">
        <v>519</v>
      </c>
      <c r="AU18" s="303" t="s">
        <v>510</v>
      </c>
      <c r="AV18" s="303" t="s">
        <v>511</v>
      </c>
      <c r="AW18" s="303" t="s">
        <v>510</v>
      </c>
      <c r="AX18" s="303" t="s">
        <v>511</v>
      </c>
      <c r="AY18" s="303">
        <v>0</v>
      </c>
      <c r="AZ18" s="290">
        <f t="shared" si="4"/>
        <v>0</v>
      </c>
      <c r="BA18" s="303" t="s">
        <v>520</v>
      </c>
      <c r="BB18" s="323" t="s">
        <v>548</v>
      </c>
      <c r="BC18" s="315">
        <f t="shared" si="0"/>
        <v>2</v>
      </c>
      <c r="BD18" s="316" t="str">
        <f t="shared" si="5"/>
        <v>Habilitado</v>
      </c>
    </row>
    <row r="19" spans="1:56" ht="76.5" x14ac:dyDescent="0.25">
      <c r="A19" s="324">
        <v>17</v>
      </c>
      <c r="B19" s="331" t="s">
        <v>549</v>
      </c>
      <c r="C19" s="331" t="s">
        <v>518</v>
      </c>
      <c r="D19" s="331" t="s">
        <v>547</v>
      </c>
      <c r="E19" s="306" t="s">
        <v>510</v>
      </c>
      <c r="F19" s="306" t="s">
        <v>510</v>
      </c>
      <c r="G19" s="306" t="s">
        <v>510</v>
      </c>
      <c r="H19" s="306" t="s">
        <v>511</v>
      </c>
      <c r="I19" s="303" t="s">
        <v>510</v>
      </c>
      <c r="J19" s="306" t="s">
        <v>511</v>
      </c>
      <c r="K19" s="306">
        <v>40</v>
      </c>
      <c r="L19" s="408">
        <f t="shared" si="1"/>
        <v>40</v>
      </c>
      <c r="M19" s="303" t="s">
        <v>504</v>
      </c>
      <c r="N19" s="301" t="s">
        <v>550</v>
      </c>
      <c r="O19" s="320"/>
      <c r="P19" s="320"/>
      <c r="Q19" s="320"/>
      <c r="R19" s="320"/>
      <c r="S19" s="320"/>
      <c r="T19" s="320"/>
      <c r="U19" s="320"/>
      <c r="V19" s="409">
        <f t="shared" si="2"/>
        <v>0</v>
      </c>
      <c r="W19" s="320"/>
      <c r="X19" s="320"/>
      <c r="Y19" s="299" t="s">
        <v>510</v>
      </c>
      <c r="Z19" s="299" t="s">
        <v>510</v>
      </c>
      <c r="AA19" s="299" t="s">
        <v>510</v>
      </c>
      <c r="AB19" s="299" t="s">
        <v>511</v>
      </c>
      <c r="AC19" s="300" t="s">
        <v>510</v>
      </c>
      <c r="AD19" s="299" t="s">
        <v>511</v>
      </c>
      <c r="AE19" s="318">
        <v>40</v>
      </c>
      <c r="AF19" s="410">
        <f t="shared" si="3"/>
        <v>40</v>
      </c>
      <c r="AG19" s="299" t="s">
        <v>504</v>
      </c>
      <c r="AH19" s="299"/>
      <c r="AI19" s="306"/>
      <c r="AJ19" s="306"/>
      <c r="AK19" s="306"/>
      <c r="AL19" s="306"/>
      <c r="AM19" s="306"/>
      <c r="AN19" s="306"/>
      <c r="AO19" s="306"/>
      <c r="AP19" s="290">
        <f t="shared" si="6"/>
        <v>0</v>
      </c>
      <c r="AQ19" s="306"/>
      <c r="AR19" s="306"/>
      <c r="AS19" s="306"/>
      <c r="AT19" s="306"/>
      <c r="AU19" s="306"/>
      <c r="AV19" s="306"/>
      <c r="AW19" s="306"/>
      <c r="AX19" s="306"/>
      <c r="AY19" s="306"/>
      <c r="AZ19" s="290">
        <f t="shared" si="4"/>
        <v>0</v>
      </c>
      <c r="BA19" s="306"/>
      <c r="BB19" s="306" t="s">
        <v>551</v>
      </c>
      <c r="BC19" s="315">
        <f t="shared" si="0"/>
        <v>2</v>
      </c>
      <c r="BD19" s="316" t="str">
        <f t="shared" si="5"/>
        <v>Habilitado</v>
      </c>
    </row>
    <row r="20" spans="1:56" ht="51" x14ac:dyDescent="0.25">
      <c r="A20" s="308">
        <v>18</v>
      </c>
      <c r="B20" s="309" t="s">
        <v>552</v>
      </c>
      <c r="C20" s="310" t="s">
        <v>553</v>
      </c>
      <c r="D20" s="310" t="s">
        <v>97</v>
      </c>
      <c r="E20" s="303" t="s">
        <v>510</v>
      </c>
      <c r="F20" s="303" t="s">
        <v>510</v>
      </c>
      <c r="G20" s="303" t="s">
        <v>510</v>
      </c>
      <c r="H20" s="303" t="s">
        <v>511</v>
      </c>
      <c r="I20" s="303" t="s">
        <v>510</v>
      </c>
      <c r="J20" s="303" t="s">
        <v>511</v>
      </c>
      <c r="K20" s="303">
        <v>40</v>
      </c>
      <c r="L20" s="408">
        <f t="shared" si="1"/>
        <v>40</v>
      </c>
      <c r="M20" s="303" t="s">
        <v>504</v>
      </c>
      <c r="N20" s="303"/>
      <c r="O20" s="311"/>
      <c r="P20" s="311"/>
      <c r="Q20" s="311"/>
      <c r="R20" s="311"/>
      <c r="S20" s="311"/>
      <c r="T20" s="311"/>
      <c r="U20" s="311"/>
      <c r="V20" s="409">
        <f t="shared" si="2"/>
        <v>0</v>
      </c>
      <c r="W20" s="311"/>
      <c r="X20" s="311"/>
      <c r="Y20" s="300" t="s">
        <v>510</v>
      </c>
      <c r="Z20" s="300" t="s">
        <v>510</v>
      </c>
      <c r="AA20" s="300" t="s">
        <v>510</v>
      </c>
      <c r="AB20" s="300" t="s">
        <v>511</v>
      </c>
      <c r="AC20" s="300" t="s">
        <v>510</v>
      </c>
      <c r="AD20" s="300" t="s">
        <v>511</v>
      </c>
      <c r="AE20" s="318">
        <v>40</v>
      </c>
      <c r="AF20" s="410">
        <f t="shared" si="3"/>
        <v>40</v>
      </c>
      <c r="AG20" s="300" t="s">
        <v>504</v>
      </c>
      <c r="AH20" s="300"/>
      <c r="AI20" s="303" t="s">
        <v>510</v>
      </c>
      <c r="AJ20" s="303" t="s">
        <v>510</v>
      </c>
      <c r="AK20" s="303" t="s">
        <v>510</v>
      </c>
      <c r="AL20" s="303" t="s">
        <v>511</v>
      </c>
      <c r="AM20" s="303" t="s">
        <v>510</v>
      </c>
      <c r="AN20" s="303" t="s">
        <v>511</v>
      </c>
      <c r="AO20" s="303">
        <v>20</v>
      </c>
      <c r="AP20" s="290">
        <f t="shared" si="6"/>
        <v>20</v>
      </c>
      <c r="AQ20" s="303" t="s">
        <v>504</v>
      </c>
      <c r="AR20" s="303"/>
      <c r="AS20" s="303"/>
      <c r="AT20" s="303"/>
      <c r="AU20" s="303"/>
      <c r="AV20" s="303"/>
      <c r="AW20" s="303"/>
      <c r="AX20" s="303"/>
      <c r="AY20" s="303"/>
      <c r="AZ20" s="290">
        <f t="shared" si="4"/>
        <v>0</v>
      </c>
      <c r="BA20" s="303"/>
      <c r="BB20" s="301"/>
      <c r="BC20" s="315">
        <f t="shared" si="0"/>
        <v>3</v>
      </c>
      <c r="BD20" s="316" t="str">
        <f t="shared" si="5"/>
        <v>Habilitado</v>
      </c>
    </row>
    <row r="21" spans="1:56" ht="38.25" x14ac:dyDescent="0.25">
      <c r="A21" s="308">
        <v>19</v>
      </c>
      <c r="B21" s="309" t="s">
        <v>554</v>
      </c>
      <c r="C21" s="310" t="s">
        <v>555</v>
      </c>
      <c r="D21" s="310" t="s">
        <v>97</v>
      </c>
      <c r="E21" s="303" t="s">
        <v>510</v>
      </c>
      <c r="F21" s="303" t="s">
        <v>510</v>
      </c>
      <c r="G21" s="303" t="s">
        <v>510</v>
      </c>
      <c r="H21" s="303" t="s">
        <v>511</v>
      </c>
      <c r="I21" s="303" t="s">
        <v>510</v>
      </c>
      <c r="J21" s="303" t="s">
        <v>511</v>
      </c>
      <c r="K21" s="303">
        <v>40</v>
      </c>
      <c r="L21" s="408">
        <f t="shared" si="1"/>
        <v>40</v>
      </c>
      <c r="M21" s="303" t="s">
        <v>504</v>
      </c>
      <c r="N21" s="303"/>
      <c r="O21" s="311"/>
      <c r="P21" s="311"/>
      <c r="Q21" s="311"/>
      <c r="R21" s="311"/>
      <c r="S21" s="311"/>
      <c r="T21" s="311"/>
      <c r="U21" s="311"/>
      <c r="V21" s="409">
        <f t="shared" si="2"/>
        <v>0</v>
      </c>
      <c r="W21" s="311"/>
      <c r="X21" s="311"/>
      <c r="Y21" s="300"/>
      <c r="Z21" s="300"/>
      <c r="AA21" s="300"/>
      <c r="AB21" s="300"/>
      <c r="AC21" s="300"/>
      <c r="AD21" s="300"/>
      <c r="AE21" s="318"/>
      <c r="AF21" s="410">
        <f t="shared" si="3"/>
        <v>0</v>
      </c>
      <c r="AG21" s="300"/>
      <c r="AH21" s="300"/>
      <c r="AI21" s="303"/>
      <c r="AJ21" s="303"/>
      <c r="AK21" s="303"/>
      <c r="AL21" s="303"/>
      <c r="AM21" s="303"/>
      <c r="AN21" s="303"/>
      <c r="AO21" s="303"/>
      <c r="AP21" s="290">
        <f t="shared" si="6"/>
        <v>0</v>
      </c>
      <c r="AQ21" s="303"/>
      <c r="AR21" s="303"/>
      <c r="AS21" s="303"/>
      <c r="AT21" s="303"/>
      <c r="AU21" s="303"/>
      <c r="AV21" s="303"/>
      <c r="AW21" s="303"/>
      <c r="AX21" s="303"/>
      <c r="AY21" s="303"/>
      <c r="AZ21" s="290">
        <f t="shared" si="4"/>
        <v>0</v>
      </c>
      <c r="BA21" s="303"/>
      <c r="BB21" s="303"/>
      <c r="BC21" s="315">
        <f t="shared" si="0"/>
        <v>1</v>
      </c>
      <c r="BD21" s="316" t="str">
        <f t="shared" si="5"/>
        <v>Habilitado</v>
      </c>
    </row>
    <row r="22" spans="1:56" ht="38.25" x14ac:dyDescent="0.25">
      <c r="A22" s="308">
        <v>20</v>
      </c>
      <c r="B22" s="309" t="s">
        <v>556</v>
      </c>
      <c r="C22" s="310" t="s">
        <v>557</v>
      </c>
      <c r="D22" s="310" t="s">
        <v>547</v>
      </c>
      <c r="E22" s="303" t="s">
        <v>510</v>
      </c>
      <c r="F22" s="303" t="s">
        <v>510</v>
      </c>
      <c r="G22" s="303" t="s">
        <v>510</v>
      </c>
      <c r="H22" s="303" t="s">
        <v>511</v>
      </c>
      <c r="I22" s="303" t="s">
        <v>510</v>
      </c>
      <c r="J22" s="303" t="s">
        <v>510</v>
      </c>
      <c r="K22" s="303">
        <v>40</v>
      </c>
      <c r="L22" s="408">
        <f t="shared" si="1"/>
        <v>40</v>
      </c>
      <c r="M22" s="303" t="s">
        <v>504</v>
      </c>
      <c r="N22" s="303"/>
      <c r="O22" s="311"/>
      <c r="P22" s="311"/>
      <c r="Q22" s="311"/>
      <c r="R22" s="311"/>
      <c r="S22" s="311"/>
      <c r="T22" s="311"/>
      <c r="U22" s="311"/>
      <c r="V22" s="409">
        <f t="shared" si="2"/>
        <v>0</v>
      </c>
      <c r="W22" s="311"/>
      <c r="X22" s="311"/>
      <c r="Y22" s="300" t="s">
        <v>510</v>
      </c>
      <c r="Z22" s="300" t="s">
        <v>510</v>
      </c>
      <c r="AA22" s="300" t="s">
        <v>510</v>
      </c>
      <c r="AB22" s="300" t="s">
        <v>511</v>
      </c>
      <c r="AC22" s="300" t="s">
        <v>510</v>
      </c>
      <c r="AD22" s="300" t="s">
        <v>510</v>
      </c>
      <c r="AE22" s="318">
        <v>40</v>
      </c>
      <c r="AF22" s="410">
        <f t="shared" si="3"/>
        <v>40</v>
      </c>
      <c r="AG22" s="300" t="s">
        <v>504</v>
      </c>
      <c r="AH22" s="300"/>
      <c r="AI22" s="303" t="s">
        <v>510</v>
      </c>
      <c r="AJ22" s="303" t="s">
        <v>510</v>
      </c>
      <c r="AK22" s="303" t="s">
        <v>510</v>
      </c>
      <c r="AL22" s="303" t="s">
        <v>511</v>
      </c>
      <c r="AM22" s="303" t="s">
        <v>510</v>
      </c>
      <c r="AN22" s="303" t="s">
        <v>510</v>
      </c>
      <c r="AO22" s="303">
        <v>20</v>
      </c>
      <c r="AP22" s="290">
        <f t="shared" si="6"/>
        <v>20</v>
      </c>
      <c r="AQ22" s="303" t="s">
        <v>504</v>
      </c>
      <c r="AR22" s="303"/>
      <c r="AS22" s="303"/>
      <c r="AT22" s="303"/>
      <c r="AU22" s="303"/>
      <c r="AV22" s="303"/>
      <c r="AW22" s="303"/>
      <c r="AX22" s="303"/>
      <c r="AY22" s="303"/>
      <c r="AZ22" s="290">
        <f t="shared" si="4"/>
        <v>0</v>
      </c>
      <c r="BA22" s="303"/>
      <c r="BB22" s="301"/>
      <c r="BC22" s="315">
        <f t="shared" si="0"/>
        <v>3</v>
      </c>
      <c r="BD22" s="316" t="str">
        <f t="shared" si="5"/>
        <v>Habilitado</v>
      </c>
    </row>
    <row r="23" spans="1:56" ht="38.25" x14ac:dyDescent="0.25">
      <c r="A23" s="308">
        <v>21</v>
      </c>
      <c r="B23" s="309" t="s">
        <v>558</v>
      </c>
      <c r="C23" s="310" t="s">
        <v>518</v>
      </c>
      <c r="D23" s="310" t="s">
        <v>547</v>
      </c>
      <c r="E23" s="303" t="s">
        <v>510</v>
      </c>
      <c r="F23" s="303" t="s">
        <v>510</v>
      </c>
      <c r="G23" s="303" t="s">
        <v>510</v>
      </c>
      <c r="H23" s="303" t="s">
        <v>511</v>
      </c>
      <c r="I23" s="303" t="s">
        <v>510</v>
      </c>
      <c r="J23" s="303" t="s">
        <v>511</v>
      </c>
      <c r="K23" s="303">
        <v>40</v>
      </c>
      <c r="L23" s="408">
        <f t="shared" si="1"/>
        <v>40</v>
      </c>
      <c r="M23" s="303" t="s">
        <v>504</v>
      </c>
      <c r="N23" s="301"/>
      <c r="O23" s="311"/>
      <c r="P23" s="311"/>
      <c r="Q23" s="311"/>
      <c r="R23" s="311"/>
      <c r="S23" s="311"/>
      <c r="T23" s="311"/>
      <c r="U23" s="311"/>
      <c r="V23" s="409">
        <f t="shared" si="2"/>
        <v>0</v>
      </c>
      <c r="W23" s="311"/>
      <c r="X23" s="320"/>
      <c r="Y23" s="300" t="s">
        <v>510</v>
      </c>
      <c r="Z23" s="300" t="s">
        <v>510</v>
      </c>
      <c r="AA23" s="300" t="s">
        <v>510</v>
      </c>
      <c r="AB23" s="300" t="s">
        <v>511</v>
      </c>
      <c r="AC23" s="300" t="s">
        <v>510</v>
      </c>
      <c r="AD23" s="300" t="s">
        <v>511</v>
      </c>
      <c r="AE23" s="318">
        <v>40</v>
      </c>
      <c r="AF23" s="410">
        <f t="shared" si="3"/>
        <v>40</v>
      </c>
      <c r="AG23" s="300" t="s">
        <v>504</v>
      </c>
      <c r="AH23" s="299"/>
      <c r="AI23" s="303" t="s">
        <v>510</v>
      </c>
      <c r="AJ23" s="303" t="s">
        <v>510</v>
      </c>
      <c r="AK23" s="303" t="s">
        <v>510</v>
      </c>
      <c r="AL23" s="303" t="s">
        <v>511</v>
      </c>
      <c r="AM23" s="303" t="s">
        <v>510</v>
      </c>
      <c r="AN23" s="303" t="s">
        <v>511</v>
      </c>
      <c r="AO23" s="303">
        <v>20</v>
      </c>
      <c r="AP23" s="290">
        <f t="shared" si="6"/>
        <v>20</v>
      </c>
      <c r="AQ23" s="303" t="s">
        <v>504</v>
      </c>
      <c r="AR23" s="301"/>
      <c r="AS23" s="303"/>
      <c r="AT23" s="303"/>
      <c r="AU23" s="303"/>
      <c r="AV23" s="303"/>
      <c r="AW23" s="303"/>
      <c r="AX23" s="303"/>
      <c r="AY23" s="303"/>
      <c r="AZ23" s="290">
        <f t="shared" si="4"/>
        <v>0</v>
      </c>
      <c r="BA23" s="303"/>
      <c r="BB23" s="301"/>
      <c r="BC23" s="315">
        <f t="shared" si="0"/>
        <v>3</v>
      </c>
      <c r="BD23" s="316" t="str">
        <f t="shared" si="5"/>
        <v>Habilitado</v>
      </c>
    </row>
    <row r="24" spans="1:56" ht="38.25" x14ac:dyDescent="0.25">
      <c r="A24" s="308">
        <v>22</v>
      </c>
      <c r="B24" s="309" t="s">
        <v>559</v>
      </c>
      <c r="C24" s="310" t="s">
        <v>518</v>
      </c>
      <c r="D24" s="310" t="s">
        <v>560</v>
      </c>
      <c r="E24" s="311"/>
      <c r="F24" s="311"/>
      <c r="G24" s="311"/>
      <c r="H24" s="311"/>
      <c r="I24" s="311"/>
      <c r="J24" s="311"/>
      <c r="K24" s="311"/>
      <c r="L24" s="408">
        <f t="shared" si="1"/>
        <v>0</v>
      </c>
      <c r="M24" s="311"/>
      <c r="N24" s="320"/>
      <c r="O24" s="311"/>
      <c r="P24" s="311"/>
      <c r="Q24" s="311"/>
      <c r="R24" s="311"/>
      <c r="S24" s="311"/>
      <c r="T24" s="311"/>
      <c r="U24" s="311"/>
      <c r="V24" s="409">
        <f t="shared" si="2"/>
        <v>0</v>
      </c>
      <c r="W24" s="311"/>
      <c r="X24" s="320"/>
      <c r="Y24" s="300"/>
      <c r="Z24" s="300"/>
      <c r="AA24" s="300"/>
      <c r="AB24" s="300"/>
      <c r="AC24" s="300"/>
      <c r="AD24" s="300"/>
      <c r="AE24" s="318"/>
      <c r="AF24" s="410">
        <f t="shared" si="3"/>
        <v>0</v>
      </c>
      <c r="AG24" s="300"/>
      <c r="AH24" s="299"/>
      <c r="AI24" s="303"/>
      <c r="AJ24" s="303"/>
      <c r="AK24" s="303"/>
      <c r="AL24" s="303"/>
      <c r="AM24" s="303"/>
      <c r="AN24" s="303"/>
      <c r="AO24" s="303"/>
      <c r="AP24" s="290">
        <f t="shared" si="6"/>
        <v>0</v>
      </c>
      <c r="AQ24" s="303"/>
      <c r="AR24" s="301"/>
      <c r="AS24" s="303"/>
      <c r="AT24" s="303"/>
      <c r="AU24" s="303"/>
      <c r="AV24" s="303"/>
      <c r="AW24" s="303"/>
      <c r="AX24" s="303"/>
      <c r="AY24" s="303"/>
      <c r="AZ24" s="290">
        <f t="shared" si="4"/>
        <v>0</v>
      </c>
      <c r="BA24" s="303"/>
      <c r="BB24" s="301"/>
      <c r="BC24" s="315">
        <f t="shared" si="0"/>
        <v>0</v>
      </c>
      <c r="BD24" s="316" t="str">
        <f t="shared" si="5"/>
        <v>Desierto</v>
      </c>
    </row>
    <row r="25" spans="1:56" ht="25.5" x14ac:dyDescent="0.25">
      <c r="A25" s="308">
        <v>23</v>
      </c>
      <c r="B25" s="309" t="s">
        <v>561</v>
      </c>
      <c r="C25" s="310" t="s">
        <v>562</v>
      </c>
      <c r="D25" s="310" t="s">
        <v>41</v>
      </c>
      <c r="E25" s="303" t="s">
        <v>510</v>
      </c>
      <c r="F25" s="303" t="s">
        <v>510</v>
      </c>
      <c r="G25" s="303" t="s">
        <v>510</v>
      </c>
      <c r="H25" s="303" t="s">
        <v>511</v>
      </c>
      <c r="I25" s="303" t="s">
        <v>510</v>
      </c>
      <c r="J25" s="303" t="s">
        <v>511</v>
      </c>
      <c r="K25" s="303">
        <v>0</v>
      </c>
      <c r="L25" s="408">
        <f t="shared" si="1"/>
        <v>0</v>
      </c>
      <c r="M25" s="303" t="s">
        <v>504</v>
      </c>
      <c r="N25" s="303"/>
      <c r="O25" s="311"/>
      <c r="P25" s="311"/>
      <c r="Q25" s="311"/>
      <c r="R25" s="311"/>
      <c r="S25" s="311"/>
      <c r="T25" s="311"/>
      <c r="U25" s="311"/>
      <c r="V25" s="409">
        <f t="shared" si="2"/>
        <v>0</v>
      </c>
      <c r="W25" s="311"/>
      <c r="X25" s="311"/>
      <c r="Y25" s="300"/>
      <c r="Z25" s="300"/>
      <c r="AA25" s="300"/>
      <c r="AB25" s="300"/>
      <c r="AC25" s="300"/>
      <c r="AD25" s="300"/>
      <c r="AE25" s="318"/>
      <c r="AF25" s="410">
        <f t="shared" si="3"/>
        <v>0</v>
      </c>
      <c r="AG25" s="300"/>
      <c r="AH25" s="300"/>
      <c r="AI25" s="303"/>
      <c r="AJ25" s="303"/>
      <c r="AK25" s="303"/>
      <c r="AL25" s="303"/>
      <c r="AM25" s="303"/>
      <c r="AN25" s="303"/>
      <c r="AO25" s="303"/>
      <c r="AP25" s="290">
        <f t="shared" si="6"/>
        <v>0</v>
      </c>
      <c r="AQ25" s="303"/>
      <c r="AR25" s="303"/>
      <c r="AS25" s="303"/>
      <c r="AT25" s="303"/>
      <c r="AU25" s="303"/>
      <c r="AV25" s="303"/>
      <c r="AW25" s="303"/>
      <c r="AX25" s="303"/>
      <c r="AY25" s="303"/>
      <c r="AZ25" s="290">
        <f t="shared" si="4"/>
        <v>0</v>
      </c>
      <c r="BA25" s="303"/>
      <c r="BB25" s="303"/>
      <c r="BC25" s="315">
        <f t="shared" si="0"/>
        <v>1</v>
      </c>
      <c r="BD25" s="316" t="str">
        <f t="shared" si="5"/>
        <v>Habilitado</v>
      </c>
    </row>
    <row r="26" spans="1:56" ht="25.5" x14ac:dyDescent="0.25">
      <c r="A26" s="308">
        <v>24</v>
      </c>
      <c r="B26" s="309" t="s">
        <v>563</v>
      </c>
      <c r="C26" s="310" t="s">
        <v>562</v>
      </c>
      <c r="D26" s="310" t="s">
        <v>41</v>
      </c>
      <c r="E26" s="303" t="s">
        <v>510</v>
      </c>
      <c r="F26" s="303" t="s">
        <v>510</v>
      </c>
      <c r="G26" s="303" t="s">
        <v>510</v>
      </c>
      <c r="H26" s="303" t="s">
        <v>511</v>
      </c>
      <c r="I26" s="303" t="s">
        <v>510</v>
      </c>
      <c r="J26" s="303" t="s">
        <v>511</v>
      </c>
      <c r="K26" s="303">
        <v>40</v>
      </c>
      <c r="L26" s="408">
        <f t="shared" si="1"/>
        <v>40</v>
      </c>
      <c r="M26" s="303" t="s">
        <v>504</v>
      </c>
      <c r="N26" s="303"/>
      <c r="O26" s="311"/>
      <c r="P26" s="311"/>
      <c r="Q26" s="311"/>
      <c r="R26" s="311"/>
      <c r="S26" s="311"/>
      <c r="T26" s="311"/>
      <c r="U26" s="311"/>
      <c r="V26" s="409">
        <f t="shared" si="2"/>
        <v>0</v>
      </c>
      <c r="W26" s="311"/>
      <c r="X26" s="311"/>
      <c r="Y26" s="300"/>
      <c r="Z26" s="300"/>
      <c r="AA26" s="300"/>
      <c r="AB26" s="300"/>
      <c r="AC26" s="300"/>
      <c r="AD26" s="300"/>
      <c r="AE26" s="318"/>
      <c r="AF26" s="410">
        <f t="shared" si="3"/>
        <v>0</v>
      </c>
      <c r="AG26" s="300"/>
      <c r="AH26" s="300"/>
      <c r="AI26" s="303"/>
      <c r="AJ26" s="303"/>
      <c r="AK26" s="303"/>
      <c r="AL26" s="303"/>
      <c r="AM26" s="303"/>
      <c r="AN26" s="303"/>
      <c r="AO26" s="303"/>
      <c r="AP26" s="290">
        <f t="shared" si="6"/>
        <v>0</v>
      </c>
      <c r="AQ26" s="303"/>
      <c r="AR26" s="303"/>
      <c r="AS26" s="303" t="s">
        <v>510</v>
      </c>
      <c r="AT26" s="303" t="s">
        <v>510</v>
      </c>
      <c r="AU26" s="303" t="s">
        <v>510</v>
      </c>
      <c r="AV26" s="303" t="s">
        <v>511</v>
      </c>
      <c r="AW26" s="303" t="s">
        <v>510</v>
      </c>
      <c r="AX26" s="303" t="s">
        <v>511</v>
      </c>
      <c r="AY26" s="303">
        <v>0</v>
      </c>
      <c r="AZ26" s="290">
        <f t="shared" si="4"/>
        <v>0</v>
      </c>
      <c r="BA26" s="303" t="s">
        <v>504</v>
      </c>
      <c r="BB26" s="303"/>
      <c r="BC26" s="315">
        <f t="shared" si="0"/>
        <v>2</v>
      </c>
      <c r="BD26" s="316" t="str">
        <f t="shared" si="5"/>
        <v>Habilitado</v>
      </c>
    </row>
    <row r="27" spans="1:56" x14ac:dyDescent="0.25">
      <c r="A27" s="308">
        <v>25</v>
      </c>
      <c r="B27" s="309" t="s">
        <v>564</v>
      </c>
      <c r="C27" s="310" t="s">
        <v>565</v>
      </c>
      <c r="D27" s="310" t="s">
        <v>566</v>
      </c>
      <c r="E27" s="303" t="s">
        <v>510</v>
      </c>
      <c r="F27" s="303" t="s">
        <v>510</v>
      </c>
      <c r="G27" s="303" t="s">
        <v>510</v>
      </c>
      <c r="H27" s="303" t="s">
        <v>511</v>
      </c>
      <c r="I27" s="303" t="s">
        <v>510</v>
      </c>
      <c r="J27" s="303" t="s">
        <v>511</v>
      </c>
      <c r="K27" s="303">
        <v>40</v>
      </c>
      <c r="L27" s="408">
        <f t="shared" si="1"/>
        <v>40</v>
      </c>
      <c r="M27" s="303" t="s">
        <v>504</v>
      </c>
      <c r="N27" s="301"/>
      <c r="O27" s="311"/>
      <c r="P27" s="311"/>
      <c r="Q27" s="311"/>
      <c r="R27" s="311"/>
      <c r="S27" s="311"/>
      <c r="T27" s="311"/>
      <c r="U27" s="311"/>
      <c r="V27" s="409">
        <f t="shared" si="2"/>
        <v>0</v>
      </c>
      <c r="W27" s="311"/>
      <c r="X27" s="311"/>
      <c r="Y27" s="300"/>
      <c r="Z27" s="300"/>
      <c r="AA27" s="300"/>
      <c r="AB27" s="300"/>
      <c r="AC27" s="300"/>
      <c r="AD27" s="300"/>
      <c r="AE27" s="318"/>
      <c r="AF27" s="410">
        <f t="shared" si="3"/>
        <v>0</v>
      </c>
      <c r="AG27" s="300"/>
      <c r="AH27" s="300"/>
      <c r="AI27" s="303"/>
      <c r="AJ27" s="303"/>
      <c r="AK27" s="303"/>
      <c r="AL27" s="303"/>
      <c r="AM27" s="303"/>
      <c r="AN27" s="303"/>
      <c r="AO27" s="303"/>
      <c r="AP27" s="290">
        <f t="shared" si="6"/>
        <v>0</v>
      </c>
      <c r="AQ27" s="303"/>
      <c r="AR27" s="303"/>
      <c r="AS27" s="303"/>
      <c r="AT27" s="303"/>
      <c r="AU27" s="303"/>
      <c r="AV27" s="303"/>
      <c r="AW27" s="303"/>
      <c r="AX27" s="303"/>
      <c r="AY27" s="303"/>
      <c r="AZ27" s="290">
        <f t="shared" si="4"/>
        <v>0</v>
      </c>
      <c r="BA27" s="303"/>
      <c r="BB27" s="303"/>
      <c r="BC27" s="315">
        <f t="shared" si="0"/>
        <v>1</v>
      </c>
      <c r="BD27" s="316" t="str">
        <f t="shared" si="5"/>
        <v>Habilitado</v>
      </c>
    </row>
    <row r="28" spans="1:56" ht="122.25" customHeight="1" x14ac:dyDescent="0.25">
      <c r="A28" s="308">
        <v>26</v>
      </c>
      <c r="B28" s="309" t="s">
        <v>567</v>
      </c>
      <c r="C28" s="310" t="s">
        <v>546</v>
      </c>
      <c r="D28" s="310" t="s">
        <v>109</v>
      </c>
      <c r="E28" s="303" t="s">
        <v>510</v>
      </c>
      <c r="F28" s="303" t="s">
        <v>519</v>
      </c>
      <c r="G28" s="303" t="s">
        <v>510</v>
      </c>
      <c r="H28" s="303" t="s">
        <v>511</v>
      </c>
      <c r="I28" s="303" t="s">
        <v>510</v>
      </c>
      <c r="J28" s="303" t="s">
        <v>511</v>
      </c>
      <c r="K28" s="303">
        <v>40</v>
      </c>
      <c r="L28" s="408">
        <f t="shared" si="1"/>
        <v>40</v>
      </c>
      <c r="M28" s="303" t="s">
        <v>520</v>
      </c>
      <c r="N28" s="301" t="s">
        <v>568</v>
      </c>
      <c r="O28" s="311"/>
      <c r="P28" s="311"/>
      <c r="Q28" s="311"/>
      <c r="R28" s="311"/>
      <c r="S28" s="311"/>
      <c r="T28" s="311"/>
      <c r="U28" s="311"/>
      <c r="V28" s="409">
        <f t="shared" si="2"/>
        <v>0</v>
      </c>
      <c r="W28" s="311"/>
      <c r="X28" s="320"/>
      <c r="Y28" s="300" t="s">
        <v>510</v>
      </c>
      <c r="Z28" s="300" t="s">
        <v>519</v>
      </c>
      <c r="AA28" s="300" t="s">
        <v>510</v>
      </c>
      <c r="AB28" s="300" t="s">
        <v>511</v>
      </c>
      <c r="AC28" s="300" t="s">
        <v>510</v>
      </c>
      <c r="AD28" s="300" t="s">
        <v>511</v>
      </c>
      <c r="AE28" s="318">
        <v>0</v>
      </c>
      <c r="AF28" s="410">
        <f t="shared" si="3"/>
        <v>0</v>
      </c>
      <c r="AG28" s="300" t="s">
        <v>520</v>
      </c>
      <c r="AH28" s="299" t="s">
        <v>569</v>
      </c>
      <c r="AI28" s="303"/>
      <c r="AJ28" s="303"/>
      <c r="AK28" s="303"/>
      <c r="AL28" s="303"/>
      <c r="AM28" s="303"/>
      <c r="AN28" s="303"/>
      <c r="AO28" s="303"/>
      <c r="AP28" s="290">
        <f t="shared" si="6"/>
        <v>0</v>
      </c>
      <c r="AQ28" s="303"/>
      <c r="AR28" s="301"/>
      <c r="AS28" s="303"/>
      <c r="AT28" s="303"/>
      <c r="AU28" s="303"/>
      <c r="AV28" s="303"/>
      <c r="AW28" s="303"/>
      <c r="AX28" s="303"/>
      <c r="AY28" s="303"/>
      <c r="AZ28" s="290">
        <f t="shared" si="4"/>
        <v>0</v>
      </c>
      <c r="BA28" s="303"/>
      <c r="BB28" s="301"/>
      <c r="BC28" s="315">
        <f t="shared" si="0"/>
        <v>0</v>
      </c>
      <c r="BD28" s="316" t="str">
        <f t="shared" si="5"/>
        <v>Desierto</v>
      </c>
    </row>
    <row r="29" spans="1:56" ht="76.5" x14ac:dyDescent="0.25">
      <c r="A29" s="308">
        <v>27</v>
      </c>
      <c r="B29" s="309" t="s">
        <v>570</v>
      </c>
      <c r="C29" s="310" t="s">
        <v>571</v>
      </c>
      <c r="D29" s="310" t="s">
        <v>97</v>
      </c>
      <c r="E29" s="303" t="s">
        <v>510</v>
      </c>
      <c r="F29" s="303" t="s">
        <v>510</v>
      </c>
      <c r="G29" s="303" t="s">
        <v>510</v>
      </c>
      <c r="H29" s="303" t="s">
        <v>511</v>
      </c>
      <c r="I29" s="303" t="s">
        <v>510</v>
      </c>
      <c r="J29" s="303" t="s">
        <v>511</v>
      </c>
      <c r="K29" s="303">
        <v>40</v>
      </c>
      <c r="L29" s="408">
        <f t="shared" si="1"/>
        <v>40</v>
      </c>
      <c r="M29" s="303" t="s">
        <v>504</v>
      </c>
      <c r="N29" s="303"/>
      <c r="O29" s="311"/>
      <c r="P29" s="311"/>
      <c r="Q29" s="311"/>
      <c r="R29" s="311"/>
      <c r="S29" s="311"/>
      <c r="T29" s="311"/>
      <c r="U29" s="311"/>
      <c r="V29" s="409">
        <f t="shared" si="2"/>
        <v>0</v>
      </c>
      <c r="W29" s="311"/>
      <c r="X29" s="311"/>
      <c r="Y29" s="300" t="s">
        <v>510</v>
      </c>
      <c r="Z29" s="300" t="s">
        <v>510</v>
      </c>
      <c r="AA29" s="300" t="s">
        <v>510</v>
      </c>
      <c r="AB29" s="300" t="s">
        <v>511</v>
      </c>
      <c r="AC29" s="300" t="s">
        <v>510</v>
      </c>
      <c r="AD29" s="300" t="s">
        <v>511</v>
      </c>
      <c r="AE29" s="318">
        <v>40</v>
      </c>
      <c r="AF29" s="410">
        <f t="shared" si="3"/>
        <v>40</v>
      </c>
      <c r="AG29" s="300" t="s">
        <v>504</v>
      </c>
      <c r="AH29" s="300"/>
      <c r="AI29" s="303" t="s">
        <v>510</v>
      </c>
      <c r="AJ29" s="303" t="s">
        <v>510</v>
      </c>
      <c r="AK29" s="303" t="s">
        <v>510</v>
      </c>
      <c r="AL29" s="303" t="s">
        <v>511</v>
      </c>
      <c r="AM29" s="303" t="s">
        <v>510</v>
      </c>
      <c r="AN29" s="303" t="s">
        <v>511</v>
      </c>
      <c r="AO29" s="303">
        <v>20</v>
      </c>
      <c r="AP29" s="290">
        <f t="shared" si="6"/>
        <v>20</v>
      </c>
      <c r="AQ29" s="303" t="s">
        <v>504</v>
      </c>
      <c r="AR29" s="303"/>
      <c r="AS29" s="303" t="s">
        <v>510</v>
      </c>
      <c r="AT29" s="303" t="s">
        <v>510</v>
      </c>
      <c r="AU29" s="303" t="s">
        <v>510</v>
      </c>
      <c r="AV29" s="303" t="s">
        <v>511</v>
      </c>
      <c r="AW29" s="303" t="s">
        <v>510</v>
      </c>
      <c r="AX29" s="303" t="s">
        <v>511</v>
      </c>
      <c r="AY29" s="303">
        <v>0</v>
      </c>
      <c r="AZ29" s="290">
        <f t="shared" si="4"/>
        <v>0</v>
      </c>
      <c r="BA29" s="303" t="s">
        <v>504</v>
      </c>
      <c r="BB29" s="301"/>
      <c r="BC29" s="315">
        <f t="shared" si="0"/>
        <v>4</v>
      </c>
      <c r="BD29" s="316" t="str">
        <f t="shared" si="5"/>
        <v>Habilitado</v>
      </c>
    </row>
    <row r="30" spans="1:56" ht="51" x14ac:dyDescent="0.25">
      <c r="A30" s="308">
        <v>28</v>
      </c>
      <c r="B30" s="309" t="s">
        <v>572</v>
      </c>
      <c r="C30" s="310" t="s">
        <v>573</v>
      </c>
      <c r="D30" s="310" t="s">
        <v>547</v>
      </c>
      <c r="E30" s="303" t="s">
        <v>510</v>
      </c>
      <c r="F30" s="303" t="s">
        <v>510</v>
      </c>
      <c r="G30" s="303" t="s">
        <v>510</v>
      </c>
      <c r="H30" s="303" t="s">
        <v>511</v>
      </c>
      <c r="I30" s="303" t="s">
        <v>510</v>
      </c>
      <c r="J30" s="303" t="s">
        <v>511</v>
      </c>
      <c r="K30" s="303">
        <v>40</v>
      </c>
      <c r="L30" s="408">
        <f t="shared" si="1"/>
        <v>40</v>
      </c>
      <c r="M30" s="303" t="s">
        <v>504</v>
      </c>
      <c r="N30" s="303"/>
      <c r="O30" s="311"/>
      <c r="P30" s="311"/>
      <c r="Q30" s="311"/>
      <c r="R30" s="311"/>
      <c r="S30" s="311"/>
      <c r="T30" s="311"/>
      <c r="U30" s="311"/>
      <c r="V30" s="409">
        <f t="shared" si="2"/>
        <v>0</v>
      </c>
      <c r="W30" s="311"/>
      <c r="X30" s="311"/>
      <c r="Y30" s="300" t="s">
        <v>510</v>
      </c>
      <c r="Z30" s="300" t="s">
        <v>510</v>
      </c>
      <c r="AA30" s="300" t="s">
        <v>510</v>
      </c>
      <c r="AB30" s="300" t="s">
        <v>511</v>
      </c>
      <c r="AC30" s="300" t="s">
        <v>510</v>
      </c>
      <c r="AD30" s="300" t="s">
        <v>511</v>
      </c>
      <c r="AE30" s="318">
        <v>40</v>
      </c>
      <c r="AF30" s="410">
        <f t="shared" si="3"/>
        <v>40</v>
      </c>
      <c r="AG30" s="300" t="s">
        <v>504</v>
      </c>
      <c r="AH30" s="300"/>
      <c r="AI30" s="303" t="s">
        <v>510</v>
      </c>
      <c r="AJ30" s="303" t="s">
        <v>510</v>
      </c>
      <c r="AK30" s="303" t="s">
        <v>510</v>
      </c>
      <c r="AL30" s="303" t="s">
        <v>511</v>
      </c>
      <c r="AM30" s="303" t="s">
        <v>510</v>
      </c>
      <c r="AN30" s="303" t="s">
        <v>511</v>
      </c>
      <c r="AO30" s="303">
        <v>20</v>
      </c>
      <c r="AP30" s="290">
        <f t="shared" si="6"/>
        <v>20</v>
      </c>
      <c r="AQ30" s="303" t="s">
        <v>504</v>
      </c>
      <c r="AR30" s="303"/>
      <c r="AS30" s="303" t="s">
        <v>510</v>
      </c>
      <c r="AT30" s="303" t="s">
        <v>510</v>
      </c>
      <c r="AU30" s="303" t="s">
        <v>510</v>
      </c>
      <c r="AV30" s="303" t="s">
        <v>511</v>
      </c>
      <c r="AW30" s="303" t="s">
        <v>510</v>
      </c>
      <c r="AX30" s="303" t="s">
        <v>511</v>
      </c>
      <c r="AY30" s="303">
        <v>0</v>
      </c>
      <c r="AZ30" s="290">
        <f t="shared" si="4"/>
        <v>0</v>
      </c>
      <c r="BA30" s="303" t="s">
        <v>504</v>
      </c>
      <c r="BB30" s="301"/>
      <c r="BC30" s="315">
        <f t="shared" si="0"/>
        <v>4</v>
      </c>
      <c r="BD30" s="316" t="str">
        <f t="shared" si="5"/>
        <v>Habilitado</v>
      </c>
    </row>
    <row r="31" spans="1:56" x14ac:dyDescent="0.25">
      <c r="A31" s="308">
        <v>29</v>
      </c>
      <c r="B31" s="309" t="s">
        <v>574</v>
      </c>
      <c r="C31" s="310" t="s">
        <v>575</v>
      </c>
      <c r="D31" s="310" t="s">
        <v>41</v>
      </c>
      <c r="E31" s="303" t="s">
        <v>510</v>
      </c>
      <c r="F31" s="303" t="s">
        <v>510</v>
      </c>
      <c r="G31" s="303" t="s">
        <v>510</v>
      </c>
      <c r="H31" s="303" t="s">
        <v>511</v>
      </c>
      <c r="I31" s="303" t="s">
        <v>510</v>
      </c>
      <c r="J31" s="303" t="s">
        <v>511</v>
      </c>
      <c r="K31" s="303">
        <v>40</v>
      </c>
      <c r="L31" s="408">
        <f t="shared" si="1"/>
        <v>40</v>
      </c>
      <c r="M31" s="303" t="s">
        <v>504</v>
      </c>
      <c r="N31" s="303"/>
      <c r="O31" s="311"/>
      <c r="P31" s="311"/>
      <c r="Q31" s="311"/>
      <c r="R31" s="311"/>
      <c r="S31" s="311"/>
      <c r="T31" s="311"/>
      <c r="U31" s="311"/>
      <c r="V31" s="409">
        <f t="shared" si="2"/>
        <v>0</v>
      </c>
      <c r="W31" s="311"/>
      <c r="X31" s="311"/>
      <c r="Y31" s="300"/>
      <c r="Z31" s="300"/>
      <c r="AA31" s="300"/>
      <c r="AB31" s="300"/>
      <c r="AC31" s="300"/>
      <c r="AD31" s="300"/>
      <c r="AE31" s="318"/>
      <c r="AF31" s="410">
        <f t="shared" si="3"/>
        <v>0</v>
      </c>
      <c r="AG31" s="300"/>
      <c r="AH31" s="300"/>
      <c r="AI31" s="303"/>
      <c r="AJ31" s="303"/>
      <c r="AK31" s="303"/>
      <c r="AL31" s="303"/>
      <c r="AM31" s="303"/>
      <c r="AN31" s="303"/>
      <c r="AO31" s="303"/>
      <c r="AP31" s="290">
        <f t="shared" si="6"/>
        <v>0</v>
      </c>
      <c r="AQ31" s="303"/>
      <c r="AR31" s="303"/>
      <c r="AS31" s="303"/>
      <c r="AT31" s="303"/>
      <c r="AU31" s="303"/>
      <c r="AV31" s="303"/>
      <c r="AW31" s="303"/>
      <c r="AX31" s="303"/>
      <c r="AY31" s="303"/>
      <c r="AZ31" s="290">
        <f t="shared" si="4"/>
        <v>0</v>
      </c>
      <c r="BA31" s="303"/>
      <c r="BB31" s="303"/>
      <c r="BC31" s="315">
        <f t="shared" si="0"/>
        <v>1</v>
      </c>
      <c r="BD31" s="316" t="str">
        <f t="shared" si="5"/>
        <v>Habilitado</v>
      </c>
    </row>
    <row r="32" spans="1:56" ht="25.5" x14ac:dyDescent="0.25">
      <c r="A32" s="308">
        <v>30</v>
      </c>
      <c r="B32" s="309" t="s">
        <v>576</v>
      </c>
      <c r="C32" s="310" t="s">
        <v>562</v>
      </c>
      <c r="D32" s="310" t="s">
        <v>577</v>
      </c>
      <c r="E32" s="311"/>
      <c r="F32" s="311"/>
      <c r="G32" s="311"/>
      <c r="H32" s="311"/>
      <c r="I32" s="311"/>
      <c r="J32" s="311"/>
      <c r="K32" s="311"/>
      <c r="L32" s="408">
        <f t="shared" si="1"/>
        <v>0</v>
      </c>
      <c r="M32" s="311"/>
      <c r="N32" s="303"/>
      <c r="O32" s="311"/>
      <c r="P32" s="311"/>
      <c r="Q32" s="311"/>
      <c r="R32" s="311"/>
      <c r="S32" s="311"/>
      <c r="T32" s="311"/>
      <c r="U32" s="311"/>
      <c r="V32" s="409">
        <f t="shared" si="2"/>
        <v>0</v>
      </c>
      <c r="W32" s="311"/>
      <c r="X32" s="311"/>
      <c r="Y32" s="312"/>
      <c r="Z32" s="312"/>
      <c r="AA32" s="312"/>
      <c r="AB32" s="312"/>
      <c r="AC32" s="312"/>
      <c r="AD32" s="312"/>
      <c r="AE32" s="313"/>
      <c r="AF32" s="410">
        <f t="shared" si="3"/>
        <v>0</v>
      </c>
      <c r="AG32" s="312"/>
      <c r="AH32" s="312"/>
      <c r="AI32" s="303"/>
      <c r="AJ32" s="303"/>
      <c r="AK32" s="303"/>
      <c r="AL32" s="303"/>
      <c r="AM32" s="303"/>
      <c r="AN32" s="303"/>
      <c r="AO32" s="303"/>
      <c r="AP32" s="290">
        <f t="shared" si="6"/>
        <v>0</v>
      </c>
      <c r="AQ32" s="303"/>
      <c r="AR32" s="303"/>
      <c r="AS32" s="303" t="s">
        <v>510</v>
      </c>
      <c r="AT32" s="303" t="s">
        <v>510</v>
      </c>
      <c r="AU32" s="303" t="s">
        <v>510</v>
      </c>
      <c r="AV32" s="303" t="s">
        <v>511</v>
      </c>
      <c r="AW32" s="303" t="s">
        <v>510</v>
      </c>
      <c r="AX32" s="303" t="s">
        <v>511</v>
      </c>
      <c r="AY32" s="303">
        <v>0</v>
      </c>
      <c r="AZ32" s="290">
        <f t="shared" si="4"/>
        <v>0</v>
      </c>
      <c r="BA32" s="303" t="s">
        <v>504</v>
      </c>
      <c r="BB32" s="303"/>
      <c r="BC32" s="315">
        <f t="shared" si="0"/>
        <v>1</v>
      </c>
      <c r="BD32" s="316" t="str">
        <f t="shared" si="5"/>
        <v>Habilitado</v>
      </c>
    </row>
    <row r="33" spans="1:56" ht="38.25" x14ac:dyDescent="0.25">
      <c r="A33" s="308">
        <v>31</v>
      </c>
      <c r="B33" s="309" t="s">
        <v>578</v>
      </c>
      <c r="C33" s="310" t="s">
        <v>529</v>
      </c>
      <c r="D33" s="310" t="s">
        <v>547</v>
      </c>
      <c r="E33" s="303" t="s">
        <v>510</v>
      </c>
      <c r="F33" s="303" t="s">
        <v>519</v>
      </c>
      <c r="G33" s="303" t="s">
        <v>510</v>
      </c>
      <c r="H33" s="303" t="s">
        <v>511</v>
      </c>
      <c r="I33" s="303" t="s">
        <v>510</v>
      </c>
      <c r="J33" s="303" t="s">
        <v>510</v>
      </c>
      <c r="K33" s="303">
        <v>40</v>
      </c>
      <c r="L33" s="408">
        <f t="shared" si="1"/>
        <v>40</v>
      </c>
      <c r="M33" s="303" t="s">
        <v>520</v>
      </c>
      <c r="N33" s="303" t="s">
        <v>579</v>
      </c>
      <c r="O33" s="311"/>
      <c r="P33" s="311"/>
      <c r="Q33" s="311"/>
      <c r="R33" s="311"/>
      <c r="S33" s="311"/>
      <c r="T33" s="311"/>
      <c r="U33" s="311"/>
      <c r="V33" s="409">
        <f t="shared" si="2"/>
        <v>0</v>
      </c>
      <c r="W33" s="311"/>
      <c r="X33" s="311"/>
      <c r="Y33" s="300" t="s">
        <v>510</v>
      </c>
      <c r="Z33" s="300" t="s">
        <v>510</v>
      </c>
      <c r="AA33" s="300" t="s">
        <v>510</v>
      </c>
      <c r="AB33" s="300" t="s">
        <v>511</v>
      </c>
      <c r="AC33" s="300" t="s">
        <v>510</v>
      </c>
      <c r="AD33" s="300" t="s">
        <v>580</v>
      </c>
      <c r="AE33" s="318">
        <v>40</v>
      </c>
      <c r="AF33" s="410">
        <f t="shared" si="3"/>
        <v>40</v>
      </c>
      <c r="AG33" s="300" t="s">
        <v>504</v>
      </c>
      <c r="AH33" s="300"/>
      <c r="AI33" s="303" t="s">
        <v>510</v>
      </c>
      <c r="AJ33" s="303" t="s">
        <v>510</v>
      </c>
      <c r="AK33" s="303" t="s">
        <v>510</v>
      </c>
      <c r="AL33" s="303" t="s">
        <v>511</v>
      </c>
      <c r="AM33" s="303" t="s">
        <v>510</v>
      </c>
      <c r="AN33" s="303" t="s">
        <v>510</v>
      </c>
      <c r="AO33" s="303">
        <v>20</v>
      </c>
      <c r="AP33" s="290">
        <f t="shared" si="6"/>
        <v>20</v>
      </c>
      <c r="AQ33" s="303" t="s">
        <v>504</v>
      </c>
      <c r="AR33" s="303"/>
      <c r="AS33" s="303" t="s">
        <v>510</v>
      </c>
      <c r="AT33" s="303" t="s">
        <v>510</v>
      </c>
      <c r="AU33" s="303" t="s">
        <v>510</v>
      </c>
      <c r="AV33" s="303" t="s">
        <v>511</v>
      </c>
      <c r="AW33" s="303" t="s">
        <v>510</v>
      </c>
      <c r="AX33" s="303" t="s">
        <v>511</v>
      </c>
      <c r="AY33" s="303">
        <v>0</v>
      </c>
      <c r="AZ33" s="290">
        <f t="shared" si="4"/>
        <v>0</v>
      </c>
      <c r="BA33" s="303" t="s">
        <v>504</v>
      </c>
      <c r="BB33" s="301"/>
      <c r="BC33" s="315">
        <f t="shared" si="0"/>
        <v>3</v>
      </c>
      <c r="BD33" s="316" t="str">
        <f t="shared" si="5"/>
        <v>Habilitado</v>
      </c>
    </row>
    <row r="34" spans="1:56" ht="63.75" x14ac:dyDescent="0.25">
      <c r="A34" s="308">
        <v>32</v>
      </c>
      <c r="B34" s="309" t="s">
        <v>581</v>
      </c>
      <c r="C34" s="310" t="s">
        <v>65</v>
      </c>
      <c r="D34" s="310" t="s">
        <v>82</v>
      </c>
      <c r="E34" s="303" t="s">
        <v>510</v>
      </c>
      <c r="F34" s="303" t="s">
        <v>519</v>
      </c>
      <c r="G34" s="303" t="s">
        <v>510</v>
      </c>
      <c r="H34" s="303" t="s">
        <v>511</v>
      </c>
      <c r="I34" s="303" t="s">
        <v>510</v>
      </c>
      <c r="J34" s="303" t="s">
        <v>511</v>
      </c>
      <c r="K34" s="303">
        <v>0</v>
      </c>
      <c r="L34" s="408">
        <f t="shared" si="1"/>
        <v>0</v>
      </c>
      <c r="M34" s="303" t="s">
        <v>520</v>
      </c>
      <c r="N34" s="301" t="s">
        <v>582</v>
      </c>
      <c r="O34" s="311"/>
      <c r="P34" s="311"/>
      <c r="Q34" s="311"/>
      <c r="R34" s="311"/>
      <c r="S34" s="311"/>
      <c r="T34" s="311"/>
      <c r="U34" s="311"/>
      <c r="V34" s="409">
        <f t="shared" si="2"/>
        <v>0</v>
      </c>
      <c r="W34" s="311"/>
      <c r="X34" s="311"/>
      <c r="Y34" s="300"/>
      <c r="Z34" s="300"/>
      <c r="AA34" s="300"/>
      <c r="AB34" s="300"/>
      <c r="AC34" s="300"/>
      <c r="AD34" s="300"/>
      <c r="AE34" s="318"/>
      <c r="AF34" s="410">
        <f t="shared" si="3"/>
        <v>0</v>
      </c>
      <c r="AG34" s="300"/>
      <c r="AH34" s="300"/>
      <c r="AI34" s="303"/>
      <c r="AJ34" s="303"/>
      <c r="AK34" s="303"/>
      <c r="AL34" s="303"/>
      <c r="AM34" s="303"/>
      <c r="AN34" s="303"/>
      <c r="AO34" s="303"/>
      <c r="AP34" s="290">
        <f t="shared" si="6"/>
        <v>0</v>
      </c>
      <c r="AQ34" s="303"/>
      <c r="AR34" s="303"/>
      <c r="AS34" s="303" t="s">
        <v>510</v>
      </c>
      <c r="AT34" s="303" t="s">
        <v>510</v>
      </c>
      <c r="AU34" s="303" t="s">
        <v>510</v>
      </c>
      <c r="AV34" s="303" t="s">
        <v>511</v>
      </c>
      <c r="AW34" s="303" t="s">
        <v>510</v>
      </c>
      <c r="AX34" s="303" t="s">
        <v>511</v>
      </c>
      <c r="AY34" s="303">
        <v>0</v>
      </c>
      <c r="AZ34" s="290">
        <f t="shared" si="4"/>
        <v>0</v>
      </c>
      <c r="BA34" s="303" t="s">
        <v>504</v>
      </c>
      <c r="BB34" s="303"/>
      <c r="BC34" s="315">
        <f t="shared" si="0"/>
        <v>1</v>
      </c>
      <c r="BD34" s="316" t="str">
        <f t="shared" si="5"/>
        <v>Habilitado</v>
      </c>
    </row>
    <row r="35" spans="1:56" ht="51" x14ac:dyDescent="0.25">
      <c r="A35" s="308">
        <v>33</v>
      </c>
      <c r="B35" s="309" t="s">
        <v>583</v>
      </c>
      <c r="C35" s="310" t="s">
        <v>584</v>
      </c>
      <c r="D35" s="310"/>
      <c r="E35" s="311"/>
      <c r="F35" s="311"/>
      <c r="G35" s="311"/>
      <c r="H35" s="311"/>
      <c r="I35" s="311"/>
      <c r="J35" s="311"/>
      <c r="K35" s="311"/>
      <c r="L35" s="408">
        <f t="shared" si="1"/>
        <v>0</v>
      </c>
      <c r="M35" s="311"/>
      <c r="N35" s="303"/>
      <c r="O35" s="311"/>
      <c r="P35" s="311"/>
      <c r="Q35" s="311"/>
      <c r="R35" s="311"/>
      <c r="S35" s="311"/>
      <c r="T35" s="311"/>
      <c r="U35" s="311"/>
      <c r="V35" s="409">
        <f t="shared" si="2"/>
        <v>0</v>
      </c>
      <c r="W35" s="311"/>
      <c r="X35" s="311"/>
      <c r="Y35" s="300"/>
      <c r="Z35" s="300"/>
      <c r="AA35" s="300"/>
      <c r="AB35" s="300"/>
      <c r="AC35" s="300"/>
      <c r="AD35" s="300"/>
      <c r="AE35" s="318"/>
      <c r="AF35" s="410">
        <f t="shared" si="3"/>
        <v>0</v>
      </c>
      <c r="AG35" s="300"/>
      <c r="AH35" s="300"/>
      <c r="AI35" s="303"/>
      <c r="AJ35" s="303"/>
      <c r="AK35" s="303"/>
      <c r="AL35" s="303"/>
      <c r="AM35" s="303"/>
      <c r="AN35" s="303"/>
      <c r="AO35" s="303"/>
      <c r="AP35" s="290">
        <f t="shared" si="6"/>
        <v>0</v>
      </c>
      <c r="AQ35" s="303"/>
      <c r="AR35" s="303"/>
      <c r="AS35" s="303"/>
      <c r="AT35" s="303"/>
      <c r="AU35" s="303"/>
      <c r="AV35" s="303"/>
      <c r="AW35" s="303"/>
      <c r="AX35" s="303"/>
      <c r="AY35" s="303"/>
      <c r="AZ35" s="290">
        <f t="shared" si="4"/>
        <v>0</v>
      </c>
      <c r="BA35" s="303"/>
      <c r="BB35" s="303"/>
      <c r="BC35" s="315">
        <f t="shared" si="0"/>
        <v>0</v>
      </c>
      <c r="BD35" s="316" t="str">
        <f t="shared" si="5"/>
        <v>Desierto</v>
      </c>
    </row>
    <row r="36" spans="1:56" ht="25.5" x14ac:dyDescent="0.25">
      <c r="A36" s="308">
        <v>34</v>
      </c>
      <c r="B36" s="309" t="s">
        <v>585</v>
      </c>
      <c r="C36" s="310" t="s">
        <v>586</v>
      </c>
      <c r="D36" s="310" t="s">
        <v>77</v>
      </c>
      <c r="E36" s="303" t="s">
        <v>510</v>
      </c>
      <c r="F36" s="303" t="s">
        <v>510</v>
      </c>
      <c r="G36" s="303" t="s">
        <v>510</v>
      </c>
      <c r="H36" s="303" t="s">
        <v>511</v>
      </c>
      <c r="I36" s="303" t="s">
        <v>510</v>
      </c>
      <c r="J36" s="303" t="s">
        <v>511</v>
      </c>
      <c r="K36" s="303">
        <v>40</v>
      </c>
      <c r="L36" s="408">
        <f t="shared" si="1"/>
        <v>40</v>
      </c>
      <c r="M36" s="303" t="s">
        <v>504</v>
      </c>
      <c r="N36" s="303"/>
      <c r="O36" s="311"/>
      <c r="P36" s="311"/>
      <c r="Q36" s="311"/>
      <c r="R36" s="311"/>
      <c r="S36" s="311"/>
      <c r="T36" s="311"/>
      <c r="U36" s="311"/>
      <c r="V36" s="409">
        <f t="shared" si="2"/>
        <v>0</v>
      </c>
      <c r="W36" s="311"/>
      <c r="X36" s="311"/>
      <c r="Y36" s="300"/>
      <c r="Z36" s="300"/>
      <c r="AA36" s="300"/>
      <c r="AB36" s="300"/>
      <c r="AC36" s="300"/>
      <c r="AD36" s="300"/>
      <c r="AE36" s="318"/>
      <c r="AF36" s="410">
        <f t="shared" si="3"/>
        <v>0</v>
      </c>
      <c r="AG36" s="300"/>
      <c r="AH36" s="300"/>
      <c r="AI36" s="303"/>
      <c r="AJ36" s="303"/>
      <c r="AK36" s="303"/>
      <c r="AL36" s="303"/>
      <c r="AM36" s="303"/>
      <c r="AN36" s="303"/>
      <c r="AO36" s="303"/>
      <c r="AP36" s="290">
        <f t="shared" si="6"/>
        <v>0</v>
      </c>
      <c r="AQ36" s="303"/>
      <c r="AR36" s="303"/>
      <c r="AS36" s="303"/>
      <c r="AT36" s="303"/>
      <c r="AU36" s="303"/>
      <c r="AV36" s="303"/>
      <c r="AW36" s="303"/>
      <c r="AX36" s="303"/>
      <c r="AY36" s="303"/>
      <c r="AZ36" s="290">
        <f t="shared" si="4"/>
        <v>0</v>
      </c>
      <c r="BA36" s="303"/>
      <c r="BB36" s="303"/>
      <c r="BC36" s="315">
        <f t="shared" si="0"/>
        <v>1</v>
      </c>
      <c r="BD36" s="316" t="str">
        <f t="shared" si="5"/>
        <v>Habilitado</v>
      </c>
    </row>
    <row r="37" spans="1:56" ht="89.25" x14ac:dyDescent="0.25">
      <c r="A37" s="308">
        <v>35</v>
      </c>
      <c r="B37" s="309" t="s">
        <v>587</v>
      </c>
      <c r="C37" s="310" t="s">
        <v>588</v>
      </c>
      <c r="D37" s="310" t="s">
        <v>77</v>
      </c>
      <c r="E37" s="303" t="s">
        <v>510</v>
      </c>
      <c r="F37" s="303" t="s">
        <v>510</v>
      </c>
      <c r="G37" s="303" t="s">
        <v>510</v>
      </c>
      <c r="H37" s="303" t="s">
        <v>511</v>
      </c>
      <c r="I37" s="303" t="s">
        <v>510</v>
      </c>
      <c r="J37" s="303" t="s">
        <v>511</v>
      </c>
      <c r="K37" s="303">
        <v>40</v>
      </c>
      <c r="L37" s="408">
        <f t="shared" si="1"/>
        <v>40</v>
      </c>
      <c r="M37" s="303" t="s">
        <v>504</v>
      </c>
      <c r="N37" s="303"/>
      <c r="O37" s="311"/>
      <c r="P37" s="311"/>
      <c r="Q37" s="311"/>
      <c r="R37" s="311"/>
      <c r="S37" s="311"/>
      <c r="T37" s="311"/>
      <c r="U37" s="311"/>
      <c r="V37" s="409">
        <f t="shared" si="2"/>
        <v>0</v>
      </c>
      <c r="W37" s="311"/>
      <c r="X37" s="311"/>
      <c r="Y37" s="300"/>
      <c r="Z37" s="300"/>
      <c r="AA37" s="300"/>
      <c r="AB37" s="300"/>
      <c r="AC37" s="300"/>
      <c r="AD37" s="300"/>
      <c r="AE37" s="318"/>
      <c r="AF37" s="410">
        <f t="shared" si="3"/>
        <v>0</v>
      </c>
      <c r="AG37" s="300"/>
      <c r="AH37" s="300"/>
      <c r="AI37" s="303"/>
      <c r="AJ37" s="303"/>
      <c r="AK37" s="303"/>
      <c r="AL37" s="303"/>
      <c r="AM37" s="303"/>
      <c r="AN37" s="303"/>
      <c r="AO37" s="303"/>
      <c r="AP37" s="290">
        <f t="shared" si="6"/>
        <v>0</v>
      </c>
      <c r="AQ37" s="303"/>
      <c r="AR37" s="303"/>
      <c r="AS37" s="303" t="s">
        <v>510</v>
      </c>
      <c r="AT37" s="303" t="s">
        <v>510</v>
      </c>
      <c r="AU37" s="303" t="s">
        <v>510</v>
      </c>
      <c r="AV37" s="303" t="s">
        <v>511</v>
      </c>
      <c r="AW37" s="303" t="s">
        <v>510</v>
      </c>
      <c r="AX37" s="303" t="s">
        <v>511</v>
      </c>
      <c r="AY37" s="303">
        <v>0</v>
      </c>
      <c r="AZ37" s="290">
        <f t="shared" si="4"/>
        <v>0</v>
      </c>
      <c r="BA37" s="303" t="s">
        <v>504</v>
      </c>
      <c r="BB37" s="301" t="s">
        <v>589</v>
      </c>
      <c r="BC37" s="315">
        <f t="shared" si="0"/>
        <v>2</v>
      </c>
      <c r="BD37" s="316" t="str">
        <f t="shared" si="5"/>
        <v>Habilitado</v>
      </c>
    </row>
    <row r="38" spans="1:56" x14ac:dyDescent="0.25">
      <c r="A38" s="308">
        <v>36</v>
      </c>
      <c r="B38" s="309" t="s">
        <v>590</v>
      </c>
      <c r="C38" s="310" t="s">
        <v>591</v>
      </c>
      <c r="D38" s="310" t="s">
        <v>77</v>
      </c>
      <c r="E38" s="311"/>
      <c r="F38" s="311"/>
      <c r="G38" s="311"/>
      <c r="H38" s="311"/>
      <c r="I38" s="311"/>
      <c r="J38" s="311"/>
      <c r="K38" s="311"/>
      <c r="L38" s="408">
        <f t="shared" si="1"/>
        <v>0</v>
      </c>
      <c r="M38" s="311"/>
      <c r="N38" s="311"/>
      <c r="O38" s="311"/>
      <c r="P38" s="311"/>
      <c r="Q38" s="311"/>
      <c r="R38" s="311"/>
      <c r="S38" s="311"/>
      <c r="T38" s="311"/>
      <c r="U38" s="311"/>
      <c r="V38" s="409">
        <f t="shared" si="2"/>
        <v>0</v>
      </c>
      <c r="W38" s="311"/>
      <c r="X38" s="311"/>
      <c r="Y38" s="300"/>
      <c r="Z38" s="300"/>
      <c r="AA38" s="300"/>
      <c r="AB38" s="300"/>
      <c r="AC38" s="300"/>
      <c r="AD38" s="300"/>
      <c r="AE38" s="318"/>
      <c r="AF38" s="410">
        <f t="shared" si="3"/>
        <v>0</v>
      </c>
      <c r="AG38" s="300"/>
      <c r="AH38" s="300"/>
      <c r="AI38" s="303"/>
      <c r="AJ38" s="303"/>
      <c r="AK38" s="303"/>
      <c r="AL38" s="303"/>
      <c r="AM38" s="303"/>
      <c r="AN38" s="303"/>
      <c r="AO38" s="303"/>
      <c r="AP38" s="290">
        <f t="shared" si="6"/>
        <v>0</v>
      </c>
      <c r="AQ38" s="303"/>
      <c r="AR38" s="303"/>
      <c r="AS38" s="303"/>
      <c r="AT38" s="303"/>
      <c r="AU38" s="303"/>
      <c r="AV38" s="303"/>
      <c r="AW38" s="303"/>
      <c r="AX38" s="303"/>
      <c r="AY38" s="303"/>
      <c r="AZ38" s="290">
        <f t="shared" si="4"/>
        <v>0</v>
      </c>
      <c r="BA38" s="303"/>
      <c r="BB38" s="303"/>
      <c r="BC38" s="315">
        <f t="shared" si="0"/>
        <v>0</v>
      </c>
      <c r="BD38" s="316" t="str">
        <f t="shared" si="5"/>
        <v>Desierto</v>
      </c>
    </row>
    <row r="39" spans="1:56" ht="89.25" x14ac:dyDescent="0.25">
      <c r="A39" s="324">
        <v>37</v>
      </c>
      <c r="B39" s="331" t="s">
        <v>592</v>
      </c>
      <c r="C39" s="331" t="s">
        <v>392</v>
      </c>
      <c r="D39" s="331" t="s">
        <v>77</v>
      </c>
      <c r="E39" s="306" t="s">
        <v>510</v>
      </c>
      <c r="F39" s="306" t="s">
        <v>510</v>
      </c>
      <c r="G39" s="306" t="s">
        <v>510</v>
      </c>
      <c r="H39" s="306" t="s">
        <v>511</v>
      </c>
      <c r="I39" s="303" t="s">
        <v>510</v>
      </c>
      <c r="J39" s="306" t="s">
        <v>511</v>
      </c>
      <c r="K39" s="306">
        <v>40</v>
      </c>
      <c r="L39" s="408">
        <f t="shared" si="1"/>
        <v>40</v>
      </c>
      <c r="M39" s="303" t="s">
        <v>504</v>
      </c>
      <c r="N39" s="306" t="s">
        <v>551</v>
      </c>
      <c r="O39" s="306" t="s">
        <v>510</v>
      </c>
      <c r="P39" s="306" t="s">
        <v>519</v>
      </c>
      <c r="Q39" s="306" t="s">
        <v>519</v>
      </c>
      <c r="R39" s="306" t="s">
        <v>511</v>
      </c>
      <c r="S39" s="303" t="s">
        <v>519</v>
      </c>
      <c r="T39" s="306" t="s">
        <v>511</v>
      </c>
      <c r="U39" s="306">
        <v>0</v>
      </c>
      <c r="V39" s="409">
        <f t="shared" si="2"/>
        <v>0</v>
      </c>
      <c r="W39" s="306" t="s">
        <v>593</v>
      </c>
      <c r="X39" s="306" t="s">
        <v>594</v>
      </c>
      <c r="Y39" s="299"/>
      <c r="Z39" s="299"/>
      <c r="AA39" s="299"/>
      <c r="AB39" s="299"/>
      <c r="AC39" s="299"/>
      <c r="AD39" s="299"/>
      <c r="AE39" s="330"/>
      <c r="AF39" s="410">
        <f t="shared" si="3"/>
        <v>0</v>
      </c>
      <c r="AG39" s="299"/>
      <c r="AH39" s="299"/>
      <c r="AI39" s="306"/>
      <c r="AJ39" s="306"/>
      <c r="AK39" s="306"/>
      <c r="AL39" s="306"/>
      <c r="AM39" s="306"/>
      <c r="AN39" s="306"/>
      <c r="AO39" s="306"/>
      <c r="AP39" s="290">
        <f t="shared" si="6"/>
        <v>0</v>
      </c>
      <c r="AQ39" s="306"/>
      <c r="AR39" s="306"/>
      <c r="AS39" s="306" t="s">
        <v>510</v>
      </c>
      <c r="AT39" s="306" t="s">
        <v>510</v>
      </c>
      <c r="AU39" s="306" t="s">
        <v>510</v>
      </c>
      <c r="AV39" s="306" t="s">
        <v>511</v>
      </c>
      <c r="AW39" s="303" t="s">
        <v>510</v>
      </c>
      <c r="AX39" s="306" t="s">
        <v>511</v>
      </c>
      <c r="AY39" s="306">
        <v>0</v>
      </c>
      <c r="AZ39" s="290">
        <f t="shared" si="4"/>
        <v>0</v>
      </c>
      <c r="BA39" s="303" t="s">
        <v>504</v>
      </c>
      <c r="BB39" s="306" t="s">
        <v>551</v>
      </c>
      <c r="BC39" s="315">
        <f t="shared" si="0"/>
        <v>2</v>
      </c>
      <c r="BD39" s="316" t="str">
        <f t="shared" si="5"/>
        <v>Habilitado</v>
      </c>
    </row>
    <row r="40" spans="1:56" ht="25.5" x14ac:dyDescent="0.25">
      <c r="A40" s="308">
        <v>38</v>
      </c>
      <c r="B40" s="309" t="s">
        <v>595</v>
      </c>
      <c r="C40" s="310" t="s">
        <v>586</v>
      </c>
      <c r="D40" s="310" t="s">
        <v>77</v>
      </c>
      <c r="E40" s="311"/>
      <c r="F40" s="311"/>
      <c r="G40" s="311"/>
      <c r="H40" s="311"/>
      <c r="I40" s="311"/>
      <c r="J40" s="311"/>
      <c r="K40" s="311"/>
      <c r="L40" s="408">
        <f t="shared" si="1"/>
        <v>0</v>
      </c>
      <c r="M40" s="311"/>
      <c r="N40" s="303"/>
      <c r="O40" s="303" t="s">
        <v>510</v>
      </c>
      <c r="P40" s="303" t="s">
        <v>510</v>
      </c>
      <c r="Q40" s="303" t="s">
        <v>519</v>
      </c>
      <c r="R40" s="303" t="s">
        <v>511</v>
      </c>
      <c r="S40" s="303" t="s">
        <v>519</v>
      </c>
      <c r="T40" s="303" t="s">
        <v>511</v>
      </c>
      <c r="U40" s="303">
        <v>0</v>
      </c>
      <c r="V40" s="409">
        <f t="shared" si="2"/>
        <v>0</v>
      </c>
      <c r="W40" s="303" t="s">
        <v>520</v>
      </c>
      <c r="X40" s="303" t="s">
        <v>596</v>
      </c>
      <c r="Y40" s="300" t="s">
        <v>510</v>
      </c>
      <c r="Z40" s="300" t="s">
        <v>510</v>
      </c>
      <c r="AA40" s="300" t="s">
        <v>510</v>
      </c>
      <c r="AB40" s="300" t="s">
        <v>511</v>
      </c>
      <c r="AC40" s="300" t="s">
        <v>510</v>
      </c>
      <c r="AD40" s="300" t="s">
        <v>511</v>
      </c>
      <c r="AE40" s="318">
        <v>40</v>
      </c>
      <c r="AF40" s="410">
        <f t="shared" si="3"/>
        <v>40</v>
      </c>
      <c r="AG40" s="300" t="s">
        <v>504</v>
      </c>
      <c r="AH40" s="299"/>
      <c r="AI40" s="303"/>
      <c r="AJ40" s="303"/>
      <c r="AK40" s="303"/>
      <c r="AL40" s="303"/>
      <c r="AM40" s="303"/>
      <c r="AN40" s="303"/>
      <c r="AO40" s="303"/>
      <c r="AP40" s="290">
        <f t="shared" si="6"/>
        <v>0</v>
      </c>
      <c r="AQ40" s="303"/>
      <c r="AR40" s="303"/>
      <c r="AS40" s="306" t="s">
        <v>510</v>
      </c>
      <c r="AT40" s="306" t="s">
        <v>510</v>
      </c>
      <c r="AU40" s="306" t="s">
        <v>510</v>
      </c>
      <c r="AV40" s="303" t="s">
        <v>511</v>
      </c>
      <c r="AW40" s="303" t="s">
        <v>510</v>
      </c>
      <c r="AX40" s="303" t="s">
        <v>511</v>
      </c>
      <c r="AY40" s="303">
        <v>0</v>
      </c>
      <c r="AZ40" s="290">
        <f t="shared" si="4"/>
        <v>0</v>
      </c>
      <c r="BA40" s="303" t="s">
        <v>504</v>
      </c>
      <c r="BB40" s="303"/>
      <c r="BC40" s="315">
        <f t="shared" si="0"/>
        <v>2</v>
      </c>
      <c r="BD40" s="316" t="str">
        <f t="shared" si="5"/>
        <v>Habilitado</v>
      </c>
    </row>
    <row r="41" spans="1:56" ht="22.5" customHeight="1" x14ac:dyDescent="0.25">
      <c r="A41" s="308">
        <v>39</v>
      </c>
      <c r="B41" s="328" t="s">
        <v>597</v>
      </c>
      <c r="C41" s="329" t="s">
        <v>65</v>
      </c>
      <c r="D41" s="411" t="s">
        <v>598</v>
      </c>
      <c r="E41" s="311"/>
      <c r="F41" s="311"/>
      <c r="G41" s="311"/>
      <c r="H41" s="311"/>
      <c r="I41" s="311"/>
      <c r="J41" s="311"/>
      <c r="K41" s="311"/>
      <c r="L41" s="408">
        <f t="shared" si="1"/>
        <v>0</v>
      </c>
      <c r="M41" s="311"/>
      <c r="N41" s="303"/>
      <c r="O41" s="303" t="s">
        <v>510</v>
      </c>
      <c r="P41" s="303" t="s">
        <v>519</v>
      </c>
      <c r="Q41" s="303" t="s">
        <v>519</v>
      </c>
      <c r="R41" s="303" t="s">
        <v>511</v>
      </c>
      <c r="S41" s="303" t="s">
        <v>519</v>
      </c>
      <c r="T41" s="303" t="s">
        <v>511</v>
      </c>
      <c r="U41" s="303">
        <v>0</v>
      </c>
      <c r="V41" s="409">
        <f t="shared" si="2"/>
        <v>0</v>
      </c>
      <c r="W41" s="303" t="s">
        <v>520</v>
      </c>
      <c r="X41" s="303"/>
      <c r="Y41" s="300"/>
      <c r="Z41" s="300"/>
      <c r="AA41" s="300"/>
      <c r="AB41" s="300"/>
      <c r="AC41" s="300"/>
      <c r="AD41" s="300"/>
      <c r="AE41" s="318"/>
      <c r="AF41" s="410">
        <f t="shared" si="3"/>
        <v>0</v>
      </c>
      <c r="AG41" s="300"/>
      <c r="AH41" s="300"/>
      <c r="AI41" s="303"/>
      <c r="AJ41" s="303"/>
      <c r="AK41" s="303"/>
      <c r="AL41" s="303"/>
      <c r="AM41" s="303"/>
      <c r="AN41" s="303"/>
      <c r="AO41" s="303"/>
      <c r="AP41" s="290">
        <f t="shared" si="6"/>
        <v>0</v>
      </c>
      <c r="AQ41" s="303"/>
      <c r="AR41" s="303"/>
      <c r="AS41" s="303" t="s">
        <v>510</v>
      </c>
      <c r="AT41" s="303" t="s">
        <v>510</v>
      </c>
      <c r="AU41" s="303" t="s">
        <v>510</v>
      </c>
      <c r="AV41" s="303" t="s">
        <v>511</v>
      </c>
      <c r="AW41" s="303" t="s">
        <v>510</v>
      </c>
      <c r="AX41" s="303" t="s">
        <v>511</v>
      </c>
      <c r="AY41" s="303">
        <v>0</v>
      </c>
      <c r="AZ41" s="290">
        <f t="shared" si="4"/>
        <v>0</v>
      </c>
      <c r="BA41" s="303" t="s">
        <v>504</v>
      </c>
      <c r="BB41" s="301"/>
      <c r="BC41" s="315">
        <f t="shared" si="0"/>
        <v>1</v>
      </c>
      <c r="BD41" s="316" t="str">
        <f t="shared" si="5"/>
        <v>Habilitado</v>
      </c>
    </row>
    <row r="42" spans="1:56" ht="51" x14ac:dyDescent="0.25">
      <c r="A42" s="308">
        <v>40</v>
      </c>
      <c r="B42" s="309" t="s">
        <v>599</v>
      </c>
      <c r="C42" s="310" t="s">
        <v>600</v>
      </c>
      <c r="D42" s="310" t="s">
        <v>77</v>
      </c>
      <c r="E42" s="311"/>
      <c r="F42" s="311"/>
      <c r="G42" s="311"/>
      <c r="H42" s="311"/>
      <c r="I42" s="311"/>
      <c r="J42" s="311"/>
      <c r="K42" s="311"/>
      <c r="L42" s="408">
        <f t="shared" si="1"/>
        <v>0</v>
      </c>
      <c r="M42" s="311"/>
      <c r="N42" s="311"/>
      <c r="O42" s="303" t="s">
        <v>510</v>
      </c>
      <c r="P42" s="303" t="s">
        <v>510</v>
      </c>
      <c r="Q42" s="303" t="s">
        <v>519</v>
      </c>
      <c r="R42" s="303" t="s">
        <v>511</v>
      </c>
      <c r="S42" s="303" t="s">
        <v>519</v>
      </c>
      <c r="T42" s="303" t="s">
        <v>511</v>
      </c>
      <c r="U42" s="303">
        <v>0</v>
      </c>
      <c r="V42" s="409">
        <f t="shared" si="2"/>
        <v>0</v>
      </c>
      <c r="W42" s="303" t="s">
        <v>520</v>
      </c>
      <c r="X42" s="301" t="s">
        <v>596</v>
      </c>
      <c r="Y42" s="300"/>
      <c r="Z42" s="300"/>
      <c r="AA42" s="300"/>
      <c r="AB42" s="300"/>
      <c r="AC42" s="300"/>
      <c r="AD42" s="300"/>
      <c r="AE42" s="318"/>
      <c r="AF42" s="410">
        <f t="shared" si="3"/>
        <v>0</v>
      </c>
      <c r="AG42" s="300"/>
      <c r="AH42" s="300"/>
      <c r="AI42" s="303"/>
      <c r="AJ42" s="303"/>
      <c r="AK42" s="303"/>
      <c r="AL42" s="303"/>
      <c r="AM42" s="303"/>
      <c r="AN42" s="303"/>
      <c r="AO42" s="303"/>
      <c r="AP42" s="290">
        <f t="shared" si="6"/>
        <v>0</v>
      </c>
      <c r="AQ42" s="303"/>
      <c r="AR42" s="303"/>
      <c r="AS42" s="303"/>
      <c r="AT42" s="303"/>
      <c r="AU42" s="303"/>
      <c r="AV42" s="303"/>
      <c r="AW42" s="303"/>
      <c r="AX42" s="303"/>
      <c r="AY42" s="303"/>
      <c r="AZ42" s="290">
        <f t="shared" si="4"/>
        <v>0</v>
      </c>
      <c r="BA42" s="303"/>
      <c r="BB42" s="303"/>
      <c r="BC42" s="315">
        <f t="shared" si="0"/>
        <v>0</v>
      </c>
      <c r="BD42" s="316" t="str">
        <f t="shared" si="5"/>
        <v>Desierto</v>
      </c>
    </row>
    <row r="43" spans="1:56" ht="25.5" x14ac:dyDescent="0.25">
      <c r="A43" s="308">
        <v>41</v>
      </c>
      <c r="B43" s="309" t="s">
        <v>601</v>
      </c>
      <c r="C43" s="310" t="s">
        <v>602</v>
      </c>
      <c r="D43" s="310" t="s">
        <v>77</v>
      </c>
      <c r="E43" s="303" t="s">
        <v>510</v>
      </c>
      <c r="F43" s="303" t="s">
        <v>510</v>
      </c>
      <c r="G43" s="303" t="s">
        <v>510</v>
      </c>
      <c r="H43" s="303" t="s">
        <v>511</v>
      </c>
      <c r="I43" s="303" t="s">
        <v>510</v>
      </c>
      <c r="J43" s="303" t="s">
        <v>511</v>
      </c>
      <c r="K43" s="303">
        <v>40</v>
      </c>
      <c r="L43" s="408">
        <f t="shared" si="1"/>
        <v>40</v>
      </c>
      <c r="M43" s="303" t="s">
        <v>504</v>
      </c>
      <c r="N43" s="303"/>
      <c r="O43" s="303" t="s">
        <v>519</v>
      </c>
      <c r="P43" s="303" t="s">
        <v>519</v>
      </c>
      <c r="Q43" s="303" t="s">
        <v>519</v>
      </c>
      <c r="R43" s="303" t="s">
        <v>511</v>
      </c>
      <c r="S43" s="303" t="s">
        <v>519</v>
      </c>
      <c r="T43" s="303" t="s">
        <v>511</v>
      </c>
      <c r="U43" s="303"/>
      <c r="V43" s="409">
        <f t="shared" si="2"/>
        <v>0</v>
      </c>
      <c r="W43" s="303" t="s">
        <v>520</v>
      </c>
      <c r="X43" s="303" t="s">
        <v>603</v>
      </c>
      <c r="Y43" s="300" t="s">
        <v>510</v>
      </c>
      <c r="Z43" s="300" t="s">
        <v>510</v>
      </c>
      <c r="AA43" s="300" t="s">
        <v>510</v>
      </c>
      <c r="AB43" s="300" t="s">
        <v>511</v>
      </c>
      <c r="AC43" s="300" t="s">
        <v>510</v>
      </c>
      <c r="AD43" s="300" t="s">
        <v>511</v>
      </c>
      <c r="AE43" s="318">
        <v>40</v>
      </c>
      <c r="AF43" s="410">
        <f t="shared" si="3"/>
        <v>40</v>
      </c>
      <c r="AG43" s="300" t="s">
        <v>504</v>
      </c>
      <c r="AH43" s="300"/>
      <c r="AI43" s="303" t="s">
        <v>510</v>
      </c>
      <c r="AJ43" s="303" t="s">
        <v>510</v>
      </c>
      <c r="AK43" s="303" t="s">
        <v>510</v>
      </c>
      <c r="AL43" s="303" t="s">
        <v>511</v>
      </c>
      <c r="AM43" s="303" t="s">
        <v>510</v>
      </c>
      <c r="AN43" s="303" t="s">
        <v>511</v>
      </c>
      <c r="AO43" s="303">
        <v>20</v>
      </c>
      <c r="AP43" s="290">
        <f t="shared" si="6"/>
        <v>20</v>
      </c>
      <c r="AQ43" s="303" t="s">
        <v>504</v>
      </c>
      <c r="AR43" s="303"/>
      <c r="AS43" s="303"/>
      <c r="AT43" s="303"/>
      <c r="AU43" s="303"/>
      <c r="AV43" s="303"/>
      <c r="AW43" s="303"/>
      <c r="AX43" s="303"/>
      <c r="AY43" s="303"/>
      <c r="AZ43" s="290">
        <f t="shared" si="4"/>
        <v>0</v>
      </c>
      <c r="BA43" s="303"/>
      <c r="BB43" s="301"/>
      <c r="BC43" s="315">
        <f t="shared" si="0"/>
        <v>3</v>
      </c>
      <c r="BD43" s="316" t="str">
        <f t="shared" si="5"/>
        <v>Habilitado</v>
      </c>
    </row>
    <row r="44" spans="1:56" ht="76.5" x14ac:dyDescent="0.25">
      <c r="A44" s="308">
        <v>42</v>
      </c>
      <c r="B44" s="309" t="s">
        <v>604</v>
      </c>
      <c r="C44" s="310" t="s">
        <v>605</v>
      </c>
      <c r="D44" s="310" t="s">
        <v>61</v>
      </c>
      <c r="E44" s="303" t="s">
        <v>510</v>
      </c>
      <c r="F44" s="303" t="s">
        <v>510</v>
      </c>
      <c r="G44" s="303" t="s">
        <v>510</v>
      </c>
      <c r="H44" s="303" t="s">
        <v>511</v>
      </c>
      <c r="I44" s="303" t="s">
        <v>510</v>
      </c>
      <c r="J44" s="303" t="s">
        <v>511</v>
      </c>
      <c r="K44" s="303">
        <v>40</v>
      </c>
      <c r="L44" s="408">
        <f t="shared" si="1"/>
        <v>40</v>
      </c>
      <c r="M44" s="303" t="s">
        <v>504</v>
      </c>
      <c r="N44" s="303"/>
      <c r="O44" s="303" t="s">
        <v>510</v>
      </c>
      <c r="P44" s="303" t="s">
        <v>510</v>
      </c>
      <c r="Q44" s="303" t="s">
        <v>519</v>
      </c>
      <c r="R44" s="303" t="s">
        <v>511</v>
      </c>
      <c r="S44" s="303" t="s">
        <v>519</v>
      </c>
      <c r="T44" s="303" t="s">
        <v>511</v>
      </c>
      <c r="U44" s="303">
        <v>0</v>
      </c>
      <c r="V44" s="409">
        <f t="shared" si="2"/>
        <v>0</v>
      </c>
      <c r="W44" s="303" t="s">
        <v>520</v>
      </c>
      <c r="X44" s="301" t="s">
        <v>606</v>
      </c>
      <c r="Y44" s="300"/>
      <c r="Z44" s="300"/>
      <c r="AA44" s="300"/>
      <c r="AB44" s="300"/>
      <c r="AC44" s="300"/>
      <c r="AD44" s="300"/>
      <c r="AE44" s="318"/>
      <c r="AF44" s="410">
        <f t="shared" si="3"/>
        <v>0</v>
      </c>
      <c r="AG44" s="300"/>
      <c r="AH44" s="300"/>
      <c r="AI44" s="303"/>
      <c r="AJ44" s="303"/>
      <c r="AK44" s="303"/>
      <c r="AL44" s="303"/>
      <c r="AM44" s="303"/>
      <c r="AN44" s="303"/>
      <c r="AO44" s="303"/>
      <c r="AP44" s="290">
        <f t="shared" si="6"/>
        <v>0</v>
      </c>
      <c r="AQ44" s="303"/>
      <c r="AR44" s="303"/>
      <c r="AS44" s="303"/>
      <c r="AT44" s="303"/>
      <c r="AU44" s="303"/>
      <c r="AV44" s="303"/>
      <c r="AW44" s="303"/>
      <c r="AX44" s="303"/>
      <c r="AY44" s="303"/>
      <c r="AZ44" s="290">
        <f t="shared" si="4"/>
        <v>0</v>
      </c>
      <c r="BA44" s="303"/>
      <c r="BB44" s="303"/>
      <c r="BC44" s="315">
        <f t="shared" si="0"/>
        <v>1</v>
      </c>
      <c r="BD44" s="316" t="str">
        <f t="shared" si="5"/>
        <v>Habilitado</v>
      </c>
    </row>
    <row r="45" spans="1:56" ht="67.5" customHeight="1" x14ac:dyDescent="0.25">
      <c r="A45" s="308">
        <v>43</v>
      </c>
      <c r="B45" s="309" t="s">
        <v>607</v>
      </c>
      <c r="C45" s="310" t="s">
        <v>608</v>
      </c>
      <c r="D45" s="310" t="s">
        <v>77</v>
      </c>
      <c r="E45" s="303" t="s">
        <v>510</v>
      </c>
      <c r="F45" s="303" t="s">
        <v>510</v>
      </c>
      <c r="G45" s="303" t="s">
        <v>510</v>
      </c>
      <c r="H45" s="303" t="s">
        <v>511</v>
      </c>
      <c r="I45" s="303" t="s">
        <v>510</v>
      </c>
      <c r="J45" s="303" t="s">
        <v>511</v>
      </c>
      <c r="K45" s="303">
        <v>40</v>
      </c>
      <c r="L45" s="408">
        <f t="shared" si="1"/>
        <v>40</v>
      </c>
      <c r="M45" s="303" t="s">
        <v>504</v>
      </c>
      <c r="N45" s="303"/>
      <c r="O45" s="311"/>
      <c r="P45" s="311"/>
      <c r="Q45" s="311"/>
      <c r="R45" s="311"/>
      <c r="S45" s="311"/>
      <c r="T45" s="311"/>
      <c r="U45" s="311"/>
      <c r="V45" s="409">
        <f t="shared" si="2"/>
        <v>0</v>
      </c>
      <c r="W45" s="311"/>
      <c r="X45" s="311"/>
      <c r="Y45" s="300"/>
      <c r="Z45" s="300"/>
      <c r="AA45" s="300"/>
      <c r="AB45" s="300"/>
      <c r="AC45" s="300"/>
      <c r="AD45" s="300"/>
      <c r="AE45" s="318"/>
      <c r="AF45" s="410">
        <f t="shared" si="3"/>
        <v>0</v>
      </c>
      <c r="AG45" s="300"/>
      <c r="AH45" s="300"/>
      <c r="AI45" s="303"/>
      <c r="AJ45" s="303"/>
      <c r="AK45" s="303"/>
      <c r="AL45" s="303"/>
      <c r="AM45" s="303"/>
      <c r="AN45" s="303"/>
      <c r="AO45" s="303"/>
      <c r="AP45" s="290">
        <f t="shared" si="6"/>
        <v>0</v>
      </c>
      <c r="AQ45" s="303"/>
      <c r="AR45" s="303"/>
      <c r="AS45" s="303" t="s">
        <v>510</v>
      </c>
      <c r="AT45" s="303" t="s">
        <v>510</v>
      </c>
      <c r="AU45" s="303" t="s">
        <v>510</v>
      </c>
      <c r="AV45" s="303" t="s">
        <v>511</v>
      </c>
      <c r="AW45" s="303" t="s">
        <v>510</v>
      </c>
      <c r="AX45" s="303" t="s">
        <v>511</v>
      </c>
      <c r="AY45" s="303">
        <v>0</v>
      </c>
      <c r="AZ45" s="290">
        <f t="shared" si="4"/>
        <v>0</v>
      </c>
      <c r="BA45" s="303" t="s">
        <v>504</v>
      </c>
      <c r="BB45" s="301" t="s">
        <v>589</v>
      </c>
      <c r="BC45" s="315">
        <f t="shared" si="0"/>
        <v>2</v>
      </c>
      <c r="BD45" s="316" t="str">
        <f t="shared" si="5"/>
        <v>Habilitado</v>
      </c>
    </row>
    <row r="46" spans="1:56" ht="38.25" x14ac:dyDescent="0.25">
      <c r="A46" s="308">
        <v>44</v>
      </c>
      <c r="B46" s="309" t="s">
        <v>609</v>
      </c>
      <c r="C46" s="310" t="s">
        <v>610</v>
      </c>
      <c r="D46" s="310" t="s">
        <v>611</v>
      </c>
      <c r="E46" s="303" t="s">
        <v>510</v>
      </c>
      <c r="F46" s="303" t="s">
        <v>510</v>
      </c>
      <c r="G46" s="303" t="s">
        <v>510</v>
      </c>
      <c r="H46" s="303" t="s">
        <v>511</v>
      </c>
      <c r="I46" s="303" t="s">
        <v>510</v>
      </c>
      <c r="J46" s="303" t="s">
        <v>511</v>
      </c>
      <c r="K46" s="303">
        <v>40</v>
      </c>
      <c r="L46" s="408">
        <f t="shared" si="1"/>
        <v>40</v>
      </c>
      <c r="M46" s="303" t="s">
        <v>504</v>
      </c>
      <c r="N46" s="303"/>
      <c r="O46" s="311"/>
      <c r="P46" s="311"/>
      <c r="Q46" s="311"/>
      <c r="R46" s="311"/>
      <c r="S46" s="311"/>
      <c r="T46" s="311"/>
      <c r="U46" s="311"/>
      <c r="V46" s="409">
        <f t="shared" si="2"/>
        <v>0</v>
      </c>
      <c r="W46" s="311"/>
      <c r="X46" s="311"/>
      <c r="Y46" s="300"/>
      <c r="Z46" s="300"/>
      <c r="AA46" s="300"/>
      <c r="AB46" s="300"/>
      <c r="AC46" s="300"/>
      <c r="AD46" s="300"/>
      <c r="AE46" s="318"/>
      <c r="AF46" s="410">
        <f t="shared" si="3"/>
        <v>0</v>
      </c>
      <c r="AG46" s="300"/>
      <c r="AH46" s="300"/>
      <c r="AI46" s="303"/>
      <c r="AJ46" s="303"/>
      <c r="AK46" s="303"/>
      <c r="AL46" s="303"/>
      <c r="AM46" s="303"/>
      <c r="AN46" s="303"/>
      <c r="AO46" s="303"/>
      <c r="AP46" s="290">
        <f t="shared" si="6"/>
        <v>0</v>
      </c>
      <c r="AQ46" s="303"/>
      <c r="AR46" s="303"/>
      <c r="AS46" s="303"/>
      <c r="AT46" s="303"/>
      <c r="AU46" s="303"/>
      <c r="AV46" s="303"/>
      <c r="AW46" s="303"/>
      <c r="AX46" s="303"/>
      <c r="AY46" s="303"/>
      <c r="AZ46" s="290">
        <f t="shared" si="4"/>
        <v>0</v>
      </c>
      <c r="BA46" s="303"/>
      <c r="BB46" s="303"/>
      <c r="BC46" s="315">
        <f t="shared" si="0"/>
        <v>1</v>
      </c>
      <c r="BD46" s="316" t="str">
        <f t="shared" si="5"/>
        <v>Habilitado</v>
      </c>
    </row>
    <row r="47" spans="1:56" ht="25.5" x14ac:dyDescent="0.25">
      <c r="A47" s="308">
        <v>45</v>
      </c>
      <c r="B47" s="309" t="s">
        <v>612</v>
      </c>
      <c r="C47" s="310" t="s">
        <v>613</v>
      </c>
      <c r="D47" s="310" t="s">
        <v>614</v>
      </c>
      <c r="E47" s="311"/>
      <c r="F47" s="311"/>
      <c r="G47" s="311"/>
      <c r="H47" s="311"/>
      <c r="I47" s="311"/>
      <c r="J47" s="311"/>
      <c r="K47" s="311"/>
      <c r="L47" s="408">
        <f t="shared" si="1"/>
        <v>0</v>
      </c>
      <c r="M47" s="311"/>
      <c r="N47" s="311"/>
      <c r="O47" s="311"/>
      <c r="P47" s="311"/>
      <c r="Q47" s="311"/>
      <c r="R47" s="311"/>
      <c r="S47" s="311"/>
      <c r="T47" s="311"/>
      <c r="U47" s="311"/>
      <c r="V47" s="409">
        <f t="shared" si="2"/>
        <v>0</v>
      </c>
      <c r="W47" s="311"/>
      <c r="X47" s="311"/>
      <c r="Y47" s="300"/>
      <c r="Z47" s="300"/>
      <c r="AA47" s="300"/>
      <c r="AB47" s="300"/>
      <c r="AC47" s="300"/>
      <c r="AD47" s="300"/>
      <c r="AE47" s="318"/>
      <c r="AF47" s="410">
        <f t="shared" si="3"/>
        <v>0</v>
      </c>
      <c r="AG47" s="300"/>
      <c r="AH47" s="300"/>
      <c r="AI47" s="303"/>
      <c r="AJ47" s="303"/>
      <c r="AK47" s="303"/>
      <c r="AL47" s="303"/>
      <c r="AM47" s="303"/>
      <c r="AN47" s="303"/>
      <c r="AO47" s="303"/>
      <c r="AP47" s="290">
        <f t="shared" si="6"/>
        <v>0</v>
      </c>
      <c r="AQ47" s="303"/>
      <c r="AR47" s="303"/>
      <c r="AS47" s="303"/>
      <c r="AT47" s="303"/>
      <c r="AU47" s="303"/>
      <c r="AV47" s="303"/>
      <c r="AW47" s="303"/>
      <c r="AX47" s="303"/>
      <c r="AY47" s="303"/>
      <c r="AZ47" s="290">
        <f t="shared" si="4"/>
        <v>0</v>
      </c>
      <c r="BA47" s="303"/>
      <c r="BB47" s="303"/>
      <c r="BC47" s="315">
        <f t="shared" si="0"/>
        <v>0</v>
      </c>
      <c r="BD47" s="316" t="str">
        <f t="shared" si="5"/>
        <v>Desierto</v>
      </c>
    </row>
    <row r="48" spans="1:56" ht="24.75" customHeight="1" x14ac:dyDescent="0.25">
      <c r="A48" s="324">
        <v>46</v>
      </c>
      <c r="B48" s="331" t="s">
        <v>615</v>
      </c>
      <c r="C48" s="331" t="s">
        <v>518</v>
      </c>
      <c r="D48" s="331" t="s">
        <v>77</v>
      </c>
      <c r="E48" s="306" t="s">
        <v>510</v>
      </c>
      <c r="F48" s="306" t="s">
        <v>510</v>
      </c>
      <c r="G48" s="306" t="s">
        <v>510</v>
      </c>
      <c r="H48" s="306" t="s">
        <v>511</v>
      </c>
      <c r="I48" s="303" t="s">
        <v>510</v>
      </c>
      <c r="J48" s="306" t="s">
        <v>511</v>
      </c>
      <c r="K48" s="306">
        <v>40</v>
      </c>
      <c r="L48" s="408">
        <f t="shared" si="1"/>
        <v>40</v>
      </c>
      <c r="M48" s="303" t="s">
        <v>504</v>
      </c>
      <c r="N48" s="306" t="s">
        <v>551</v>
      </c>
      <c r="O48" s="320"/>
      <c r="P48" s="320"/>
      <c r="Q48" s="320"/>
      <c r="R48" s="320"/>
      <c r="S48" s="320"/>
      <c r="T48" s="320"/>
      <c r="U48" s="320"/>
      <c r="V48" s="409">
        <f t="shared" si="2"/>
        <v>0</v>
      </c>
      <c r="W48" s="320"/>
      <c r="X48" s="320"/>
      <c r="Y48" s="299" t="s">
        <v>510</v>
      </c>
      <c r="Z48" s="299" t="s">
        <v>510</v>
      </c>
      <c r="AA48" s="299" t="s">
        <v>510</v>
      </c>
      <c r="AB48" s="299" t="s">
        <v>511</v>
      </c>
      <c r="AC48" s="300" t="s">
        <v>510</v>
      </c>
      <c r="AD48" s="299" t="s">
        <v>511</v>
      </c>
      <c r="AE48" s="318">
        <v>40</v>
      </c>
      <c r="AF48" s="410">
        <f t="shared" si="3"/>
        <v>40</v>
      </c>
      <c r="AG48" s="300" t="s">
        <v>504</v>
      </c>
      <c r="AH48" s="299"/>
      <c r="AI48" s="306" t="s">
        <v>510</v>
      </c>
      <c r="AJ48" s="306" t="s">
        <v>510</v>
      </c>
      <c r="AK48" s="306" t="s">
        <v>510</v>
      </c>
      <c r="AL48" s="306" t="s">
        <v>511</v>
      </c>
      <c r="AM48" s="303" t="s">
        <v>510</v>
      </c>
      <c r="AN48" s="306" t="s">
        <v>511</v>
      </c>
      <c r="AO48" s="303">
        <v>20</v>
      </c>
      <c r="AP48" s="290">
        <f t="shared" si="6"/>
        <v>20</v>
      </c>
      <c r="AQ48" s="303" t="s">
        <v>504</v>
      </c>
      <c r="AR48" s="306" t="s">
        <v>551</v>
      </c>
      <c r="AS48" s="306"/>
      <c r="AT48" s="306"/>
      <c r="AU48" s="306"/>
      <c r="AV48" s="306"/>
      <c r="AW48" s="306"/>
      <c r="AX48" s="306"/>
      <c r="AY48" s="306"/>
      <c r="AZ48" s="290">
        <f t="shared" si="4"/>
        <v>0</v>
      </c>
      <c r="BA48" s="306"/>
      <c r="BB48" s="306"/>
      <c r="BC48" s="315">
        <f t="shared" si="0"/>
        <v>3</v>
      </c>
      <c r="BD48" s="316" t="str">
        <f t="shared" si="5"/>
        <v>Habilitado</v>
      </c>
    </row>
    <row r="49" spans="1:56" ht="51" x14ac:dyDescent="0.25">
      <c r="A49" s="324">
        <v>47</v>
      </c>
      <c r="B49" s="331" t="s">
        <v>616</v>
      </c>
      <c r="C49" s="331" t="s">
        <v>617</v>
      </c>
      <c r="D49" s="331" t="s">
        <v>144</v>
      </c>
      <c r="E49" s="320"/>
      <c r="F49" s="320"/>
      <c r="G49" s="320"/>
      <c r="H49" s="320"/>
      <c r="I49" s="311"/>
      <c r="J49" s="320"/>
      <c r="K49" s="320"/>
      <c r="L49" s="408">
        <f t="shared" si="1"/>
        <v>0</v>
      </c>
      <c r="M49" s="311"/>
      <c r="N49" s="306"/>
      <c r="O49" s="320"/>
      <c r="P49" s="320"/>
      <c r="Q49" s="320"/>
      <c r="R49" s="320"/>
      <c r="S49" s="320"/>
      <c r="T49" s="320"/>
      <c r="U49" s="320"/>
      <c r="V49" s="409">
        <f t="shared" si="2"/>
        <v>0</v>
      </c>
      <c r="W49" s="320"/>
      <c r="X49" s="320"/>
      <c r="Y49" s="299"/>
      <c r="Z49" s="299"/>
      <c r="AA49" s="299"/>
      <c r="AB49" s="299"/>
      <c r="AC49" s="299"/>
      <c r="AD49" s="299"/>
      <c r="AE49" s="330"/>
      <c r="AF49" s="410">
        <f t="shared" si="3"/>
        <v>0</v>
      </c>
      <c r="AG49" s="300"/>
      <c r="AH49" s="299"/>
      <c r="AI49" s="306"/>
      <c r="AJ49" s="306"/>
      <c r="AK49" s="306"/>
      <c r="AL49" s="306"/>
      <c r="AM49" s="306"/>
      <c r="AN49" s="306"/>
      <c r="AO49" s="306"/>
      <c r="AP49" s="290">
        <f t="shared" si="6"/>
        <v>0</v>
      </c>
      <c r="AQ49" s="306"/>
      <c r="AR49" s="306"/>
      <c r="AS49" s="306"/>
      <c r="AT49" s="306"/>
      <c r="AU49" s="306"/>
      <c r="AV49" s="306"/>
      <c r="AW49" s="306"/>
      <c r="AX49" s="306"/>
      <c r="AY49" s="306"/>
      <c r="AZ49" s="290">
        <f t="shared" si="4"/>
        <v>0</v>
      </c>
      <c r="BA49" s="306"/>
      <c r="BB49" s="306" t="s">
        <v>551</v>
      </c>
      <c r="BC49" s="315">
        <f t="shared" si="0"/>
        <v>0</v>
      </c>
      <c r="BD49" s="316" t="str">
        <f t="shared" si="5"/>
        <v>Desierto</v>
      </c>
    </row>
    <row r="50" spans="1:56" x14ac:dyDescent="0.25">
      <c r="A50" s="308">
        <v>48</v>
      </c>
      <c r="B50" s="309" t="s">
        <v>618</v>
      </c>
      <c r="C50" s="310" t="s">
        <v>518</v>
      </c>
      <c r="D50" s="310" t="s">
        <v>56</v>
      </c>
      <c r="E50" s="303" t="s">
        <v>510</v>
      </c>
      <c r="F50" s="303" t="s">
        <v>510</v>
      </c>
      <c r="G50" s="303" t="s">
        <v>510</v>
      </c>
      <c r="H50" s="303" t="s">
        <v>511</v>
      </c>
      <c r="I50" s="303" t="s">
        <v>510</v>
      </c>
      <c r="J50" s="303" t="s">
        <v>511</v>
      </c>
      <c r="K50" s="303">
        <v>40</v>
      </c>
      <c r="L50" s="408">
        <f t="shared" si="1"/>
        <v>40</v>
      </c>
      <c r="M50" s="303" t="s">
        <v>504</v>
      </c>
      <c r="N50" s="303"/>
      <c r="O50" s="311"/>
      <c r="P50" s="311"/>
      <c r="Q50" s="311"/>
      <c r="R50" s="311"/>
      <c r="S50" s="311"/>
      <c r="T50" s="311"/>
      <c r="U50" s="311"/>
      <c r="V50" s="409">
        <f t="shared" si="2"/>
        <v>0</v>
      </c>
      <c r="W50" s="311"/>
      <c r="X50" s="311"/>
      <c r="Y50" s="300" t="s">
        <v>510</v>
      </c>
      <c r="Z50" s="300" t="s">
        <v>510</v>
      </c>
      <c r="AA50" s="300" t="s">
        <v>510</v>
      </c>
      <c r="AB50" s="300" t="s">
        <v>511</v>
      </c>
      <c r="AC50" s="300" t="s">
        <v>510</v>
      </c>
      <c r="AD50" s="300" t="s">
        <v>511</v>
      </c>
      <c r="AE50" s="318">
        <v>40</v>
      </c>
      <c r="AF50" s="410">
        <f t="shared" si="3"/>
        <v>40</v>
      </c>
      <c r="AG50" s="300" t="s">
        <v>504</v>
      </c>
      <c r="AH50" s="300"/>
      <c r="AI50" s="303"/>
      <c r="AJ50" s="303"/>
      <c r="AK50" s="303"/>
      <c r="AL50" s="303"/>
      <c r="AM50" s="303"/>
      <c r="AN50" s="303"/>
      <c r="AO50" s="303"/>
      <c r="AP50" s="290">
        <f t="shared" si="6"/>
        <v>0</v>
      </c>
      <c r="AQ50" s="303"/>
      <c r="AR50" s="303"/>
      <c r="AS50" s="303"/>
      <c r="AT50" s="303"/>
      <c r="AU50" s="303"/>
      <c r="AV50" s="303"/>
      <c r="AW50" s="303"/>
      <c r="AX50" s="303"/>
      <c r="AY50" s="303"/>
      <c r="AZ50" s="290">
        <f t="shared" si="4"/>
        <v>0</v>
      </c>
      <c r="BA50" s="303"/>
      <c r="BB50" s="303"/>
      <c r="BC50" s="315">
        <f t="shared" si="0"/>
        <v>2</v>
      </c>
      <c r="BD50" s="316" t="str">
        <f t="shared" si="5"/>
        <v>Habilitado</v>
      </c>
    </row>
    <row r="51" spans="1:56" ht="25.5" x14ac:dyDescent="0.25">
      <c r="A51" s="308">
        <v>49</v>
      </c>
      <c r="B51" s="309" t="s">
        <v>619</v>
      </c>
      <c r="C51" s="310" t="s">
        <v>518</v>
      </c>
      <c r="D51" s="310" t="s">
        <v>620</v>
      </c>
      <c r="E51" s="303" t="s">
        <v>510</v>
      </c>
      <c r="F51" s="303" t="s">
        <v>510</v>
      </c>
      <c r="G51" s="303" t="s">
        <v>511</v>
      </c>
      <c r="H51" s="303" t="s">
        <v>511</v>
      </c>
      <c r="I51" s="303" t="s">
        <v>510</v>
      </c>
      <c r="J51" s="303" t="s">
        <v>511</v>
      </c>
      <c r="K51" s="303">
        <v>40</v>
      </c>
      <c r="L51" s="408">
        <f t="shared" si="1"/>
        <v>40</v>
      </c>
      <c r="M51" s="303" t="s">
        <v>504</v>
      </c>
      <c r="N51" s="303"/>
      <c r="O51" s="311"/>
      <c r="P51" s="311"/>
      <c r="Q51" s="311"/>
      <c r="R51" s="311"/>
      <c r="S51" s="311"/>
      <c r="T51" s="311"/>
      <c r="U51" s="311"/>
      <c r="V51" s="409">
        <f t="shared" si="2"/>
        <v>0</v>
      </c>
      <c r="W51" s="311"/>
      <c r="X51" s="311"/>
      <c r="Y51" s="300" t="s">
        <v>510</v>
      </c>
      <c r="Z51" s="300" t="s">
        <v>510</v>
      </c>
      <c r="AA51" s="300" t="s">
        <v>511</v>
      </c>
      <c r="AB51" s="300" t="s">
        <v>511</v>
      </c>
      <c r="AC51" s="300" t="s">
        <v>510</v>
      </c>
      <c r="AD51" s="300" t="s">
        <v>511</v>
      </c>
      <c r="AE51" s="318">
        <v>40</v>
      </c>
      <c r="AF51" s="410">
        <f t="shared" si="3"/>
        <v>40</v>
      </c>
      <c r="AG51" s="300" t="s">
        <v>504</v>
      </c>
      <c r="AH51" s="300"/>
      <c r="AI51" s="303"/>
      <c r="AJ51" s="303"/>
      <c r="AK51" s="303"/>
      <c r="AL51" s="303"/>
      <c r="AM51" s="303"/>
      <c r="AN51" s="303"/>
      <c r="AO51" s="303"/>
      <c r="AP51" s="290">
        <f t="shared" si="6"/>
        <v>0</v>
      </c>
      <c r="AQ51" s="303"/>
      <c r="AR51" s="303"/>
      <c r="AS51" s="303" t="s">
        <v>510</v>
      </c>
      <c r="AT51" s="303" t="s">
        <v>510</v>
      </c>
      <c r="AU51" s="303" t="s">
        <v>511</v>
      </c>
      <c r="AV51" s="303" t="s">
        <v>511</v>
      </c>
      <c r="AW51" s="303" t="s">
        <v>510</v>
      </c>
      <c r="AX51" s="303" t="s">
        <v>511</v>
      </c>
      <c r="AY51" s="303">
        <v>0</v>
      </c>
      <c r="AZ51" s="290">
        <f t="shared" si="4"/>
        <v>0</v>
      </c>
      <c r="BA51" s="303" t="s">
        <v>504</v>
      </c>
      <c r="BB51" s="303"/>
      <c r="BC51" s="315">
        <f t="shared" si="0"/>
        <v>3</v>
      </c>
      <c r="BD51" s="316" t="str">
        <f t="shared" si="5"/>
        <v>Habilitado</v>
      </c>
    </row>
    <row r="52" spans="1:56" ht="25.5" x14ac:dyDescent="0.25">
      <c r="A52" s="324">
        <v>50</v>
      </c>
      <c r="B52" s="331" t="s">
        <v>621</v>
      </c>
      <c r="C52" s="331" t="s">
        <v>518</v>
      </c>
      <c r="D52" s="331" t="s">
        <v>71</v>
      </c>
      <c r="E52" s="306" t="s">
        <v>510</v>
      </c>
      <c r="F52" s="306" t="s">
        <v>510</v>
      </c>
      <c r="G52" s="306" t="s">
        <v>510</v>
      </c>
      <c r="H52" s="306" t="s">
        <v>511</v>
      </c>
      <c r="I52" s="303" t="s">
        <v>510</v>
      </c>
      <c r="J52" s="306" t="s">
        <v>511</v>
      </c>
      <c r="K52" s="306">
        <v>40</v>
      </c>
      <c r="L52" s="408">
        <f t="shared" si="1"/>
        <v>40</v>
      </c>
      <c r="M52" s="303" t="s">
        <v>504</v>
      </c>
      <c r="N52" s="306" t="s">
        <v>551</v>
      </c>
      <c r="O52" s="320"/>
      <c r="P52" s="320"/>
      <c r="Q52" s="320"/>
      <c r="R52" s="320"/>
      <c r="S52" s="320"/>
      <c r="T52" s="320"/>
      <c r="U52" s="320"/>
      <c r="V52" s="409">
        <f t="shared" si="2"/>
        <v>0</v>
      </c>
      <c r="W52" s="320"/>
      <c r="X52" s="320"/>
      <c r="Y52" s="299" t="s">
        <v>510</v>
      </c>
      <c r="Z52" s="299" t="s">
        <v>510</v>
      </c>
      <c r="AA52" s="299" t="s">
        <v>510</v>
      </c>
      <c r="AB52" s="299" t="s">
        <v>511</v>
      </c>
      <c r="AC52" s="300" t="s">
        <v>510</v>
      </c>
      <c r="AD52" s="299" t="s">
        <v>511</v>
      </c>
      <c r="AE52" s="330">
        <v>40</v>
      </c>
      <c r="AF52" s="410">
        <f t="shared" si="3"/>
        <v>40</v>
      </c>
      <c r="AG52" s="300" t="s">
        <v>504</v>
      </c>
      <c r="AH52" s="299"/>
      <c r="AI52" s="306" t="s">
        <v>510</v>
      </c>
      <c r="AJ52" s="306" t="s">
        <v>510</v>
      </c>
      <c r="AK52" s="306" t="s">
        <v>510</v>
      </c>
      <c r="AL52" s="306" t="s">
        <v>511</v>
      </c>
      <c r="AM52" s="303" t="s">
        <v>510</v>
      </c>
      <c r="AN52" s="306" t="s">
        <v>511</v>
      </c>
      <c r="AO52" s="303">
        <v>20</v>
      </c>
      <c r="AP52" s="290">
        <f t="shared" si="6"/>
        <v>20</v>
      </c>
      <c r="AQ52" s="303" t="s">
        <v>504</v>
      </c>
      <c r="AR52" s="306" t="s">
        <v>551</v>
      </c>
      <c r="AS52" s="389" t="s">
        <v>510</v>
      </c>
      <c r="AT52" s="389" t="s">
        <v>510</v>
      </c>
      <c r="AU52" s="389" t="s">
        <v>510</v>
      </c>
      <c r="AV52" s="306" t="s">
        <v>622</v>
      </c>
      <c r="AW52" s="303" t="s">
        <v>510</v>
      </c>
      <c r="AX52" s="303" t="s">
        <v>511</v>
      </c>
      <c r="AY52" s="303">
        <v>0</v>
      </c>
      <c r="AZ52" s="290">
        <f t="shared" si="4"/>
        <v>0</v>
      </c>
      <c r="BA52" s="306" t="s">
        <v>504</v>
      </c>
      <c r="BB52" s="301"/>
      <c r="BC52" s="315">
        <f t="shared" si="0"/>
        <v>4</v>
      </c>
      <c r="BD52" s="316" t="str">
        <f t="shared" si="5"/>
        <v>Habilitado</v>
      </c>
    </row>
    <row r="53" spans="1:56" ht="38.25" x14ac:dyDescent="0.25">
      <c r="A53" s="324">
        <v>51</v>
      </c>
      <c r="B53" s="331" t="s">
        <v>623</v>
      </c>
      <c r="C53" s="331" t="s">
        <v>518</v>
      </c>
      <c r="D53" s="331" t="s">
        <v>56</v>
      </c>
      <c r="E53" s="306" t="s">
        <v>510</v>
      </c>
      <c r="F53" s="306" t="s">
        <v>510</v>
      </c>
      <c r="G53" s="306" t="s">
        <v>510</v>
      </c>
      <c r="H53" s="306" t="s">
        <v>511</v>
      </c>
      <c r="I53" s="303" t="s">
        <v>510</v>
      </c>
      <c r="J53" s="306" t="s">
        <v>511</v>
      </c>
      <c r="K53" s="306">
        <v>40</v>
      </c>
      <c r="L53" s="408">
        <f t="shared" si="1"/>
        <v>40</v>
      </c>
      <c r="M53" s="303" t="s">
        <v>504</v>
      </c>
      <c r="N53" s="306" t="s">
        <v>551</v>
      </c>
      <c r="O53" s="320"/>
      <c r="P53" s="320"/>
      <c r="Q53" s="320"/>
      <c r="R53" s="320"/>
      <c r="S53" s="320"/>
      <c r="T53" s="320"/>
      <c r="U53" s="320"/>
      <c r="V53" s="409">
        <f t="shared" si="2"/>
        <v>0</v>
      </c>
      <c r="W53" s="320"/>
      <c r="X53" s="320"/>
      <c r="Y53" s="299" t="s">
        <v>510</v>
      </c>
      <c r="Z53" s="299" t="s">
        <v>510</v>
      </c>
      <c r="AA53" s="299" t="s">
        <v>519</v>
      </c>
      <c r="AB53" s="299" t="s">
        <v>511</v>
      </c>
      <c r="AC53" s="300" t="s">
        <v>510</v>
      </c>
      <c r="AD53" s="299" t="s">
        <v>511</v>
      </c>
      <c r="AE53" s="330">
        <v>0</v>
      </c>
      <c r="AF53" s="410">
        <f t="shared" si="3"/>
        <v>0</v>
      </c>
      <c r="AG53" s="300" t="s">
        <v>520</v>
      </c>
      <c r="AH53" s="299" t="s">
        <v>624</v>
      </c>
      <c r="AI53" s="306" t="s">
        <v>510</v>
      </c>
      <c r="AJ53" s="306" t="s">
        <v>510</v>
      </c>
      <c r="AK53" s="306" t="s">
        <v>510</v>
      </c>
      <c r="AL53" s="306" t="s">
        <v>511</v>
      </c>
      <c r="AM53" s="303" t="s">
        <v>510</v>
      </c>
      <c r="AN53" s="306" t="s">
        <v>511</v>
      </c>
      <c r="AO53" s="303">
        <v>20</v>
      </c>
      <c r="AP53" s="290">
        <f t="shared" si="6"/>
        <v>20</v>
      </c>
      <c r="AQ53" s="303" t="s">
        <v>504</v>
      </c>
      <c r="AR53" s="306" t="s">
        <v>551</v>
      </c>
      <c r="AS53" s="306" t="s">
        <v>519</v>
      </c>
      <c r="AT53" s="306" t="s">
        <v>519</v>
      </c>
      <c r="AU53" s="306" t="s">
        <v>519</v>
      </c>
      <c r="AV53" s="306" t="s">
        <v>622</v>
      </c>
      <c r="AW53" s="303" t="s">
        <v>510</v>
      </c>
      <c r="AX53" s="303" t="s">
        <v>511</v>
      </c>
      <c r="AY53" s="303">
        <v>0</v>
      </c>
      <c r="AZ53" s="290">
        <f t="shared" si="4"/>
        <v>0</v>
      </c>
      <c r="BA53" s="306" t="s">
        <v>520</v>
      </c>
      <c r="BB53" s="301" t="s">
        <v>625</v>
      </c>
      <c r="BC53" s="315">
        <f t="shared" si="0"/>
        <v>2</v>
      </c>
      <c r="BD53" s="316" t="str">
        <f t="shared" si="5"/>
        <v>Habilitado</v>
      </c>
    </row>
    <row r="54" spans="1:56" ht="91.5" customHeight="1" x14ac:dyDescent="0.25">
      <c r="A54" s="308">
        <v>52</v>
      </c>
      <c r="B54" s="309" t="s">
        <v>626</v>
      </c>
      <c r="C54" s="310" t="s">
        <v>518</v>
      </c>
      <c r="D54" s="310" t="s">
        <v>144</v>
      </c>
      <c r="E54" s="303" t="s">
        <v>510</v>
      </c>
      <c r="F54" s="303" t="s">
        <v>510</v>
      </c>
      <c r="G54" s="303" t="s">
        <v>510</v>
      </c>
      <c r="H54" s="303" t="s">
        <v>511</v>
      </c>
      <c r="I54" s="303" t="s">
        <v>510</v>
      </c>
      <c r="J54" s="303" t="s">
        <v>511</v>
      </c>
      <c r="K54" s="303">
        <v>40</v>
      </c>
      <c r="L54" s="408">
        <f t="shared" si="1"/>
        <v>40</v>
      </c>
      <c r="M54" s="303" t="s">
        <v>504</v>
      </c>
      <c r="N54" s="301"/>
      <c r="O54" s="311"/>
      <c r="P54" s="311"/>
      <c r="Q54" s="311"/>
      <c r="R54" s="311"/>
      <c r="S54" s="311"/>
      <c r="T54" s="311"/>
      <c r="U54" s="311"/>
      <c r="V54" s="409">
        <f t="shared" si="2"/>
        <v>0</v>
      </c>
      <c r="W54" s="311"/>
      <c r="X54" s="311"/>
      <c r="Y54" s="300" t="s">
        <v>510</v>
      </c>
      <c r="Z54" s="300" t="s">
        <v>510</v>
      </c>
      <c r="AA54" s="300" t="s">
        <v>510</v>
      </c>
      <c r="AB54" s="300" t="s">
        <v>511</v>
      </c>
      <c r="AC54" s="300" t="s">
        <v>510</v>
      </c>
      <c r="AD54" s="300" t="s">
        <v>511</v>
      </c>
      <c r="AE54" s="318">
        <v>40</v>
      </c>
      <c r="AF54" s="410">
        <f t="shared" si="3"/>
        <v>40</v>
      </c>
      <c r="AG54" s="300" t="s">
        <v>504</v>
      </c>
      <c r="AH54" s="300"/>
      <c r="AI54" s="303" t="s">
        <v>510</v>
      </c>
      <c r="AJ54" s="303" t="s">
        <v>510</v>
      </c>
      <c r="AK54" s="303" t="s">
        <v>510</v>
      </c>
      <c r="AL54" s="303" t="s">
        <v>511</v>
      </c>
      <c r="AM54" s="303" t="s">
        <v>510</v>
      </c>
      <c r="AN54" s="303" t="s">
        <v>511</v>
      </c>
      <c r="AO54" s="303">
        <v>20</v>
      </c>
      <c r="AP54" s="290">
        <f t="shared" si="6"/>
        <v>20</v>
      </c>
      <c r="AQ54" s="303" t="s">
        <v>504</v>
      </c>
      <c r="AR54" s="301" t="s">
        <v>525</v>
      </c>
      <c r="AS54" s="303"/>
      <c r="AT54" s="303"/>
      <c r="AU54" s="303"/>
      <c r="AV54" s="303"/>
      <c r="AW54" s="303"/>
      <c r="AX54" s="303"/>
      <c r="AY54" s="303"/>
      <c r="AZ54" s="290">
        <f t="shared" si="4"/>
        <v>0</v>
      </c>
      <c r="BA54" s="303"/>
      <c r="BB54" s="301"/>
      <c r="BC54" s="315">
        <f t="shared" si="0"/>
        <v>3</v>
      </c>
      <c r="BD54" s="316" t="str">
        <f t="shared" si="5"/>
        <v>Habilitado</v>
      </c>
    </row>
    <row r="55" spans="1:56" x14ac:dyDescent="0.25">
      <c r="A55" s="308">
        <v>53</v>
      </c>
      <c r="B55" s="309" t="s">
        <v>627</v>
      </c>
      <c r="C55" s="310" t="s">
        <v>532</v>
      </c>
      <c r="D55" s="310" t="s">
        <v>628</v>
      </c>
      <c r="E55" s="311"/>
      <c r="F55" s="311"/>
      <c r="G55" s="311"/>
      <c r="H55" s="311"/>
      <c r="I55" s="311"/>
      <c r="J55" s="311"/>
      <c r="K55" s="311"/>
      <c r="L55" s="408">
        <f t="shared" si="1"/>
        <v>0</v>
      </c>
      <c r="M55" s="311"/>
      <c r="N55" s="303"/>
      <c r="O55" s="311"/>
      <c r="P55" s="311"/>
      <c r="Q55" s="311"/>
      <c r="R55" s="311"/>
      <c r="S55" s="311"/>
      <c r="T55" s="311"/>
      <c r="U55" s="311"/>
      <c r="V55" s="409">
        <f t="shared" si="2"/>
        <v>0</v>
      </c>
      <c r="W55" s="311"/>
      <c r="X55" s="311"/>
      <c r="Y55" s="300"/>
      <c r="Z55" s="300"/>
      <c r="AA55" s="300"/>
      <c r="AB55" s="300"/>
      <c r="AC55" s="300"/>
      <c r="AD55" s="300"/>
      <c r="AE55" s="318"/>
      <c r="AF55" s="410">
        <f t="shared" si="3"/>
        <v>0</v>
      </c>
      <c r="AG55" s="300"/>
      <c r="AH55" s="300"/>
      <c r="AI55" s="303"/>
      <c r="AJ55" s="303"/>
      <c r="AK55" s="303"/>
      <c r="AL55" s="303"/>
      <c r="AM55" s="303"/>
      <c r="AN55" s="303"/>
      <c r="AO55" s="303"/>
      <c r="AP55" s="290">
        <f t="shared" si="6"/>
        <v>0</v>
      </c>
      <c r="AQ55" s="303"/>
      <c r="AR55" s="303"/>
      <c r="AS55" s="303"/>
      <c r="AT55" s="303"/>
      <c r="AU55" s="303"/>
      <c r="AV55" s="303"/>
      <c r="AW55" s="303"/>
      <c r="AX55" s="303"/>
      <c r="AY55" s="303"/>
      <c r="AZ55" s="290">
        <f t="shared" si="4"/>
        <v>0</v>
      </c>
      <c r="BA55" s="303"/>
      <c r="BB55" s="303"/>
      <c r="BC55" s="315">
        <f t="shared" si="0"/>
        <v>0</v>
      </c>
      <c r="BD55" s="316" t="str">
        <f t="shared" si="5"/>
        <v>Desierto</v>
      </c>
    </row>
    <row r="56" spans="1:56" ht="63.75" x14ac:dyDescent="0.25">
      <c r="A56" s="308">
        <v>54</v>
      </c>
      <c r="B56" s="309" t="s">
        <v>629</v>
      </c>
      <c r="C56" s="310" t="s">
        <v>518</v>
      </c>
      <c r="D56" s="310" t="s">
        <v>628</v>
      </c>
      <c r="E56" s="303" t="s">
        <v>510</v>
      </c>
      <c r="F56" s="303" t="s">
        <v>519</v>
      </c>
      <c r="G56" s="303" t="s">
        <v>510</v>
      </c>
      <c r="H56" s="303" t="s">
        <v>511</v>
      </c>
      <c r="I56" s="303" t="s">
        <v>510</v>
      </c>
      <c r="J56" s="303" t="s">
        <v>511</v>
      </c>
      <c r="K56" s="303">
        <v>40</v>
      </c>
      <c r="L56" s="408">
        <f t="shared" si="1"/>
        <v>40</v>
      </c>
      <c r="M56" s="303" t="s">
        <v>520</v>
      </c>
      <c r="N56" s="301" t="s">
        <v>630</v>
      </c>
      <c r="O56" s="311"/>
      <c r="P56" s="311"/>
      <c r="Q56" s="311"/>
      <c r="R56" s="311"/>
      <c r="S56" s="311"/>
      <c r="T56" s="311"/>
      <c r="U56" s="311"/>
      <c r="V56" s="409">
        <f t="shared" si="2"/>
        <v>0</v>
      </c>
      <c r="W56" s="311"/>
      <c r="X56" s="320"/>
      <c r="Y56" s="300" t="s">
        <v>510</v>
      </c>
      <c r="Z56" s="300" t="s">
        <v>519</v>
      </c>
      <c r="AA56" s="300" t="s">
        <v>510</v>
      </c>
      <c r="AB56" s="300" t="s">
        <v>511</v>
      </c>
      <c r="AC56" s="300" t="s">
        <v>510</v>
      </c>
      <c r="AD56" s="300" t="s">
        <v>511</v>
      </c>
      <c r="AE56" s="318">
        <v>0</v>
      </c>
      <c r="AF56" s="410">
        <f t="shared" si="3"/>
        <v>0</v>
      </c>
      <c r="AG56" s="300" t="s">
        <v>520</v>
      </c>
      <c r="AH56" s="330"/>
      <c r="AI56" s="303" t="s">
        <v>510</v>
      </c>
      <c r="AJ56" s="303" t="s">
        <v>510</v>
      </c>
      <c r="AK56" s="303" t="s">
        <v>510</v>
      </c>
      <c r="AL56" s="303" t="s">
        <v>511</v>
      </c>
      <c r="AM56" s="303" t="s">
        <v>510</v>
      </c>
      <c r="AN56" s="303" t="s">
        <v>511</v>
      </c>
      <c r="AO56" s="303">
        <v>20</v>
      </c>
      <c r="AP56" s="290">
        <f t="shared" si="6"/>
        <v>20</v>
      </c>
      <c r="AQ56" s="303" t="s">
        <v>504</v>
      </c>
      <c r="AR56" s="301"/>
      <c r="AS56" s="303"/>
      <c r="AT56" s="303"/>
      <c r="AU56" s="303"/>
      <c r="AV56" s="303"/>
      <c r="AW56" s="303"/>
      <c r="AX56" s="303"/>
      <c r="AY56" s="303"/>
      <c r="AZ56" s="290">
        <f t="shared" si="4"/>
        <v>0</v>
      </c>
      <c r="BA56" s="303"/>
      <c r="BB56" s="301"/>
      <c r="BC56" s="315">
        <f t="shared" si="0"/>
        <v>1</v>
      </c>
      <c r="BD56" s="316" t="str">
        <f t="shared" si="5"/>
        <v>Habilitado</v>
      </c>
    </row>
    <row r="57" spans="1:56" x14ac:dyDescent="0.25">
      <c r="A57" s="308">
        <v>55</v>
      </c>
      <c r="B57" s="309" t="s">
        <v>631</v>
      </c>
      <c r="C57" s="310" t="s">
        <v>632</v>
      </c>
      <c r="D57" s="310" t="s">
        <v>46</v>
      </c>
      <c r="E57" s="303" t="s">
        <v>510</v>
      </c>
      <c r="F57" s="303" t="s">
        <v>510</v>
      </c>
      <c r="G57" s="303" t="s">
        <v>510</v>
      </c>
      <c r="H57" s="303" t="s">
        <v>511</v>
      </c>
      <c r="I57" s="303" t="s">
        <v>510</v>
      </c>
      <c r="J57" s="303" t="s">
        <v>511</v>
      </c>
      <c r="K57" s="303">
        <v>40</v>
      </c>
      <c r="L57" s="408">
        <f t="shared" si="1"/>
        <v>40</v>
      </c>
      <c r="M57" s="303" t="s">
        <v>504</v>
      </c>
      <c r="N57" s="303"/>
      <c r="O57" s="311"/>
      <c r="P57" s="311"/>
      <c r="Q57" s="311"/>
      <c r="R57" s="311"/>
      <c r="S57" s="311"/>
      <c r="T57" s="311"/>
      <c r="U57" s="311"/>
      <c r="V57" s="409">
        <f t="shared" si="2"/>
        <v>0</v>
      </c>
      <c r="W57" s="311"/>
      <c r="X57" s="311"/>
      <c r="Y57" s="300"/>
      <c r="Z57" s="300"/>
      <c r="AA57" s="300"/>
      <c r="AB57" s="300"/>
      <c r="AC57" s="300"/>
      <c r="AD57" s="300"/>
      <c r="AE57" s="318"/>
      <c r="AF57" s="410">
        <f t="shared" si="3"/>
        <v>0</v>
      </c>
      <c r="AG57" s="300"/>
      <c r="AH57" s="300"/>
      <c r="AI57" s="303"/>
      <c r="AJ57" s="303"/>
      <c r="AK57" s="303"/>
      <c r="AL57" s="303"/>
      <c r="AM57" s="303"/>
      <c r="AN57" s="303"/>
      <c r="AO57" s="303"/>
      <c r="AP57" s="290">
        <f t="shared" si="6"/>
        <v>0</v>
      </c>
      <c r="AQ57" s="303"/>
      <c r="AR57" s="303"/>
      <c r="AS57" s="303"/>
      <c r="AT57" s="303"/>
      <c r="AU57" s="303"/>
      <c r="AV57" s="303"/>
      <c r="AW57" s="303"/>
      <c r="AX57" s="303"/>
      <c r="AY57" s="303"/>
      <c r="AZ57" s="290">
        <f t="shared" si="4"/>
        <v>0</v>
      </c>
      <c r="BA57" s="303"/>
      <c r="BB57" s="303"/>
      <c r="BC57" s="315">
        <f t="shared" si="0"/>
        <v>1</v>
      </c>
      <c r="BD57" s="316" t="str">
        <f t="shared" si="5"/>
        <v>Habilitado</v>
      </c>
    </row>
    <row r="58" spans="1:56" ht="38.25" x14ac:dyDescent="0.25">
      <c r="A58" s="308">
        <v>56</v>
      </c>
      <c r="B58" s="309" t="s">
        <v>633</v>
      </c>
      <c r="C58" s="310" t="s">
        <v>518</v>
      </c>
      <c r="D58" s="310" t="s">
        <v>56</v>
      </c>
      <c r="E58" s="303" t="s">
        <v>510</v>
      </c>
      <c r="F58" s="303" t="s">
        <v>510</v>
      </c>
      <c r="G58" s="303" t="s">
        <v>510</v>
      </c>
      <c r="H58" s="303" t="s">
        <v>511</v>
      </c>
      <c r="I58" s="303" t="s">
        <v>510</v>
      </c>
      <c r="J58" s="303" t="s">
        <v>511</v>
      </c>
      <c r="K58" s="303">
        <v>40</v>
      </c>
      <c r="L58" s="408">
        <f t="shared" si="1"/>
        <v>40</v>
      </c>
      <c r="M58" s="303" t="s">
        <v>504</v>
      </c>
      <c r="N58" s="303"/>
      <c r="O58" s="311"/>
      <c r="P58" s="311"/>
      <c r="Q58" s="311"/>
      <c r="R58" s="311"/>
      <c r="S58" s="311"/>
      <c r="T58" s="311"/>
      <c r="U58" s="311"/>
      <c r="V58" s="409">
        <f t="shared" si="2"/>
        <v>0</v>
      </c>
      <c r="W58" s="311"/>
      <c r="X58" s="311"/>
      <c r="Y58" s="300" t="s">
        <v>510</v>
      </c>
      <c r="Z58" s="300" t="s">
        <v>510</v>
      </c>
      <c r="AA58" s="300" t="s">
        <v>510</v>
      </c>
      <c r="AB58" s="300" t="s">
        <v>511</v>
      </c>
      <c r="AC58" s="300" t="s">
        <v>510</v>
      </c>
      <c r="AD58" s="300" t="s">
        <v>511</v>
      </c>
      <c r="AE58" s="318">
        <v>40</v>
      </c>
      <c r="AF58" s="410">
        <f t="shared" si="3"/>
        <v>40</v>
      </c>
      <c r="AG58" s="300" t="s">
        <v>504</v>
      </c>
      <c r="AH58" s="300"/>
      <c r="AI58" s="303" t="s">
        <v>510</v>
      </c>
      <c r="AJ58" s="303" t="s">
        <v>510</v>
      </c>
      <c r="AK58" s="303" t="s">
        <v>510</v>
      </c>
      <c r="AL58" s="303" t="s">
        <v>511</v>
      </c>
      <c r="AM58" s="303" t="s">
        <v>510</v>
      </c>
      <c r="AN58" s="303" t="s">
        <v>511</v>
      </c>
      <c r="AO58" s="303">
        <v>20</v>
      </c>
      <c r="AP58" s="290">
        <f t="shared" si="6"/>
        <v>20</v>
      </c>
      <c r="AQ58" s="303" t="s">
        <v>504</v>
      </c>
      <c r="AR58" s="303"/>
      <c r="AS58" s="303"/>
      <c r="AT58" s="303"/>
      <c r="AU58" s="303"/>
      <c r="AV58" s="303"/>
      <c r="AW58" s="303"/>
      <c r="AX58" s="303"/>
      <c r="AY58" s="303"/>
      <c r="AZ58" s="290">
        <f t="shared" si="4"/>
        <v>0</v>
      </c>
      <c r="BA58" s="303"/>
      <c r="BB58" s="301"/>
      <c r="BC58" s="315">
        <f t="shared" si="0"/>
        <v>3</v>
      </c>
      <c r="BD58" s="316" t="str">
        <f t="shared" si="5"/>
        <v>Habilitado</v>
      </c>
    </row>
    <row r="59" spans="1:56" x14ac:dyDescent="0.25">
      <c r="A59" s="308">
        <v>57</v>
      </c>
      <c r="B59" s="309" t="s">
        <v>634</v>
      </c>
      <c r="C59" s="310" t="s">
        <v>635</v>
      </c>
      <c r="D59" s="310" t="s">
        <v>636</v>
      </c>
      <c r="E59" s="303" t="s">
        <v>510</v>
      </c>
      <c r="F59" s="303" t="s">
        <v>510</v>
      </c>
      <c r="G59" s="303" t="s">
        <v>510</v>
      </c>
      <c r="H59" s="303" t="s">
        <v>511</v>
      </c>
      <c r="I59" s="303" t="s">
        <v>510</v>
      </c>
      <c r="J59" s="303" t="s">
        <v>511</v>
      </c>
      <c r="K59" s="303">
        <v>40</v>
      </c>
      <c r="L59" s="408">
        <f t="shared" si="1"/>
        <v>40</v>
      </c>
      <c r="M59" s="303" t="s">
        <v>504</v>
      </c>
      <c r="N59" s="303"/>
      <c r="O59" s="311"/>
      <c r="P59" s="311"/>
      <c r="Q59" s="311"/>
      <c r="R59" s="311"/>
      <c r="S59" s="311"/>
      <c r="T59" s="311"/>
      <c r="U59" s="311"/>
      <c r="V59" s="409">
        <f t="shared" si="2"/>
        <v>0</v>
      </c>
      <c r="W59" s="311"/>
      <c r="X59" s="311"/>
      <c r="Y59" s="300"/>
      <c r="Z59" s="300"/>
      <c r="AA59" s="300"/>
      <c r="AB59" s="300"/>
      <c r="AC59" s="300"/>
      <c r="AD59" s="300"/>
      <c r="AE59" s="318"/>
      <c r="AF59" s="410">
        <f t="shared" si="3"/>
        <v>0</v>
      </c>
      <c r="AG59" s="300"/>
      <c r="AH59" s="300"/>
      <c r="AI59" s="303"/>
      <c r="AJ59" s="303"/>
      <c r="AK59" s="303"/>
      <c r="AL59" s="303"/>
      <c r="AM59" s="303"/>
      <c r="AN59" s="303"/>
      <c r="AO59" s="303"/>
      <c r="AP59" s="290">
        <f t="shared" si="6"/>
        <v>0</v>
      </c>
      <c r="AQ59" s="303"/>
      <c r="AR59" s="303"/>
      <c r="AS59" s="303"/>
      <c r="AT59" s="303"/>
      <c r="AU59" s="303"/>
      <c r="AV59" s="303"/>
      <c r="AW59" s="303"/>
      <c r="AX59" s="303"/>
      <c r="AY59" s="303"/>
      <c r="AZ59" s="290">
        <f t="shared" si="4"/>
        <v>0</v>
      </c>
      <c r="BA59" s="303"/>
      <c r="BB59" s="303"/>
      <c r="BC59" s="315">
        <f t="shared" si="0"/>
        <v>1</v>
      </c>
      <c r="BD59" s="316" t="str">
        <f t="shared" si="5"/>
        <v>Habilitado</v>
      </c>
    </row>
    <row r="60" spans="1:56" x14ac:dyDescent="0.25">
      <c r="A60" s="308">
        <v>58</v>
      </c>
      <c r="B60" s="309" t="s">
        <v>637</v>
      </c>
      <c r="C60" s="310" t="s">
        <v>65</v>
      </c>
      <c r="D60" s="310" t="s">
        <v>638</v>
      </c>
      <c r="E60" s="303" t="s">
        <v>510</v>
      </c>
      <c r="F60" s="303" t="s">
        <v>510</v>
      </c>
      <c r="G60" s="303" t="s">
        <v>510</v>
      </c>
      <c r="H60" s="303" t="s">
        <v>511</v>
      </c>
      <c r="I60" s="303" t="s">
        <v>510</v>
      </c>
      <c r="J60" s="303" t="s">
        <v>511</v>
      </c>
      <c r="K60" s="303">
        <v>40</v>
      </c>
      <c r="L60" s="408">
        <f t="shared" si="1"/>
        <v>40</v>
      </c>
      <c r="M60" s="303" t="s">
        <v>504</v>
      </c>
      <c r="N60" s="303"/>
      <c r="O60" s="311"/>
      <c r="P60" s="311"/>
      <c r="Q60" s="311"/>
      <c r="R60" s="311"/>
      <c r="S60" s="311"/>
      <c r="T60" s="311"/>
      <c r="U60" s="311"/>
      <c r="V60" s="409">
        <f t="shared" si="2"/>
        <v>0</v>
      </c>
      <c r="W60" s="311"/>
      <c r="X60" s="311"/>
      <c r="Y60" s="300"/>
      <c r="Z60" s="300"/>
      <c r="AA60" s="300"/>
      <c r="AB60" s="300"/>
      <c r="AC60" s="300"/>
      <c r="AD60" s="300"/>
      <c r="AE60" s="318"/>
      <c r="AF60" s="410">
        <f t="shared" si="3"/>
        <v>0</v>
      </c>
      <c r="AG60" s="300"/>
      <c r="AH60" s="300"/>
      <c r="AI60" s="303"/>
      <c r="AJ60" s="303"/>
      <c r="AK60" s="303"/>
      <c r="AL60" s="303"/>
      <c r="AM60" s="303"/>
      <c r="AN60" s="303"/>
      <c r="AO60" s="303"/>
      <c r="AP60" s="290">
        <f t="shared" si="6"/>
        <v>0</v>
      </c>
      <c r="AQ60" s="303"/>
      <c r="AR60" s="303"/>
      <c r="AS60" s="303"/>
      <c r="AT60" s="303"/>
      <c r="AU60" s="303"/>
      <c r="AV60" s="303"/>
      <c r="AW60" s="303"/>
      <c r="AX60" s="303"/>
      <c r="AY60" s="303"/>
      <c r="AZ60" s="290">
        <f t="shared" si="4"/>
        <v>0</v>
      </c>
      <c r="BA60" s="303"/>
      <c r="BB60" s="303"/>
      <c r="BC60" s="315">
        <f t="shared" si="0"/>
        <v>1</v>
      </c>
      <c r="BD60" s="316" t="str">
        <f t="shared" si="5"/>
        <v>Habilitado</v>
      </c>
    </row>
    <row r="61" spans="1:56" x14ac:dyDescent="0.25">
      <c r="A61" s="308">
        <v>59</v>
      </c>
      <c r="B61" s="309" t="s">
        <v>639</v>
      </c>
      <c r="C61" s="310" t="s">
        <v>640</v>
      </c>
      <c r="D61" s="310" t="s">
        <v>641</v>
      </c>
      <c r="E61" s="303" t="s">
        <v>510</v>
      </c>
      <c r="F61" s="303" t="s">
        <v>510</v>
      </c>
      <c r="G61" s="303" t="s">
        <v>510</v>
      </c>
      <c r="H61" s="303" t="s">
        <v>511</v>
      </c>
      <c r="I61" s="303" t="s">
        <v>510</v>
      </c>
      <c r="J61" s="303" t="s">
        <v>511</v>
      </c>
      <c r="K61" s="303">
        <v>40</v>
      </c>
      <c r="L61" s="408">
        <f t="shared" si="1"/>
        <v>40</v>
      </c>
      <c r="M61" s="303" t="s">
        <v>504</v>
      </c>
      <c r="N61" s="303"/>
      <c r="O61" s="311"/>
      <c r="P61" s="311"/>
      <c r="Q61" s="311"/>
      <c r="R61" s="311"/>
      <c r="S61" s="311"/>
      <c r="T61" s="311"/>
      <c r="U61" s="311"/>
      <c r="V61" s="409">
        <f t="shared" si="2"/>
        <v>0</v>
      </c>
      <c r="W61" s="311"/>
      <c r="X61" s="311"/>
      <c r="Y61" s="300"/>
      <c r="Z61" s="300"/>
      <c r="AA61" s="300"/>
      <c r="AB61" s="300"/>
      <c r="AC61" s="300"/>
      <c r="AD61" s="300"/>
      <c r="AE61" s="318"/>
      <c r="AF61" s="410">
        <f t="shared" si="3"/>
        <v>0</v>
      </c>
      <c r="AG61" s="300"/>
      <c r="AH61" s="300"/>
      <c r="AI61" s="303"/>
      <c r="AJ61" s="303"/>
      <c r="AK61" s="303"/>
      <c r="AL61" s="303"/>
      <c r="AM61" s="303"/>
      <c r="AN61" s="303"/>
      <c r="AO61" s="303"/>
      <c r="AP61" s="290">
        <f t="shared" si="6"/>
        <v>0</v>
      </c>
      <c r="AQ61" s="303"/>
      <c r="AR61" s="303"/>
      <c r="AS61" s="303" t="s">
        <v>510</v>
      </c>
      <c r="AT61" s="303" t="s">
        <v>510</v>
      </c>
      <c r="AU61" s="303" t="s">
        <v>510</v>
      </c>
      <c r="AV61" s="303" t="s">
        <v>511</v>
      </c>
      <c r="AW61" s="303" t="s">
        <v>510</v>
      </c>
      <c r="AX61" s="303" t="s">
        <v>511</v>
      </c>
      <c r="AY61" s="303">
        <v>0</v>
      </c>
      <c r="AZ61" s="290">
        <f t="shared" si="4"/>
        <v>0</v>
      </c>
      <c r="BA61" s="303" t="s">
        <v>504</v>
      </c>
      <c r="BB61" s="303"/>
      <c r="BC61" s="315">
        <f t="shared" si="0"/>
        <v>2</v>
      </c>
      <c r="BD61" s="316" t="str">
        <f t="shared" si="5"/>
        <v>Habilitado</v>
      </c>
    </row>
    <row r="62" spans="1:56" ht="25.5" x14ac:dyDescent="0.25">
      <c r="A62" s="308">
        <v>60</v>
      </c>
      <c r="B62" s="309" t="s">
        <v>642</v>
      </c>
      <c r="C62" s="310" t="s">
        <v>532</v>
      </c>
      <c r="D62" s="310" t="s">
        <v>643</v>
      </c>
      <c r="E62" s="303" t="s">
        <v>510</v>
      </c>
      <c r="F62" s="303" t="s">
        <v>510</v>
      </c>
      <c r="G62" s="303" t="s">
        <v>510</v>
      </c>
      <c r="H62" s="303" t="s">
        <v>510</v>
      </c>
      <c r="I62" s="303" t="s">
        <v>510</v>
      </c>
      <c r="J62" s="303" t="s">
        <v>511</v>
      </c>
      <c r="K62" s="303">
        <v>40</v>
      </c>
      <c r="L62" s="408">
        <f t="shared" si="1"/>
        <v>40</v>
      </c>
      <c r="M62" s="303" t="s">
        <v>504</v>
      </c>
      <c r="N62" s="303"/>
      <c r="O62" s="311"/>
      <c r="P62" s="311"/>
      <c r="Q62" s="311"/>
      <c r="R62" s="311"/>
      <c r="S62" s="311"/>
      <c r="T62" s="311"/>
      <c r="U62" s="311"/>
      <c r="V62" s="409">
        <f t="shared" si="2"/>
        <v>0</v>
      </c>
      <c r="W62" s="311"/>
      <c r="X62" s="311"/>
      <c r="Y62" s="300"/>
      <c r="Z62" s="300"/>
      <c r="AA62" s="300"/>
      <c r="AB62" s="300"/>
      <c r="AC62" s="300"/>
      <c r="AD62" s="300"/>
      <c r="AE62" s="318"/>
      <c r="AF62" s="410">
        <f t="shared" si="3"/>
        <v>0</v>
      </c>
      <c r="AG62" s="300"/>
      <c r="AH62" s="300"/>
      <c r="AI62" s="303"/>
      <c r="AJ62" s="303"/>
      <c r="AK62" s="303"/>
      <c r="AL62" s="303"/>
      <c r="AM62" s="303"/>
      <c r="AN62" s="303"/>
      <c r="AO62" s="303"/>
      <c r="AP62" s="290">
        <f t="shared" si="6"/>
        <v>0</v>
      </c>
      <c r="AQ62" s="303"/>
      <c r="AR62" s="303"/>
      <c r="AS62" s="303" t="s">
        <v>510</v>
      </c>
      <c r="AT62" s="303" t="s">
        <v>510</v>
      </c>
      <c r="AU62" s="303" t="s">
        <v>510</v>
      </c>
      <c r="AV62" s="303" t="s">
        <v>511</v>
      </c>
      <c r="AW62" s="303" t="s">
        <v>510</v>
      </c>
      <c r="AX62" s="303" t="s">
        <v>511</v>
      </c>
      <c r="AY62" s="303">
        <v>0</v>
      </c>
      <c r="AZ62" s="290">
        <f t="shared" si="4"/>
        <v>0</v>
      </c>
      <c r="BA62" s="303" t="s">
        <v>504</v>
      </c>
      <c r="BB62" s="303"/>
      <c r="BC62" s="315">
        <f t="shared" si="0"/>
        <v>2</v>
      </c>
      <c r="BD62" s="316" t="str">
        <f t="shared" si="5"/>
        <v>Habilitado</v>
      </c>
    </row>
    <row r="63" spans="1:56" ht="25.5" x14ac:dyDescent="0.25">
      <c r="A63" s="308">
        <v>61</v>
      </c>
      <c r="B63" s="309" t="s">
        <v>644</v>
      </c>
      <c r="C63" s="310" t="s">
        <v>392</v>
      </c>
      <c r="D63" s="310" t="s">
        <v>645</v>
      </c>
      <c r="E63" s="303" t="s">
        <v>510</v>
      </c>
      <c r="F63" s="303" t="s">
        <v>510</v>
      </c>
      <c r="G63" s="303" t="s">
        <v>510</v>
      </c>
      <c r="H63" s="303" t="s">
        <v>511</v>
      </c>
      <c r="I63" s="303" t="s">
        <v>510</v>
      </c>
      <c r="J63" s="303" t="s">
        <v>511</v>
      </c>
      <c r="K63" s="303">
        <v>40</v>
      </c>
      <c r="L63" s="408">
        <f t="shared" si="1"/>
        <v>40</v>
      </c>
      <c r="M63" s="303" t="s">
        <v>504</v>
      </c>
      <c r="N63" s="303"/>
      <c r="O63" s="311"/>
      <c r="P63" s="311"/>
      <c r="Q63" s="311"/>
      <c r="R63" s="311"/>
      <c r="S63" s="311"/>
      <c r="T63" s="311"/>
      <c r="U63" s="311"/>
      <c r="V63" s="409">
        <f t="shared" si="2"/>
        <v>0</v>
      </c>
      <c r="W63" s="311"/>
      <c r="X63" s="311"/>
      <c r="Y63" s="300"/>
      <c r="Z63" s="300"/>
      <c r="AA63" s="300"/>
      <c r="AB63" s="300"/>
      <c r="AC63" s="300"/>
      <c r="AD63" s="300"/>
      <c r="AE63" s="318"/>
      <c r="AF63" s="410">
        <f t="shared" si="3"/>
        <v>0</v>
      </c>
      <c r="AG63" s="300"/>
      <c r="AH63" s="300"/>
      <c r="AI63" s="303"/>
      <c r="AJ63" s="303"/>
      <c r="AK63" s="303"/>
      <c r="AL63" s="303"/>
      <c r="AM63" s="303"/>
      <c r="AN63" s="303"/>
      <c r="AO63" s="303"/>
      <c r="AP63" s="290">
        <f t="shared" si="6"/>
        <v>0</v>
      </c>
      <c r="AQ63" s="303"/>
      <c r="AR63" s="303"/>
      <c r="AS63" s="303" t="s">
        <v>510</v>
      </c>
      <c r="AT63" s="303" t="s">
        <v>510</v>
      </c>
      <c r="AU63" s="303" t="s">
        <v>510</v>
      </c>
      <c r="AV63" s="303" t="s">
        <v>511</v>
      </c>
      <c r="AW63" s="303" t="s">
        <v>510</v>
      </c>
      <c r="AX63" s="303" t="s">
        <v>511</v>
      </c>
      <c r="AY63" s="303">
        <v>0</v>
      </c>
      <c r="AZ63" s="290">
        <f t="shared" si="4"/>
        <v>0</v>
      </c>
      <c r="BA63" s="303" t="s">
        <v>504</v>
      </c>
      <c r="BB63" s="303"/>
      <c r="BC63" s="315">
        <f t="shared" si="0"/>
        <v>2</v>
      </c>
      <c r="BD63" s="316" t="str">
        <f t="shared" si="5"/>
        <v>Habilitado</v>
      </c>
    </row>
    <row r="64" spans="1:56" ht="89.25" x14ac:dyDescent="0.25">
      <c r="A64" s="308">
        <v>62</v>
      </c>
      <c r="B64" s="309" t="s">
        <v>646</v>
      </c>
      <c r="C64" s="310" t="s">
        <v>647</v>
      </c>
      <c r="D64" s="310" t="s">
        <v>46</v>
      </c>
      <c r="E64" s="311"/>
      <c r="F64" s="311"/>
      <c r="G64" s="311"/>
      <c r="H64" s="311"/>
      <c r="I64" s="311"/>
      <c r="J64" s="311"/>
      <c r="K64" s="311"/>
      <c r="L64" s="408">
        <f t="shared" si="1"/>
        <v>0</v>
      </c>
      <c r="M64" s="311"/>
      <c r="N64" s="303"/>
      <c r="O64" s="311"/>
      <c r="P64" s="311"/>
      <c r="Q64" s="311"/>
      <c r="R64" s="311"/>
      <c r="S64" s="311"/>
      <c r="T64" s="311"/>
      <c r="U64" s="311"/>
      <c r="V64" s="409">
        <f t="shared" si="2"/>
        <v>0</v>
      </c>
      <c r="W64" s="311"/>
      <c r="X64" s="311"/>
      <c r="Y64" s="300"/>
      <c r="Z64" s="300"/>
      <c r="AA64" s="300"/>
      <c r="AB64" s="300"/>
      <c r="AC64" s="300"/>
      <c r="AD64" s="300"/>
      <c r="AE64" s="318"/>
      <c r="AF64" s="410">
        <f t="shared" si="3"/>
        <v>0</v>
      </c>
      <c r="AG64" s="300"/>
      <c r="AH64" s="300"/>
      <c r="AI64" s="303"/>
      <c r="AJ64" s="303"/>
      <c r="AK64" s="303"/>
      <c r="AL64" s="303"/>
      <c r="AM64" s="303"/>
      <c r="AN64" s="303"/>
      <c r="AO64" s="303"/>
      <c r="AP64" s="290">
        <f t="shared" si="6"/>
        <v>0</v>
      </c>
      <c r="AQ64" s="303"/>
      <c r="AR64" s="303"/>
      <c r="AS64" s="303"/>
      <c r="AT64" s="303"/>
      <c r="AU64" s="303"/>
      <c r="AV64" s="303"/>
      <c r="AW64" s="303"/>
      <c r="AX64" s="303"/>
      <c r="AY64" s="303"/>
      <c r="AZ64" s="290">
        <f t="shared" si="4"/>
        <v>0</v>
      </c>
      <c r="BA64" s="303"/>
      <c r="BB64" s="303"/>
      <c r="BC64" s="315">
        <f t="shared" si="0"/>
        <v>0</v>
      </c>
      <c r="BD64" s="316" t="str">
        <f t="shared" si="5"/>
        <v>Desierto</v>
      </c>
    </row>
    <row r="65" spans="1:56" ht="25.5" x14ac:dyDescent="0.25">
      <c r="A65" s="308">
        <v>63</v>
      </c>
      <c r="B65" s="309" t="s">
        <v>648</v>
      </c>
      <c r="C65" s="310" t="s">
        <v>649</v>
      </c>
      <c r="D65" s="310" t="s">
        <v>636</v>
      </c>
      <c r="E65" s="311"/>
      <c r="F65" s="311"/>
      <c r="G65" s="311"/>
      <c r="H65" s="311"/>
      <c r="I65" s="311"/>
      <c r="J65" s="311"/>
      <c r="K65" s="311"/>
      <c r="L65" s="408">
        <f t="shared" si="1"/>
        <v>0</v>
      </c>
      <c r="M65" s="311"/>
      <c r="N65" s="303"/>
      <c r="O65" s="311"/>
      <c r="P65" s="311"/>
      <c r="Q65" s="311"/>
      <c r="R65" s="311"/>
      <c r="S65" s="311"/>
      <c r="T65" s="311"/>
      <c r="U65" s="311"/>
      <c r="V65" s="409">
        <f t="shared" si="2"/>
        <v>0</v>
      </c>
      <c r="W65" s="311"/>
      <c r="X65" s="311"/>
      <c r="Y65" s="300"/>
      <c r="Z65" s="300"/>
      <c r="AA65" s="300"/>
      <c r="AB65" s="300"/>
      <c r="AC65" s="300"/>
      <c r="AD65" s="300"/>
      <c r="AE65" s="318"/>
      <c r="AF65" s="410">
        <f t="shared" si="3"/>
        <v>0</v>
      </c>
      <c r="AG65" s="300"/>
      <c r="AH65" s="300"/>
      <c r="AI65" s="303"/>
      <c r="AJ65" s="303"/>
      <c r="AK65" s="303"/>
      <c r="AL65" s="303"/>
      <c r="AM65" s="303"/>
      <c r="AN65" s="303"/>
      <c r="AO65" s="303"/>
      <c r="AP65" s="290">
        <f t="shared" si="6"/>
        <v>0</v>
      </c>
      <c r="AQ65" s="303"/>
      <c r="AR65" s="303"/>
      <c r="AS65" s="303"/>
      <c r="AT65" s="303"/>
      <c r="AU65" s="303"/>
      <c r="AV65" s="303"/>
      <c r="AW65" s="303"/>
      <c r="AX65" s="303"/>
      <c r="AY65" s="303"/>
      <c r="AZ65" s="290">
        <f t="shared" si="4"/>
        <v>0</v>
      </c>
      <c r="BA65" s="303"/>
      <c r="BB65" s="303"/>
      <c r="BC65" s="315">
        <f t="shared" si="0"/>
        <v>0</v>
      </c>
      <c r="BD65" s="316" t="str">
        <f t="shared" si="5"/>
        <v>Desierto</v>
      </c>
    </row>
    <row r="66" spans="1:56" ht="38.25" x14ac:dyDescent="0.25">
      <c r="A66" s="324">
        <v>64</v>
      </c>
      <c r="B66" s="331" t="s">
        <v>650</v>
      </c>
      <c r="C66" s="331" t="s">
        <v>649</v>
      </c>
      <c r="D66" s="331" t="s">
        <v>651</v>
      </c>
      <c r="E66" s="320"/>
      <c r="F66" s="320"/>
      <c r="G66" s="320"/>
      <c r="H66" s="320"/>
      <c r="I66" s="311"/>
      <c r="J66" s="320"/>
      <c r="K66" s="320"/>
      <c r="L66" s="408">
        <f t="shared" si="1"/>
        <v>0</v>
      </c>
      <c r="M66" s="311"/>
      <c r="N66" s="306"/>
      <c r="O66" s="320"/>
      <c r="P66" s="320"/>
      <c r="Q66" s="320"/>
      <c r="R66" s="320"/>
      <c r="S66" s="320"/>
      <c r="T66" s="320"/>
      <c r="U66" s="320"/>
      <c r="V66" s="409">
        <f t="shared" si="2"/>
        <v>0</v>
      </c>
      <c r="W66" s="320"/>
      <c r="X66" s="320"/>
      <c r="Y66" s="299"/>
      <c r="Z66" s="299"/>
      <c r="AA66" s="299"/>
      <c r="AB66" s="299"/>
      <c r="AC66" s="299"/>
      <c r="AD66" s="299"/>
      <c r="AE66" s="330"/>
      <c r="AF66" s="410">
        <f t="shared" si="3"/>
        <v>0</v>
      </c>
      <c r="AG66" s="299"/>
      <c r="AH66" s="299"/>
      <c r="AI66" s="306"/>
      <c r="AJ66" s="306"/>
      <c r="AK66" s="306"/>
      <c r="AL66" s="306"/>
      <c r="AM66" s="306"/>
      <c r="AN66" s="306"/>
      <c r="AO66" s="306"/>
      <c r="AP66" s="290">
        <f t="shared" si="6"/>
        <v>0</v>
      </c>
      <c r="AQ66" s="306"/>
      <c r="AR66" s="306"/>
      <c r="AS66" s="306"/>
      <c r="AT66" s="306"/>
      <c r="AU66" s="306"/>
      <c r="AV66" s="306"/>
      <c r="AW66" s="306"/>
      <c r="AX66" s="306"/>
      <c r="AY66" s="306"/>
      <c r="AZ66" s="290">
        <f t="shared" si="4"/>
        <v>0</v>
      </c>
      <c r="BA66" s="306"/>
      <c r="BB66" s="306" t="s">
        <v>551</v>
      </c>
      <c r="BC66" s="315">
        <f t="shared" si="0"/>
        <v>0</v>
      </c>
      <c r="BD66" s="316" t="str">
        <f t="shared" si="5"/>
        <v>Desierto</v>
      </c>
    </row>
    <row r="67" spans="1:56" ht="25.5" x14ac:dyDescent="0.25">
      <c r="A67" s="308">
        <v>65</v>
      </c>
      <c r="B67" s="309" t="s">
        <v>652</v>
      </c>
      <c r="C67" s="310" t="s">
        <v>649</v>
      </c>
      <c r="D67" s="310" t="s">
        <v>653</v>
      </c>
      <c r="E67" s="311"/>
      <c r="F67" s="311"/>
      <c r="G67" s="311"/>
      <c r="H67" s="311"/>
      <c r="I67" s="311"/>
      <c r="J67" s="311"/>
      <c r="K67" s="311"/>
      <c r="L67" s="408">
        <f t="shared" si="1"/>
        <v>0</v>
      </c>
      <c r="M67" s="311"/>
      <c r="N67" s="303"/>
      <c r="O67" s="311"/>
      <c r="P67" s="311"/>
      <c r="Q67" s="311"/>
      <c r="R67" s="311"/>
      <c r="S67" s="311"/>
      <c r="T67" s="311"/>
      <c r="U67" s="311"/>
      <c r="V67" s="409">
        <f t="shared" si="2"/>
        <v>0</v>
      </c>
      <c r="W67" s="311"/>
      <c r="X67" s="311"/>
      <c r="Y67" s="300"/>
      <c r="Z67" s="300"/>
      <c r="AA67" s="300"/>
      <c r="AB67" s="300"/>
      <c r="AC67" s="300"/>
      <c r="AD67" s="300"/>
      <c r="AE67" s="318"/>
      <c r="AF67" s="410">
        <f t="shared" si="3"/>
        <v>0</v>
      </c>
      <c r="AG67" s="300"/>
      <c r="AH67" s="300"/>
      <c r="AI67" s="303"/>
      <c r="AJ67" s="303"/>
      <c r="AK67" s="303"/>
      <c r="AL67" s="303"/>
      <c r="AM67" s="303"/>
      <c r="AN67" s="303"/>
      <c r="AO67" s="303"/>
      <c r="AP67" s="290">
        <f t="shared" si="6"/>
        <v>0</v>
      </c>
      <c r="AQ67" s="303"/>
      <c r="AR67" s="303"/>
      <c r="AS67" s="303"/>
      <c r="AT67" s="303"/>
      <c r="AU67" s="303"/>
      <c r="AV67" s="303"/>
      <c r="AW67" s="303"/>
      <c r="AX67" s="303"/>
      <c r="AY67" s="303"/>
      <c r="AZ67" s="290">
        <f t="shared" si="4"/>
        <v>0</v>
      </c>
      <c r="BA67" s="303"/>
      <c r="BB67" s="303"/>
      <c r="BC67" s="315">
        <f t="shared" ref="BC67:BC130" si="7">COUNTIF(M67,"Habilitado")+COUNTIF(W67,"Habilitado")+COUNTIF(AG67,"Habilitado")+COUNTIF(AQ67,"Habilitado")+COUNTIF(AS67,"Habilitado")+COUNTIF(BA67,"Habilitado")</f>
        <v>0</v>
      </c>
      <c r="BD67" s="316" t="str">
        <f t="shared" si="5"/>
        <v>Desierto</v>
      </c>
    </row>
    <row r="68" spans="1:56" ht="38.25" x14ac:dyDescent="0.25">
      <c r="A68" s="308">
        <v>66</v>
      </c>
      <c r="B68" s="309" t="s">
        <v>654</v>
      </c>
      <c r="C68" s="310" t="s">
        <v>655</v>
      </c>
      <c r="D68" s="310" t="s">
        <v>656</v>
      </c>
      <c r="E68" s="311"/>
      <c r="F68" s="311"/>
      <c r="G68" s="311"/>
      <c r="H68" s="311"/>
      <c r="I68" s="311"/>
      <c r="J68" s="311"/>
      <c r="K68" s="311"/>
      <c r="L68" s="408">
        <f t="shared" ref="L68:L131" si="8">+K68</f>
        <v>0</v>
      </c>
      <c r="M68" s="311"/>
      <c r="N68" s="311"/>
      <c r="O68" s="311"/>
      <c r="P68" s="311"/>
      <c r="Q68" s="311"/>
      <c r="R68" s="311"/>
      <c r="S68" s="311"/>
      <c r="T68" s="311"/>
      <c r="U68" s="311"/>
      <c r="V68" s="409">
        <f t="shared" ref="V68:V131" si="9">+U68</f>
        <v>0</v>
      </c>
      <c r="W68" s="311"/>
      <c r="X68" s="311"/>
      <c r="Y68" s="300"/>
      <c r="Z68" s="300"/>
      <c r="AA68" s="300"/>
      <c r="AB68" s="300"/>
      <c r="AC68" s="300"/>
      <c r="AD68" s="300"/>
      <c r="AE68" s="318"/>
      <c r="AF68" s="410">
        <f t="shared" ref="AF68:AF131" si="10">AE68</f>
        <v>0</v>
      </c>
      <c r="AG68" s="300"/>
      <c r="AH68" s="300"/>
      <c r="AI68" s="303"/>
      <c r="AJ68" s="303"/>
      <c r="AK68" s="303"/>
      <c r="AL68" s="303"/>
      <c r="AM68" s="303"/>
      <c r="AN68" s="303"/>
      <c r="AO68" s="303"/>
      <c r="AP68" s="290">
        <f t="shared" ref="AP68:AP131" si="11">+AO68</f>
        <v>0</v>
      </c>
      <c r="AQ68" s="303"/>
      <c r="AR68" s="303"/>
      <c r="AS68" s="303"/>
      <c r="AT68" s="303"/>
      <c r="AU68" s="303"/>
      <c r="AV68" s="303"/>
      <c r="AW68" s="303"/>
      <c r="AX68" s="303"/>
      <c r="AY68" s="303"/>
      <c r="AZ68" s="290">
        <f t="shared" ref="AZ68:AZ131" si="12">+AY68</f>
        <v>0</v>
      </c>
      <c r="BA68" s="303"/>
      <c r="BB68" s="303"/>
      <c r="BC68" s="315">
        <f t="shared" si="7"/>
        <v>0</v>
      </c>
      <c r="BD68" s="316" t="str">
        <f t="shared" ref="BD68:BD131" si="13">IF(BC68&gt;=1,"Habilitado","Desierto")</f>
        <v>Desierto</v>
      </c>
    </row>
    <row r="69" spans="1:56" ht="25.5" x14ac:dyDescent="0.25">
      <c r="A69" s="308">
        <v>67</v>
      </c>
      <c r="B69" s="309" t="s">
        <v>657</v>
      </c>
      <c r="C69" s="310" t="s">
        <v>191</v>
      </c>
      <c r="D69" s="310" t="s">
        <v>658</v>
      </c>
      <c r="E69" s="303" t="s">
        <v>510</v>
      </c>
      <c r="F69" s="303" t="s">
        <v>510</v>
      </c>
      <c r="G69" s="303" t="s">
        <v>510</v>
      </c>
      <c r="H69" s="303" t="s">
        <v>511</v>
      </c>
      <c r="I69" s="303" t="s">
        <v>510</v>
      </c>
      <c r="J69" s="303" t="s">
        <v>511</v>
      </c>
      <c r="K69" s="303">
        <v>40</v>
      </c>
      <c r="L69" s="408">
        <f t="shared" si="8"/>
        <v>40</v>
      </c>
      <c r="M69" s="303" t="s">
        <v>504</v>
      </c>
      <c r="N69" s="303"/>
      <c r="O69" s="311"/>
      <c r="P69" s="311"/>
      <c r="Q69" s="311"/>
      <c r="R69" s="311"/>
      <c r="S69" s="311"/>
      <c r="T69" s="311"/>
      <c r="U69" s="311"/>
      <c r="V69" s="409">
        <f t="shared" si="9"/>
        <v>0</v>
      </c>
      <c r="W69" s="311"/>
      <c r="X69" s="311"/>
      <c r="Y69" s="300"/>
      <c r="Z69" s="300"/>
      <c r="AA69" s="300"/>
      <c r="AB69" s="300"/>
      <c r="AC69" s="300"/>
      <c r="AD69" s="300"/>
      <c r="AE69" s="318"/>
      <c r="AF69" s="410">
        <f t="shared" si="10"/>
        <v>0</v>
      </c>
      <c r="AG69" s="300"/>
      <c r="AH69" s="300"/>
      <c r="AI69" s="303"/>
      <c r="AJ69" s="303"/>
      <c r="AK69" s="303"/>
      <c r="AL69" s="303"/>
      <c r="AM69" s="303"/>
      <c r="AN69" s="303"/>
      <c r="AO69" s="303"/>
      <c r="AP69" s="290">
        <f t="shared" si="11"/>
        <v>0</v>
      </c>
      <c r="AQ69" s="303"/>
      <c r="AR69" s="303"/>
      <c r="AS69" s="303"/>
      <c r="AT69" s="303"/>
      <c r="AU69" s="303"/>
      <c r="AV69" s="303"/>
      <c r="AW69" s="303"/>
      <c r="AX69" s="303"/>
      <c r="AY69" s="303"/>
      <c r="AZ69" s="290">
        <f t="shared" si="12"/>
        <v>0</v>
      </c>
      <c r="BA69" s="303"/>
      <c r="BB69" s="303"/>
      <c r="BC69" s="315">
        <f t="shared" si="7"/>
        <v>1</v>
      </c>
      <c r="BD69" s="316" t="str">
        <f t="shared" si="13"/>
        <v>Habilitado</v>
      </c>
    </row>
    <row r="70" spans="1:56" ht="38.25" x14ac:dyDescent="0.25">
      <c r="A70" s="308">
        <v>68</v>
      </c>
      <c r="B70" s="309" t="s">
        <v>659</v>
      </c>
      <c r="C70" s="310" t="s">
        <v>660</v>
      </c>
      <c r="D70" s="310" t="s">
        <v>661</v>
      </c>
      <c r="E70" s="303" t="s">
        <v>510</v>
      </c>
      <c r="F70" s="303" t="s">
        <v>510</v>
      </c>
      <c r="G70" s="303" t="s">
        <v>510</v>
      </c>
      <c r="H70" s="303" t="s">
        <v>511</v>
      </c>
      <c r="I70" s="303" t="s">
        <v>510</v>
      </c>
      <c r="J70" s="303" t="s">
        <v>511</v>
      </c>
      <c r="K70" s="303">
        <v>40</v>
      </c>
      <c r="L70" s="408">
        <f t="shared" si="8"/>
        <v>40</v>
      </c>
      <c r="M70" s="303" t="s">
        <v>504</v>
      </c>
      <c r="N70" s="303"/>
      <c r="O70" s="311"/>
      <c r="P70" s="311"/>
      <c r="Q70" s="311"/>
      <c r="R70" s="311"/>
      <c r="S70" s="311"/>
      <c r="T70" s="311"/>
      <c r="U70" s="311"/>
      <c r="V70" s="409">
        <f t="shared" si="9"/>
        <v>0</v>
      </c>
      <c r="W70" s="311"/>
      <c r="X70" s="311"/>
      <c r="Y70" s="300"/>
      <c r="Z70" s="300"/>
      <c r="AA70" s="300"/>
      <c r="AB70" s="300"/>
      <c r="AC70" s="300"/>
      <c r="AD70" s="300"/>
      <c r="AE70" s="318"/>
      <c r="AF70" s="410">
        <f t="shared" si="10"/>
        <v>0</v>
      </c>
      <c r="AG70" s="300"/>
      <c r="AH70" s="300"/>
      <c r="AI70" s="303"/>
      <c r="AJ70" s="303"/>
      <c r="AK70" s="303"/>
      <c r="AL70" s="303"/>
      <c r="AM70" s="303"/>
      <c r="AN70" s="303"/>
      <c r="AO70" s="303"/>
      <c r="AP70" s="290">
        <f t="shared" si="11"/>
        <v>0</v>
      </c>
      <c r="AQ70" s="303"/>
      <c r="AR70" s="303"/>
      <c r="AS70" s="303"/>
      <c r="AT70" s="303"/>
      <c r="AU70" s="303"/>
      <c r="AV70" s="303"/>
      <c r="AW70" s="303"/>
      <c r="AX70" s="303"/>
      <c r="AY70" s="303"/>
      <c r="AZ70" s="290">
        <f t="shared" si="12"/>
        <v>0</v>
      </c>
      <c r="BA70" s="303"/>
      <c r="BB70" s="303"/>
      <c r="BC70" s="315">
        <f t="shared" si="7"/>
        <v>1</v>
      </c>
      <c r="BD70" s="316" t="str">
        <f t="shared" si="13"/>
        <v>Habilitado</v>
      </c>
    </row>
    <row r="71" spans="1:56" ht="38.25" x14ac:dyDescent="0.25">
      <c r="A71" s="308">
        <v>69</v>
      </c>
      <c r="B71" s="309" t="s">
        <v>662</v>
      </c>
      <c r="C71" s="310" t="s">
        <v>660</v>
      </c>
      <c r="D71" s="310" t="s">
        <v>661</v>
      </c>
      <c r="E71" s="303" t="s">
        <v>510</v>
      </c>
      <c r="F71" s="303" t="s">
        <v>510</v>
      </c>
      <c r="G71" s="303" t="s">
        <v>510</v>
      </c>
      <c r="H71" s="303" t="s">
        <v>511</v>
      </c>
      <c r="I71" s="303" t="s">
        <v>510</v>
      </c>
      <c r="J71" s="303" t="s">
        <v>511</v>
      </c>
      <c r="K71" s="303">
        <v>40</v>
      </c>
      <c r="L71" s="408">
        <f t="shared" si="8"/>
        <v>40</v>
      </c>
      <c r="M71" s="303" t="s">
        <v>504</v>
      </c>
      <c r="N71" s="303"/>
      <c r="O71" s="311"/>
      <c r="P71" s="311"/>
      <c r="Q71" s="311"/>
      <c r="R71" s="311"/>
      <c r="S71" s="311"/>
      <c r="T71" s="311"/>
      <c r="U71" s="311"/>
      <c r="V71" s="409">
        <f t="shared" si="9"/>
        <v>0</v>
      </c>
      <c r="W71" s="311"/>
      <c r="X71" s="311"/>
      <c r="Y71" s="300"/>
      <c r="Z71" s="300"/>
      <c r="AA71" s="300"/>
      <c r="AB71" s="300"/>
      <c r="AC71" s="300"/>
      <c r="AD71" s="300"/>
      <c r="AE71" s="318"/>
      <c r="AF71" s="410">
        <f t="shared" si="10"/>
        <v>0</v>
      </c>
      <c r="AG71" s="300"/>
      <c r="AH71" s="300"/>
      <c r="AI71" s="303"/>
      <c r="AJ71" s="303"/>
      <c r="AK71" s="303"/>
      <c r="AL71" s="303"/>
      <c r="AM71" s="303"/>
      <c r="AN71" s="303"/>
      <c r="AO71" s="303"/>
      <c r="AP71" s="290">
        <f t="shared" si="11"/>
        <v>0</v>
      </c>
      <c r="AQ71" s="303"/>
      <c r="AR71" s="303"/>
      <c r="AS71" s="303"/>
      <c r="AT71" s="303"/>
      <c r="AU71" s="303"/>
      <c r="AV71" s="303"/>
      <c r="AW71" s="303"/>
      <c r="AX71" s="303"/>
      <c r="AY71" s="303"/>
      <c r="AZ71" s="290">
        <f t="shared" si="12"/>
        <v>0</v>
      </c>
      <c r="BA71" s="303"/>
      <c r="BB71" s="303"/>
      <c r="BC71" s="315">
        <f t="shared" si="7"/>
        <v>1</v>
      </c>
      <c r="BD71" s="316" t="str">
        <f t="shared" si="13"/>
        <v>Habilitado</v>
      </c>
    </row>
    <row r="72" spans="1:56" ht="38.25" x14ac:dyDescent="0.25">
      <c r="A72" s="308">
        <v>70</v>
      </c>
      <c r="B72" s="309" t="s">
        <v>663</v>
      </c>
      <c r="C72" s="310" t="s">
        <v>660</v>
      </c>
      <c r="D72" s="310" t="s">
        <v>661</v>
      </c>
      <c r="E72" s="311"/>
      <c r="F72" s="311"/>
      <c r="G72" s="311"/>
      <c r="H72" s="311"/>
      <c r="I72" s="311"/>
      <c r="J72" s="311"/>
      <c r="K72" s="311"/>
      <c r="L72" s="408">
        <f t="shared" si="8"/>
        <v>0</v>
      </c>
      <c r="M72" s="311"/>
      <c r="N72" s="311"/>
      <c r="O72" s="311"/>
      <c r="P72" s="311"/>
      <c r="Q72" s="311"/>
      <c r="R72" s="311"/>
      <c r="S72" s="311"/>
      <c r="T72" s="311"/>
      <c r="U72" s="311"/>
      <c r="V72" s="409">
        <f t="shared" si="9"/>
        <v>0</v>
      </c>
      <c r="W72" s="311"/>
      <c r="X72" s="311"/>
      <c r="Y72" s="300"/>
      <c r="Z72" s="300"/>
      <c r="AA72" s="300"/>
      <c r="AB72" s="300"/>
      <c r="AC72" s="300"/>
      <c r="AD72" s="300"/>
      <c r="AE72" s="318"/>
      <c r="AF72" s="410">
        <f t="shared" si="10"/>
        <v>0</v>
      </c>
      <c r="AG72" s="300"/>
      <c r="AH72" s="300"/>
      <c r="AI72" s="303"/>
      <c r="AJ72" s="303"/>
      <c r="AK72" s="303"/>
      <c r="AL72" s="303"/>
      <c r="AM72" s="303"/>
      <c r="AN72" s="303"/>
      <c r="AO72" s="303"/>
      <c r="AP72" s="290">
        <f t="shared" si="11"/>
        <v>0</v>
      </c>
      <c r="AQ72" s="303"/>
      <c r="AR72" s="303"/>
      <c r="AS72" s="303"/>
      <c r="AT72" s="303"/>
      <c r="AU72" s="303"/>
      <c r="AV72" s="303"/>
      <c r="AW72" s="303"/>
      <c r="AX72" s="303"/>
      <c r="AY72" s="303"/>
      <c r="AZ72" s="290">
        <f t="shared" si="12"/>
        <v>0</v>
      </c>
      <c r="BA72" s="303"/>
      <c r="BB72" s="303"/>
      <c r="BC72" s="315">
        <f t="shared" si="7"/>
        <v>0</v>
      </c>
      <c r="BD72" s="316" t="str">
        <f t="shared" si="13"/>
        <v>Desierto</v>
      </c>
    </row>
    <row r="73" spans="1:56" ht="38.25" x14ac:dyDescent="0.25">
      <c r="A73" s="308">
        <v>71</v>
      </c>
      <c r="B73" s="309" t="s">
        <v>664</v>
      </c>
      <c r="C73" s="310" t="s">
        <v>660</v>
      </c>
      <c r="D73" s="310" t="s">
        <v>661</v>
      </c>
      <c r="E73" s="311"/>
      <c r="F73" s="311"/>
      <c r="G73" s="311"/>
      <c r="H73" s="311"/>
      <c r="I73" s="311"/>
      <c r="J73" s="311"/>
      <c r="K73" s="311"/>
      <c r="L73" s="408">
        <f t="shared" si="8"/>
        <v>0</v>
      </c>
      <c r="M73" s="311"/>
      <c r="N73" s="311"/>
      <c r="O73" s="311"/>
      <c r="P73" s="311"/>
      <c r="Q73" s="311"/>
      <c r="R73" s="311"/>
      <c r="S73" s="311"/>
      <c r="T73" s="311"/>
      <c r="U73" s="311"/>
      <c r="V73" s="409">
        <f t="shared" si="9"/>
        <v>0</v>
      </c>
      <c r="W73" s="311"/>
      <c r="X73" s="311"/>
      <c r="Y73" s="300"/>
      <c r="Z73" s="300"/>
      <c r="AA73" s="300"/>
      <c r="AB73" s="300"/>
      <c r="AC73" s="300"/>
      <c r="AD73" s="300"/>
      <c r="AE73" s="318"/>
      <c r="AF73" s="410">
        <f t="shared" si="10"/>
        <v>0</v>
      </c>
      <c r="AG73" s="300"/>
      <c r="AH73" s="300"/>
      <c r="AI73" s="303"/>
      <c r="AJ73" s="303"/>
      <c r="AK73" s="303"/>
      <c r="AL73" s="303"/>
      <c r="AM73" s="303"/>
      <c r="AN73" s="303"/>
      <c r="AO73" s="303"/>
      <c r="AP73" s="290">
        <f t="shared" si="11"/>
        <v>0</v>
      </c>
      <c r="AQ73" s="303"/>
      <c r="AR73" s="303"/>
      <c r="AS73" s="303"/>
      <c r="AT73" s="303"/>
      <c r="AU73" s="303"/>
      <c r="AV73" s="303"/>
      <c r="AW73" s="303"/>
      <c r="AX73" s="303"/>
      <c r="AY73" s="303"/>
      <c r="AZ73" s="290">
        <f t="shared" si="12"/>
        <v>0</v>
      </c>
      <c r="BA73" s="303"/>
      <c r="BB73" s="303"/>
      <c r="BC73" s="315">
        <f t="shared" si="7"/>
        <v>0</v>
      </c>
      <c r="BD73" s="316" t="str">
        <f t="shared" si="13"/>
        <v>Desierto</v>
      </c>
    </row>
    <row r="74" spans="1:56" ht="25.5" x14ac:dyDescent="0.25">
      <c r="A74" s="308">
        <v>72</v>
      </c>
      <c r="B74" s="309" t="s">
        <v>665</v>
      </c>
      <c r="C74" s="310" t="s">
        <v>666</v>
      </c>
      <c r="D74" s="310" t="s">
        <v>667</v>
      </c>
      <c r="E74" s="311"/>
      <c r="F74" s="311"/>
      <c r="G74" s="311"/>
      <c r="H74" s="311"/>
      <c r="I74" s="311"/>
      <c r="J74" s="311"/>
      <c r="K74" s="311"/>
      <c r="L74" s="408">
        <f t="shared" si="8"/>
        <v>0</v>
      </c>
      <c r="M74" s="311"/>
      <c r="N74" s="311"/>
      <c r="O74" s="311"/>
      <c r="P74" s="311"/>
      <c r="Q74" s="311"/>
      <c r="R74" s="311"/>
      <c r="S74" s="311"/>
      <c r="T74" s="311"/>
      <c r="U74" s="311"/>
      <c r="V74" s="409">
        <f t="shared" si="9"/>
        <v>0</v>
      </c>
      <c r="W74" s="311"/>
      <c r="X74" s="311"/>
      <c r="Y74" s="300"/>
      <c r="Z74" s="300"/>
      <c r="AA74" s="300"/>
      <c r="AB74" s="300"/>
      <c r="AC74" s="300"/>
      <c r="AD74" s="300"/>
      <c r="AE74" s="318"/>
      <c r="AF74" s="410">
        <f t="shared" si="10"/>
        <v>0</v>
      </c>
      <c r="AG74" s="300"/>
      <c r="AH74" s="300"/>
      <c r="AI74" s="303"/>
      <c r="AJ74" s="303"/>
      <c r="AK74" s="303"/>
      <c r="AL74" s="303"/>
      <c r="AM74" s="303"/>
      <c r="AN74" s="303"/>
      <c r="AO74" s="303"/>
      <c r="AP74" s="290">
        <f t="shared" si="11"/>
        <v>0</v>
      </c>
      <c r="AQ74" s="303"/>
      <c r="AR74" s="303"/>
      <c r="AS74" s="303"/>
      <c r="AT74" s="303"/>
      <c r="AU74" s="303"/>
      <c r="AV74" s="303"/>
      <c r="AW74" s="303"/>
      <c r="AX74" s="303"/>
      <c r="AY74" s="303"/>
      <c r="AZ74" s="290">
        <f t="shared" si="12"/>
        <v>0</v>
      </c>
      <c r="BA74" s="303"/>
      <c r="BB74" s="303"/>
      <c r="BC74" s="315">
        <f t="shared" si="7"/>
        <v>0</v>
      </c>
      <c r="BD74" s="316" t="str">
        <f t="shared" si="13"/>
        <v>Desierto</v>
      </c>
    </row>
    <row r="75" spans="1:56" ht="25.5" x14ac:dyDescent="0.25">
      <c r="A75" s="308">
        <v>73</v>
      </c>
      <c r="B75" s="309" t="s">
        <v>668</v>
      </c>
      <c r="C75" s="310" t="s">
        <v>669</v>
      </c>
      <c r="D75" s="310" t="s">
        <v>667</v>
      </c>
      <c r="E75" s="311"/>
      <c r="F75" s="311"/>
      <c r="G75" s="311"/>
      <c r="H75" s="311"/>
      <c r="I75" s="311"/>
      <c r="J75" s="311"/>
      <c r="K75" s="311"/>
      <c r="L75" s="408">
        <f t="shared" si="8"/>
        <v>0</v>
      </c>
      <c r="M75" s="311"/>
      <c r="N75" s="311"/>
      <c r="O75" s="311"/>
      <c r="P75" s="311"/>
      <c r="Q75" s="311"/>
      <c r="R75" s="311"/>
      <c r="S75" s="311"/>
      <c r="T75" s="311"/>
      <c r="U75" s="311"/>
      <c r="V75" s="409">
        <f t="shared" si="9"/>
        <v>0</v>
      </c>
      <c r="W75" s="311"/>
      <c r="X75" s="311"/>
      <c r="Y75" s="300"/>
      <c r="Z75" s="300"/>
      <c r="AA75" s="300"/>
      <c r="AB75" s="300"/>
      <c r="AC75" s="300"/>
      <c r="AD75" s="300"/>
      <c r="AE75" s="318"/>
      <c r="AF75" s="410">
        <f t="shared" si="10"/>
        <v>0</v>
      </c>
      <c r="AG75" s="300"/>
      <c r="AH75" s="300"/>
      <c r="AI75" s="303"/>
      <c r="AJ75" s="303"/>
      <c r="AK75" s="303"/>
      <c r="AL75" s="303"/>
      <c r="AM75" s="303"/>
      <c r="AN75" s="303"/>
      <c r="AO75" s="303"/>
      <c r="AP75" s="290">
        <f t="shared" si="11"/>
        <v>0</v>
      </c>
      <c r="AQ75" s="303"/>
      <c r="AR75" s="303"/>
      <c r="AS75" s="303"/>
      <c r="AT75" s="303"/>
      <c r="AU75" s="303"/>
      <c r="AV75" s="303"/>
      <c r="AW75" s="303"/>
      <c r="AX75" s="303"/>
      <c r="AY75" s="303"/>
      <c r="AZ75" s="290">
        <f t="shared" si="12"/>
        <v>0</v>
      </c>
      <c r="BA75" s="303"/>
      <c r="BB75" s="303"/>
      <c r="BC75" s="315">
        <f t="shared" si="7"/>
        <v>0</v>
      </c>
      <c r="BD75" s="316" t="str">
        <f t="shared" si="13"/>
        <v>Desierto</v>
      </c>
    </row>
    <row r="76" spans="1:56" ht="25.5" x14ac:dyDescent="0.25">
      <c r="A76" s="308">
        <v>74</v>
      </c>
      <c r="B76" s="309" t="s">
        <v>670</v>
      </c>
      <c r="C76" s="310" t="s">
        <v>671</v>
      </c>
      <c r="D76" s="310" t="s">
        <v>667</v>
      </c>
      <c r="E76" s="311"/>
      <c r="F76" s="311"/>
      <c r="G76" s="311"/>
      <c r="H76" s="311"/>
      <c r="I76" s="311"/>
      <c r="J76" s="311"/>
      <c r="K76" s="311"/>
      <c r="L76" s="408">
        <f t="shared" si="8"/>
        <v>0</v>
      </c>
      <c r="M76" s="311"/>
      <c r="N76" s="311"/>
      <c r="O76" s="311"/>
      <c r="P76" s="311"/>
      <c r="Q76" s="311"/>
      <c r="R76" s="311"/>
      <c r="S76" s="311"/>
      <c r="T76" s="311"/>
      <c r="U76" s="311"/>
      <c r="V76" s="409">
        <f t="shared" si="9"/>
        <v>0</v>
      </c>
      <c r="W76" s="311"/>
      <c r="X76" s="311"/>
      <c r="Y76" s="300"/>
      <c r="Z76" s="300"/>
      <c r="AA76" s="300"/>
      <c r="AB76" s="300"/>
      <c r="AC76" s="300"/>
      <c r="AD76" s="300"/>
      <c r="AE76" s="318"/>
      <c r="AF76" s="410">
        <f t="shared" si="10"/>
        <v>0</v>
      </c>
      <c r="AG76" s="300"/>
      <c r="AH76" s="300"/>
      <c r="AI76" s="303"/>
      <c r="AJ76" s="303"/>
      <c r="AK76" s="303"/>
      <c r="AL76" s="303"/>
      <c r="AM76" s="303"/>
      <c r="AN76" s="303"/>
      <c r="AO76" s="303"/>
      <c r="AP76" s="290">
        <f t="shared" si="11"/>
        <v>0</v>
      </c>
      <c r="AQ76" s="303"/>
      <c r="AR76" s="303"/>
      <c r="AS76" s="303"/>
      <c r="AT76" s="303"/>
      <c r="AU76" s="303"/>
      <c r="AV76" s="303"/>
      <c r="AW76" s="303"/>
      <c r="AX76" s="303"/>
      <c r="AY76" s="303"/>
      <c r="AZ76" s="290">
        <f t="shared" si="12"/>
        <v>0</v>
      </c>
      <c r="BA76" s="303"/>
      <c r="BB76" s="303"/>
      <c r="BC76" s="315">
        <f t="shared" si="7"/>
        <v>0</v>
      </c>
      <c r="BD76" s="316" t="str">
        <f t="shared" si="13"/>
        <v>Desierto</v>
      </c>
    </row>
    <row r="77" spans="1:56" ht="51" x14ac:dyDescent="0.25">
      <c r="A77" s="308">
        <v>75</v>
      </c>
      <c r="B77" s="309" t="s">
        <v>672</v>
      </c>
      <c r="C77" s="310" t="s">
        <v>673</v>
      </c>
      <c r="D77" s="310" t="s">
        <v>674</v>
      </c>
      <c r="E77" s="303" t="s">
        <v>510</v>
      </c>
      <c r="F77" s="303" t="s">
        <v>510</v>
      </c>
      <c r="G77" s="303" t="s">
        <v>510</v>
      </c>
      <c r="H77" s="303" t="s">
        <v>511</v>
      </c>
      <c r="I77" s="303" t="s">
        <v>510</v>
      </c>
      <c r="J77" s="303" t="s">
        <v>511</v>
      </c>
      <c r="K77" s="303">
        <v>40</v>
      </c>
      <c r="L77" s="408">
        <f t="shared" si="8"/>
        <v>40</v>
      </c>
      <c r="M77" s="303" t="s">
        <v>504</v>
      </c>
      <c r="N77" s="303"/>
      <c r="O77" s="311"/>
      <c r="P77" s="311"/>
      <c r="Q77" s="311"/>
      <c r="R77" s="311"/>
      <c r="S77" s="311"/>
      <c r="T77" s="311"/>
      <c r="U77" s="311"/>
      <c r="V77" s="409">
        <f t="shared" si="9"/>
        <v>0</v>
      </c>
      <c r="W77" s="311"/>
      <c r="X77" s="311"/>
      <c r="Y77" s="300"/>
      <c r="Z77" s="300"/>
      <c r="AA77" s="300"/>
      <c r="AB77" s="300"/>
      <c r="AC77" s="300"/>
      <c r="AD77" s="300"/>
      <c r="AE77" s="318"/>
      <c r="AF77" s="410">
        <f t="shared" si="10"/>
        <v>0</v>
      </c>
      <c r="AG77" s="300"/>
      <c r="AH77" s="300"/>
      <c r="AI77" s="303"/>
      <c r="AJ77" s="303"/>
      <c r="AK77" s="303"/>
      <c r="AL77" s="303"/>
      <c r="AM77" s="303"/>
      <c r="AN77" s="303"/>
      <c r="AO77" s="303"/>
      <c r="AP77" s="290">
        <f t="shared" si="11"/>
        <v>0</v>
      </c>
      <c r="AQ77" s="303"/>
      <c r="AR77" s="303"/>
      <c r="AS77" s="303"/>
      <c r="AT77" s="303"/>
      <c r="AU77" s="303"/>
      <c r="AV77" s="303"/>
      <c r="AW77" s="303"/>
      <c r="AX77" s="303"/>
      <c r="AY77" s="303"/>
      <c r="AZ77" s="290">
        <f t="shared" si="12"/>
        <v>0</v>
      </c>
      <c r="BA77" s="303"/>
      <c r="BB77" s="303"/>
      <c r="BC77" s="315">
        <f t="shared" si="7"/>
        <v>1</v>
      </c>
      <c r="BD77" s="316" t="str">
        <f t="shared" si="13"/>
        <v>Habilitado</v>
      </c>
    </row>
    <row r="78" spans="1:56" ht="25.5" x14ac:dyDescent="0.25">
      <c r="A78" s="308">
        <v>76</v>
      </c>
      <c r="B78" s="309" t="s">
        <v>675</v>
      </c>
      <c r="C78" s="310" t="s">
        <v>676</v>
      </c>
      <c r="D78" s="310" t="s">
        <v>677</v>
      </c>
      <c r="E78" s="303" t="s">
        <v>510</v>
      </c>
      <c r="F78" s="303" t="s">
        <v>510</v>
      </c>
      <c r="G78" s="303" t="s">
        <v>519</v>
      </c>
      <c r="H78" s="303" t="s">
        <v>511</v>
      </c>
      <c r="I78" s="303" t="s">
        <v>510</v>
      </c>
      <c r="J78" s="303" t="s">
        <v>511</v>
      </c>
      <c r="K78" s="303">
        <v>0</v>
      </c>
      <c r="L78" s="408">
        <f t="shared" si="8"/>
        <v>0</v>
      </c>
      <c r="M78" s="303" t="s">
        <v>520</v>
      </c>
      <c r="N78" s="303" t="s">
        <v>2850</v>
      </c>
      <c r="O78" s="311"/>
      <c r="P78" s="311"/>
      <c r="Q78" s="311"/>
      <c r="R78" s="311"/>
      <c r="S78" s="311"/>
      <c r="T78" s="311"/>
      <c r="U78" s="311"/>
      <c r="V78" s="409">
        <f t="shared" si="9"/>
        <v>0</v>
      </c>
      <c r="W78" s="311"/>
      <c r="X78" s="311"/>
      <c r="Y78" s="300"/>
      <c r="Z78" s="300"/>
      <c r="AA78" s="300"/>
      <c r="AB78" s="300"/>
      <c r="AC78" s="300"/>
      <c r="AD78" s="300"/>
      <c r="AE78" s="318"/>
      <c r="AF78" s="410">
        <f t="shared" si="10"/>
        <v>0</v>
      </c>
      <c r="AG78" s="300"/>
      <c r="AH78" s="300"/>
      <c r="AI78" s="303"/>
      <c r="AJ78" s="303"/>
      <c r="AK78" s="303"/>
      <c r="AL78" s="303"/>
      <c r="AM78" s="303"/>
      <c r="AN78" s="303"/>
      <c r="AO78" s="303"/>
      <c r="AP78" s="290">
        <f t="shared" si="11"/>
        <v>0</v>
      </c>
      <c r="AQ78" s="303"/>
      <c r="AR78" s="303"/>
      <c r="AS78" s="303"/>
      <c r="AT78" s="303"/>
      <c r="AU78" s="303"/>
      <c r="AV78" s="303"/>
      <c r="AW78" s="303"/>
      <c r="AX78" s="303"/>
      <c r="AY78" s="303"/>
      <c r="AZ78" s="290">
        <f t="shared" si="12"/>
        <v>0</v>
      </c>
      <c r="BA78" s="303"/>
      <c r="BB78" s="303"/>
      <c r="BC78" s="315">
        <f t="shared" si="7"/>
        <v>0</v>
      </c>
      <c r="BD78" s="316" t="str">
        <f t="shared" si="13"/>
        <v>Desierto</v>
      </c>
    </row>
    <row r="79" spans="1:56" x14ac:dyDescent="0.25">
      <c r="A79" s="324">
        <v>77</v>
      </c>
      <c r="B79" s="331" t="s">
        <v>678</v>
      </c>
      <c r="C79" s="331" t="s">
        <v>518</v>
      </c>
      <c r="D79" s="331" t="s">
        <v>679</v>
      </c>
      <c r="E79" s="306" t="s">
        <v>510</v>
      </c>
      <c r="F79" s="306" t="s">
        <v>510</v>
      </c>
      <c r="G79" s="306" t="s">
        <v>511</v>
      </c>
      <c r="H79" s="306" t="s">
        <v>511</v>
      </c>
      <c r="I79" s="303" t="s">
        <v>510</v>
      </c>
      <c r="J79" s="306" t="s">
        <v>511</v>
      </c>
      <c r="K79" s="306">
        <v>40</v>
      </c>
      <c r="L79" s="408">
        <f t="shared" si="8"/>
        <v>40</v>
      </c>
      <c r="M79" s="303" t="s">
        <v>504</v>
      </c>
      <c r="N79" s="306" t="s">
        <v>551</v>
      </c>
      <c r="O79" s="320"/>
      <c r="P79" s="320"/>
      <c r="Q79" s="320"/>
      <c r="R79" s="320"/>
      <c r="S79" s="320"/>
      <c r="T79" s="320"/>
      <c r="U79" s="320"/>
      <c r="V79" s="409">
        <f t="shared" si="9"/>
        <v>0</v>
      </c>
      <c r="W79" s="320"/>
      <c r="X79" s="320"/>
      <c r="Y79" s="299" t="s">
        <v>510</v>
      </c>
      <c r="Z79" s="299" t="s">
        <v>510</v>
      </c>
      <c r="AA79" s="299" t="s">
        <v>511</v>
      </c>
      <c r="AB79" s="299" t="s">
        <v>511</v>
      </c>
      <c r="AC79" s="300" t="s">
        <v>510</v>
      </c>
      <c r="AD79" s="299" t="s">
        <v>511</v>
      </c>
      <c r="AE79" s="318">
        <v>40</v>
      </c>
      <c r="AF79" s="410">
        <f t="shared" si="10"/>
        <v>40</v>
      </c>
      <c r="AG79" s="299" t="s">
        <v>504</v>
      </c>
      <c r="AH79" s="299"/>
      <c r="AI79" s="306"/>
      <c r="AJ79" s="306"/>
      <c r="AK79" s="306"/>
      <c r="AL79" s="306"/>
      <c r="AM79" s="306"/>
      <c r="AN79" s="306"/>
      <c r="AO79" s="306"/>
      <c r="AP79" s="290">
        <f t="shared" si="11"/>
        <v>0</v>
      </c>
      <c r="AQ79" s="306"/>
      <c r="AR79" s="306"/>
      <c r="AS79" s="389" t="s">
        <v>510</v>
      </c>
      <c r="AT79" s="389" t="s">
        <v>510</v>
      </c>
      <c r="AU79" s="306" t="s">
        <v>511</v>
      </c>
      <c r="AV79" s="306" t="s">
        <v>511</v>
      </c>
      <c r="AW79" s="303" t="s">
        <v>510</v>
      </c>
      <c r="AX79" s="306" t="s">
        <v>511</v>
      </c>
      <c r="AY79" s="303">
        <v>0</v>
      </c>
      <c r="AZ79" s="290">
        <f t="shared" si="12"/>
        <v>0</v>
      </c>
      <c r="BA79" s="306" t="s">
        <v>504</v>
      </c>
      <c r="BB79" s="306"/>
      <c r="BC79" s="315">
        <f t="shared" si="7"/>
        <v>3</v>
      </c>
      <c r="BD79" s="316" t="str">
        <f t="shared" si="13"/>
        <v>Habilitado</v>
      </c>
    </row>
    <row r="80" spans="1:56" x14ac:dyDescent="0.25">
      <c r="A80" s="308">
        <v>78</v>
      </c>
      <c r="B80" s="309" t="s">
        <v>680</v>
      </c>
      <c r="C80" s="310" t="s">
        <v>518</v>
      </c>
      <c r="D80" s="310" t="s">
        <v>636</v>
      </c>
      <c r="E80" s="311"/>
      <c r="F80" s="311"/>
      <c r="G80" s="311"/>
      <c r="H80" s="311"/>
      <c r="I80" s="311"/>
      <c r="J80" s="311"/>
      <c r="K80" s="311"/>
      <c r="L80" s="408">
        <f t="shared" si="8"/>
        <v>0</v>
      </c>
      <c r="M80" s="311"/>
      <c r="N80" s="303"/>
      <c r="O80" s="311"/>
      <c r="P80" s="311"/>
      <c r="Q80" s="311"/>
      <c r="R80" s="311"/>
      <c r="S80" s="311"/>
      <c r="T80" s="311"/>
      <c r="U80" s="311"/>
      <c r="V80" s="409">
        <f t="shared" si="9"/>
        <v>0</v>
      </c>
      <c r="W80" s="311"/>
      <c r="X80" s="311"/>
      <c r="Y80" s="300" t="s">
        <v>510</v>
      </c>
      <c r="Z80" s="300" t="s">
        <v>510</v>
      </c>
      <c r="AA80" s="300" t="s">
        <v>510</v>
      </c>
      <c r="AB80" s="300" t="s">
        <v>511</v>
      </c>
      <c r="AC80" s="300" t="s">
        <v>510</v>
      </c>
      <c r="AD80" s="300" t="s">
        <v>511</v>
      </c>
      <c r="AE80" s="318">
        <v>40</v>
      </c>
      <c r="AF80" s="410">
        <f t="shared" si="10"/>
        <v>40</v>
      </c>
      <c r="AG80" s="300" t="s">
        <v>504</v>
      </c>
      <c r="AH80" s="300"/>
      <c r="AI80" s="303"/>
      <c r="AJ80" s="303"/>
      <c r="AK80" s="303"/>
      <c r="AL80" s="303"/>
      <c r="AM80" s="303"/>
      <c r="AN80" s="303"/>
      <c r="AO80" s="303"/>
      <c r="AP80" s="290">
        <f t="shared" si="11"/>
        <v>0</v>
      </c>
      <c r="AQ80" s="303"/>
      <c r="AR80" s="303"/>
      <c r="AS80" s="303"/>
      <c r="AT80" s="303"/>
      <c r="AU80" s="303"/>
      <c r="AV80" s="303"/>
      <c r="AW80" s="303"/>
      <c r="AX80" s="303"/>
      <c r="AY80" s="303"/>
      <c r="AZ80" s="290">
        <f t="shared" si="12"/>
        <v>0</v>
      </c>
      <c r="BA80" s="303"/>
      <c r="BB80" s="303"/>
      <c r="BC80" s="315">
        <f t="shared" si="7"/>
        <v>1</v>
      </c>
      <c r="BD80" s="316" t="str">
        <f t="shared" si="13"/>
        <v>Habilitado</v>
      </c>
    </row>
    <row r="81" spans="1:56" ht="51" x14ac:dyDescent="0.25">
      <c r="A81" s="308">
        <v>79</v>
      </c>
      <c r="B81" s="309" t="s">
        <v>681</v>
      </c>
      <c r="C81" s="310" t="s">
        <v>518</v>
      </c>
      <c r="D81" s="310" t="s">
        <v>628</v>
      </c>
      <c r="E81" s="303" t="s">
        <v>510</v>
      </c>
      <c r="F81" s="303" t="s">
        <v>510</v>
      </c>
      <c r="G81" s="303" t="s">
        <v>510</v>
      </c>
      <c r="H81" s="303" t="s">
        <v>511</v>
      </c>
      <c r="I81" s="303" t="s">
        <v>510</v>
      </c>
      <c r="J81" s="303" t="s">
        <v>511</v>
      </c>
      <c r="K81" s="303">
        <v>40</v>
      </c>
      <c r="L81" s="408">
        <f t="shared" si="8"/>
        <v>40</v>
      </c>
      <c r="M81" s="303" t="s">
        <v>504</v>
      </c>
      <c r="N81" s="303"/>
      <c r="O81" s="311"/>
      <c r="P81" s="311"/>
      <c r="Q81" s="311"/>
      <c r="R81" s="311"/>
      <c r="S81" s="311"/>
      <c r="T81" s="311"/>
      <c r="U81" s="311"/>
      <c r="V81" s="409">
        <f t="shared" si="9"/>
        <v>0</v>
      </c>
      <c r="W81" s="311"/>
      <c r="X81" s="311"/>
      <c r="Y81" s="300" t="s">
        <v>510</v>
      </c>
      <c r="Z81" s="300" t="s">
        <v>510</v>
      </c>
      <c r="AA81" s="300" t="s">
        <v>510</v>
      </c>
      <c r="AB81" s="300" t="s">
        <v>511</v>
      </c>
      <c r="AC81" s="300" t="s">
        <v>510</v>
      </c>
      <c r="AD81" s="300" t="s">
        <v>511</v>
      </c>
      <c r="AE81" s="318">
        <v>40</v>
      </c>
      <c r="AF81" s="410">
        <f t="shared" si="10"/>
        <v>40</v>
      </c>
      <c r="AG81" s="300" t="s">
        <v>504</v>
      </c>
      <c r="AH81" s="300"/>
      <c r="AI81" s="303" t="s">
        <v>510</v>
      </c>
      <c r="AJ81" s="303" t="s">
        <v>510</v>
      </c>
      <c r="AK81" s="303" t="s">
        <v>510</v>
      </c>
      <c r="AL81" s="303" t="s">
        <v>511</v>
      </c>
      <c r="AM81" s="303" t="s">
        <v>510</v>
      </c>
      <c r="AN81" s="303" t="s">
        <v>511</v>
      </c>
      <c r="AO81" s="303">
        <v>20</v>
      </c>
      <c r="AP81" s="290">
        <f t="shared" si="11"/>
        <v>20</v>
      </c>
      <c r="AQ81" s="303" t="s">
        <v>504</v>
      </c>
      <c r="AR81" s="303"/>
      <c r="AS81" s="303"/>
      <c r="AT81" s="303"/>
      <c r="AU81" s="303"/>
      <c r="AV81" s="303"/>
      <c r="AW81" s="303"/>
      <c r="AX81" s="303"/>
      <c r="AY81" s="303"/>
      <c r="AZ81" s="290">
        <f t="shared" si="12"/>
        <v>0</v>
      </c>
      <c r="BA81" s="303"/>
      <c r="BB81" s="301"/>
      <c r="BC81" s="315">
        <f t="shared" si="7"/>
        <v>3</v>
      </c>
      <c r="BD81" s="316" t="str">
        <f t="shared" si="13"/>
        <v>Habilitado</v>
      </c>
    </row>
    <row r="82" spans="1:56" x14ac:dyDescent="0.25">
      <c r="A82" s="308">
        <v>80</v>
      </c>
      <c r="B82" s="309" t="s">
        <v>682</v>
      </c>
      <c r="C82" s="310" t="s">
        <v>518</v>
      </c>
      <c r="D82" s="310" t="s">
        <v>636</v>
      </c>
      <c r="E82" s="303" t="s">
        <v>510</v>
      </c>
      <c r="F82" s="303" t="s">
        <v>510</v>
      </c>
      <c r="G82" s="303" t="s">
        <v>510</v>
      </c>
      <c r="H82" s="303" t="s">
        <v>511</v>
      </c>
      <c r="I82" s="303" t="s">
        <v>510</v>
      </c>
      <c r="J82" s="303" t="s">
        <v>511</v>
      </c>
      <c r="K82" s="303">
        <v>40</v>
      </c>
      <c r="L82" s="408">
        <f t="shared" si="8"/>
        <v>40</v>
      </c>
      <c r="M82" s="303" t="s">
        <v>504</v>
      </c>
      <c r="N82" s="303"/>
      <c r="O82" s="311"/>
      <c r="P82" s="311"/>
      <c r="Q82" s="311"/>
      <c r="R82" s="311"/>
      <c r="S82" s="311"/>
      <c r="T82" s="311"/>
      <c r="U82" s="311"/>
      <c r="V82" s="409">
        <f t="shared" si="9"/>
        <v>0</v>
      </c>
      <c r="W82" s="311"/>
      <c r="X82" s="311"/>
      <c r="Y82" s="300" t="s">
        <v>510</v>
      </c>
      <c r="Z82" s="300" t="s">
        <v>510</v>
      </c>
      <c r="AA82" s="300" t="s">
        <v>510</v>
      </c>
      <c r="AB82" s="300" t="s">
        <v>511</v>
      </c>
      <c r="AC82" s="300" t="s">
        <v>510</v>
      </c>
      <c r="AD82" s="300" t="s">
        <v>511</v>
      </c>
      <c r="AE82" s="318">
        <v>40</v>
      </c>
      <c r="AF82" s="410">
        <f t="shared" si="10"/>
        <v>40</v>
      </c>
      <c r="AG82" s="300" t="s">
        <v>504</v>
      </c>
      <c r="AH82" s="300"/>
      <c r="AI82" s="303" t="s">
        <v>510</v>
      </c>
      <c r="AJ82" s="303" t="s">
        <v>510</v>
      </c>
      <c r="AK82" s="303" t="s">
        <v>510</v>
      </c>
      <c r="AL82" s="303" t="s">
        <v>511</v>
      </c>
      <c r="AM82" s="303" t="s">
        <v>510</v>
      </c>
      <c r="AN82" s="303" t="s">
        <v>511</v>
      </c>
      <c r="AO82" s="303">
        <v>20</v>
      </c>
      <c r="AP82" s="290">
        <f t="shared" si="11"/>
        <v>20</v>
      </c>
      <c r="AQ82" s="303" t="s">
        <v>504</v>
      </c>
      <c r="AR82" s="303"/>
      <c r="AS82" s="303"/>
      <c r="AT82" s="303"/>
      <c r="AU82" s="303"/>
      <c r="AV82" s="303"/>
      <c r="AW82" s="303"/>
      <c r="AX82" s="303"/>
      <c r="AY82" s="303"/>
      <c r="AZ82" s="290">
        <f t="shared" si="12"/>
        <v>0</v>
      </c>
      <c r="BA82" s="303"/>
      <c r="BB82" s="301"/>
      <c r="BC82" s="315">
        <f t="shared" si="7"/>
        <v>3</v>
      </c>
      <c r="BD82" s="316" t="str">
        <f t="shared" si="13"/>
        <v>Habilitado</v>
      </c>
    </row>
    <row r="83" spans="1:56" ht="38.25" x14ac:dyDescent="0.25">
      <c r="A83" s="308">
        <v>81</v>
      </c>
      <c r="B83" s="309" t="s">
        <v>683</v>
      </c>
      <c r="C83" s="310" t="s">
        <v>518</v>
      </c>
      <c r="D83" s="310" t="s">
        <v>46</v>
      </c>
      <c r="E83" s="303" t="s">
        <v>510</v>
      </c>
      <c r="F83" s="303" t="s">
        <v>510</v>
      </c>
      <c r="G83" s="303" t="s">
        <v>510</v>
      </c>
      <c r="H83" s="303" t="s">
        <v>511</v>
      </c>
      <c r="I83" s="303" t="s">
        <v>510</v>
      </c>
      <c r="J83" s="303" t="s">
        <v>511</v>
      </c>
      <c r="K83" s="303">
        <v>40</v>
      </c>
      <c r="L83" s="408">
        <f t="shared" si="8"/>
        <v>40</v>
      </c>
      <c r="M83" s="303" t="s">
        <v>504</v>
      </c>
      <c r="N83" s="303"/>
      <c r="O83" s="311"/>
      <c r="P83" s="311"/>
      <c r="Q83" s="311"/>
      <c r="R83" s="311"/>
      <c r="S83" s="311"/>
      <c r="T83" s="311"/>
      <c r="U83" s="311"/>
      <c r="V83" s="409">
        <f t="shared" si="9"/>
        <v>0</v>
      </c>
      <c r="W83" s="311"/>
      <c r="X83" s="311"/>
      <c r="Y83" s="300" t="s">
        <v>510</v>
      </c>
      <c r="Z83" s="300" t="s">
        <v>510</v>
      </c>
      <c r="AA83" s="300" t="s">
        <v>510</v>
      </c>
      <c r="AB83" s="300" t="s">
        <v>511</v>
      </c>
      <c r="AC83" s="300" t="s">
        <v>510</v>
      </c>
      <c r="AD83" s="300" t="s">
        <v>511</v>
      </c>
      <c r="AE83" s="318">
        <v>40</v>
      </c>
      <c r="AF83" s="410">
        <f t="shared" si="10"/>
        <v>40</v>
      </c>
      <c r="AG83" s="300" t="s">
        <v>504</v>
      </c>
      <c r="AH83" s="300"/>
      <c r="AI83" s="303" t="s">
        <v>510</v>
      </c>
      <c r="AJ83" s="303" t="s">
        <v>510</v>
      </c>
      <c r="AK83" s="303" t="s">
        <v>510</v>
      </c>
      <c r="AL83" s="303" t="s">
        <v>511</v>
      </c>
      <c r="AM83" s="303" t="s">
        <v>510</v>
      </c>
      <c r="AN83" s="303" t="s">
        <v>511</v>
      </c>
      <c r="AO83" s="303">
        <v>20</v>
      </c>
      <c r="AP83" s="290">
        <f t="shared" si="11"/>
        <v>20</v>
      </c>
      <c r="AQ83" s="303" t="s">
        <v>504</v>
      </c>
      <c r="AR83" s="303"/>
      <c r="AS83" s="303"/>
      <c r="AT83" s="303"/>
      <c r="AU83" s="303"/>
      <c r="AV83" s="303"/>
      <c r="AW83" s="303"/>
      <c r="AX83" s="303"/>
      <c r="AY83" s="303"/>
      <c r="AZ83" s="290">
        <f t="shared" si="12"/>
        <v>0</v>
      </c>
      <c r="BA83" s="303"/>
      <c r="BB83" s="301"/>
      <c r="BC83" s="315">
        <f t="shared" si="7"/>
        <v>3</v>
      </c>
      <c r="BD83" s="316" t="str">
        <f t="shared" si="13"/>
        <v>Habilitado</v>
      </c>
    </row>
    <row r="84" spans="1:56" ht="25.5" x14ac:dyDescent="0.25">
      <c r="A84" s="308">
        <v>82</v>
      </c>
      <c r="B84" s="309" t="s">
        <v>684</v>
      </c>
      <c r="C84" s="310" t="s">
        <v>562</v>
      </c>
      <c r="D84" s="310" t="s">
        <v>685</v>
      </c>
      <c r="E84" s="303" t="s">
        <v>510</v>
      </c>
      <c r="F84" s="303" t="s">
        <v>510</v>
      </c>
      <c r="G84" s="303" t="s">
        <v>510</v>
      </c>
      <c r="H84" s="303" t="s">
        <v>511</v>
      </c>
      <c r="I84" s="303" t="s">
        <v>510</v>
      </c>
      <c r="J84" s="303" t="s">
        <v>511</v>
      </c>
      <c r="K84" s="303">
        <v>0</v>
      </c>
      <c r="L84" s="408">
        <f t="shared" si="8"/>
        <v>0</v>
      </c>
      <c r="M84" s="303" t="s">
        <v>504</v>
      </c>
      <c r="N84" s="303"/>
      <c r="O84" s="311"/>
      <c r="P84" s="311"/>
      <c r="Q84" s="311"/>
      <c r="R84" s="311"/>
      <c r="S84" s="311"/>
      <c r="T84" s="311"/>
      <c r="U84" s="311"/>
      <c r="V84" s="409">
        <f t="shared" si="9"/>
        <v>0</v>
      </c>
      <c r="W84" s="311"/>
      <c r="X84" s="311"/>
      <c r="Y84" s="300"/>
      <c r="Z84" s="300"/>
      <c r="AA84" s="300"/>
      <c r="AB84" s="300"/>
      <c r="AC84" s="300"/>
      <c r="AD84" s="300"/>
      <c r="AE84" s="318"/>
      <c r="AF84" s="410">
        <f t="shared" si="10"/>
        <v>0</v>
      </c>
      <c r="AG84" s="300"/>
      <c r="AH84" s="300"/>
      <c r="AI84" s="303" t="s">
        <v>510</v>
      </c>
      <c r="AJ84" s="303" t="s">
        <v>510</v>
      </c>
      <c r="AK84" s="303" t="s">
        <v>510</v>
      </c>
      <c r="AL84" s="303" t="s">
        <v>511</v>
      </c>
      <c r="AM84" s="303" t="s">
        <v>510</v>
      </c>
      <c r="AN84" s="303" t="s">
        <v>511</v>
      </c>
      <c r="AO84" s="303">
        <v>20</v>
      </c>
      <c r="AP84" s="290">
        <f t="shared" si="11"/>
        <v>20</v>
      </c>
      <c r="AQ84" s="303" t="s">
        <v>504</v>
      </c>
      <c r="AR84" s="303"/>
      <c r="AS84" s="303"/>
      <c r="AT84" s="303"/>
      <c r="AU84" s="303"/>
      <c r="AV84" s="303"/>
      <c r="AW84" s="303"/>
      <c r="AX84" s="303"/>
      <c r="AY84" s="303"/>
      <c r="AZ84" s="290">
        <f t="shared" si="12"/>
        <v>0</v>
      </c>
      <c r="BA84" s="303"/>
      <c r="BB84" s="301"/>
      <c r="BC84" s="315">
        <f t="shared" si="7"/>
        <v>2</v>
      </c>
      <c r="BD84" s="316" t="str">
        <f t="shared" si="13"/>
        <v>Habilitado</v>
      </c>
    </row>
    <row r="85" spans="1:56" ht="25.5" x14ac:dyDescent="0.25">
      <c r="A85" s="308">
        <v>83</v>
      </c>
      <c r="B85" s="309" t="s">
        <v>686</v>
      </c>
      <c r="C85" s="310" t="s">
        <v>518</v>
      </c>
      <c r="D85" s="310" t="s">
        <v>56</v>
      </c>
      <c r="E85" s="303" t="s">
        <v>510</v>
      </c>
      <c r="F85" s="303" t="s">
        <v>510</v>
      </c>
      <c r="G85" s="303" t="s">
        <v>510</v>
      </c>
      <c r="H85" s="303" t="s">
        <v>511</v>
      </c>
      <c r="I85" s="303" t="s">
        <v>510</v>
      </c>
      <c r="J85" s="303" t="s">
        <v>511</v>
      </c>
      <c r="K85" s="303">
        <v>40</v>
      </c>
      <c r="L85" s="408">
        <f t="shared" si="8"/>
        <v>40</v>
      </c>
      <c r="M85" s="303" t="s">
        <v>504</v>
      </c>
      <c r="N85" s="303"/>
      <c r="O85" s="311"/>
      <c r="P85" s="311"/>
      <c r="Q85" s="311"/>
      <c r="R85" s="311"/>
      <c r="S85" s="311"/>
      <c r="T85" s="311"/>
      <c r="U85" s="311"/>
      <c r="V85" s="409">
        <f t="shared" si="9"/>
        <v>0</v>
      </c>
      <c r="W85" s="311"/>
      <c r="X85" s="311"/>
      <c r="Y85" s="300" t="s">
        <v>510</v>
      </c>
      <c r="Z85" s="300" t="s">
        <v>510</v>
      </c>
      <c r="AA85" s="300" t="s">
        <v>510</v>
      </c>
      <c r="AB85" s="300" t="s">
        <v>511</v>
      </c>
      <c r="AC85" s="300" t="s">
        <v>510</v>
      </c>
      <c r="AD85" s="300" t="s">
        <v>511</v>
      </c>
      <c r="AE85" s="318">
        <v>40</v>
      </c>
      <c r="AF85" s="410">
        <f t="shared" si="10"/>
        <v>40</v>
      </c>
      <c r="AG85" s="300" t="s">
        <v>504</v>
      </c>
      <c r="AH85" s="300"/>
      <c r="AI85" s="303"/>
      <c r="AJ85" s="303"/>
      <c r="AK85" s="303"/>
      <c r="AL85" s="303"/>
      <c r="AM85" s="303"/>
      <c r="AN85" s="303"/>
      <c r="AO85" s="303"/>
      <c r="AP85" s="290">
        <f t="shared" si="11"/>
        <v>0</v>
      </c>
      <c r="AQ85" s="303"/>
      <c r="AR85" s="303"/>
      <c r="AS85" s="303"/>
      <c r="AT85" s="303"/>
      <c r="AU85" s="303"/>
      <c r="AV85" s="303"/>
      <c r="AW85" s="303"/>
      <c r="AX85" s="303"/>
      <c r="AY85" s="303"/>
      <c r="AZ85" s="290">
        <f t="shared" si="12"/>
        <v>0</v>
      </c>
      <c r="BA85" s="303"/>
      <c r="BB85" s="303"/>
      <c r="BC85" s="315">
        <f t="shared" si="7"/>
        <v>2</v>
      </c>
      <c r="BD85" s="316" t="str">
        <f t="shared" si="13"/>
        <v>Habilitado</v>
      </c>
    </row>
    <row r="86" spans="1:56" x14ac:dyDescent="0.25">
      <c r="A86" s="308">
        <v>84</v>
      </c>
      <c r="B86" s="309" t="s">
        <v>687</v>
      </c>
      <c r="C86" s="310" t="s">
        <v>518</v>
      </c>
      <c r="D86" s="310" t="s">
        <v>636</v>
      </c>
      <c r="E86" s="303" t="s">
        <v>510</v>
      </c>
      <c r="F86" s="303" t="s">
        <v>510</v>
      </c>
      <c r="G86" s="303" t="s">
        <v>510</v>
      </c>
      <c r="H86" s="303" t="s">
        <v>511</v>
      </c>
      <c r="I86" s="303" t="s">
        <v>510</v>
      </c>
      <c r="J86" s="303" t="s">
        <v>511</v>
      </c>
      <c r="K86" s="303">
        <v>40</v>
      </c>
      <c r="L86" s="408">
        <f t="shared" si="8"/>
        <v>40</v>
      </c>
      <c r="M86" s="303" t="s">
        <v>504</v>
      </c>
      <c r="N86" s="303"/>
      <c r="O86" s="311"/>
      <c r="P86" s="311"/>
      <c r="Q86" s="311"/>
      <c r="R86" s="311"/>
      <c r="S86" s="311"/>
      <c r="T86" s="311"/>
      <c r="U86" s="311"/>
      <c r="V86" s="409">
        <f t="shared" si="9"/>
        <v>0</v>
      </c>
      <c r="W86" s="311"/>
      <c r="X86" s="311"/>
      <c r="Y86" s="300" t="s">
        <v>510</v>
      </c>
      <c r="Z86" s="300" t="s">
        <v>510</v>
      </c>
      <c r="AA86" s="300" t="s">
        <v>510</v>
      </c>
      <c r="AB86" s="300" t="s">
        <v>511</v>
      </c>
      <c r="AC86" s="300" t="s">
        <v>510</v>
      </c>
      <c r="AD86" s="300" t="s">
        <v>511</v>
      </c>
      <c r="AE86" s="318">
        <v>40</v>
      </c>
      <c r="AF86" s="410">
        <f t="shared" si="10"/>
        <v>40</v>
      </c>
      <c r="AG86" s="300" t="s">
        <v>504</v>
      </c>
      <c r="AH86" s="300"/>
      <c r="AI86" s="303"/>
      <c r="AJ86" s="303"/>
      <c r="AK86" s="303"/>
      <c r="AL86" s="303"/>
      <c r="AM86" s="303"/>
      <c r="AN86" s="303"/>
      <c r="AO86" s="303"/>
      <c r="AP86" s="290">
        <f t="shared" si="11"/>
        <v>0</v>
      </c>
      <c r="AQ86" s="303"/>
      <c r="AR86" s="303"/>
      <c r="AS86" s="303"/>
      <c r="AT86" s="303"/>
      <c r="AU86" s="303"/>
      <c r="AV86" s="303"/>
      <c r="AW86" s="303"/>
      <c r="AX86" s="303"/>
      <c r="AY86" s="303"/>
      <c r="AZ86" s="290">
        <f t="shared" si="12"/>
        <v>0</v>
      </c>
      <c r="BA86" s="303"/>
      <c r="BB86" s="303"/>
      <c r="BC86" s="315">
        <f t="shared" si="7"/>
        <v>2</v>
      </c>
      <c r="BD86" s="316" t="str">
        <f t="shared" si="13"/>
        <v>Habilitado</v>
      </c>
    </row>
    <row r="87" spans="1:56" ht="25.5" x14ac:dyDescent="0.25">
      <c r="A87" s="308">
        <v>85</v>
      </c>
      <c r="B87" s="309" t="s">
        <v>688</v>
      </c>
      <c r="C87" s="310" t="s">
        <v>562</v>
      </c>
      <c r="D87" s="310" t="s">
        <v>685</v>
      </c>
      <c r="E87" s="311"/>
      <c r="F87" s="311"/>
      <c r="G87" s="311"/>
      <c r="H87" s="311"/>
      <c r="I87" s="311"/>
      <c r="J87" s="311"/>
      <c r="K87" s="311"/>
      <c r="L87" s="408">
        <f t="shared" si="8"/>
        <v>0</v>
      </c>
      <c r="M87" s="311"/>
      <c r="N87" s="303"/>
      <c r="O87" s="311"/>
      <c r="P87" s="311"/>
      <c r="Q87" s="311"/>
      <c r="R87" s="311"/>
      <c r="S87" s="311"/>
      <c r="T87" s="311"/>
      <c r="U87" s="311"/>
      <c r="V87" s="409">
        <f t="shared" si="9"/>
        <v>0</v>
      </c>
      <c r="W87" s="311"/>
      <c r="X87" s="311"/>
      <c r="Y87" s="300"/>
      <c r="Z87" s="300"/>
      <c r="AA87" s="300"/>
      <c r="AB87" s="300"/>
      <c r="AC87" s="300"/>
      <c r="AD87" s="300"/>
      <c r="AE87" s="318"/>
      <c r="AF87" s="410">
        <f t="shared" si="10"/>
        <v>0</v>
      </c>
      <c r="AG87" s="300"/>
      <c r="AH87" s="300"/>
      <c r="AI87" s="303"/>
      <c r="AJ87" s="303"/>
      <c r="AK87" s="303"/>
      <c r="AL87" s="303"/>
      <c r="AM87" s="303"/>
      <c r="AN87" s="303"/>
      <c r="AO87" s="303"/>
      <c r="AP87" s="290">
        <f t="shared" si="11"/>
        <v>0</v>
      </c>
      <c r="AQ87" s="303"/>
      <c r="AR87" s="303"/>
      <c r="AS87" s="303"/>
      <c r="AT87" s="303"/>
      <c r="AU87" s="303"/>
      <c r="AV87" s="303"/>
      <c r="AW87" s="303"/>
      <c r="AX87" s="303"/>
      <c r="AY87" s="303"/>
      <c r="AZ87" s="290">
        <f t="shared" si="12"/>
        <v>0</v>
      </c>
      <c r="BA87" s="303"/>
      <c r="BB87" s="303"/>
      <c r="BC87" s="315">
        <f t="shared" si="7"/>
        <v>0</v>
      </c>
      <c r="BD87" s="316" t="str">
        <f t="shared" si="13"/>
        <v>Desierto</v>
      </c>
    </row>
    <row r="88" spans="1:56" x14ac:dyDescent="0.25">
      <c r="A88" s="308">
        <v>86</v>
      </c>
      <c r="B88" s="309" t="s">
        <v>689</v>
      </c>
      <c r="C88" s="310" t="s">
        <v>518</v>
      </c>
      <c r="D88" s="310" t="s">
        <v>636</v>
      </c>
      <c r="E88" s="303" t="s">
        <v>510</v>
      </c>
      <c r="F88" s="303" t="s">
        <v>510</v>
      </c>
      <c r="G88" s="303" t="s">
        <v>510</v>
      </c>
      <c r="H88" s="303" t="s">
        <v>511</v>
      </c>
      <c r="I88" s="303" t="s">
        <v>510</v>
      </c>
      <c r="J88" s="303" t="s">
        <v>511</v>
      </c>
      <c r="K88" s="303">
        <v>40</v>
      </c>
      <c r="L88" s="408">
        <f t="shared" si="8"/>
        <v>40</v>
      </c>
      <c r="M88" s="303" t="s">
        <v>504</v>
      </c>
      <c r="N88" s="303"/>
      <c r="O88" s="311"/>
      <c r="P88" s="311"/>
      <c r="Q88" s="311"/>
      <c r="R88" s="311"/>
      <c r="S88" s="311"/>
      <c r="T88" s="311"/>
      <c r="U88" s="311"/>
      <c r="V88" s="409">
        <f t="shared" si="9"/>
        <v>0</v>
      </c>
      <c r="W88" s="311"/>
      <c r="X88" s="311"/>
      <c r="Y88" s="300"/>
      <c r="Z88" s="300"/>
      <c r="AA88" s="300"/>
      <c r="AB88" s="300"/>
      <c r="AC88" s="300"/>
      <c r="AD88" s="300"/>
      <c r="AE88" s="318"/>
      <c r="AF88" s="410">
        <f t="shared" si="10"/>
        <v>0</v>
      </c>
      <c r="AG88" s="300"/>
      <c r="AH88" s="300"/>
      <c r="AI88" s="303"/>
      <c r="AJ88" s="303"/>
      <c r="AK88" s="303"/>
      <c r="AL88" s="303"/>
      <c r="AM88" s="303"/>
      <c r="AN88" s="303"/>
      <c r="AO88" s="303"/>
      <c r="AP88" s="290">
        <f t="shared" si="11"/>
        <v>0</v>
      </c>
      <c r="AQ88" s="303"/>
      <c r="AR88" s="303"/>
      <c r="AS88" s="303"/>
      <c r="AT88" s="303"/>
      <c r="AU88" s="303"/>
      <c r="AV88" s="303"/>
      <c r="AW88" s="303"/>
      <c r="AX88" s="303"/>
      <c r="AY88" s="303"/>
      <c r="AZ88" s="290">
        <f t="shared" si="12"/>
        <v>0</v>
      </c>
      <c r="BA88" s="303"/>
      <c r="BB88" s="303"/>
      <c r="BC88" s="315">
        <f t="shared" si="7"/>
        <v>1</v>
      </c>
      <c r="BD88" s="316" t="str">
        <f t="shared" si="13"/>
        <v>Habilitado</v>
      </c>
    </row>
    <row r="89" spans="1:56" x14ac:dyDescent="0.25">
      <c r="A89" s="308">
        <v>87</v>
      </c>
      <c r="B89" s="309" t="s">
        <v>690</v>
      </c>
      <c r="C89" s="310" t="s">
        <v>691</v>
      </c>
      <c r="D89" s="310" t="s">
        <v>123</v>
      </c>
      <c r="E89" s="303" t="s">
        <v>510</v>
      </c>
      <c r="F89" s="303" t="s">
        <v>519</v>
      </c>
      <c r="G89" s="303" t="s">
        <v>510</v>
      </c>
      <c r="H89" s="303" t="s">
        <v>511</v>
      </c>
      <c r="I89" s="303" t="s">
        <v>510</v>
      </c>
      <c r="J89" s="303" t="s">
        <v>511</v>
      </c>
      <c r="K89" s="303">
        <v>40</v>
      </c>
      <c r="L89" s="408">
        <f t="shared" si="8"/>
        <v>40</v>
      </c>
      <c r="M89" s="303" t="s">
        <v>520</v>
      </c>
      <c r="N89" s="303" t="s">
        <v>692</v>
      </c>
      <c r="O89" s="311"/>
      <c r="P89" s="311"/>
      <c r="Q89" s="311"/>
      <c r="R89" s="311"/>
      <c r="S89" s="311"/>
      <c r="T89" s="311"/>
      <c r="U89" s="311"/>
      <c r="V89" s="409">
        <f t="shared" si="9"/>
        <v>0</v>
      </c>
      <c r="W89" s="311"/>
      <c r="X89" s="311"/>
      <c r="Y89" s="300"/>
      <c r="Z89" s="300"/>
      <c r="AA89" s="300"/>
      <c r="AB89" s="300"/>
      <c r="AC89" s="300"/>
      <c r="AD89" s="300"/>
      <c r="AE89" s="318"/>
      <c r="AF89" s="410">
        <f t="shared" si="10"/>
        <v>0</v>
      </c>
      <c r="AG89" s="300"/>
      <c r="AH89" s="300"/>
      <c r="AI89" s="303"/>
      <c r="AJ89" s="303"/>
      <c r="AK89" s="303"/>
      <c r="AL89" s="303"/>
      <c r="AM89" s="303"/>
      <c r="AN89" s="303"/>
      <c r="AO89" s="303"/>
      <c r="AP89" s="290">
        <f t="shared" si="11"/>
        <v>0</v>
      </c>
      <c r="AQ89" s="303"/>
      <c r="AR89" s="303"/>
      <c r="AS89" s="303"/>
      <c r="AT89" s="303"/>
      <c r="AU89" s="303"/>
      <c r="AV89" s="303"/>
      <c r="AW89" s="303"/>
      <c r="AX89" s="303"/>
      <c r="AY89" s="303"/>
      <c r="AZ89" s="290">
        <f t="shared" si="12"/>
        <v>0</v>
      </c>
      <c r="BA89" s="303"/>
      <c r="BB89" s="303"/>
      <c r="BC89" s="315">
        <f t="shared" si="7"/>
        <v>0</v>
      </c>
      <c r="BD89" s="316" t="str">
        <f t="shared" si="13"/>
        <v>Desierto</v>
      </c>
    </row>
    <row r="90" spans="1:56" ht="127.5" x14ac:dyDescent="0.25">
      <c r="A90" s="308">
        <v>88</v>
      </c>
      <c r="B90" s="309" t="s">
        <v>693</v>
      </c>
      <c r="C90" s="310" t="s">
        <v>694</v>
      </c>
      <c r="D90" s="310" t="s">
        <v>46</v>
      </c>
      <c r="E90" s="303" t="s">
        <v>510</v>
      </c>
      <c r="F90" s="303" t="s">
        <v>510</v>
      </c>
      <c r="G90" s="303" t="s">
        <v>510</v>
      </c>
      <c r="H90" s="303" t="s">
        <v>511</v>
      </c>
      <c r="I90" s="303" t="s">
        <v>510</v>
      </c>
      <c r="J90" s="303" t="s">
        <v>511</v>
      </c>
      <c r="K90" s="303">
        <v>40</v>
      </c>
      <c r="L90" s="408">
        <f t="shared" si="8"/>
        <v>40</v>
      </c>
      <c r="M90" s="303" t="s">
        <v>504</v>
      </c>
      <c r="N90" s="303"/>
      <c r="O90" s="311"/>
      <c r="P90" s="311"/>
      <c r="Q90" s="311"/>
      <c r="R90" s="311"/>
      <c r="S90" s="311"/>
      <c r="T90" s="311"/>
      <c r="U90" s="311"/>
      <c r="V90" s="409">
        <f t="shared" si="9"/>
        <v>0</v>
      </c>
      <c r="W90" s="311"/>
      <c r="X90" s="311"/>
      <c r="Y90" s="300"/>
      <c r="Z90" s="300"/>
      <c r="AA90" s="300"/>
      <c r="AB90" s="300"/>
      <c r="AC90" s="300"/>
      <c r="AD90" s="300"/>
      <c r="AE90" s="318"/>
      <c r="AF90" s="410">
        <f t="shared" si="10"/>
        <v>0</v>
      </c>
      <c r="AG90" s="300"/>
      <c r="AH90" s="300"/>
      <c r="AI90" s="303"/>
      <c r="AJ90" s="303"/>
      <c r="AK90" s="303"/>
      <c r="AL90" s="303"/>
      <c r="AM90" s="303"/>
      <c r="AN90" s="303"/>
      <c r="AO90" s="303"/>
      <c r="AP90" s="290">
        <f t="shared" si="11"/>
        <v>0</v>
      </c>
      <c r="AQ90" s="303"/>
      <c r="AR90" s="303"/>
      <c r="AS90" s="303" t="s">
        <v>510</v>
      </c>
      <c r="AT90" s="303" t="s">
        <v>510</v>
      </c>
      <c r="AU90" s="303" t="s">
        <v>510</v>
      </c>
      <c r="AV90" s="303" t="s">
        <v>511</v>
      </c>
      <c r="AW90" s="303" t="s">
        <v>510</v>
      </c>
      <c r="AX90" s="303" t="s">
        <v>511</v>
      </c>
      <c r="AY90" s="303">
        <v>0</v>
      </c>
      <c r="AZ90" s="290">
        <f t="shared" si="12"/>
        <v>0</v>
      </c>
      <c r="BA90" s="303" t="s">
        <v>504</v>
      </c>
      <c r="BB90" s="303"/>
      <c r="BC90" s="315">
        <f t="shared" si="7"/>
        <v>2</v>
      </c>
      <c r="BD90" s="316" t="str">
        <f t="shared" si="13"/>
        <v>Habilitado</v>
      </c>
    </row>
    <row r="91" spans="1:56" x14ac:dyDescent="0.25">
      <c r="A91" s="308">
        <v>89</v>
      </c>
      <c r="B91" s="309" t="s">
        <v>695</v>
      </c>
      <c r="C91" s="310" t="s">
        <v>439</v>
      </c>
      <c r="D91" s="310" t="s">
        <v>696</v>
      </c>
      <c r="E91" s="311"/>
      <c r="F91" s="311"/>
      <c r="G91" s="311"/>
      <c r="H91" s="311"/>
      <c r="I91" s="311"/>
      <c r="J91" s="311"/>
      <c r="K91" s="311"/>
      <c r="L91" s="408">
        <f t="shared" si="8"/>
        <v>0</v>
      </c>
      <c r="M91" s="311"/>
      <c r="N91" s="303"/>
      <c r="O91" s="311"/>
      <c r="P91" s="311"/>
      <c r="Q91" s="311"/>
      <c r="R91" s="311"/>
      <c r="S91" s="311"/>
      <c r="T91" s="311"/>
      <c r="U91" s="311"/>
      <c r="V91" s="409">
        <f t="shared" si="9"/>
        <v>0</v>
      </c>
      <c r="W91" s="311"/>
      <c r="X91" s="311"/>
      <c r="Y91" s="300"/>
      <c r="Z91" s="300"/>
      <c r="AA91" s="300"/>
      <c r="AB91" s="300"/>
      <c r="AC91" s="300"/>
      <c r="AD91" s="300"/>
      <c r="AE91" s="318"/>
      <c r="AF91" s="410">
        <f t="shared" si="10"/>
        <v>0</v>
      </c>
      <c r="AG91" s="300"/>
      <c r="AH91" s="300"/>
      <c r="AI91" s="303"/>
      <c r="AJ91" s="303"/>
      <c r="AK91" s="303"/>
      <c r="AL91" s="303"/>
      <c r="AM91" s="303"/>
      <c r="AN91" s="303"/>
      <c r="AO91" s="303"/>
      <c r="AP91" s="290">
        <f t="shared" si="11"/>
        <v>0</v>
      </c>
      <c r="AQ91" s="303"/>
      <c r="AR91" s="303"/>
      <c r="AS91" s="303"/>
      <c r="AT91" s="303"/>
      <c r="AU91" s="303"/>
      <c r="AV91" s="303"/>
      <c r="AW91" s="303"/>
      <c r="AX91" s="303"/>
      <c r="AY91" s="303"/>
      <c r="AZ91" s="290">
        <f t="shared" si="12"/>
        <v>0</v>
      </c>
      <c r="BA91" s="303"/>
      <c r="BB91" s="303"/>
      <c r="BC91" s="315">
        <f t="shared" si="7"/>
        <v>0</v>
      </c>
      <c r="BD91" s="316" t="str">
        <f t="shared" si="13"/>
        <v>Desierto</v>
      </c>
    </row>
    <row r="92" spans="1:56" x14ac:dyDescent="0.25">
      <c r="A92" s="308">
        <v>90</v>
      </c>
      <c r="B92" s="309" t="s">
        <v>697</v>
      </c>
      <c r="C92" s="310" t="s">
        <v>698</v>
      </c>
      <c r="D92" s="310" t="s">
        <v>699</v>
      </c>
      <c r="E92" s="303" t="s">
        <v>510</v>
      </c>
      <c r="F92" s="303" t="s">
        <v>510</v>
      </c>
      <c r="G92" s="303" t="s">
        <v>510</v>
      </c>
      <c r="H92" s="303" t="s">
        <v>511</v>
      </c>
      <c r="I92" s="303" t="s">
        <v>510</v>
      </c>
      <c r="J92" s="303" t="s">
        <v>511</v>
      </c>
      <c r="K92" s="303">
        <v>40</v>
      </c>
      <c r="L92" s="408">
        <f t="shared" si="8"/>
        <v>40</v>
      </c>
      <c r="M92" s="303" t="s">
        <v>504</v>
      </c>
      <c r="N92" s="303"/>
      <c r="O92" s="311"/>
      <c r="P92" s="311"/>
      <c r="Q92" s="311"/>
      <c r="R92" s="311"/>
      <c r="S92" s="311"/>
      <c r="T92" s="311"/>
      <c r="U92" s="311"/>
      <c r="V92" s="409">
        <f t="shared" si="9"/>
        <v>0</v>
      </c>
      <c r="W92" s="311"/>
      <c r="X92" s="311"/>
      <c r="Y92" s="300"/>
      <c r="Z92" s="300"/>
      <c r="AA92" s="300"/>
      <c r="AB92" s="300"/>
      <c r="AC92" s="300"/>
      <c r="AD92" s="300"/>
      <c r="AE92" s="318"/>
      <c r="AF92" s="410">
        <f t="shared" si="10"/>
        <v>0</v>
      </c>
      <c r="AG92" s="300"/>
      <c r="AH92" s="300"/>
      <c r="AI92" s="303"/>
      <c r="AJ92" s="303"/>
      <c r="AK92" s="303"/>
      <c r="AL92" s="303"/>
      <c r="AM92" s="303"/>
      <c r="AN92" s="303"/>
      <c r="AO92" s="303"/>
      <c r="AP92" s="290">
        <f t="shared" si="11"/>
        <v>0</v>
      </c>
      <c r="AQ92" s="303"/>
      <c r="AR92" s="303"/>
      <c r="AS92" s="303"/>
      <c r="AT92" s="303"/>
      <c r="AU92" s="303"/>
      <c r="AV92" s="303"/>
      <c r="AW92" s="303"/>
      <c r="AX92" s="303"/>
      <c r="AY92" s="303"/>
      <c r="AZ92" s="290">
        <f t="shared" si="12"/>
        <v>0</v>
      </c>
      <c r="BA92" s="303"/>
      <c r="BB92" s="303"/>
      <c r="BC92" s="315">
        <f t="shared" si="7"/>
        <v>1</v>
      </c>
      <c r="BD92" s="316" t="str">
        <f t="shared" si="13"/>
        <v>Habilitado</v>
      </c>
    </row>
    <row r="93" spans="1:56" ht="25.5" x14ac:dyDescent="0.25">
      <c r="A93" s="308">
        <v>91</v>
      </c>
      <c r="B93" s="309" t="s">
        <v>700</v>
      </c>
      <c r="C93" s="310" t="s">
        <v>701</v>
      </c>
      <c r="D93" s="310" t="s">
        <v>702</v>
      </c>
      <c r="E93" s="303" t="s">
        <v>510</v>
      </c>
      <c r="F93" s="303" t="s">
        <v>510</v>
      </c>
      <c r="G93" s="303" t="s">
        <v>510</v>
      </c>
      <c r="H93" s="303" t="s">
        <v>511</v>
      </c>
      <c r="I93" s="303" t="s">
        <v>510</v>
      </c>
      <c r="J93" s="303" t="s">
        <v>511</v>
      </c>
      <c r="K93" s="303">
        <v>40</v>
      </c>
      <c r="L93" s="408">
        <f t="shared" si="8"/>
        <v>40</v>
      </c>
      <c r="M93" s="303" t="s">
        <v>504</v>
      </c>
      <c r="N93" s="303"/>
      <c r="O93" s="311"/>
      <c r="P93" s="311"/>
      <c r="Q93" s="311"/>
      <c r="R93" s="311"/>
      <c r="S93" s="311"/>
      <c r="T93" s="311"/>
      <c r="U93" s="311"/>
      <c r="V93" s="409">
        <f t="shared" si="9"/>
        <v>0</v>
      </c>
      <c r="W93" s="311"/>
      <c r="X93" s="311"/>
      <c r="Y93" s="300"/>
      <c r="Z93" s="300"/>
      <c r="AA93" s="300"/>
      <c r="AB93" s="300"/>
      <c r="AC93" s="300"/>
      <c r="AD93" s="300"/>
      <c r="AE93" s="318"/>
      <c r="AF93" s="410">
        <f t="shared" si="10"/>
        <v>0</v>
      </c>
      <c r="AG93" s="300"/>
      <c r="AH93" s="300"/>
      <c r="AI93" s="303"/>
      <c r="AJ93" s="303"/>
      <c r="AK93" s="303"/>
      <c r="AL93" s="303"/>
      <c r="AM93" s="303"/>
      <c r="AN93" s="303"/>
      <c r="AO93" s="303"/>
      <c r="AP93" s="290">
        <f t="shared" si="11"/>
        <v>0</v>
      </c>
      <c r="AQ93" s="303"/>
      <c r="AR93" s="303"/>
      <c r="AS93" s="303"/>
      <c r="AT93" s="303"/>
      <c r="AU93" s="303"/>
      <c r="AV93" s="303"/>
      <c r="AW93" s="303"/>
      <c r="AX93" s="303"/>
      <c r="AY93" s="303"/>
      <c r="AZ93" s="290">
        <f t="shared" si="12"/>
        <v>0</v>
      </c>
      <c r="BA93" s="303"/>
      <c r="BB93" s="303"/>
      <c r="BC93" s="315">
        <f t="shared" si="7"/>
        <v>1</v>
      </c>
      <c r="BD93" s="316" t="str">
        <f t="shared" si="13"/>
        <v>Habilitado</v>
      </c>
    </row>
    <row r="94" spans="1:56" x14ac:dyDescent="0.25">
      <c r="A94" s="308">
        <v>92</v>
      </c>
      <c r="B94" s="309" t="s">
        <v>703</v>
      </c>
      <c r="C94" s="310" t="s">
        <v>704</v>
      </c>
      <c r="D94" s="310" t="s">
        <v>699</v>
      </c>
      <c r="E94" s="303" t="s">
        <v>510</v>
      </c>
      <c r="F94" s="303" t="s">
        <v>510</v>
      </c>
      <c r="G94" s="303" t="s">
        <v>510</v>
      </c>
      <c r="H94" s="303" t="s">
        <v>511</v>
      </c>
      <c r="I94" s="303" t="s">
        <v>510</v>
      </c>
      <c r="J94" s="303" t="s">
        <v>511</v>
      </c>
      <c r="K94" s="303">
        <v>40</v>
      </c>
      <c r="L94" s="408">
        <f t="shared" si="8"/>
        <v>40</v>
      </c>
      <c r="M94" s="303" t="s">
        <v>504</v>
      </c>
      <c r="N94" s="303"/>
      <c r="O94" s="311"/>
      <c r="P94" s="311"/>
      <c r="Q94" s="311"/>
      <c r="R94" s="311"/>
      <c r="S94" s="311"/>
      <c r="T94" s="311"/>
      <c r="U94" s="311"/>
      <c r="V94" s="409">
        <f t="shared" si="9"/>
        <v>0</v>
      </c>
      <c r="W94" s="311"/>
      <c r="X94" s="311"/>
      <c r="Y94" s="300"/>
      <c r="Z94" s="300"/>
      <c r="AA94" s="300"/>
      <c r="AB94" s="300"/>
      <c r="AC94" s="300"/>
      <c r="AD94" s="300"/>
      <c r="AE94" s="318"/>
      <c r="AF94" s="410">
        <f t="shared" si="10"/>
        <v>0</v>
      </c>
      <c r="AG94" s="300"/>
      <c r="AH94" s="300"/>
      <c r="AI94" s="303"/>
      <c r="AJ94" s="303"/>
      <c r="AK94" s="303"/>
      <c r="AL94" s="303"/>
      <c r="AM94" s="303"/>
      <c r="AN94" s="303"/>
      <c r="AO94" s="303"/>
      <c r="AP94" s="290">
        <f t="shared" si="11"/>
        <v>0</v>
      </c>
      <c r="AQ94" s="303"/>
      <c r="AR94" s="303"/>
      <c r="AS94" s="303"/>
      <c r="AT94" s="303"/>
      <c r="AU94" s="303"/>
      <c r="AV94" s="303"/>
      <c r="AW94" s="303"/>
      <c r="AX94" s="303"/>
      <c r="AY94" s="303"/>
      <c r="AZ94" s="290">
        <f t="shared" si="12"/>
        <v>0</v>
      </c>
      <c r="BA94" s="303"/>
      <c r="BB94" s="303"/>
      <c r="BC94" s="315">
        <f t="shared" si="7"/>
        <v>1</v>
      </c>
      <c r="BD94" s="316" t="str">
        <f t="shared" si="13"/>
        <v>Habilitado</v>
      </c>
    </row>
    <row r="95" spans="1:56" ht="76.5" x14ac:dyDescent="0.25">
      <c r="A95" s="308">
        <v>93</v>
      </c>
      <c r="B95" s="309" t="s">
        <v>705</v>
      </c>
      <c r="C95" s="310" t="s">
        <v>706</v>
      </c>
      <c r="D95" s="310" t="s">
        <v>707</v>
      </c>
      <c r="E95" s="303" t="s">
        <v>510</v>
      </c>
      <c r="F95" s="303" t="s">
        <v>510</v>
      </c>
      <c r="G95" s="303" t="s">
        <v>510</v>
      </c>
      <c r="H95" s="303" t="s">
        <v>511</v>
      </c>
      <c r="I95" s="303" t="s">
        <v>510</v>
      </c>
      <c r="J95" s="303" t="s">
        <v>511</v>
      </c>
      <c r="K95" s="303">
        <v>0</v>
      </c>
      <c r="L95" s="408">
        <f t="shared" si="8"/>
        <v>0</v>
      </c>
      <c r="M95" s="303" t="s">
        <v>504</v>
      </c>
      <c r="N95" s="303"/>
      <c r="O95" s="311"/>
      <c r="P95" s="311"/>
      <c r="Q95" s="311"/>
      <c r="R95" s="311"/>
      <c r="S95" s="311"/>
      <c r="T95" s="311"/>
      <c r="U95" s="311"/>
      <c r="V95" s="409">
        <f t="shared" si="9"/>
        <v>0</v>
      </c>
      <c r="W95" s="311"/>
      <c r="X95" s="311"/>
      <c r="Y95" s="300"/>
      <c r="Z95" s="300"/>
      <c r="AA95" s="300"/>
      <c r="AB95" s="300"/>
      <c r="AC95" s="300"/>
      <c r="AD95" s="300"/>
      <c r="AE95" s="318"/>
      <c r="AF95" s="410">
        <f t="shared" si="10"/>
        <v>0</v>
      </c>
      <c r="AG95" s="300"/>
      <c r="AH95" s="300"/>
      <c r="AI95" s="303"/>
      <c r="AJ95" s="303"/>
      <c r="AK95" s="303"/>
      <c r="AL95" s="303"/>
      <c r="AM95" s="303"/>
      <c r="AN95" s="303"/>
      <c r="AO95" s="303"/>
      <c r="AP95" s="290">
        <f t="shared" si="11"/>
        <v>0</v>
      </c>
      <c r="AQ95" s="303"/>
      <c r="AR95" s="303"/>
      <c r="AS95" s="303" t="s">
        <v>510</v>
      </c>
      <c r="AT95" s="303" t="s">
        <v>510</v>
      </c>
      <c r="AU95" s="303" t="s">
        <v>510</v>
      </c>
      <c r="AV95" s="303" t="s">
        <v>511</v>
      </c>
      <c r="AW95" s="303" t="s">
        <v>510</v>
      </c>
      <c r="AX95" s="303" t="s">
        <v>511</v>
      </c>
      <c r="AY95" s="303">
        <v>0</v>
      </c>
      <c r="AZ95" s="290">
        <f t="shared" si="12"/>
        <v>0</v>
      </c>
      <c r="BA95" s="303" t="s">
        <v>504</v>
      </c>
      <c r="BB95" s="303"/>
      <c r="BC95" s="315">
        <f t="shared" si="7"/>
        <v>2</v>
      </c>
      <c r="BD95" s="316" t="str">
        <f t="shared" si="13"/>
        <v>Habilitado</v>
      </c>
    </row>
    <row r="96" spans="1:56" x14ac:dyDescent="0.25">
      <c r="A96" s="324">
        <v>94</v>
      </c>
      <c r="B96" s="331" t="s">
        <v>708</v>
      </c>
      <c r="C96" s="331" t="s">
        <v>518</v>
      </c>
      <c r="D96" s="331" t="s">
        <v>551</v>
      </c>
      <c r="E96" s="306" t="s">
        <v>510</v>
      </c>
      <c r="F96" s="306" t="s">
        <v>510</v>
      </c>
      <c r="G96" s="306" t="s">
        <v>510</v>
      </c>
      <c r="H96" s="306" t="s">
        <v>511</v>
      </c>
      <c r="I96" s="303" t="s">
        <v>510</v>
      </c>
      <c r="J96" s="306" t="s">
        <v>511</v>
      </c>
      <c r="K96" s="306">
        <v>40</v>
      </c>
      <c r="L96" s="408">
        <f t="shared" si="8"/>
        <v>40</v>
      </c>
      <c r="M96" s="303" t="s">
        <v>504</v>
      </c>
      <c r="N96" s="306"/>
      <c r="O96" s="320"/>
      <c r="P96" s="320"/>
      <c r="Q96" s="320"/>
      <c r="R96" s="320"/>
      <c r="S96" s="320"/>
      <c r="T96" s="320"/>
      <c r="U96" s="320"/>
      <c r="V96" s="409">
        <f t="shared" si="9"/>
        <v>0</v>
      </c>
      <c r="W96" s="320"/>
      <c r="X96" s="320"/>
      <c r="Y96" s="299"/>
      <c r="Z96" s="299"/>
      <c r="AA96" s="299"/>
      <c r="AB96" s="299"/>
      <c r="AC96" s="299"/>
      <c r="AD96" s="299"/>
      <c r="AE96" s="330"/>
      <c r="AF96" s="410">
        <f t="shared" si="10"/>
        <v>0</v>
      </c>
      <c r="AG96" s="299"/>
      <c r="AH96" s="299"/>
      <c r="AI96" s="306"/>
      <c r="AJ96" s="306"/>
      <c r="AK96" s="306"/>
      <c r="AL96" s="306"/>
      <c r="AM96" s="306"/>
      <c r="AN96" s="306"/>
      <c r="AO96" s="306"/>
      <c r="AP96" s="290">
        <f t="shared" si="11"/>
        <v>0</v>
      </c>
      <c r="AQ96" s="306"/>
      <c r="AR96" s="306"/>
      <c r="AS96" s="306"/>
      <c r="AT96" s="306"/>
      <c r="AU96" s="306"/>
      <c r="AV96" s="306"/>
      <c r="AW96" s="306"/>
      <c r="AX96" s="306"/>
      <c r="AY96" s="306"/>
      <c r="AZ96" s="290">
        <f t="shared" si="12"/>
        <v>0</v>
      </c>
      <c r="BA96" s="306"/>
      <c r="BB96" s="306" t="s">
        <v>551</v>
      </c>
      <c r="BC96" s="315">
        <f t="shared" si="7"/>
        <v>1</v>
      </c>
      <c r="BD96" s="316" t="str">
        <f t="shared" si="13"/>
        <v>Habilitado</v>
      </c>
    </row>
    <row r="97" spans="1:56" ht="25.5" x14ac:dyDescent="0.25">
      <c r="A97" s="308">
        <v>95</v>
      </c>
      <c r="B97" s="309" t="s">
        <v>709</v>
      </c>
      <c r="C97" s="310" t="s">
        <v>710</v>
      </c>
      <c r="D97" s="310" t="s">
        <v>711</v>
      </c>
      <c r="E97" s="311"/>
      <c r="F97" s="311"/>
      <c r="G97" s="311"/>
      <c r="H97" s="311"/>
      <c r="I97" s="311"/>
      <c r="J97" s="311"/>
      <c r="K97" s="311"/>
      <c r="L97" s="408">
        <f t="shared" si="8"/>
        <v>0</v>
      </c>
      <c r="M97" s="311"/>
      <c r="N97" s="311"/>
      <c r="O97" s="311"/>
      <c r="P97" s="311"/>
      <c r="Q97" s="311"/>
      <c r="R97" s="311"/>
      <c r="S97" s="311"/>
      <c r="T97" s="311"/>
      <c r="U97" s="311"/>
      <c r="V97" s="409">
        <f t="shared" si="9"/>
        <v>0</v>
      </c>
      <c r="W97" s="311"/>
      <c r="X97" s="320"/>
      <c r="Y97" s="300"/>
      <c r="Z97" s="300"/>
      <c r="AA97" s="300"/>
      <c r="AB97" s="300"/>
      <c r="AC97" s="300"/>
      <c r="AD97" s="300"/>
      <c r="AE97" s="318"/>
      <c r="AF97" s="410">
        <f t="shared" si="10"/>
        <v>0</v>
      </c>
      <c r="AG97" s="300"/>
      <c r="AH97" s="299"/>
      <c r="AI97" s="303"/>
      <c r="AJ97" s="303"/>
      <c r="AK97" s="303"/>
      <c r="AL97" s="303"/>
      <c r="AM97" s="303"/>
      <c r="AN97" s="303"/>
      <c r="AO97" s="303"/>
      <c r="AP97" s="290">
        <f t="shared" si="11"/>
        <v>0</v>
      </c>
      <c r="AQ97" s="303"/>
      <c r="AR97" s="301"/>
      <c r="AS97" s="303"/>
      <c r="AT97" s="303"/>
      <c r="AU97" s="303"/>
      <c r="AV97" s="303"/>
      <c r="AW97" s="303"/>
      <c r="AX97" s="303"/>
      <c r="AY97" s="303"/>
      <c r="AZ97" s="290">
        <f t="shared" si="12"/>
        <v>0</v>
      </c>
      <c r="BA97" s="303"/>
      <c r="BB97" s="301"/>
      <c r="BC97" s="315">
        <f t="shared" si="7"/>
        <v>0</v>
      </c>
      <c r="BD97" s="316" t="str">
        <f t="shared" si="13"/>
        <v>Desierto</v>
      </c>
    </row>
    <row r="98" spans="1:56" ht="25.5" x14ac:dyDescent="0.25">
      <c r="A98" s="308">
        <v>96</v>
      </c>
      <c r="B98" s="309" t="s">
        <v>712</v>
      </c>
      <c r="C98" s="310" t="s">
        <v>713</v>
      </c>
      <c r="D98" s="310" t="s">
        <v>714</v>
      </c>
      <c r="E98" s="311"/>
      <c r="F98" s="311"/>
      <c r="G98" s="311"/>
      <c r="H98" s="311"/>
      <c r="I98" s="311"/>
      <c r="J98" s="311"/>
      <c r="K98" s="311"/>
      <c r="L98" s="408">
        <f t="shared" si="8"/>
        <v>0</v>
      </c>
      <c r="M98" s="311"/>
      <c r="N98" s="311"/>
      <c r="O98" s="311"/>
      <c r="P98" s="311"/>
      <c r="Q98" s="311"/>
      <c r="R98" s="311"/>
      <c r="S98" s="311"/>
      <c r="T98" s="311"/>
      <c r="U98" s="311"/>
      <c r="V98" s="409">
        <f t="shared" si="9"/>
        <v>0</v>
      </c>
      <c r="W98" s="311"/>
      <c r="X98" s="311"/>
      <c r="Y98" s="300"/>
      <c r="Z98" s="300"/>
      <c r="AA98" s="300"/>
      <c r="AB98" s="300"/>
      <c r="AC98" s="300"/>
      <c r="AD98" s="300"/>
      <c r="AE98" s="318"/>
      <c r="AF98" s="410">
        <f t="shared" si="10"/>
        <v>0</v>
      </c>
      <c r="AG98" s="300"/>
      <c r="AH98" s="300"/>
      <c r="AI98" s="303"/>
      <c r="AJ98" s="303"/>
      <c r="AK98" s="303"/>
      <c r="AL98" s="303"/>
      <c r="AM98" s="303"/>
      <c r="AN98" s="303"/>
      <c r="AO98" s="303"/>
      <c r="AP98" s="290">
        <f t="shared" si="11"/>
        <v>0</v>
      </c>
      <c r="AQ98" s="303"/>
      <c r="AR98" s="303"/>
      <c r="AS98" s="303"/>
      <c r="AT98" s="303"/>
      <c r="AU98" s="303"/>
      <c r="AV98" s="303"/>
      <c r="AW98" s="303"/>
      <c r="AX98" s="303"/>
      <c r="AY98" s="303"/>
      <c r="AZ98" s="290">
        <f t="shared" si="12"/>
        <v>0</v>
      </c>
      <c r="BA98" s="303"/>
      <c r="BB98" s="303"/>
      <c r="BC98" s="315">
        <f t="shared" si="7"/>
        <v>0</v>
      </c>
      <c r="BD98" s="316" t="str">
        <f t="shared" si="13"/>
        <v>Desierto</v>
      </c>
    </row>
    <row r="99" spans="1:56" ht="38.25" x14ac:dyDescent="0.25">
      <c r="A99" s="308">
        <v>97</v>
      </c>
      <c r="B99" s="309" t="s">
        <v>715</v>
      </c>
      <c r="C99" s="331" t="s">
        <v>716</v>
      </c>
      <c r="D99" s="310" t="s">
        <v>717</v>
      </c>
      <c r="E99" s="311"/>
      <c r="F99" s="311"/>
      <c r="G99" s="311"/>
      <c r="H99" s="311"/>
      <c r="I99" s="311"/>
      <c r="J99" s="311"/>
      <c r="K99" s="311"/>
      <c r="L99" s="408">
        <f t="shared" si="8"/>
        <v>0</v>
      </c>
      <c r="M99" s="311"/>
      <c r="N99" s="320"/>
      <c r="O99" s="311"/>
      <c r="P99" s="311"/>
      <c r="Q99" s="311"/>
      <c r="R99" s="311"/>
      <c r="S99" s="311"/>
      <c r="T99" s="311"/>
      <c r="U99" s="311"/>
      <c r="V99" s="409">
        <f t="shared" si="9"/>
        <v>0</v>
      </c>
      <c r="W99" s="311"/>
      <c r="X99" s="320"/>
      <c r="Y99" s="312"/>
      <c r="Z99" s="312"/>
      <c r="AA99" s="312"/>
      <c r="AB99" s="312"/>
      <c r="AC99" s="312"/>
      <c r="AD99" s="312"/>
      <c r="AE99" s="313"/>
      <c r="AF99" s="410">
        <f t="shared" si="10"/>
        <v>0</v>
      </c>
      <c r="AG99" s="312"/>
      <c r="AH99" s="299"/>
      <c r="AI99" s="303"/>
      <c r="AJ99" s="303"/>
      <c r="AK99" s="303"/>
      <c r="AL99" s="303"/>
      <c r="AM99" s="303"/>
      <c r="AN99" s="303"/>
      <c r="AO99" s="303"/>
      <c r="AP99" s="290">
        <f t="shared" si="11"/>
        <v>0</v>
      </c>
      <c r="AQ99" s="303"/>
      <c r="AR99" s="301"/>
      <c r="AS99" s="303"/>
      <c r="AT99" s="303"/>
      <c r="AU99" s="303"/>
      <c r="AV99" s="303"/>
      <c r="AW99" s="303"/>
      <c r="AX99" s="303"/>
      <c r="AY99" s="303"/>
      <c r="AZ99" s="290">
        <f t="shared" si="12"/>
        <v>0</v>
      </c>
      <c r="BA99" s="303"/>
      <c r="BB99" s="301"/>
      <c r="BC99" s="315">
        <f t="shared" si="7"/>
        <v>0</v>
      </c>
      <c r="BD99" s="316" t="str">
        <f t="shared" si="13"/>
        <v>Desierto</v>
      </c>
    </row>
    <row r="100" spans="1:56" ht="25.5" x14ac:dyDescent="0.25">
      <c r="A100" s="308">
        <v>98</v>
      </c>
      <c r="B100" s="309" t="s">
        <v>718</v>
      </c>
      <c r="C100" s="310" t="s">
        <v>719</v>
      </c>
      <c r="D100" s="310" t="s">
        <v>61</v>
      </c>
      <c r="E100" s="303" t="s">
        <v>510</v>
      </c>
      <c r="F100" s="303" t="s">
        <v>510</v>
      </c>
      <c r="G100" s="303" t="s">
        <v>510</v>
      </c>
      <c r="H100" s="303" t="s">
        <v>511</v>
      </c>
      <c r="I100" s="303" t="s">
        <v>510</v>
      </c>
      <c r="J100" s="303" t="s">
        <v>511</v>
      </c>
      <c r="K100" s="303">
        <v>40</v>
      </c>
      <c r="L100" s="408">
        <f t="shared" si="8"/>
        <v>40</v>
      </c>
      <c r="M100" s="303" t="s">
        <v>504</v>
      </c>
      <c r="N100" s="303"/>
      <c r="O100" s="311"/>
      <c r="P100" s="311"/>
      <c r="Q100" s="311"/>
      <c r="R100" s="311"/>
      <c r="S100" s="311"/>
      <c r="T100" s="311"/>
      <c r="U100" s="311"/>
      <c r="V100" s="409">
        <f t="shared" si="9"/>
        <v>0</v>
      </c>
      <c r="W100" s="311"/>
      <c r="X100" s="320"/>
      <c r="Y100" s="300"/>
      <c r="Z100" s="300"/>
      <c r="AA100" s="300"/>
      <c r="AB100" s="300"/>
      <c r="AC100" s="300"/>
      <c r="AD100" s="300"/>
      <c r="AE100" s="318"/>
      <c r="AF100" s="410">
        <f t="shared" si="10"/>
        <v>0</v>
      </c>
      <c r="AG100" s="300"/>
      <c r="AH100" s="299"/>
      <c r="AI100" s="303"/>
      <c r="AJ100" s="303"/>
      <c r="AK100" s="303"/>
      <c r="AL100" s="303"/>
      <c r="AM100" s="303"/>
      <c r="AN100" s="303"/>
      <c r="AO100" s="303"/>
      <c r="AP100" s="290">
        <f t="shared" si="11"/>
        <v>0</v>
      </c>
      <c r="AQ100" s="303"/>
      <c r="AR100" s="301"/>
      <c r="AS100" s="303"/>
      <c r="AT100" s="303"/>
      <c r="AU100" s="303"/>
      <c r="AV100" s="303"/>
      <c r="AW100" s="303"/>
      <c r="AX100" s="303"/>
      <c r="AY100" s="303"/>
      <c r="AZ100" s="290">
        <f t="shared" si="12"/>
        <v>0</v>
      </c>
      <c r="BA100" s="303"/>
      <c r="BB100" s="301"/>
      <c r="BC100" s="315">
        <f t="shared" si="7"/>
        <v>1</v>
      </c>
      <c r="BD100" s="316" t="str">
        <f t="shared" si="13"/>
        <v>Habilitado</v>
      </c>
    </row>
    <row r="101" spans="1:56" ht="25.5" x14ac:dyDescent="0.25">
      <c r="A101" s="308">
        <v>99</v>
      </c>
      <c r="B101" s="309" t="s">
        <v>720</v>
      </c>
      <c r="C101" s="310" t="s">
        <v>374</v>
      </c>
      <c r="D101" s="310" t="s">
        <v>721</v>
      </c>
      <c r="E101" s="303" t="s">
        <v>510</v>
      </c>
      <c r="F101" s="303" t="s">
        <v>510</v>
      </c>
      <c r="G101" s="303" t="s">
        <v>511</v>
      </c>
      <c r="H101" s="303" t="s">
        <v>511</v>
      </c>
      <c r="I101" s="303" t="s">
        <v>510</v>
      </c>
      <c r="J101" s="303" t="s">
        <v>511</v>
      </c>
      <c r="K101" s="303">
        <v>40</v>
      </c>
      <c r="L101" s="408">
        <f t="shared" si="8"/>
        <v>40</v>
      </c>
      <c r="M101" s="303" t="s">
        <v>504</v>
      </c>
      <c r="N101" s="303"/>
      <c r="O101" s="311"/>
      <c r="P101" s="311"/>
      <c r="Q101" s="311"/>
      <c r="R101" s="311"/>
      <c r="S101" s="311"/>
      <c r="T101" s="311"/>
      <c r="U101" s="311"/>
      <c r="V101" s="409">
        <f t="shared" si="9"/>
        <v>0</v>
      </c>
      <c r="W101" s="311"/>
      <c r="X101" s="311"/>
      <c r="Y101" s="300"/>
      <c r="Z101" s="300"/>
      <c r="AA101" s="300"/>
      <c r="AB101" s="300"/>
      <c r="AC101" s="300"/>
      <c r="AD101" s="300"/>
      <c r="AE101" s="318"/>
      <c r="AF101" s="410">
        <f t="shared" si="10"/>
        <v>0</v>
      </c>
      <c r="AG101" s="300"/>
      <c r="AH101" s="300"/>
      <c r="AI101" s="303"/>
      <c r="AJ101" s="303"/>
      <c r="AK101" s="303"/>
      <c r="AL101" s="303"/>
      <c r="AM101" s="303"/>
      <c r="AN101" s="303"/>
      <c r="AO101" s="303"/>
      <c r="AP101" s="290">
        <f t="shared" si="11"/>
        <v>0</v>
      </c>
      <c r="AQ101" s="303"/>
      <c r="AR101" s="303"/>
      <c r="AS101" s="303"/>
      <c r="AT101" s="303"/>
      <c r="AU101" s="303"/>
      <c r="AV101" s="303"/>
      <c r="AW101" s="303"/>
      <c r="AX101" s="303"/>
      <c r="AY101" s="303"/>
      <c r="AZ101" s="290">
        <f t="shared" si="12"/>
        <v>0</v>
      </c>
      <c r="BA101" s="303"/>
      <c r="BB101" s="303"/>
      <c r="BC101" s="315">
        <f t="shared" si="7"/>
        <v>1</v>
      </c>
      <c r="BD101" s="316" t="str">
        <f t="shared" si="13"/>
        <v>Habilitado</v>
      </c>
    </row>
    <row r="102" spans="1:56" ht="38.25" x14ac:dyDescent="0.25">
      <c r="A102" s="308">
        <v>100</v>
      </c>
      <c r="B102" s="309" t="s">
        <v>722</v>
      </c>
      <c r="C102" s="310" t="s">
        <v>374</v>
      </c>
      <c r="D102" s="310" t="s">
        <v>448</v>
      </c>
      <c r="E102" s="303" t="s">
        <v>510</v>
      </c>
      <c r="F102" s="303" t="s">
        <v>510</v>
      </c>
      <c r="G102" s="303" t="s">
        <v>511</v>
      </c>
      <c r="H102" s="303" t="s">
        <v>511</v>
      </c>
      <c r="I102" s="303" t="s">
        <v>510</v>
      </c>
      <c r="J102" s="303" t="s">
        <v>511</v>
      </c>
      <c r="K102" s="303">
        <v>40</v>
      </c>
      <c r="L102" s="408">
        <f t="shared" si="8"/>
        <v>40</v>
      </c>
      <c r="M102" s="303" t="s">
        <v>504</v>
      </c>
      <c r="N102" s="303"/>
      <c r="O102" s="311"/>
      <c r="P102" s="311"/>
      <c r="Q102" s="311"/>
      <c r="R102" s="311"/>
      <c r="S102" s="311"/>
      <c r="T102" s="311"/>
      <c r="U102" s="311"/>
      <c r="V102" s="409">
        <f t="shared" si="9"/>
        <v>0</v>
      </c>
      <c r="W102" s="311"/>
      <c r="X102" s="311"/>
      <c r="Y102" s="300"/>
      <c r="Z102" s="300"/>
      <c r="AA102" s="300"/>
      <c r="AB102" s="300"/>
      <c r="AC102" s="300"/>
      <c r="AD102" s="300"/>
      <c r="AE102" s="318"/>
      <c r="AF102" s="410">
        <f t="shared" si="10"/>
        <v>0</v>
      </c>
      <c r="AG102" s="300"/>
      <c r="AH102" s="300"/>
      <c r="AI102" s="303"/>
      <c r="AJ102" s="303"/>
      <c r="AK102" s="303"/>
      <c r="AL102" s="303"/>
      <c r="AM102" s="303"/>
      <c r="AN102" s="303"/>
      <c r="AO102" s="303"/>
      <c r="AP102" s="290">
        <f t="shared" si="11"/>
        <v>0</v>
      </c>
      <c r="AQ102" s="303"/>
      <c r="AR102" s="303"/>
      <c r="AS102" s="303"/>
      <c r="AT102" s="303"/>
      <c r="AU102" s="303"/>
      <c r="AV102" s="303"/>
      <c r="AW102" s="303"/>
      <c r="AX102" s="303"/>
      <c r="AY102" s="303"/>
      <c r="AZ102" s="290">
        <f t="shared" si="12"/>
        <v>0</v>
      </c>
      <c r="BA102" s="303"/>
      <c r="BB102" s="303"/>
      <c r="BC102" s="315">
        <f t="shared" si="7"/>
        <v>1</v>
      </c>
      <c r="BD102" s="316" t="str">
        <f t="shared" si="13"/>
        <v>Habilitado</v>
      </c>
    </row>
    <row r="103" spans="1:56" ht="51" x14ac:dyDescent="0.25">
      <c r="A103" s="308">
        <v>101</v>
      </c>
      <c r="B103" s="309" t="s">
        <v>723</v>
      </c>
      <c r="C103" s="310" t="s">
        <v>392</v>
      </c>
      <c r="D103" s="310" t="s">
        <v>724</v>
      </c>
      <c r="E103" s="303" t="s">
        <v>510</v>
      </c>
      <c r="F103" s="303" t="s">
        <v>510</v>
      </c>
      <c r="G103" s="303" t="s">
        <v>510</v>
      </c>
      <c r="H103" s="303" t="s">
        <v>511</v>
      </c>
      <c r="I103" s="303" t="s">
        <v>510</v>
      </c>
      <c r="J103" s="303" t="s">
        <v>511</v>
      </c>
      <c r="K103" s="303">
        <v>40</v>
      </c>
      <c r="L103" s="408">
        <f t="shared" si="8"/>
        <v>40</v>
      </c>
      <c r="M103" s="303" t="s">
        <v>504</v>
      </c>
      <c r="N103" s="303"/>
      <c r="O103" s="311"/>
      <c r="P103" s="311"/>
      <c r="Q103" s="311"/>
      <c r="R103" s="311"/>
      <c r="S103" s="311"/>
      <c r="T103" s="311"/>
      <c r="U103" s="311"/>
      <c r="V103" s="409">
        <f t="shared" si="9"/>
        <v>0</v>
      </c>
      <c r="W103" s="311"/>
      <c r="X103" s="311"/>
      <c r="Y103" s="300"/>
      <c r="Z103" s="300"/>
      <c r="AA103" s="300"/>
      <c r="AB103" s="300"/>
      <c r="AC103" s="300"/>
      <c r="AD103" s="300"/>
      <c r="AE103" s="318"/>
      <c r="AF103" s="410">
        <f t="shared" si="10"/>
        <v>0</v>
      </c>
      <c r="AG103" s="300"/>
      <c r="AH103" s="300"/>
      <c r="AI103" s="303"/>
      <c r="AJ103" s="303"/>
      <c r="AK103" s="303"/>
      <c r="AL103" s="303"/>
      <c r="AM103" s="303"/>
      <c r="AN103" s="303"/>
      <c r="AO103" s="303"/>
      <c r="AP103" s="290">
        <f t="shared" si="11"/>
        <v>0</v>
      </c>
      <c r="AQ103" s="303"/>
      <c r="AR103" s="303"/>
      <c r="AS103" s="303"/>
      <c r="AT103" s="303"/>
      <c r="AU103" s="303"/>
      <c r="AV103" s="303"/>
      <c r="AW103" s="303"/>
      <c r="AX103" s="303"/>
      <c r="AY103" s="303"/>
      <c r="AZ103" s="290">
        <f t="shared" si="12"/>
        <v>0</v>
      </c>
      <c r="BA103" s="303"/>
      <c r="BB103" s="303"/>
      <c r="BC103" s="315">
        <f t="shared" si="7"/>
        <v>1</v>
      </c>
      <c r="BD103" s="316" t="str">
        <f t="shared" si="13"/>
        <v>Habilitado</v>
      </c>
    </row>
    <row r="104" spans="1:56" ht="51" x14ac:dyDescent="0.25">
      <c r="A104" s="308">
        <v>102</v>
      </c>
      <c r="B104" s="309" t="s">
        <v>725</v>
      </c>
      <c r="C104" s="310" t="s">
        <v>726</v>
      </c>
      <c r="D104" s="310" t="s">
        <v>727</v>
      </c>
      <c r="E104" s="303" t="s">
        <v>510</v>
      </c>
      <c r="F104" s="303" t="s">
        <v>510</v>
      </c>
      <c r="G104" s="303" t="s">
        <v>510</v>
      </c>
      <c r="H104" s="303" t="s">
        <v>511</v>
      </c>
      <c r="I104" s="303" t="s">
        <v>510</v>
      </c>
      <c r="J104" s="303" t="s">
        <v>511</v>
      </c>
      <c r="K104" s="303">
        <v>40</v>
      </c>
      <c r="L104" s="408">
        <f t="shared" si="8"/>
        <v>40</v>
      </c>
      <c r="M104" s="303" t="s">
        <v>504</v>
      </c>
      <c r="N104" s="303"/>
      <c r="O104" s="311"/>
      <c r="P104" s="311"/>
      <c r="Q104" s="311"/>
      <c r="R104" s="311"/>
      <c r="S104" s="311"/>
      <c r="T104" s="311"/>
      <c r="U104" s="311"/>
      <c r="V104" s="409">
        <f t="shared" si="9"/>
        <v>0</v>
      </c>
      <c r="W104" s="311"/>
      <c r="X104" s="311"/>
      <c r="Y104" s="300"/>
      <c r="Z104" s="300"/>
      <c r="AA104" s="300"/>
      <c r="AB104" s="300"/>
      <c r="AC104" s="300"/>
      <c r="AD104" s="300"/>
      <c r="AE104" s="318"/>
      <c r="AF104" s="410">
        <f t="shared" si="10"/>
        <v>0</v>
      </c>
      <c r="AG104" s="300"/>
      <c r="AH104" s="300"/>
      <c r="AI104" s="303"/>
      <c r="AJ104" s="303"/>
      <c r="AK104" s="303"/>
      <c r="AL104" s="303"/>
      <c r="AM104" s="303"/>
      <c r="AN104" s="303"/>
      <c r="AO104" s="303"/>
      <c r="AP104" s="290">
        <f t="shared" si="11"/>
        <v>0</v>
      </c>
      <c r="AQ104" s="303"/>
      <c r="AR104" s="303"/>
      <c r="AS104" s="303"/>
      <c r="AT104" s="303"/>
      <c r="AU104" s="303"/>
      <c r="AV104" s="303"/>
      <c r="AW104" s="303"/>
      <c r="AX104" s="303"/>
      <c r="AY104" s="303"/>
      <c r="AZ104" s="290">
        <f t="shared" si="12"/>
        <v>0</v>
      </c>
      <c r="BA104" s="303"/>
      <c r="BB104" s="303"/>
      <c r="BC104" s="315">
        <f t="shared" si="7"/>
        <v>1</v>
      </c>
      <c r="BD104" s="316" t="str">
        <f t="shared" si="13"/>
        <v>Habilitado</v>
      </c>
    </row>
    <row r="105" spans="1:56" ht="63.75" x14ac:dyDescent="0.25">
      <c r="A105" s="308">
        <v>103</v>
      </c>
      <c r="B105" s="309" t="s">
        <v>728</v>
      </c>
      <c r="C105" s="310" t="s">
        <v>729</v>
      </c>
      <c r="D105" s="310" t="s">
        <v>730</v>
      </c>
      <c r="E105" s="311"/>
      <c r="F105" s="311"/>
      <c r="G105" s="311"/>
      <c r="H105" s="311"/>
      <c r="I105" s="311"/>
      <c r="J105" s="311"/>
      <c r="K105" s="311"/>
      <c r="L105" s="408">
        <f t="shared" si="8"/>
        <v>0</v>
      </c>
      <c r="M105" s="311"/>
      <c r="N105" s="303"/>
      <c r="O105" s="311"/>
      <c r="P105" s="311"/>
      <c r="Q105" s="311"/>
      <c r="R105" s="311"/>
      <c r="S105" s="311"/>
      <c r="T105" s="311"/>
      <c r="U105" s="311"/>
      <c r="V105" s="409">
        <f t="shared" si="9"/>
        <v>0</v>
      </c>
      <c r="W105" s="311"/>
      <c r="X105" s="311"/>
      <c r="Y105" s="300" t="s">
        <v>510</v>
      </c>
      <c r="Z105" s="300" t="s">
        <v>519</v>
      </c>
      <c r="AA105" s="300" t="s">
        <v>510</v>
      </c>
      <c r="AB105" s="300" t="s">
        <v>511</v>
      </c>
      <c r="AC105" s="300" t="s">
        <v>510</v>
      </c>
      <c r="AD105" s="300" t="s">
        <v>511</v>
      </c>
      <c r="AE105" s="318">
        <v>0</v>
      </c>
      <c r="AF105" s="410">
        <f t="shared" si="10"/>
        <v>0</v>
      </c>
      <c r="AG105" s="300" t="s">
        <v>520</v>
      </c>
      <c r="AH105" s="299" t="s">
        <v>731</v>
      </c>
      <c r="AI105" s="303" t="s">
        <v>510</v>
      </c>
      <c r="AJ105" s="303" t="s">
        <v>510</v>
      </c>
      <c r="AK105" s="303" t="s">
        <v>510</v>
      </c>
      <c r="AL105" s="303" t="s">
        <v>511</v>
      </c>
      <c r="AM105" s="303" t="s">
        <v>510</v>
      </c>
      <c r="AN105" s="303" t="s">
        <v>511</v>
      </c>
      <c r="AO105" s="303">
        <v>20</v>
      </c>
      <c r="AP105" s="290">
        <f t="shared" si="11"/>
        <v>20</v>
      </c>
      <c r="AQ105" s="303" t="s">
        <v>504</v>
      </c>
      <c r="AR105" s="303"/>
      <c r="AS105" s="303" t="s">
        <v>510</v>
      </c>
      <c r="AT105" s="303" t="s">
        <v>510</v>
      </c>
      <c r="AU105" s="303" t="s">
        <v>510</v>
      </c>
      <c r="AV105" s="303" t="s">
        <v>511</v>
      </c>
      <c r="AW105" s="303" t="s">
        <v>510</v>
      </c>
      <c r="AX105" s="303" t="s">
        <v>511</v>
      </c>
      <c r="AY105" s="303">
        <v>0</v>
      </c>
      <c r="AZ105" s="290">
        <f t="shared" si="12"/>
        <v>0</v>
      </c>
      <c r="BA105" s="303" t="s">
        <v>504</v>
      </c>
      <c r="BB105" s="301"/>
      <c r="BC105" s="315">
        <f t="shared" si="7"/>
        <v>2</v>
      </c>
      <c r="BD105" s="316" t="str">
        <f t="shared" si="13"/>
        <v>Habilitado</v>
      </c>
    </row>
    <row r="106" spans="1:56" ht="89.25" x14ac:dyDescent="0.25">
      <c r="A106" s="308">
        <v>104</v>
      </c>
      <c r="B106" s="309" t="s">
        <v>732</v>
      </c>
      <c r="C106" s="310" t="s">
        <v>729</v>
      </c>
      <c r="D106" s="310" t="s">
        <v>730</v>
      </c>
      <c r="E106" s="311"/>
      <c r="F106" s="311"/>
      <c r="G106" s="311"/>
      <c r="H106" s="311"/>
      <c r="I106" s="311"/>
      <c r="J106" s="311"/>
      <c r="K106" s="311"/>
      <c r="L106" s="408">
        <f t="shared" si="8"/>
        <v>0</v>
      </c>
      <c r="M106" s="311"/>
      <c r="N106" s="303"/>
      <c r="O106" s="311"/>
      <c r="P106" s="311"/>
      <c r="Q106" s="311"/>
      <c r="R106" s="311"/>
      <c r="S106" s="311"/>
      <c r="T106" s="311"/>
      <c r="U106" s="311"/>
      <c r="V106" s="409">
        <f t="shared" si="9"/>
        <v>0</v>
      </c>
      <c r="W106" s="311"/>
      <c r="X106" s="311"/>
      <c r="Y106" s="300" t="s">
        <v>510</v>
      </c>
      <c r="Z106" s="300" t="s">
        <v>519</v>
      </c>
      <c r="AA106" s="300" t="s">
        <v>510</v>
      </c>
      <c r="AB106" s="300" t="s">
        <v>511</v>
      </c>
      <c r="AC106" s="300" t="s">
        <v>510</v>
      </c>
      <c r="AD106" s="300" t="s">
        <v>511</v>
      </c>
      <c r="AE106" s="318">
        <v>0</v>
      </c>
      <c r="AF106" s="410">
        <f t="shared" si="10"/>
        <v>0</v>
      </c>
      <c r="AG106" s="300" t="s">
        <v>520</v>
      </c>
      <c r="AH106" s="299" t="s">
        <v>733</v>
      </c>
      <c r="AI106" s="303"/>
      <c r="AJ106" s="303"/>
      <c r="AK106" s="303"/>
      <c r="AL106" s="303"/>
      <c r="AM106" s="303"/>
      <c r="AN106" s="303"/>
      <c r="AO106" s="303"/>
      <c r="AP106" s="290">
        <f t="shared" si="11"/>
        <v>0</v>
      </c>
      <c r="AQ106" s="303"/>
      <c r="AR106" s="303"/>
      <c r="AS106" s="303" t="s">
        <v>510</v>
      </c>
      <c r="AT106" s="303" t="s">
        <v>519</v>
      </c>
      <c r="AU106" s="303" t="s">
        <v>510</v>
      </c>
      <c r="AV106" s="303" t="s">
        <v>511</v>
      </c>
      <c r="AW106" s="303" t="s">
        <v>510</v>
      </c>
      <c r="AX106" s="303" t="s">
        <v>511</v>
      </c>
      <c r="AY106" s="303">
        <v>0</v>
      </c>
      <c r="AZ106" s="290">
        <f t="shared" si="12"/>
        <v>0</v>
      </c>
      <c r="BA106" s="303" t="s">
        <v>520</v>
      </c>
      <c r="BB106" s="301" t="s">
        <v>2849</v>
      </c>
      <c r="BC106" s="315">
        <f t="shared" si="7"/>
        <v>0</v>
      </c>
      <c r="BD106" s="316" t="str">
        <f t="shared" si="13"/>
        <v>Desierto</v>
      </c>
    </row>
    <row r="107" spans="1:56" ht="63.75" x14ac:dyDescent="0.25">
      <c r="A107" s="308">
        <v>105</v>
      </c>
      <c r="B107" s="309" t="s">
        <v>734</v>
      </c>
      <c r="C107" s="310" t="s">
        <v>729</v>
      </c>
      <c r="D107" s="310" t="s">
        <v>730</v>
      </c>
      <c r="E107" s="311"/>
      <c r="F107" s="311"/>
      <c r="G107" s="311"/>
      <c r="H107" s="311"/>
      <c r="I107" s="311"/>
      <c r="J107" s="311"/>
      <c r="K107" s="311"/>
      <c r="L107" s="408">
        <f t="shared" si="8"/>
        <v>0</v>
      </c>
      <c r="M107" s="311"/>
      <c r="N107" s="303"/>
      <c r="O107" s="311"/>
      <c r="P107" s="311"/>
      <c r="Q107" s="311"/>
      <c r="R107" s="311"/>
      <c r="S107" s="311"/>
      <c r="T107" s="311"/>
      <c r="U107" s="311"/>
      <c r="V107" s="409">
        <f t="shared" si="9"/>
        <v>0</v>
      </c>
      <c r="W107" s="311"/>
      <c r="X107" s="311"/>
      <c r="Y107" s="300" t="s">
        <v>510</v>
      </c>
      <c r="Z107" s="300" t="s">
        <v>519</v>
      </c>
      <c r="AA107" s="300" t="s">
        <v>510</v>
      </c>
      <c r="AB107" s="300" t="s">
        <v>511</v>
      </c>
      <c r="AC107" s="300" t="s">
        <v>510</v>
      </c>
      <c r="AD107" s="300" t="s">
        <v>511</v>
      </c>
      <c r="AE107" s="318">
        <v>0</v>
      </c>
      <c r="AF107" s="410">
        <f t="shared" si="10"/>
        <v>0</v>
      </c>
      <c r="AG107" s="300" t="s">
        <v>520</v>
      </c>
      <c r="AH107" s="299" t="s">
        <v>735</v>
      </c>
      <c r="AI107" s="303" t="s">
        <v>510</v>
      </c>
      <c r="AJ107" s="303" t="s">
        <v>510</v>
      </c>
      <c r="AK107" s="303" t="s">
        <v>510</v>
      </c>
      <c r="AL107" s="303" t="s">
        <v>511</v>
      </c>
      <c r="AM107" s="303" t="s">
        <v>510</v>
      </c>
      <c r="AN107" s="303" t="s">
        <v>511</v>
      </c>
      <c r="AO107" s="303">
        <v>20</v>
      </c>
      <c r="AP107" s="290">
        <f t="shared" si="11"/>
        <v>20</v>
      </c>
      <c r="AQ107" s="303" t="s">
        <v>504</v>
      </c>
      <c r="AR107" s="303"/>
      <c r="AS107" s="303" t="s">
        <v>510</v>
      </c>
      <c r="AT107" s="303" t="s">
        <v>510</v>
      </c>
      <c r="AU107" s="303" t="s">
        <v>510</v>
      </c>
      <c r="AV107" s="303" t="s">
        <v>511</v>
      </c>
      <c r="AW107" s="303" t="s">
        <v>510</v>
      </c>
      <c r="AX107" s="303" t="s">
        <v>511</v>
      </c>
      <c r="AY107" s="303">
        <v>0</v>
      </c>
      <c r="AZ107" s="290">
        <f t="shared" si="12"/>
        <v>0</v>
      </c>
      <c r="BA107" s="303" t="s">
        <v>504</v>
      </c>
      <c r="BB107" s="301"/>
      <c r="BC107" s="315">
        <f t="shared" si="7"/>
        <v>2</v>
      </c>
      <c r="BD107" s="316" t="str">
        <f t="shared" si="13"/>
        <v>Habilitado</v>
      </c>
    </row>
    <row r="108" spans="1:56" ht="76.5" x14ac:dyDescent="0.25">
      <c r="A108" s="308">
        <v>106</v>
      </c>
      <c r="B108" s="309" t="s">
        <v>736</v>
      </c>
      <c r="C108" s="310" t="s">
        <v>729</v>
      </c>
      <c r="D108" s="310" t="s">
        <v>730</v>
      </c>
      <c r="E108" s="311"/>
      <c r="F108" s="311"/>
      <c r="G108" s="311"/>
      <c r="H108" s="311"/>
      <c r="I108" s="311"/>
      <c r="J108" s="311"/>
      <c r="K108" s="311"/>
      <c r="L108" s="408">
        <f t="shared" si="8"/>
        <v>0</v>
      </c>
      <c r="M108" s="311"/>
      <c r="N108" s="303"/>
      <c r="O108" s="311"/>
      <c r="P108" s="311"/>
      <c r="Q108" s="311"/>
      <c r="R108" s="311"/>
      <c r="S108" s="311"/>
      <c r="T108" s="311"/>
      <c r="U108" s="311"/>
      <c r="V108" s="409">
        <f t="shared" si="9"/>
        <v>0</v>
      </c>
      <c r="W108" s="311"/>
      <c r="X108" s="311"/>
      <c r="Y108" s="300" t="s">
        <v>510</v>
      </c>
      <c r="Z108" s="300" t="s">
        <v>519</v>
      </c>
      <c r="AA108" s="300" t="s">
        <v>510</v>
      </c>
      <c r="AB108" s="300" t="s">
        <v>511</v>
      </c>
      <c r="AC108" s="300" t="s">
        <v>510</v>
      </c>
      <c r="AD108" s="300" t="s">
        <v>511</v>
      </c>
      <c r="AE108" s="318">
        <v>0</v>
      </c>
      <c r="AF108" s="410">
        <f t="shared" si="10"/>
        <v>0</v>
      </c>
      <c r="AG108" s="300" t="s">
        <v>520</v>
      </c>
      <c r="AH108" s="299" t="s">
        <v>737</v>
      </c>
      <c r="AI108" s="303" t="s">
        <v>510</v>
      </c>
      <c r="AJ108" s="303" t="s">
        <v>510</v>
      </c>
      <c r="AK108" s="303" t="s">
        <v>510</v>
      </c>
      <c r="AL108" s="303" t="s">
        <v>511</v>
      </c>
      <c r="AM108" s="303" t="s">
        <v>510</v>
      </c>
      <c r="AN108" s="303" t="s">
        <v>511</v>
      </c>
      <c r="AO108" s="303">
        <v>20</v>
      </c>
      <c r="AP108" s="290">
        <f t="shared" si="11"/>
        <v>20</v>
      </c>
      <c r="AQ108" s="303" t="s">
        <v>504</v>
      </c>
      <c r="AR108" s="303"/>
      <c r="AS108" s="303" t="s">
        <v>510</v>
      </c>
      <c r="AT108" s="303" t="s">
        <v>510</v>
      </c>
      <c r="AU108" s="303" t="s">
        <v>510</v>
      </c>
      <c r="AV108" s="303" t="s">
        <v>511</v>
      </c>
      <c r="AW108" s="303" t="s">
        <v>510</v>
      </c>
      <c r="AX108" s="303" t="s">
        <v>511</v>
      </c>
      <c r="AY108" s="303">
        <v>0</v>
      </c>
      <c r="AZ108" s="290">
        <f t="shared" si="12"/>
        <v>0</v>
      </c>
      <c r="BA108" s="303" t="s">
        <v>504</v>
      </c>
      <c r="BB108" s="301"/>
      <c r="BC108" s="315">
        <f t="shared" si="7"/>
        <v>2</v>
      </c>
      <c r="BD108" s="316" t="str">
        <f t="shared" si="13"/>
        <v>Habilitado</v>
      </c>
    </row>
    <row r="109" spans="1:56" ht="38.25" x14ac:dyDescent="0.25">
      <c r="A109" s="308">
        <v>107</v>
      </c>
      <c r="B109" s="309" t="s">
        <v>738</v>
      </c>
      <c r="C109" s="310" t="s">
        <v>739</v>
      </c>
      <c r="D109" s="310" t="s">
        <v>140</v>
      </c>
      <c r="E109" s="303" t="s">
        <v>519</v>
      </c>
      <c r="F109" s="303" t="s">
        <v>519</v>
      </c>
      <c r="G109" s="303" t="s">
        <v>519</v>
      </c>
      <c r="H109" s="303" t="s">
        <v>511</v>
      </c>
      <c r="I109" s="303" t="s">
        <v>510</v>
      </c>
      <c r="J109" s="303" t="s">
        <v>511</v>
      </c>
      <c r="K109" s="303">
        <v>40</v>
      </c>
      <c r="L109" s="408">
        <f t="shared" si="8"/>
        <v>40</v>
      </c>
      <c r="M109" s="303" t="s">
        <v>520</v>
      </c>
      <c r="N109" s="303"/>
      <c r="O109" s="311"/>
      <c r="P109" s="311"/>
      <c r="Q109" s="311"/>
      <c r="R109" s="311"/>
      <c r="S109" s="311"/>
      <c r="T109" s="311"/>
      <c r="U109" s="311"/>
      <c r="V109" s="409">
        <f t="shared" si="9"/>
        <v>0</v>
      </c>
      <c r="W109" s="311"/>
      <c r="X109" s="311"/>
      <c r="Y109" s="300"/>
      <c r="Z109" s="300"/>
      <c r="AA109" s="300"/>
      <c r="AB109" s="300"/>
      <c r="AC109" s="300"/>
      <c r="AD109" s="300"/>
      <c r="AE109" s="318"/>
      <c r="AF109" s="410">
        <f t="shared" si="10"/>
        <v>0</v>
      </c>
      <c r="AG109" s="300"/>
      <c r="AH109" s="300"/>
      <c r="AI109" s="303"/>
      <c r="AJ109" s="303"/>
      <c r="AK109" s="303"/>
      <c r="AL109" s="303"/>
      <c r="AM109" s="303"/>
      <c r="AN109" s="303"/>
      <c r="AO109" s="303"/>
      <c r="AP109" s="290">
        <f t="shared" si="11"/>
        <v>0</v>
      </c>
      <c r="AQ109" s="303"/>
      <c r="AR109" s="303"/>
      <c r="AS109" s="303"/>
      <c r="AT109" s="303"/>
      <c r="AU109" s="303"/>
      <c r="AV109" s="303"/>
      <c r="AW109" s="303"/>
      <c r="AX109" s="303"/>
      <c r="AY109" s="303"/>
      <c r="AZ109" s="290">
        <f t="shared" si="12"/>
        <v>0</v>
      </c>
      <c r="BA109" s="303"/>
      <c r="BB109" s="303"/>
      <c r="BC109" s="315">
        <f t="shared" si="7"/>
        <v>0</v>
      </c>
      <c r="BD109" s="316" t="str">
        <f t="shared" si="13"/>
        <v>Desierto</v>
      </c>
    </row>
    <row r="110" spans="1:56" ht="25.5" x14ac:dyDescent="0.25">
      <c r="A110" s="308">
        <v>108</v>
      </c>
      <c r="B110" s="309" t="s">
        <v>740</v>
      </c>
      <c r="C110" s="310" t="s">
        <v>741</v>
      </c>
      <c r="D110" s="310" t="s">
        <v>742</v>
      </c>
      <c r="E110" s="303" t="s">
        <v>510</v>
      </c>
      <c r="F110" s="303" t="s">
        <v>510</v>
      </c>
      <c r="G110" s="303" t="s">
        <v>510</v>
      </c>
      <c r="H110" s="303" t="s">
        <v>510</v>
      </c>
      <c r="I110" s="303" t="s">
        <v>510</v>
      </c>
      <c r="J110" s="303" t="s">
        <v>511</v>
      </c>
      <c r="K110" s="303">
        <v>40</v>
      </c>
      <c r="L110" s="408">
        <f t="shared" si="8"/>
        <v>40</v>
      </c>
      <c r="M110" s="303" t="s">
        <v>504</v>
      </c>
      <c r="N110" s="303"/>
      <c r="O110" s="311"/>
      <c r="P110" s="311"/>
      <c r="Q110" s="311"/>
      <c r="R110" s="311"/>
      <c r="S110" s="311"/>
      <c r="T110" s="311"/>
      <c r="U110" s="311"/>
      <c r="V110" s="409">
        <f t="shared" si="9"/>
        <v>0</v>
      </c>
      <c r="W110" s="311"/>
      <c r="X110" s="311"/>
      <c r="Y110" s="300"/>
      <c r="Z110" s="300"/>
      <c r="AA110" s="300"/>
      <c r="AB110" s="300"/>
      <c r="AC110" s="300"/>
      <c r="AD110" s="300"/>
      <c r="AE110" s="318"/>
      <c r="AF110" s="410">
        <f t="shared" si="10"/>
        <v>0</v>
      </c>
      <c r="AG110" s="300"/>
      <c r="AH110" s="300"/>
      <c r="AI110" s="303"/>
      <c r="AJ110" s="303"/>
      <c r="AK110" s="303"/>
      <c r="AL110" s="303"/>
      <c r="AM110" s="303"/>
      <c r="AN110" s="303"/>
      <c r="AO110" s="303"/>
      <c r="AP110" s="290">
        <f t="shared" si="11"/>
        <v>0</v>
      </c>
      <c r="AQ110" s="303"/>
      <c r="AR110" s="303"/>
      <c r="AS110" s="303"/>
      <c r="AT110" s="303"/>
      <c r="AU110" s="303"/>
      <c r="AV110" s="303"/>
      <c r="AW110" s="303"/>
      <c r="AX110" s="303"/>
      <c r="AY110" s="303"/>
      <c r="AZ110" s="290">
        <f t="shared" si="12"/>
        <v>0</v>
      </c>
      <c r="BA110" s="303"/>
      <c r="BB110" s="303"/>
      <c r="BC110" s="315">
        <f t="shared" si="7"/>
        <v>1</v>
      </c>
      <c r="BD110" s="316" t="str">
        <f t="shared" si="13"/>
        <v>Habilitado</v>
      </c>
    </row>
    <row r="111" spans="1:56" ht="25.5" x14ac:dyDescent="0.25">
      <c r="A111" s="324">
        <v>109</v>
      </c>
      <c r="B111" s="331" t="s">
        <v>743</v>
      </c>
      <c r="C111" s="331" t="s">
        <v>744</v>
      </c>
      <c r="D111" s="331" t="s">
        <v>745</v>
      </c>
      <c r="E111" s="320"/>
      <c r="F111" s="320"/>
      <c r="G111" s="320"/>
      <c r="H111" s="320"/>
      <c r="I111" s="311"/>
      <c r="J111" s="320"/>
      <c r="K111" s="320"/>
      <c r="L111" s="408">
        <f t="shared" si="8"/>
        <v>0</v>
      </c>
      <c r="M111" s="311"/>
      <c r="N111" s="306"/>
      <c r="O111" s="320"/>
      <c r="P111" s="320"/>
      <c r="Q111" s="320"/>
      <c r="R111" s="320"/>
      <c r="S111" s="320"/>
      <c r="T111" s="320"/>
      <c r="U111" s="320"/>
      <c r="V111" s="409">
        <f t="shared" si="9"/>
        <v>0</v>
      </c>
      <c r="W111" s="320"/>
      <c r="X111" s="320"/>
      <c r="Y111" s="299"/>
      <c r="Z111" s="299"/>
      <c r="AA111" s="299"/>
      <c r="AB111" s="299"/>
      <c r="AC111" s="299"/>
      <c r="AD111" s="299"/>
      <c r="AE111" s="330"/>
      <c r="AF111" s="410">
        <f t="shared" si="10"/>
        <v>0</v>
      </c>
      <c r="AG111" s="299"/>
      <c r="AH111" s="299"/>
      <c r="AI111" s="306"/>
      <c r="AJ111" s="306"/>
      <c r="AK111" s="306"/>
      <c r="AL111" s="306"/>
      <c r="AM111" s="306"/>
      <c r="AN111" s="306"/>
      <c r="AO111" s="306"/>
      <c r="AP111" s="290">
        <f t="shared" si="11"/>
        <v>0</v>
      </c>
      <c r="AQ111" s="306"/>
      <c r="AR111" s="306"/>
      <c r="AS111" s="306"/>
      <c r="AT111" s="306"/>
      <c r="AU111" s="306"/>
      <c r="AV111" s="306"/>
      <c r="AW111" s="306"/>
      <c r="AX111" s="306"/>
      <c r="AY111" s="306"/>
      <c r="AZ111" s="290">
        <f t="shared" si="12"/>
        <v>0</v>
      </c>
      <c r="BA111" s="306"/>
      <c r="BB111" s="306" t="s">
        <v>551</v>
      </c>
      <c r="BC111" s="315">
        <f t="shared" si="7"/>
        <v>0</v>
      </c>
      <c r="BD111" s="316" t="str">
        <f t="shared" si="13"/>
        <v>Desierto</v>
      </c>
    </row>
    <row r="112" spans="1:56" ht="25.5" x14ac:dyDescent="0.25">
      <c r="A112" s="308">
        <v>110</v>
      </c>
      <c r="B112" s="309" t="s">
        <v>746</v>
      </c>
      <c r="C112" s="310" t="s">
        <v>747</v>
      </c>
      <c r="D112" s="310" t="s">
        <v>123</v>
      </c>
      <c r="E112" s="303" t="s">
        <v>510</v>
      </c>
      <c r="F112" s="303" t="s">
        <v>510</v>
      </c>
      <c r="G112" s="303" t="s">
        <v>510</v>
      </c>
      <c r="H112" s="303" t="s">
        <v>511</v>
      </c>
      <c r="I112" s="303" t="s">
        <v>510</v>
      </c>
      <c r="J112" s="303" t="s">
        <v>511</v>
      </c>
      <c r="K112" s="303">
        <v>40</v>
      </c>
      <c r="L112" s="408">
        <f t="shared" si="8"/>
        <v>40</v>
      </c>
      <c r="M112" s="303" t="s">
        <v>504</v>
      </c>
      <c r="N112" s="303"/>
      <c r="O112" s="311"/>
      <c r="P112" s="311"/>
      <c r="Q112" s="311"/>
      <c r="R112" s="311"/>
      <c r="S112" s="311"/>
      <c r="T112" s="311"/>
      <c r="U112" s="311"/>
      <c r="V112" s="409">
        <f t="shared" si="9"/>
        <v>0</v>
      </c>
      <c r="W112" s="311"/>
      <c r="X112" s="311"/>
      <c r="Y112" s="300"/>
      <c r="Z112" s="300"/>
      <c r="AA112" s="300"/>
      <c r="AB112" s="300"/>
      <c r="AC112" s="300"/>
      <c r="AD112" s="300"/>
      <c r="AE112" s="318"/>
      <c r="AF112" s="410">
        <f t="shared" si="10"/>
        <v>0</v>
      </c>
      <c r="AG112" s="300"/>
      <c r="AH112" s="300"/>
      <c r="AI112" s="303"/>
      <c r="AJ112" s="303"/>
      <c r="AK112" s="303"/>
      <c r="AL112" s="303"/>
      <c r="AM112" s="303"/>
      <c r="AN112" s="303"/>
      <c r="AO112" s="303"/>
      <c r="AP112" s="290">
        <f t="shared" si="11"/>
        <v>0</v>
      </c>
      <c r="AQ112" s="303"/>
      <c r="AR112" s="303"/>
      <c r="AS112" s="303"/>
      <c r="AT112" s="303"/>
      <c r="AU112" s="303"/>
      <c r="AV112" s="303"/>
      <c r="AW112" s="303"/>
      <c r="AX112" s="303"/>
      <c r="AY112" s="303"/>
      <c r="AZ112" s="290">
        <f t="shared" si="12"/>
        <v>0</v>
      </c>
      <c r="BA112" s="303"/>
      <c r="BB112" s="303"/>
      <c r="BC112" s="315">
        <f t="shared" si="7"/>
        <v>1</v>
      </c>
      <c r="BD112" s="316" t="str">
        <f t="shared" si="13"/>
        <v>Habilitado</v>
      </c>
    </row>
    <row r="113" spans="1:56" ht="25.5" x14ac:dyDescent="0.25">
      <c r="A113" s="308">
        <v>111</v>
      </c>
      <c r="B113" s="309" t="s">
        <v>748</v>
      </c>
      <c r="C113" s="310" t="s">
        <v>749</v>
      </c>
      <c r="D113" s="310" t="s">
        <v>123</v>
      </c>
      <c r="E113" s="303" t="s">
        <v>510</v>
      </c>
      <c r="F113" s="303" t="s">
        <v>510</v>
      </c>
      <c r="G113" s="303" t="s">
        <v>510</v>
      </c>
      <c r="H113" s="303" t="s">
        <v>511</v>
      </c>
      <c r="I113" s="303" t="s">
        <v>510</v>
      </c>
      <c r="J113" s="303" t="s">
        <v>511</v>
      </c>
      <c r="K113" s="303">
        <v>40</v>
      </c>
      <c r="L113" s="408">
        <f t="shared" si="8"/>
        <v>40</v>
      </c>
      <c r="M113" s="303" t="s">
        <v>504</v>
      </c>
      <c r="N113" s="303"/>
      <c r="O113" s="311"/>
      <c r="P113" s="311"/>
      <c r="Q113" s="311"/>
      <c r="R113" s="311"/>
      <c r="S113" s="311"/>
      <c r="T113" s="311"/>
      <c r="U113" s="311"/>
      <c r="V113" s="409">
        <f t="shared" si="9"/>
        <v>0</v>
      </c>
      <c r="W113" s="311"/>
      <c r="X113" s="311"/>
      <c r="Y113" s="300"/>
      <c r="Z113" s="300"/>
      <c r="AA113" s="300"/>
      <c r="AB113" s="300"/>
      <c r="AC113" s="300"/>
      <c r="AD113" s="300"/>
      <c r="AE113" s="318"/>
      <c r="AF113" s="410">
        <f t="shared" si="10"/>
        <v>0</v>
      </c>
      <c r="AG113" s="300"/>
      <c r="AH113" s="300"/>
      <c r="AI113" s="303"/>
      <c r="AJ113" s="303"/>
      <c r="AK113" s="303"/>
      <c r="AL113" s="303"/>
      <c r="AM113" s="303"/>
      <c r="AN113" s="303"/>
      <c r="AO113" s="303"/>
      <c r="AP113" s="290">
        <f t="shared" si="11"/>
        <v>0</v>
      </c>
      <c r="AQ113" s="303"/>
      <c r="AR113" s="303"/>
      <c r="AS113" s="303"/>
      <c r="AT113" s="303"/>
      <c r="AU113" s="303"/>
      <c r="AV113" s="303"/>
      <c r="AW113" s="303"/>
      <c r="AX113" s="303"/>
      <c r="AY113" s="303"/>
      <c r="AZ113" s="290">
        <f t="shared" si="12"/>
        <v>0</v>
      </c>
      <c r="BA113" s="303"/>
      <c r="BB113" s="303"/>
      <c r="BC113" s="315">
        <f t="shared" si="7"/>
        <v>1</v>
      </c>
      <c r="BD113" s="316" t="str">
        <f t="shared" si="13"/>
        <v>Habilitado</v>
      </c>
    </row>
    <row r="114" spans="1:56" ht="51" x14ac:dyDescent="0.25">
      <c r="A114" s="308">
        <v>112</v>
      </c>
      <c r="B114" s="309" t="s">
        <v>750</v>
      </c>
      <c r="C114" s="310" t="s">
        <v>608</v>
      </c>
      <c r="D114" s="310" t="s">
        <v>742</v>
      </c>
      <c r="E114" s="311"/>
      <c r="F114" s="311"/>
      <c r="G114" s="311"/>
      <c r="H114" s="311"/>
      <c r="I114" s="311"/>
      <c r="J114" s="311"/>
      <c r="K114" s="311"/>
      <c r="L114" s="408">
        <f t="shared" si="8"/>
        <v>0</v>
      </c>
      <c r="M114" s="311"/>
      <c r="N114" s="303"/>
      <c r="O114" s="311"/>
      <c r="P114" s="311"/>
      <c r="Q114" s="311"/>
      <c r="R114" s="311"/>
      <c r="S114" s="311"/>
      <c r="T114" s="311"/>
      <c r="U114" s="311"/>
      <c r="V114" s="409">
        <f t="shared" si="9"/>
        <v>0</v>
      </c>
      <c r="W114" s="311"/>
      <c r="X114" s="311"/>
      <c r="Y114" s="300"/>
      <c r="Z114" s="300"/>
      <c r="AA114" s="300"/>
      <c r="AB114" s="300"/>
      <c r="AC114" s="300"/>
      <c r="AD114" s="300"/>
      <c r="AE114" s="318"/>
      <c r="AF114" s="410">
        <f t="shared" si="10"/>
        <v>0</v>
      </c>
      <c r="AG114" s="300"/>
      <c r="AH114" s="300"/>
      <c r="AI114" s="303"/>
      <c r="AJ114" s="303"/>
      <c r="AK114" s="303"/>
      <c r="AL114" s="303"/>
      <c r="AM114" s="303"/>
      <c r="AN114" s="303"/>
      <c r="AO114" s="303"/>
      <c r="AP114" s="290">
        <f t="shared" si="11"/>
        <v>0</v>
      </c>
      <c r="AQ114" s="303"/>
      <c r="AR114" s="303"/>
      <c r="AS114" s="303"/>
      <c r="AT114" s="303"/>
      <c r="AU114" s="303"/>
      <c r="AV114" s="303"/>
      <c r="AW114" s="303"/>
      <c r="AX114" s="303"/>
      <c r="AY114" s="303"/>
      <c r="AZ114" s="290">
        <f t="shared" si="12"/>
        <v>0</v>
      </c>
      <c r="BA114" s="303"/>
      <c r="BB114" s="303"/>
      <c r="BC114" s="315">
        <f t="shared" si="7"/>
        <v>0</v>
      </c>
      <c r="BD114" s="316" t="str">
        <f t="shared" si="13"/>
        <v>Desierto</v>
      </c>
    </row>
    <row r="115" spans="1:56" ht="38.25" x14ac:dyDescent="0.25">
      <c r="A115" s="308">
        <v>113</v>
      </c>
      <c r="B115" s="309" t="s">
        <v>751</v>
      </c>
      <c r="C115" s="310" t="s">
        <v>608</v>
      </c>
      <c r="D115" s="310" t="s">
        <v>123</v>
      </c>
      <c r="E115" s="311"/>
      <c r="F115" s="311"/>
      <c r="G115" s="311"/>
      <c r="H115" s="311"/>
      <c r="I115" s="311"/>
      <c r="J115" s="311"/>
      <c r="K115" s="311"/>
      <c r="L115" s="408">
        <f t="shared" si="8"/>
        <v>0</v>
      </c>
      <c r="M115" s="311"/>
      <c r="N115" s="311"/>
      <c r="O115" s="311"/>
      <c r="P115" s="311"/>
      <c r="Q115" s="311"/>
      <c r="R115" s="311"/>
      <c r="S115" s="311"/>
      <c r="T115" s="311"/>
      <c r="U115" s="311"/>
      <c r="V115" s="409">
        <f t="shared" si="9"/>
        <v>0</v>
      </c>
      <c r="W115" s="311"/>
      <c r="X115" s="311"/>
      <c r="Y115" s="300"/>
      <c r="Z115" s="300"/>
      <c r="AA115" s="300"/>
      <c r="AB115" s="300"/>
      <c r="AC115" s="300"/>
      <c r="AD115" s="300"/>
      <c r="AE115" s="318"/>
      <c r="AF115" s="410">
        <f t="shared" si="10"/>
        <v>0</v>
      </c>
      <c r="AG115" s="300"/>
      <c r="AH115" s="300"/>
      <c r="AI115" s="303"/>
      <c r="AJ115" s="303"/>
      <c r="AK115" s="303"/>
      <c r="AL115" s="303"/>
      <c r="AM115" s="303"/>
      <c r="AN115" s="303"/>
      <c r="AO115" s="303"/>
      <c r="AP115" s="290">
        <f t="shared" si="11"/>
        <v>0</v>
      </c>
      <c r="AQ115" s="303"/>
      <c r="AR115" s="303"/>
      <c r="AS115" s="303"/>
      <c r="AT115" s="303"/>
      <c r="AU115" s="303"/>
      <c r="AV115" s="303"/>
      <c r="AW115" s="303"/>
      <c r="AX115" s="303"/>
      <c r="AY115" s="303"/>
      <c r="AZ115" s="290">
        <f t="shared" si="12"/>
        <v>0</v>
      </c>
      <c r="BA115" s="303"/>
      <c r="BB115" s="303"/>
      <c r="BC115" s="315">
        <f t="shared" si="7"/>
        <v>0</v>
      </c>
      <c r="BD115" s="316" t="str">
        <f t="shared" si="13"/>
        <v>Desierto</v>
      </c>
    </row>
    <row r="116" spans="1:56" ht="25.5" x14ac:dyDescent="0.25">
      <c r="A116" s="324">
        <v>114</v>
      </c>
      <c r="B116" s="331" t="s">
        <v>752</v>
      </c>
      <c r="C116" s="331" t="s">
        <v>753</v>
      </c>
      <c r="D116" s="331" t="s">
        <v>628</v>
      </c>
      <c r="E116" s="306" t="s">
        <v>510</v>
      </c>
      <c r="F116" s="306" t="s">
        <v>510</v>
      </c>
      <c r="G116" s="306" t="s">
        <v>510</v>
      </c>
      <c r="H116" s="306" t="s">
        <v>511</v>
      </c>
      <c r="I116" s="303" t="s">
        <v>510</v>
      </c>
      <c r="J116" s="306" t="s">
        <v>511</v>
      </c>
      <c r="K116" s="306">
        <v>40</v>
      </c>
      <c r="L116" s="408">
        <f t="shared" si="8"/>
        <v>40</v>
      </c>
      <c r="M116" s="303" t="s">
        <v>504</v>
      </c>
      <c r="N116" s="306" t="s">
        <v>551</v>
      </c>
      <c r="O116" s="320"/>
      <c r="P116" s="320"/>
      <c r="Q116" s="320"/>
      <c r="R116" s="320"/>
      <c r="S116" s="320"/>
      <c r="T116" s="320"/>
      <c r="U116" s="320"/>
      <c r="V116" s="409">
        <f t="shared" si="9"/>
        <v>0</v>
      </c>
      <c r="W116" s="320"/>
      <c r="X116" s="320"/>
      <c r="Y116" s="299" t="s">
        <v>510</v>
      </c>
      <c r="Z116" s="299" t="s">
        <v>510</v>
      </c>
      <c r="AA116" s="299" t="s">
        <v>510</v>
      </c>
      <c r="AB116" s="299" t="s">
        <v>511</v>
      </c>
      <c r="AC116" s="300" t="s">
        <v>510</v>
      </c>
      <c r="AD116" s="299" t="s">
        <v>511</v>
      </c>
      <c r="AE116" s="318">
        <v>40</v>
      </c>
      <c r="AF116" s="410">
        <f t="shared" si="10"/>
        <v>40</v>
      </c>
      <c r="AG116" s="299" t="s">
        <v>504</v>
      </c>
      <c r="AH116" s="299"/>
      <c r="AI116" s="306"/>
      <c r="AJ116" s="306"/>
      <c r="AK116" s="306"/>
      <c r="AL116" s="306"/>
      <c r="AM116" s="306"/>
      <c r="AN116" s="306"/>
      <c r="AO116" s="306"/>
      <c r="AP116" s="290">
        <f t="shared" si="11"/>
        <v>0</v>
      </c>
      <c r="AQ116" s="306"/>
      <c r="AR116" s="306"/>
      <c r="AS116" s="306"/>
      <c r="AT116" s="306"/>
      <c r="AU116" s="306"/>
      <c r="AV116" s="306"/>
      <c r="AW116" s="306"/>
      <c r="AX116" s="306"/>
      <c r="AY116" s="306"/>
      <c r="AZ116" s="290">
        <f t="shared" si="12"/>
        <v>0</v>
      </c>
      <c r="BA116" s="306"/>
      <c r="BB116" s="306" t="s">
        <v>551</v>
      </c>
      <c r="BC116" s="315">
        <f t="shared" si="7"/>
        <v>2</v>
      </c>
      <c r="BD116" s="316" t="str">
        <f t="shared" si="13"/>
        <v>Habilitado</v>
      </c>
    </row>
    <row r="117" spans="1:56" ht="25.5" x14ac:dyDescent="0.25">
      <c r="A117" s="308">
        <v>115</v>
      </c>
      <c r="B117" s="309" t="s">
        <v>754</v>
      </c>
      <c r="C117" s="310" t="s">
        <v>755</v>
      </c>
      <c r="D117" s="310" t="s">
        <v>280</v>
      </c>
      <c r="E117" s="311"/>
      <c r="F117" s="311"/>
      <c r="G117" s="311"/>
      <c r="H117" s="311"/>
      <c r="I117" s="311"/>
      <c r="J117" s="311"/>
      <c r="K117" s="311"/>
      <c r="L117" s="408">
        <f t="shared" si="8"/>
        <v>0</v>
      </c>
      <c r="M117" s="311"/>
      <c r="N117" s="311"/>
      <c r="O117" s="311"/>
      <c r="P117" s="311"/>
      <c r="Q117" s="311"/>
      <c r="R117" s="311"/>
      <c r="S117" s="311"/>
      <c r="T117" s="311"/>
      <c r="U117" s="311"/>
      <c r="V117" s="409">
        <f t="shared" si="9"/>
        <v>0</v>
      </c>
      <c r="W117" s="311"/>
      <c r="X117" s="311"/>
      <c r="Y117" s="300"/>
      <c r="Z117" s="300"/>
      <c r="AA117" s="300"/>
      <c r="AB117" s="300"/>
      <c r="AC117" s="300"/>
      <c r="AD117" s="300"/>
      <c r="AE117" s="318"/>
      <c r="AF117" s="410">
        <f t="shared" si="10"/>
        <v>0</v>
      </c>
      <c r="AG117" s="300"/>
      <c r="AH117" s="300"/>
      <c r="AI117" s="303"/>
      <c r="AJ117" s="303"/>
      <c r="AK117" s="303"/>
      <c r="AL117" s="303"/>
      <c r="AM117" s="303"/>
      <c r="AN117" s="303"/>
      <c r="AO117" s="303"/>
      <c r="AP117" s="290">
        <f t="shared" si="11"/>
        <v>0</v>
      </c>
      <c r="AQ117" s="303"/>
      <c r="AR117" s="303"/>
      <c r="AS117" s="303"/>
      <c r="AT117" s="303"/>
      <c r="AU117" s="303"/>
      <c r="AV117" s="303"/>
      <c r="AW117" s="303"/>
      <c r="AX117" s="303"/>
      <c r="AY117" s="303"/>
      <c r="AZ117" s="290">
        <f t="shared" si="12"/>
        <v>0</v>
      </c>
      <c r="BA117" s="303"/>
      <c r="BB117" s="303"/>
      <c r="BC117" s="315">
        <f t="shared" si="7"/>
        <v>0</v>
      </c>
      <c r="BD117" s="316" t="str">
        <f t="shared" si="13"/>
        <v>Desierto</v>
      </c>
    </row>
    <row r="118" spans="1:56" ht="76.5" x14ac:dyDescent="0.25">
      <c r="A118" s="308">
        <v>116</v>
      </c>
      <c r="B118" s="309" t="s">
        <v>756</v>
      </c>
      <c r="C118" s="310" t="s">
        <v>518</v>
      </c>
      <c r="D118" s="310" t="s">
        <v>457</v>
      </c>
      <c r="E118" s="303" t="s">
        <v>510</v>
      </c>
      <c r="F118" s="303" t="s">
        <v>510</v>
      </c>
      <c r="G118" s="303" t="s">
        <v>510</v>
      </c>
      <c r="H118" s="303" t="s">
        <v>511</v>
      </c>
      <c r="I118" s="303" t="s">
        <v>510</v>
      </c>
      <c r="J118" s="303" t="s">
        <v>511</v>
      </c>
      <c r="K118" s="303">
        <v>40</v>
      </c>
      <c r="L118" s="408">
        <f t="shared" si="8"/>
        <v>40</v>
      </c>
      <c r="M118" s="303" t="s">
        <v>504</v>
      </c>
      <c r="N118" s="301" t="s">
        <v>757</v>
      </c>
      <c r="O118" s="311"/>
      <c r="P118" s="311"/>
      <c r="Q118" s="311"/>
      <c r="R118" s="311"/>
      <c r="S118" s="311"/>
      <c r="T118" s="311"/>
      <c r="U118" s="311"/>
      <c r="V118" s="409">
        <f t="shared" si="9"/>
        <v>0</v>
      </c>
      <c r="W118" s="311"/>
      <c r="X118" s="311"/>
      <c r="Y118" s="300" t="s">
        <v>510</v>
      </c>
      <c r="Z118" s="300" t="s">
        <v>510</v>
      </c>
      <c r="AA118" s="300" t="s">
        <v>510</v>
      </c>
      <c r="AB118" s="300" t="s">
        <v>511</v>
      </c>
      <c r="AC118" s="300" t="s">
        <v>510</v>
      </c>
      <c r="AD118" s="300" t="s">
        <v>511</v>
      </c>
      <c r="AE118" s="318">
        <v>40</v>
      </c>
      <c r="AF118" s="410">
        <f t="shared" si="10"/>
        <v>40</v>
      </c>
      <c r="AG118" s="300" t="s">
        <v>504</v>
      </c>
      <c r="AH118" s="300"/>
      <c r="AI118" s="303" t="s">
        <v>510</v>
      </c>
      <c r="AJ118" s="303" t="s">
        <v>510</v>
      </c>
      <c r="AK118" s="303" t="s">
        <v>510</v>
      </c>
      <c r="AL118" s="303" t="s">
        <v>511</v>
      </c>
      <c r="AM118" s="303" t="s">
        <v>510</v>
      </c>
      <c r="AN118" s="303" t="s">
        <v>511</v>
      </c>
      <c r="AO118" s="303">
        <v>20</v>
      </c>
      <c r="AP118" s="290">
        <f t="shared" si="11"/>
        <v>20</v>
      </c>
      <c r="AQ118" s="303" t="s">
        <v>504</v>
      </c>
      <c r="AR118" s="303"/>
      <c r="AS118" s="303" t="s">
        <v>510</v>
      </c>
      <c r="AT118" s="303" t="s">
        <v>510</v>
      </c>
      <c r="AU118" s="303" t="s">
        <v>510</v>
      </c>
      <c r="AV118" s="303" t="s">
        <v>511</v>
      </c>
      <c r="AW118" s="303" t="s">
        <v>510</v>
      </c>
      <c r="AX118" s="303" t="s">
        <v>511</v>
      </c>
      <c r="AY118" s="303">
        <v>0</v>
      </c>
      <c r="AZ118" s="290">
        <f t="shared" si="12"/>
        <v>0</v>
      </c>
      <c r="BA118" s="303" t="s">
        <v>504</v>
      </c>
      <c r="BB118" s="301" t="s">
        <v>758</v>
      </c>
      <c r="BC118" s="315">
        <f t="shared" si="7"/>
        <v>4</v>
      </c>
      <c r="BD118" s="316" t="str">
        <f t="shared" si="13"/>
        <v>Habilitado</v>
      </c>
    </row>
    <row r="119" spans="1:56" ht="25.5" x14ac:dyDescent="0.25">
      <c r="A119" s="308">
        <v>117</v>
      </c>
      <c r="B119" s="309" t="s">
        <v>759</v>
      </c>
      <c r="C119" s="310" t="s">
        <v>760</v>
      </c>
      <c r="D119" s="310" t="s">
        <v>457</v>
      </c>
      <c r="E119" s="303" t="s">
        <v>510</v>
      </c>
      <c r="F119" s="303" t="s">
        <v>510</v>
      </c>
      <c r="G119" s="303" t="s">
        <v>510</v>
      </c>
      <c r="H119" s="303" t="s">
        <v>511</v>
      </c>
      <c r="I119" s="303" t="s">
        <v>510</v>
      </c>
      <c r="J119" s="303" t="s">
        <v>510</v>
      </c>
      <c r="K119" s="303">
        <v>40</v>
      </c>
      <c r="L119" s="408">
        <f t="shared" si="8"/>
        <v>40</v>
      </c>
      <c r="M119" s="303" t="s">
        <v>504</v>
      </c>
      <c r="N119" s="303"/>
      <c r="O119" s="311"/>
      <c r="P119" s="311"/>
      <c r="Q119" s="311"/>
      <c r="R119" s="311"/>
      <c r="S119" s="311"/>
      <c r="T119" s="311"/>
      <c r="U119" s="311"/>
      <c r="V119" s="409">
        <f t="shared" si="9"/>
        <v>0</v>
      </c>
      <c r="W119" s="311"/>
      <c r="X119" s="311"/>
      <c r="Y119" s="300"/>
      <c r="Z119" s="300"/>
      <c r="AA119" s="300"/>
      <c r="AB119" s="300"/>
      <c r="AC119" s="300"/>
      <c r="AD119" s="300"/>
      <c r="AE119" s="318"/>
      <c r="AF119" s="410">
        <f t="shared" si="10"/>
        <v>0</v>
      </c>
      <c r="AG119" s="300"/>
      <c r="AH119" s="300"/>
      <c r="AI119" s="303"/>
      <c r="AJ119" s="303"/>
      <c r="AK119" s="303"/>
      <c r="AL119" s="303"/>
      <c r="AM119" s="303"/>
      <c r="AN119" s="303"/>
      <c r="AO119" s="303"/>
      <c r="AP119" s="290">
        <f t="shared" si="11"/>
        <v>0</v>
      </c>
      <c r="AQ119" s="303"/>
      <c r="AR119" s="303"/>
      <c r="AS119" s="303"/>
      <c r="AT119" s="303"/>
      <c r="AU119" s="303"/>
      <c r="AV119" s="303"/>
      <c r="AW119" s="303"/>
      <c r="AX119" s="303"/>
      <c r="AY119" s="303"/>
      <c r="AZ119" s="290">
        <f t="shared" si="12"/>
        <v>0</v>
      </c>
      <c r="BA119" s="303"/>
      <c r="BB119" s="303"/>
      <c r="BC119" s="315">
        <f t="shared" si="7"/>
        <v>1</v>
      </c>
      <c r="BD119" s="316" t="str">
        <f t="shared" si="13"/>
        <v>Habilitado</v>
      </c>
    </row>
    <row r="120" spans="1:56" ht="89.25" x14ac:dyDescent="0.25">
      <c r="A120" s="308">
        <v>118</v>
      </c>
      <c r="B120" s="309" t="s">
        <v>761</v>
      </c>
      <c r="C120" s="308" t="s">
        <v>762</v>
      </c>
      <c r="D120" s="310" t="s">
        <v>763</v>
      </c>
      <c r="E120" s="303" t="s">
        <v>510</v>
      </c>
      <c r="F120" s="303" t="s">
        <v>510</v>
      </c>
      <c r="G120" s="303" t="s">
        <v>510</v>
      </c>
      <c r="H120" s="303" t="s">
        <v>511</v>
      </c>
      <c r="I120" s="303" t="s">
        <v>510</v>
      </c>
      <c r="J120" s="303" t="s">
        <v>511</v>
      </c>
      <c r="K120" s="303">
        <v>40</v>
      </c>
      <c r="L120" s="408">
        <f t="shared" si="8"/>
        <v>40</v>
      </c>
      <c r="M120" s="303" t="s">
        <v>504</v>
      </c>
      <c r="N120" s="301" t="s">
        <v>764</v>
      </c>
      <c r="O120" s="311"/>
      <c r="P120" s="311"/>
      <c r="Q120" s="311"/>
      <c r="R120" s="311"/>
      <c r="S120" s="311"/>
      <c r="T120" s="311"/>
      <c r="U120" s="311"/>
      <c r="V120" s="409">
        <f t="shared" si="9"/>
        <v>0</v>
      </c>
      <c r="W120" s="311"/>
      <c r="X120" s="320"/>
      <c r="Y120" s="312"/>
      <c r="Z120" s="312"/>
      <c r="AA120" s="312"/>
      <c r="AB120" s="312"/>
      <c r="AC120" s="312"/>
      <c r="AD120" s="312"/>
      <c r="AE120" s="313"/>
      <c r="AF120" s="410">
        <f t="shared" si="10"/>
        <v>0</v>
      </c>
      <c r="AG120" s="312"/>
      <c r="AH120" s="299"/>
      <c r="AI120" s="303"/>
      <c r="AJ120" s="303"/>
      <c r="AK120" s="303"/>
      <c r="AL120" s="303"/>
      <c r="AM120" s="303"/>
      <c r="AN120" s="303"/>
      <c r="AO120" s="303"/>
      <c r="AP120" s="290">
        <f t="shared" si="11"/>
        <v>0</v>
      </c>
      <c r="AQ120" s="303"/>
      <c r="AR120" s="301"/>
      <c r="AS120" s="303" t="s">
        <v>510</v>
      </c>
      <c r="AT120" s="303" t="s">
        <v>510</v>
      </c>
      <c r="AU120" s="303" t="s">
        <v>510</v>
      </c>
      <c r="AV120" s="303" t="s">
        <v>511</v>
      </c>
      <c r="AW120" s="303" t="s">
        <v>510</v>
      </c>
      <c r="AX120" s="303" t="s">
        <v>511</v>
      </c>
      <c r="AY120" s="303">
        <v>0</v>
      </c>
      <c r="AZ120" s="290">
        <f t="shared" si="12"/>
        <v>0</v>
      </c>
      <c r="BA120" s="303" t="s">
        <v>504</v>
      </c>
      <c r="BB120" s="303"/>
      <c r="BC120" s="315">
        <f t="shared" si="7"/>
        <v>2</v>
      </c>
      <c r="BD120" s="316" t="str">
        <f t="shared" si="13"/>
        <v>Habilitado</v>
      </c>
    </row>
    <row r="121" spans="1:56" x14ac:dyDescent="0.25">
      <c r="A121" s="324">
        <v>119</v>
      </c>
      <c r="B121" s="331" t="s">
        <v>765</v>
      </c>
      <c r="C121" s="331" t="s">
        <v>27</v>
      </c>
      <c r="D121" s="331" t="s">
        <v>123</v>
      </c>
      <c r="E121" s="320"/>
      <c r="F121" s="320"/>
      <c r="G121" s="320"/>
      <c r="H121" s="320"/>
      <c r="I121" s="311"/>
      <c r="J121" s="320"/>
      <c r="K121" s="320"/>
      <c r="L121" s="408">
        <f t="shared" si="8"/>
        <v>0</v>
      </c>
      <c r="M121" s="311"/>
      <c r="N121" s="320"/>
      <c r="O121" s="320"/>
      <c r="P121" s="320"/>
      <c r="Q121" s="320"/>
      <c r="R121" s="320"/>
      <c r="S121" s="320"/>
      <c r="T121" s="320"/>
      <c r="U121" s="320"/>
      <c r="V121" s="409">
        <f t="shared" si="9"/>
        <v>0</v>
      </c>
      <c r="W121" s="320"/>
      <c r="X121" s="320"/>
      <c r="Y121" s="299"/>
      <c r="Z121" s="299"/>
      <c r="AA121" s="299"/>
      <c r="AB121" s="299"/>
      <c r="AC121" s="299"/>
      <c r="AD121" s="299"/>
      <c r="AE121" s="330"/>
      <c r="AF121" s="410">
        <f t="shared" si="10"/>
        <v>0</v>
      </c>
      <c r="AG121" s="299"/>
      <c r="AH121" s="299"/>
      <c r="AI121" s="306"/>
      <c r="AJ121" s="306"/>
      <c r="AK121" s="306"/>
      <c r="AL121" s="306"/>
      <c r="AM121" s="306"/>
      <c r="AN121" s="306"/>
      <c r="AO121" s="306"/>
      <c r="AP121" s="290">
        <f t="shared" si="11"/>
        <v>0</v>
      </c>
      <c r="AQ121" s="306"/>
      <c r="AR121" s="306"/>
      <c r="AS121" s="306"/>
      <c r="AT121" s="306"/>
      <c r="AU121" s="306"/>
      <c r="AV121" s="306"/>
      <c r="AW121" s="306"/>
      <c r="AX121" s="306"/>
      <c r="AY121" s="306"/>
      <c r="AZ121" s="290">
        <f t="shared" si="12"/>
        <v>0</v>
      </c>
      <c r="BA121" s="306"/>
      <c r="BB121" s="306" t="s">
        <v>551</v>
      </c>
      <c r="BC121" s="315">
        <f t="shared" si="7"/>
        <v>0</v>
      </c>
      <c r="BD121" s="316" t="str">
        <f t="shared" si="13"/>
        <v>Desierto</v>
      </c>
    </row>
    <row r="122" spans="1:56" ht="76.5" x14ac:dyDescent="0.25">
      <c r="A122" s="308">
        <v>120</v>
      </c>
      <c r="B122" s="309" t="s">
        <v>766</v>
      </c>
      <c r="C122" s="310" t="s">
        <v>767</v>
      </c>
      <c r="D122" s="310" t="s">
        <v>123</v>
      </c>
      <c r="E122" s="311"/>
      <c r="F122" s="311"/>
      <c r="G122" s="311"/>
      <c r="H122" s="311"/>
      <c r="I122" s="311"/>
      <c r="J122" s="311"/>
      <c r="K122" s="311"/>
      <c r="L122" s="408">
        <f t="shared" si="8"/>
        <v>0</v>
      </c>
      <c r="M122" s="311"/>
      <c r="N122" s="311"/>
      <c r="O122" s="311"/>
      <c r="P122" s="311"/>
      <c r="Q122" s="311"/>
      <c r="R122" s="311"/>
      <c r="S122" s="311"/>
      <c r="T122" s="311"/>
      <c r="U122" s="311"/>
      <c r="V122" s="409">
        <f t="shared" si="9"/>
        <v>0</v>
      </c>
      <c r="W122" s="311"/>
      <c r="X122" s="311"/>
      <c r="Y122" s="300"/>
      <c r="Z122" s="300"/>
      <c r="AA122" s="300"/>
      <c r="AB122" s="300"/>
      <c r="AC122" s="300"/>
      <c r="AD122" s="300"/>
      <c r="AE122" s="318"/>
      <c r="AF122" s="410">
        <f t="shared" si="10"/>
        <v>0</v>
      </c>
      <c r="AG122" s="300"/>
      <c r="AH122" s="300"/>
      <c r="AI122" s="303"/>
      <c r="AJ122" s="303"/>
      <c r="AK122" s="303"/>
      <c r="AL122" s="303"/>
      <c r="AM122" s="303"/>
      <c r="AN122" s="303"/>
      <c r="AO122" s="303"/>
      <c r="AP122" s="290">
        <f t="shared" si="11"/>
        <v>0</v>
      </c>
      <c r="AQ122" s="303"/>
      <c r="AR122" s="303"/>
      <c r="AS122" s="303"/>
      <c r="AT122" s="303"/>
      <c r="AU122" s="303"/>
      <c r="AV122" s="303"/>
      <c r="AW122" s="303"/>
      <c r="AX122" s="303"/>
      <c r="AY122" s="303"/>
      <c r="AZ122" s="290">
        <f t="shared" si="12"/>
        <v>0</v>
      </c>
      <c r="BA122" s="303"/>
      <c r="BB122" s="303"/>
      <c r="BC122" s="315">
        <f t="shared" si="7"/>
        <v>0</v>
      </c>
      <c r="BD122" s="316" t="str">
        <f t="shared" si="13"/>
        <v>Desierto</v>
      </c>
    </row>
    <row r="123" spans="1:56" ht="38.25" x14ac:dyDescent="0.25">
      <c r="A123" s="308">
        <v>121</v>
      </c>
      <c r="B123" s="309" t="s">
        <v>768</v>
      </c>
      <c r="C123" s="310" t="s">
        <v>608</v>
      </c>
      <c r="D123" s="310" t="s">
        <v>628</v>
      </c>
      <c r="E123" s="303" t="s">
        <v>510</v>
      </c>
      <c r="F123" s="303" t="s">
        <v>510</v>
      </c>
      <c r="G123" s="303" t="s">
        <v>510</v>
      </c>
      <c r="H123" s="303" t="s">
        <v>511</v>
      </c>
      <c r="I123" s="303" t="s">
        <v>510</v>
      </c>
      <c r="J123" s="303" t="s">
        <v>511</v>
      </c>
      <c r="K123" s="303">
        <v>40</v>
      </c>
      <c r="L123" s="408">
        <f t="shared" si="8"/>
        <v>40</v>
      </c>
      <c r="M123" s="303" t="s">
        <v>504</v>
      </c>
      <c r="N123" s="303"/>
      <c r="O123" s="311"/>
      <c r="P123" s="311"/>
      <c r="Q123" s="311"/>
      <c r="R123" s="311"/>
      <c r="S123" s="311"/>
      <c r="T123" s="311"/>
      <c r="U123" s="311"/>
      <c r="V123" s="409">
        <f t="shared" si="9"/>
        <v>0</v>
      </c>
      <c r="W123" s="311"/>
      <c r="X123" s="311"/>
      <c r="Y123" s="300"/>
      <c r="Z123" s="300"/>
      <c r="AA123" s="300"/>
      <c r="AB123" s="300"/>
      <c r="AC123" s="300"/>
      <c r="AD123" s="300"/>
      <c r="AE123" s="318"/>
      <c r="AF123" s="410">
        <f t="shared" si="10"/>
        <v>0</v>
      </c>
      <c r="AG123" s="300"/>
      <c r="AH123" s="300"/>
      <c r="AI123" s="303"/>
      <c r="AJ123" s="303"/>
      <c r="AK123" s="303"/>
      <c r="AL123" s="303"/>
      <c r="AM123" s="303"/>
      <c r="AN123" s="303"/>
      <c r="AO123" s="303"/>
      <c r="AP123" s="290">
        <f t="shared" si="11"/>
        <v>0</v>
      </c>
      <c r="AQ123" s="303"/>
      <c r="AR123" s="303"/>
      <c r="AS123" s="303"/>
      <c r="AT123" s="303"/>
      <c r="AU123" s="303"/>
      <c r="AV123" s="303"/>
      <c r="AW123" s="303"/>
      <c r="AX123" s="303"/>
      <c r="AY123" s="303"/>
      <c r="AZ123" s="290">
        <f t="shared" si="12"/>
        <v>0</v>
      </c>
      <c r="BA123" s="303"/>
      <c r="BB123" s="303"/>
      <c r="BC123" s="315">
        <f t="shared" si="7"/>
        <v>1</v>
      </c>
      <c r="BD123" s="316" t="str">
        <f t="shared" si="13"/>
        <v>Habilitado</v>
      </c>
    </row>
    <row r="124" spans="1:56" ht="51" x14ac:dyDescent="0.25">
      <c r="A124" s="324">
        <v>122</v>
      </c>
      <c r="B124" s="331" t="s">
        <v>769</v>
      </c>
      <c r="C124" s="331" t="s">
        <v>770</v>
      </c>
      <c r="D124" s="331" t="s">
        <v>771</v>
      </c>
      <c r="E124" s="320"/>
      <c r="F124" s="320"/>
      <c r="G124" s="320"/>
      <c r="H124" s="320"/>
      <c r="I124" s="311"/>
      <c r="J124" s="320"/>
      <c r="K124" s="320"/>
      <c r="L124" s="408">
        <f t="shared" si="8"/>
        <v>0</v>
      </c>
      <c r="M124" s="311"/>
      <c r="N124" s="306"/>
      <c r="O124" s="320"/>
      <c r="P124" s="320"/>
      <c r="Q124" s="320"/>
      <c r="R124" s="320"/>
      <c r="S124" s="320"/>
      <c r="T124" s="320"/>
      <c r="U124" s="320"/>
      <c r="V124" s="409">
        <f t="shared" si="9"/>
        <v>0</v>
      </c>
      <c r="W124" s="320"/>
      <c r="X124" s="320"/>
      <c r="Y124" s="299"/>
      <c r="Z124" s="299"/>
      <c r="AA124" s="299"/>
      <c r="AB124" s="299"/>
      <c r="AC124" s="299"/>
      <c r="AD124" s="299"/>
      <c r="AE124" s="330"/>
      <c r="AF124" s="410">
        <f t="shared" si="10"/>
        <v>0</v>
      </c>
      <c r="AG124" s="299"/>
      <c r="AH124" s="299"/>
      <c r="AI124" s="306"/>
      <c r="AJ124" s="306"/>
      <c r="AK124" s="306"/>
      <c r="AL124" s="306"/>
      <c r="AM124" s="306"/>
      <c r="AN124" s="306"/>
      <c r="AO124" s="306"/>
      <c r="AP124" s="290">
        <f t="shared" si="11"/>
        <v>0</v>
      </c>
      <c r="AQ124" s="306"/>
      <c r="AR124" s="306"/>
      <c r="AS124" s="306"/>
      <c r="AT124" s="306"/>
      <c r="AU124" s="306"/>
      <c r="AV124" s="306"/>
      <c r="AW124" s="306"/>
      <c r="AX124" s="306"/>
      <c r="AY124" s="306"/>
      <c r="AZ124" s="290">
        <f t="shared" si="12"/>
        <v>0</v>
      </c>
      <c r="BA124" s="306"/>
      <c r="BB124" s="306" t="s">
        <v>551</v>
      </c>
      <c r="BC124" s="315">
        <f t="shared" si="7"/>
        <v>0</v>
      </c>
      <c r="BD124" s="316" t="str">
        <f t="shared" si="13"/>
        <v>Desierto</v>
      </c>
    </row>
    <row r="125" spans="1:56" ht="51" x14ac:dyDescent="0.25">
      <c r="A125" s="324">
        <v>123</v>
      </c>
      <c r="B125" s="331" t="s">
        <v>772</v>
      </c>
      <c r="C125" s="331" t="s">
        <v>770</v>
      </c>
      <c r="D125" s="331" t="s">
        <v>771</v>
      </c>
      <c r="E125" s="320"/>
      <c r="F125" s="320"/>
      <c r="G125" s="320"/>
      <c r="H125" s="320"/>
      <c r="I125" s="311"/>
      <c r="J125" s="320"/>
      <c r="K125" s="320"/>
      <c r="L125" s="408">
        <f t="shared" si="8"/>
        <v>0</v>
      </c>
      <c r="M125" s="311"/>
      <c r="N125" s="306"/>
      <c r="O125" s="320"/>
      <c r="P125" s="320"/>
      <c r="Q125" s="320"/>
      <c r="R125" s="320"/>
      <c r="S125" s="320"/>
      <c r="T125" s="320"/>
      <c r="U125" s="320"/>
      <c r="V125" s="409">
        <f t="shared" si="9"/>
        <v>0</v>
      </c>
      <c r="W125" s="320"/>
      <c r="X125" s="320"/>
      <c r="Y125" s="299"/>
      <c r="Z125" s="299"/>
      <c r="AA125" s="299"/>
      <c r="AB125" s="299"/>
      <c r="AC125" s="299"/>
      <c r="AD125" s="299"/>
      <c r="AE125" s="330"/>
      <c r="AF125" s="410">
        <f t="shared" si="10"/>
        <v>0</v>
      </c>
      <c r="AG125" s="299"/>
      <c r="AH125" s="299"/>
      <c r="AI125" s="306"/>
      <c r="AJ125" s="306"/>
      <c r="AK125" s="306"/>
      <c r="AL125" s="306"/>
      <c r="AM125" s="306"/>
      <c r="AN125" s="306"/>
      <c r="AO125" s="306"/>
      <c r="AP125" s="290">
        <f t="shared" si="11"/>
        <v>0</v>
      </c>
      <c r="AQ125" s="306"/>
      <c r="AR125" s="306"/>
      <c r="AS125" s="306"/>
      <c r="AT125" s="306"/>
      <c r="AU125" s="306"/>
      <c r="AV125" s="306"/>
      <c r="AW125" s="306"/>
      <c r="AX125" s="306"/>
      <c r="AY125" s="306"/>
      <c r="AZ125" s="290">
        <f t="shared" si="12"/>
        <v>0</v>
      </c>
      <c r="BA125" s="306"/>
      <c r="BB125" s="306" t="s">
        <v>551</v>
      </c>
      <c r="BC125" s="315">
        <f t="shared" si="7"/>
        <v>0</v>
      </c>
      <c r="BD125" s="316" t="str">
        <f t="shared" si="13"/>
        <v>Desierto</v>
      </c>
    </row>
    <row r="126" spans="1:56" ht="25.5" x14ac:dyDescent="0.25">
      <c r="A126" s="308">
        <v>124</v>
      </c>
      <c r="B126" s="309" t="s">
        <v>773</v>
      </c>
      <c r="C126" s="310" t="s">
        <v>774</v>
      </c>
      <c r="D126" s="310" t="s">
        <v>775</v>
      </c>
      <c r="E126" s="311"/>
      <c r="F126" s="311"/>
      <c r="G126" s="311"/>
      <c r="H126" s="311"/>
      <c r="I126" s="311"/>
      <c r="J126" s="311"/>
      <c r="K126" s="311"/>
      <c r="L126" s="408">
        <f t="shared" si="8"/>
        <v>0</v>
      </c>
      <c r="M126" s="311"/>
      <c r="N126" s="303"/>
      <c r="O126" s="311"/>
      <c r="P126" s="311"/>
      <c r="Q126" s="311"/>
      <c r="R126" s="311"/>
      <c r="S126" s="311"/>
      <c r="T126" s="311"/>
      <c r="U126" s="311"/>
      <c r="V126" s="409">
        <f t="shared" si="9"/>
        <v>0</v>
      </c>
      <c r="W126" s="311"/>
      <c r="X126" s="311"/>
      <c r="Y126" s="300"/>
      <c r="Z126" s="300"/>
      <c r="AA126" s="300"/>
      <c r="AB126" s="300"/>
      <c r="AC126" s="300"/>
      <c r="AD126" s="300"/>
      <c r="AE126" s="318"/>
      <c r="AF126" s="410">
        <f t="shared" si="10"/>
        <v>0</v>
      </c>
      <c r="AG126" s="300"/>
      <c r="AH126" s="300"/>
      <c r="AI126" s="303"/>
      <c r="AJ126" s="303"/>
      <c r="AK126" s="303"/>
      <c r="AL126" s="303"/>
      <c r="AM126" s="303"/>
      <c r="AN126" s="303"/>
      <c r="AO126" s="303"/>
      <c r="AP126" s="290">
        <f t="shared" si="11"/>
        <v>0</v>
      </c>
      <c r="AQ126" s="303"/>
      <c r="AR126" s="303"/>
      <c r="AS126" s="303"/>
      <c r="AT126" s="303"/>
      <c r="AU126" s="303"/>
      <c r="AV126" s="303"/>
      <c r="AW126" s="303"/>
      <c r="AX126" s="303"/>
      <c r="AY126" s="303"/>
      <c r="AZ126" s="290">
        <f t="shared" si="12"/>
        <v>0</v>
      </c>
      <c r="BA126" s="303"/>
      <c r="BB126" s="303"/>
      <c r="BC126" s="315">
        <f t="shared" si="7"/>
        <v>0</v>
      </c>
      <c r="BD126" s="316" t="str">
        <f t="shared" si="13"/>
        <v>Desierto</v>
      </c>
    </row>
    <row r="127" spans="1:56" ht="38.25" x14ac:dyDescent="0.25">
      <c r="A127" s="308">
        <v>125</v>
      </c>
      <c r="B127" s="309" t="s">
        <v>776</v>
      </c>
      <c r="C127" s="310" t="s">
        <v>774</v>
      </c>
      <c r="D127" s="310" t="s">
        <v>777</v>
      </c>
      <c r="E127" s="311"/>
      <c r="F127" s="311"/>
      <c r="G127" s="311"/>
      <c r="H127" s="311"/>
      <c r="I127" s="311"/>
      <c r="J127" s="311"/>
      <c r="K127" s="311"/>
      <c r="L127" s="408">
        <f t="shared" si="8"/>
        <v>0</v>
      </c>
      <c r="M127" s="311"/>
      <c r="N127" s="303"/>
      <c r="O127" s="311"/>
      <c r="P127" s="311"/>
      <c r="Q127" s="311"/>
      <c r="R127" s="311"/>
      <c r="S127" s="311"/>
      <c r="T127" s="311"/>
      <c r="U127" s="311"/>
      <c r="V127" s="409">
        <f t="shared" si="9"/>
        <v>0</v>
      </c>
      <c r="W127" s="311"/>
      <c r="X127" s="311"/>
      <c r="Y127" s="300"/>
      <c r="Z127" s="300"/>
      <c r="AA127" s="300"/>
      <c r="AB127" s="300"/>
      <c r="AC127" s="300"/>
      <c r="AD127" s="300"/>
      <c r="AE127" s="318"/>
      <c r="AF127" s="410">
        <f t="shared" si="10"/>
        <v>0</v>
      </c>
      <c r="AG127" s="300"/>
      <c r="AH127" s="300"/>
      <c r="AI127" s="303"/>
      <c r="AJ127" s="303"/>
      <c r="AK127" s="303"/>
      <c r="AL127" s="303"/>
      <c r="AM127" s="303"/>
      <c r="AN127" s="303"/>
      <c r="AO127" s="303"/>
      <c r="AP127" s="290">
        <f t="shared" si="11"/>
        <v>0</v>
      </c>
      <c r="AQ127" s="303"/>
      <c r="AR127" s="303"/>
      <c r="AS127" s="303"/>
      <c r="AT127" s="303"/>
      <c r="AU127" s="303"/>
      <c r="AV127" s="303"/>
      <c r="AW127" s="303"/>
      <c r="AX127" s="303"/>
      <c r="AY127" s="303"/>
      <c r="AZ127" s="290">
        <f t="shared" si="12"/>
        <v>0</v>
      </c>
      <c r="BA127" s="303"/>
      <c r="BB127" s="303"/>
      <c r="BC127" s="315">
        <f t="shared" si="7"/>
        <v>0</v>
      </c>
      <c r="BD127" s="316" t="str">
        <f t="shared" si="13"/>
        <v>Desierto</v>
      </c>
    </row>
    <row r="128" spans="1:56" ht="25.5" x14ac:dyDescent="0.25">
      <c r="A128" s="308">
        <v>126</v>
      </c>
      <c r="B128" s="309" t="s">
        <v>778</v>
      </c>
      <c r="C128" s="310" t="s">
        <v>584</v>
      </c>
      <c r="D128" s="310" t="s">
        <v>771</v>
      </c>
      <c r="E128" s="311"/>
      <c r="F128" s="311"/>
      <c r="G128" s="311"/>
      <c r="H128" s="311"/>
      <c r="I128" s="311"/>
      <c r="J128" s="311"/>
      <c r="K128" s="311"/>
      <c r="L128" s="408">
        <f t="shared" si="8"/>
        <v>0</v>
      </c>
      <c r="M128" s="311"/>
      <c r="N128" s="311"/>
      <c r="O128" s="311"/>
      <c r="P128" s="311"/>
      <c r="Q128" s="311"/>
      <c r="R128" s="311"/>
      <c r="S128" s="311"/>
      <c r="T128" s="311"/>
      <c r="U128" s="311"/>
      <c r="V128" s="409">
        <f t="shared" si="9"/>
        <v>0</v>
      </c>
      <c r="W128" s="311"/>
      <c r="X128" s="311"/>
      <c r="Y128" s="300"/>
      <c r="Z128" s="300"/>
      <c r="AA128" s="300"/>
      <c r="AB128" s="300"/>
      <c r="AC128" s="300"/>
      <c r="AD128" s="300"/>
      <c r="AE128" s="318"/>
      <c r="AF128" s="410">
        <f t="shared" si="10"/>
        <v>0</v>
      </c>
      <c r="AG128" s="300"/>
      <c r="AH128" s="300"/>
      <c r="AI128" s="303"/>
      <c r="AJ128" s="303"/>
      <c r="AK128" s="303"/>
      <c r="AL128" s="303"/>
      <c r="AM128" s="303"/>
      <c r="AN128" s="303"/>
      <c r="AO128" s="303"/>
      <c r="AP128" s="290">
        <f t="shared" si="11"/>
        <v>0</v>
      </c>
      <c r="AQ128" s="303"/>
      <c r="AR128" s="303"/>
      <c r="AS128" s="303"/>
      <c r="AT128" s="303"/>
      <c r="AU128" s="303"/>
      <c r="AV128" s="303"/>
      <c r="AW128" s="303"/>
      <c r="AX128" s="303"/>
      <c r="AY128" s="303"/>
      <c r="AZ128" s="290">
        <f t="shared" si="12"/>
        <v>0</v>
      </c>
      <c r="BA128" s="303"/>
      <c r="BB128" s="303"/>
      <c r="BC128" s="315">
        <f t="shared" si="7"/>
        <v>0</v>
      </c>
      <c r="BD128" s="316" t="str">
        <f t="shared" si="13"/>
        <v>Desierto</v>
      </c>
    </row>
    <row r="129" spans="1:56" ht="76.5" x14ac:dyDescent="0.25">
      <c r="A129" s="308">
        <v>127</v>
      </c>
      <c r="B129" s="309" t="s">
        <v>779</v>
      </c>
      <c r="C129" s="310" t="s">
        <v>774</v>
      </c>
      <c r="D129" s="310" t="s">
        <v>780</v>
      </c>
      <c r="E129" s="303" t="s">
        <v>510</v>
      </c>
      <c r="F129" s="303" t="s">
        <v>510</v>
      </c>
      <c r="G129" s="303" t="s">
        <v>510</v>
      </c>
      <c r="H129" s="303" t="s">
        <v>511</v>
      </c>
      <c r="I129" s="303" t="s">
        <v>510</v>
      </c>
      <c r="J129" s="303" t="s">
        <v>511</v>
      </c>
      <c r="K129" s="303">
        <v>40</v>
      </c>
      <c r="L129" s="408">
        <f t="shared" si="8"/>
        <v>40</v>
      </c>
      <c r="M129" s="303" t="s">
        <v>504</v>
      </c>
      <c r="N129" s="303"/>
      <c r="O129" s="311"/>
      <c r="P129" s="311"/>
      <c r="Q129" s="311"/>
      <c r="R129" s="311"/>
      <c r="S129" s="311"/>
      <c r="T129" s="311"/>
      <c r="U129" s="311"/>
      <c r="V129" s="409">
        <f t="shared" si="9"/>
        <v>0</v>
      </c>
      <c r="W129" s="311"/>
      <c r="X129" s="311"/>
      <c r="Y129" s="300"/>
      <c r="Z129" s="300"/>
      <c r="AA129" s="300"/>
      <c r="AB129" s="300"/>
      <c r="AC129" s="300"/>
      <c r="AD129" s="300"/>
      <c r="AE129" s="318"/>
      <c r="AF129" s="410">
        <f t="shared" si="10"/>
        <v>0</v>
      </c>
      <c r="AG129" s="300"/>
      <c r="AH129" s="300"/>
      <c r="AI129" s="303"/>
      <c r="AJ129" s="303"/>
      <c r="AK129" s="303"/>
      <c r="AL129" s="303"/>
      <c r="AM129" s="303"/>
      <c r="AN129" s="303"/>
      <c r="AO129" s="303"/>
      <c r="AP129" s="290">
        <f t="shared" si="11"/>
        <v>0</v>
      </c>
      <c r="AQ129" s="303"/>
      <c r="AR129" s="303"/>
      <c r="AS129" s="303"/>
      <c r="AT129" s="303"/>
      <c r="AU129" s="303"/>
      <c r="AV129" s="303"/>
      <c r="AW129" s="303"/>
      <c r="AX129" s="303"/>
      <c r="AY129" s="303"/>
      <c r="AZ129" s="290">
        <f t="shared" si="12"/>
        <v>0</v>
      </c>
      <c r="BA129" s="303"/>
      <c r="BB129" s="303"/>
      <c r="BC129" s="315">
        <f t="shared" si="7"/>
        <v>1</v>
      </c>
      <c r="BD129" s="316" t="str">
        <f t="shared" si="13"/>
        <v>Habilitado</v>
      </c>
    </row>
    <row r="130" spans="1:56" x14ac:dyDescent="0.25">
      <c r="A130" s="308">
        <v>128</v>
      </c>
      <c r="B130" s="309" t="s">
        <v>781</v>
      </c>
      <c r="C130" s="310" t="s">
        <v>782</v>
      </c>
      <c r="D130" s="310" t="s">
        <v>448</v>
      </c>
      <c r="E130" s="303" t="s">
        <v>510</v>
      </c>
      <c r="F130" s="303" t="s">
        <v>510</v>
      </c>
      <c r="G130" s="303" t="s">
        <v>510</v>
      </c>
      <c r="H130" s="303" t="s">
        <v>511</v>
      </c>
      <c r="I130" s="303" t="s">
        <v>510</v>
      </c>
      <c r="J130" s="303" t="s">
        <v>511</v>
      </c>
      <c r="K130" s="303">
        <v>40</v>
      </c>
      <c r="L130" s="408">
        <f t="shared" si="8"/>
        <v>40</v>
      </c>
      <c r="M130" s="303" t="s">
        <v>504</v>
      </c>
      <c r="N130" s="303"/>
      <c r="O130" s="311"/>
      <c r="P130" s="311"/>
      <c r="Q130" s="311"/>
      <c r="R130" s="311"/>
      <c r="S130" s="311"/>
      <c r="T130" s="311"/>
      <c r="U130" s="311"/>
      <c r="V130" s="409">
        <f t="shared" si="9"/>
        <v>0</v>
      </c>
      <c r="W130" s="311"/>
      <c r="X130" s="311"/>
      <c r="Y130" s="300"/>
      <c r="Z130" s="300"/>
      <c r="AA130" s="300"/>
      <c r="AB130" s="300"/>
      <c r="AC130" s="300"/>
      <c r="AD130" s="300"/>
      <c r="AE130" s="318"/>
      <c r="AF130" s="410">
        <f t="shared" si="10"/>
        <v>0</v>
      </c>
      <c r="AG130" s="300"/>
      <c r="AH130" s="300"/>
      <c r="AI130" s="303"/>
      <c r="AJ130" s="303"/>
      <c r="AK130" s="303"/>
      <c r="AL130" s="303"/>
      <c r="AM130" s="303"/>
      <c r="AN130" s="303"/>
      <c r="AO130" s="303"/>
      <c r="AP130" s="290">
        <f t="shared" si="11"/>
        <v>0</v>
      </c>
      <c r="AQ130" s="303"/>
      <c r="AR130" s="303"/>
      <c r="AS130" s="303"/>
      <c r="AT130" s="303"/>
      <c r="AU130" s="303"/>
      <c r="AV130" s="303"/>
      <c r="AW130" s="303"/>
      <c r="AX130" s="303"/>
      <c r="AY130" s="303"/>
      <c r="AZ130" s="290">
        <f t="shared" si="12"/>
        <v>0</v>
      </c>
      <c r="BA130" s="303"/>
      <c r="BB130" s="303"/>
      <c r="BC130" s="315">
        <f t="shared" si="7"/>
        <v>1</v>
      </c>
      <c r="BD130" s="316" t="str">
        <f t="shared" si="13"/>
        <v>Habilitado</v>
      </c>
    </row>
    <row r="131" spans="1:56" ht="25.5" x14ac:dyDescent="0.25">
      <c r="A131" s="308">
        <v>129</v>
      </c>
      <c r="B131" s="309" t="s">
        <v>783</v>
      </c>
      <c r="C131" s="310" t="s">
        <v>392</v>
      </c>
      <c r="D131" s="310" t="s">
        <v>636</v>
      </c>
      <c r="E131" s="311"/>
      <c r="F131" s="311"/>
      <c r="G131" s="311"/>
      <c r="H131" s="311"/>
      <c r="I131" s="311"/>
      <c r="J131" s="311"/>
      <c r="K131" s="311"/>
      <c r="L131" s="408">
        <f t="shared" si="8"/>
        <v>0</v>
      </c>
      <c r="M131" s="311"/>
      <c r="N131" s="303"/>
      <c r="O131" s="311"/>
      <c r="P131" s="311"/>
      <c r="Q131" s="311"/>
      <c r="R131" s="311"/>
      <c r="S131" s="311"/>
      <c r="T131" s="311"/>
      <c r="U131" s="311"/>
      <c r="V131" s="409">
        <f t="shared" si="9"/>
        <v>0</v>
      </c>
      <c r="W131" s="311"/>
      <c r="X131" s="311"/>
      <c r="Y131" s="300"/>
      <c r="Z131" s="300"/>
      <c r="AA131" s="300"/>
      <c r="AB131" s="300"/>
      <c r="AC131" s="300"/>
      <c r="AD131" s="300"/>
      <c r="AE131" s="318"/>
      <c r="AF131" s="410">
        <f t="shared" si="10"/>
        <v>0</v>
      </c>
      <c r="AG131" s="300"/>
      <c r="AH131" s="300"/>
      <c r="AI131" s="303"/>
      <c r="AJ131" s="303"/>
      <c r="AK131" s="303"/>
      <c r="AL131" s="303"/>
      <c r="AM131" s="303"/>
      <c r="AN131" s="303"/>
      <c r="AO131" s="303"/>
      <c r="AP131" s="290">
        <f t="shared" si="11"/>
        <v>0</v>
      </c>
      <c r="AQ131" s="303"/>
      <c r="AR131" s="303"/>
      <c r="AS131" s="303"/>
      <c r="AT131" s="303"/>
      <c r="AU131" s="303"/>
      <c r="AV131" s="303"/>
      <c r="AW131" s="303"/>
      <c r="AX131" s="303"/>
      <c r="AY131" s="303"/>
      <c r="AZ131" s="290">
        <f t="shared" si="12"/>
        <v>0</v>
      </c>
      <c r="BA131" s="303"/>
      <c r="BB131" s="303"/>
      <c r="BC131" s="315">
        <f t="shared" ref="BC131:BC194" si="14">COUNTIF(M131,"Habilitado")+COUNTIF(W131,"Habilitado")+COUNTIF(AG131,"Habilitado")+COUNTIF(AQ131,"Habilitado")+COUNTIF(AS131,"Habilitado")+COUNTIF(BA131,"Habilitado")</f>
        <v>0</v>
      </c>
      <c r="BD131" s="316" t="str">
        <f t="shared" si="13"/>
        <v>Desierto</v>
      </c>
    </row>
    <row r="132" spans="1:56" ht="51" x14ac:dyDescent="0.25">
      <c r="A132" s="308">
        <v>130</v>
      </c>
      <c r="B132" s="309" t="s">
        <v>784</v>
      </c>
      <c r="C132" s="310" t="s">
        <v>518</v>
      </c>
      <c r="D132" s="310" t="s">
        <v>785</v>
      </c>
      <c r="E132" s="303" t="s">
        <v>510</v>
      </c>
      <c r="F132" s="303" t="s">
        <v>510</v>
      </c>
      <c r="G132" s="303" t="s">
        <v>510</v>
      </c>
      <c r="H132" s="303" t="s">
        <v>511</v>
      </c>
      <c r="I132" s="303" t="s">
        <v>510</v>
      </c>
      <c r="J132" s="303" t="s">
        <v>511</v>
      </c>
      <c r="K132" s="303">
        <v>40</v>
      </c>
      <c r="L132" s="408">
        <f t="shared" ref="L132:L195" si="15">+K132</f>
        <v>40</v>
      </c>
      <c r="M132" s="303" t="s">
        <v>504</v>
      </c>
      <c r="N132" s="303"/>
      <c r="O132" s="311"/>
      <c r="P132" s="311"/>
      <c r="Q132" s="311"/>
      <c r="R132" s="311"/>
      <c r="S132" s="311"/>
      <c r="T132" s="311"/>
      <c r="U132" s="311"/>
      <c r="V132" s="409">
        <f t="shared" ref="V132:V195" si="16">+U132</f>
        <v>0</v>
      </c>
      <c r="W132" s="311"/>
      <c r="X132" s="311"/>
      <c r="Y132" s="300"/>
      <c r="Z132" s="300"/>
      <c r="AA132" s="300"/>
      <c r="AB132" s="300"/>
      <c r="AC132" s="300"/>
      <c r="AD132" s="300"/>
      <c r="AE132" s="318"/>
      <c r="AF132" s="410">
        <f t="shared" ref="AF132:AF195" si="17">AE132</f>
        <v>0</v>
      </c>
      <c r="AG132" s="300"/>
      <c r="AH132" s="300"/>
      <c r="AI132" s="303" t="s">
        <v>510</v>
      </c>
      <c r="AJ132" s="303" t="s">
        <v>510</v>
      </c>
      <c r="AK132" s="303" t="s">
        <v>510</v>
      </c>
      <c r="AL132" s="303" t="s">
        <v>511</v>
      </c>
      <c r="AM132" s="303" t="s">
        <v>510</v>
      </c>
      <c r="AN132" s="303" t="s">
        <v>511</v>
      </c>
      <c r="AO132" s="303">
        <v>20</v>
      </c>
      <c r="AP132" s="290">
        <f t="shared" ref="AP132:AP195" si="18">+AO132</f>
        <v>20</v>
      </c>
      <c r="AQ132" s="303" t="s">
        <v>504</v>
      </c>
      <c r="AR132" s="303"/>
      <c r="AS132" s="303"/>
      <c r="AT132" s="303"/>
      <c r="AU132" s="303"/>
      <c r="AV132" s="303"/>
      <c r="AW132" s="303"/>
      <c r="AX132" s="303"/>
      <c r="AY132" s="303"/>
      <c r="AZ132" s="290">
        <f t="shared" ref="AZ132:AZ195" si="19">+AY132</f>
        <v>0</v>
      </c>
      <c r="BA132" s="303"/>
      <c r="BB132" s="301"/>
      <c r="BC132" s="315">
        <f t="shared" si="14"/>
        <v>2</v>
      </c>
      <c r="BD132" s="316" t="str">
        <f t="shared" ref="BD132:BD195" si="20">IF(BC132&gt;=1,"Habilitado","Desierto")</f>
        <v>Habilitado</v>
      </c>
    </row>
    <row r="133" spans="1:56" x14ac:dyDescent="0.25">
      <c r="A133" s="308">
        <v>131</v>
      </c>
      <c r="B133" s="309" t="s">
        <v>786</v>
      </c>
      <c r="C133" s="310" t="s">
        <v>392</v>
      </c>
      <c r="D133" s="310" t="s">
        <v>157</v>
      </c>
      <c r="E133" s="303" t="s">
        <v>510</v>
      </c>
      <c r="F133" s="303" t="s">
        <v>510</v>
      </c>
      <c r="G133" s="303" t="s">
        <v>510</v>
      </c>
      <c r="H133" s="303" t="s">
        <v>511</v>
      </c>
      <c r="I133" s="303" t="s">
        <v>510</v>
      </c>
      <c r="J133" s="303" t="s">
        <v>511</v>
      </c>
      <c r="K133" s="303">
        <v>40</v>
      </c>
      <c r="L133" s="408">
        <f t="shared" si="15"/>
        <v>40</v>
      </c>
      <c r="M133" s="303" t="s">
        <v>504</v>
      </c>
      <c r="N133" s="303"/>
      <c r="O133" s="311"/>
      <c r="P133" s="311"/>
      <c r="Q133" s="311"/>
      <c r="R133" s="311"/>
      <c r="S133" s="311"/>
      <c r="T133" s="311"/>
      <c r="U133" s="311"/>
      <c r="V133" s="409">
        <f t="shared" si="16"/>
        <v>0</v>
      </c>
      <c r="W133" s="311"/>
      <c r="X133" s="311"/>
      <c r="Y133" s="300"/>
      <c r="Z133" s="300"/>
      <c r="AA133" s="300"/>
      <c r="AB133" s="300"/>
      <c r="AC133" s="300"/>
      <c r="AD133" s="300"/>
      <c r="AE133" s="318"/>
      <c r="AF133" s="410">
        <f t="shared" si="17"/>
        <v>0</v>
      </c>
      <c r="AG133" s="300"/>
      <c r="AH133" s="300"/>
      <c r="AI133" s="303"/>
      <c r="AJ133" s="303"/>
      <c r="AK133" s="303"/>
      <c r="AL133" s="303"/>
      <c r="AM133" s="303"/>
      <c r="AN133" s="303"/>
      <c r="AO133" s="303"/>
      <c r="AP133" s="290">
        <f t="shared" si="18"/>
        <v>0</v>
      </c>
      <c r="AQ133" s="303"/>
      <c r="AR133" s="303"/>
      <c r="AS133" s="303"/>
      <c r="AT133" s="303"/>
      <c r="AU133" s="303"/>
      <c r="AV133" s="303"/>
      <c r="AW133" s="303"/>
      <c r="AX133" s="303"/>
      <c r="AY133" s="303"/>
      <c r="AZ133" s="290">
        <f t="shared" si="19"/>
        <v>0</v>
      </c>
      <c r="BA133" s="303"/>
      <c r="BB133" s="303"/>
      <c r="BC133" s="315">
        <f t="shared" si="14"/>
        <v>1</v>
      </c>
      <c r="BD133" s="316" t="str">
        <f t="shared" si="20"/>
        <v>Habilitado</v>
      </c>
    </row>
    <row r="134" spans="1:56" ht="38.25" x14ac:dyDescent="0.25">
      <c r="A134" s="308">
        <v>132</v>
      </c>
      <c r="B134" s="309" t="s">
        <v>787</v>
      </c>
      <c r="C134" s="310" t="s">
        <v>788</v>
      </c>
      <c r="D134" s="310" t="s">
        <v>77</v>
      </c>
      <c r="E134" s="311"/>
      <c r="F134" s="311"/>
      <c r="G134" s="311"/>
      <c r="H134" s="311"/>
      <c r="I134" s="311"/>
      <c r="J134" s="311"/>
      <c r="K134" s="311"/>
      <c r="L134" s="408">
        <f t="shared" si="15"/>
        <v>0</v>
      </c>
      <c r="M134" s="311"/>
      <c r="N134" s="311"/>
      <c r="O134" s="311"/>
      <c r="P134" s="311"/>
      <c r="Q134" s="311"/>
      <c r="R134" s="311"/>
      <c r="S134" s="311"/>
      <c r="T134" s="311"/>
      <c r="U134" s="311"/>
      <c r="V134" s="409">
        <f t="shared" si="16"/>
        <v>0</v>
      </c>
      <c r="W134" s="311"/>
      <c r="X134" s="320"/>
      <c r="Y134" s="300" t="s">
        <v>510</v>
      </c>
      <c r="Z134" s="300" t="s">
        <v>510</v>
      </c>
      <c r="AA134" s="300" t="s">
        <v>510</v>
      </c>
      <c r="AB134" s="300" t="s">
        <v>511</v>
      </c>
      <c r="AC134" s="300" t="s">
        <v>510</v>
      </c>
      <c r="AD134" s="300" t="s">
        <v>511</v>
      </c>
      <c r="AE134" s="318">
        <v>40</v>
      </c>
      <c r="AF134" s="410">
        <f t="shared" si="17"/>
        <v>40</v>
      </c>
      <c r="AG134" s="300" t="s">
        <v>504</v>
      </c>
      <c r="AH134" s="299"/>
      <c r="AI134" s="303"/>
      <c r="AJ134" s="303"/>
      <c r="AK134" s="303"/>
      <c r="AL134" s="303"/>
      <c r="AM134" s="303"/>
      <c r="AN134" s="303"/>
      <c r="AO134" s="303"/>
      <c r="AP134" s="290">
        <f t="shared" si="18"/>
        <v>0</v>
      </c>
      <c r="AQ134" s="303"/>
      <c r="AR134" s="301"/>
      <c r="AS134" s="303"/>
      <c r="AT134" s="303"/>
      <c r="AU134" s="303"/>
      <c r="AV134" s="303"/>
      <c r="AW134" s="303"/>
      <c r="AX134" s="303"/>
      <c r="AY134" s="303"/>
      <c r="AZ134" s="290">
        <f t="shared" si="19"/>
        <v>0</v>
      </c>
      <c r="BA134" s="303"/>
      <c r="BB134" s="301"/>
      <c r="BC134" s="315">
        <f t="shared" si="14"/>
        <v>1</v>
      </c>
      <c r="BD134" s="316" t="str">
        <f t="shared" si="20"/>
        <v>Habilitado</v>
      </c>
    </row>
    <row r="135" spans="1:56" ht="38.25" x14ac:dyDescent="0.25">
      <c r="A135" s="324">
        <v>133</v>
      </c>
      <c r="B135" s="331" t="s">
        <v>789</v>
      </c>
      <c r="C135" s="331" t="s">
        <v>790</v>
      </c>
      <c r="D135" s="331" t="s">
        <v>791</v>
      </c>
      <c r="E135" s="320"/>
      <c r="F135" s="320"/>
      <c r="G135" s="320"/>
      <c r="H135" s="320"/>
      <c r="I135" s="311"/>
      <c r="J135" s="320"/>
      <c r="K135" s="320"/>
      <c r="L135" s="408">
        <f t="shared" si="15"/>
        <v>0</v>
      </c>
      <c r="M135" s="311"/>
      <c r="N135" s="320"/>
      <c r="O135" s="320"/>
      <c r="P135" s="320"/>
      <c r="Q135" s="320"/>
      <c r="R135" s="320"/>
      <c r="S135" s="320"/>
      <c r="T135" s="320"/>
      <c r="U135" s="320"/>
      <c r="V135" s="409">
        <f t="shared" si="16"/>
        <v>0</v>
      </c>
      <c r="W135" s="320"/>
      <c r="X135" s="320"/>
      <c r="Y135" s="299"/>
      <c r="Z135" s="299"/>
      <c r="AA135" s="299"/>
      <c r="AB135" s="299"/>
      <c r="AC135" s="299"/>
      <c r="AD135" s="299"/>
      <c r="AE135" s="330"/>
      <c r="AF135" s="410">
        <f t="shared" si="17"/>
        <v>0</v>
      </c>
      <c r="AG135" s="299"/>
      <c r="AH135" s="299"/>
      <c r="AI135" s="306"/>
      <c r="AJ135" s="306"/>
      <c r="AK135" s="306"/>
      <c r="AL135" s="306"/>
      <c r="AM135" s="306"/>
      <c r="AN135" s="306"/>
      <c r="AO135" s="306"/>
      <c r="AP135" s="290">
        <f t="shared" si="18"/>
        <v>0</v>
      </c>
      <c r="AQ135" s="306"/>
      <c r="AR135" s="306"/>
      <c r="AS135" s="306"/>
      <c r="AT135" s="306"/>
      <c r="AU135" s="306"/>
      <c r="AV135" s="306"/>
      <c r="AW135" s="306"/>
      <c r="AX135" s="306"/>
      <c r="AY135" s="306"/>
      <c r="AZ135" s="290">
        <f t="shared" si="19"/>
        <v>0</v>
      </c>
      <c r="BA135" s="306"/>
      <c r="BB135" s="306" t="s">
        <v>551</v>
      </c>
      <c r="BC135" s="315">
        <f t="shared" si="14"/>
        <v>0</v>
      </c>
      <c r="BD135" s="316" t="str">
        <f t="shared" si="20"/>
        <v>Desierto</v>
      </c>
    </row>
    <row r="136" spans="1:56" ht="38.25" x14ac:dyDescent="0.25">
      <c r="A136" s="308">
        <v>134</v>
      </c>
      <c r="B136" s="309" t="s">
        <v>792</v>
      </c>
      <c r="C136" s="310" t="s">
        <v>793</v>
      </c>
      <c r="D136" s="310" t="s">
        <v>794</v>
      </c>
      <c r="E136" s="303" t="s">
        <v>510</v>
      </c>
      <c r="F136" s="303" t="s">
        <v>510</v>
      </c>
      <c r="G136" s="303" t="s">
        <v>510</v>
      </c>
      <c r="H136" s="303" t="s">
        <v>511</v>
      </c>
      <c r="I136" s="303" t="s">
        <v>510</v>
      </c>
      <c r="J136" s="303" t="s">
        <v>511</v>
      </c>
      <c r="K136" s="303">
        <v>40</v>
      </c>
      <c r="L136" s="408">
        <f t="shared" si="15"/>
        <v>40</v>
      </c>
      <c r="M136" s="303" t="s">
        <v>504</v>
      </c>
      <c r="N136" s="303"/>
      <c r="O136" s="311"/>
      <c r="P136" s="311"/>
      <c r="Q136" s="311"/>
      <c r="R136" s="311"/>
      <c r="S136" s="311"/>
      <c r="T136" s="311"/>
      <c r="U136" s="311"/>
      <c r="V136" s="409">
        <f t="shared" si="16"/>
        <v>0</v>
      </c>
      <c r="W136" s="311"/>
      <c r="X136" s="311"/>
      <c r="Y136" s="300" t="s">
        <v>510</v>
      </c>
      <c r="Z136" s="300" t="s">
        <v>510</v>
      </c>
      <c r="AA136" s="300" t="s">
        <v>510</v>
      </c>
      <c r="AB136" s="300" t="s">
        <v>511</v>
      </c>
      <c r="AC136" s="300" t="s">
        <v>510</v>
      </c>
      <c r="AD136" s="300" t="s">
        <v>511</v>
      </c>
      <c r="AE136" s="318">
        <v>40</v>
      </c>
      <c r="AF136" s="410">
        <f t="shared" si="17"/>
        <v>40</v>
      </c>
      <c r="AG136" s="300" t="s">
        <v>504</v>
      </c>
      <c r="AH136" s="300"/>
      <c r="AI136" s="303" t="s">
        <v>510</v>
      </c>
      <c r="AJ136" s="303" t="s">
        <v>510</v>
      </c>
      <c r="AK136" s="303" t="s">
        <v>510</v>
      </c>
      <c r="AL136" s="303" t="s">
        <v>511</v>
      </c>
      <c r="AM136" s="303" t="s">
        <v>510</v>
      </c>
      <c r="AN136" s="303" t="s">
        <v>511</v>
      </c>
      <c r="AO136" s="303">
        <v>20</v>
      </c>
      <c r="AP136" s="290">
        <f t="shared" si="18"/>
        <v>20</v>
      </c>
      <c r="AQ136" s="303" t="s">
        <v>504</v>
      </c>
      <c r="AR136" s="303"/>
      <c r="AS136" s="303"/>
      <c r="AT136" s="303"/>
      <c r="AU136" s="303"/>
      <c r="AV136" s="303"/>
      <c r="AW136" s="303"/>
      <c r="AX136" s="303"/>
      <c r="AY136" s="303"/>
      <c r="AZ136" s="290">
        <f t="shared" si="19"/>
        <v>0</v>
      </c>
      <c r="BA136" s="303"/>
      <c r="BB136" s="301"/>
      <c r="BC136" s="315">
        <f t="shared" si="14"/>
        <v>3</v>
      </c>
      <c r="BD136" s="316" t="str">
        <f t="shared" si="20"/>
        <v>Habilitado</v>
      </c>
    </row>
    <row r="137" spans="1:56" x14ac:dyDescent="0.25">
      <c r="A137" s="308">
        <v>135</v>
      </c>
      <c r="B137" s="309" t="s">
        <v>795</v>
      </c>
      <c r="C137" s="310" t="s">
        <v>796</v>
      </c>
      <c r="D137" s="310" t="s">
        <v>71</v>
      </c>
      <c r="E137" s="311"/>
      <c r="F137" s="311"/>
      <c r="G137" s="311"/>
      <c r="H137" s="311"/>
      <c r="I137" s="311"/>
      <c r="J137" s="311"/>
      <c r="K137" s="311"/>
      <c r="L137" s="408">
        <f t="shared" si="15"/>
        <v>0</v>
      </c>
      <c r="M137" s="311"/>
      <c r="N137" s="320"/>
      <c r="O137" s="311"/>
      <c r="P137" s="311"/>
      <c r="Q137" s="311"/>
      <c r="R137" s="311"/>
      <c r="S137" s="311"/>
      <c r="T137" s="311"/>
      <c r="U137" s="311"/>
      <c r="V137" s="409">
        <f t="shared" si="16"/>
        <v>0</v>
      </c>
      <c r="W137" s="311"/>
      <c r="X137" s="311"/>
      <c r="Y137" s="300"/>
      <c r="Z137" s="300"/>
      <c r="AA137" s="300"/>
      <c r="AB137" s="300"/>
      <c r="AC137" s="300"/>
      <c r="AD137" s="300"/>
      <c r="AE137" s="318"/>
      <c r="AF137" s="410">
        <f t="shared" si="17"/>
        <v>0</v>
      </c>
      <c r="AG137" s="300"/>
      <c r="AH137" s="300"/>
      <c r="AI137" s="303"/>
      <c r="AJ137" s="303"/>
      <c r="AK137" s="303"/>
      <c r="AL137" s="303"/>
      <c r="AM137" s="303"/>
      <c r="AN137" s="303"/>
      <c r="AO137" s="303"/>
      <c r="AP137" s="290">
        <f t="shared" si="18"/>
        <v>0</v>
      </c>
      <c r="AQ137" s="303"/>
      <c r="AR137" s="303"/>
      <c r="AS137" s="303"/>
      <c r="AT137" s="303"/>
      <c r="AU137" s="303"/>
      <c r="AV137" s="303"/>
      <c r="AW137" s="303"/>
      <c r="AX137" s="303"/>
      <c r="AY137" s="303"/>
      <c r="AZ137" s="290">
        <f t="shared" si="19"/>
        <v>0</v>
      </c>
      <c r="BA137" s="303"/>
      <c r="BB137" s="303"/>
      <c r="BC137" s="315">
        <f t="shared" si="14"/>
        <v>0</v>
      </c>
      <c r="BD137" s="316" t="str">
        <f t="shared" si="20"/>
        <v>Desierto</v>
      </c>
    </row>
    <row r="138" spans="1:56" ht="25.5" x14ac:dyDescent="0.25">
      <c r="A138" s="308">
        <v>136</v>
      </c>
      <c r="B138" s="309" t="s">
        <v>797</v>
      </c>
      <c r="C138" s="310" t="s">
        <v>798</v>
      </c>
      <c r="D138" s="310" t="s">
        <v>144</v>
      </c>
      <c r="E138" s="303" t="s">
        <v>510</v>
      </c>
      <c r="F138" s="303" t="s">
        <v>510</v>
      </c>
      <c r="G138" s="303" t="s">
        <v>510</v>
      </c>
      <c r="H138" s="303" t="s">
        <v>511</v>
      </c>
      <c r="I138" s="303" t="s">
        <v>510</v>
      </c>
      <c r="J138" s="303" t="s">
        <v>510</v>
      </c>
      <c r="K138" s="303">
        <v>40</v>
      </c>
      <c r="L138" s="408">
        <f t="shared" si="15"/>
        <v>40</v>
      </c>
      <c r="M138" s="303" t="s">
        <v>504</v>
      </c>
      <c r="N138" s="303"/>
      <c r="O138" s="311"/>
      <c r="P138" s="311"/>
      <c r="Q138" s="311"/>
      <c r="R138" s="311"/>
      <c r="S138" s="311"/>
      <c r="T138" s="311"/>
      <c r="U138" s="311"/>
      <c r="V138" s="409">
        <f t="shared" si="16"/>
        <v>0</v>
      </c>
      <c r="W138" s="311"/>
      <c r="X138" s="311"/>
      <c r="Y138" s="300"/>
      <c r="Z138" s="300"/>
      <c r="AA138" s="300"/>
      <c r="AB138" s="300"/>
      <c r="AC138" s="300"/>
      <c r="AD138" s="300"/>
      <c r="AE138" s="318"/>
      <c r="AF138" s="410">
        <f t="shared" si="17"/>
        <v>0</v>
      </c>
      <c r="AG138" s="300"/>
      <c r="AH138" s="300"/>
      <c r="AI138" s="303"/>
      <c r="AJ138" s="303"/>
      <c r="AK138" s="303"/>
      <c r="AL138" s="303"/>
      <c r="AM138" s="303"/>
      <c r="AN138" s="303"/>
      <c r="AO138" s="303"/>
      <c r="AP138" s="290">
        <f t="shared" si="18"/>
        <v>0</v>
      </c>
      <c r="AQ138" s="303"/>
      <c r="AR138" s="303"/>
      <c r="AS138" s="303" t="s">
        <v>510</v>
      </c>
      <c r="AT138" s="303" t="s">
        <v>510</v>
      </c>
      <c r="AU138" s="303" t="s">
        <v>510</v>
      </c>
      <c r="AV138" s="303" t="s">
        <v>511</v>
      </c>
      <c r="AW138" s="303" t="s">
        <v>510</v>
      </c>
      <c r="AX138" s="303" t="s">
        <v>510</v>
      </c>
      <c r="AY138" s="303">
        <v>0</v>
      </c>
      <c r="AZ138" s="290">
        <f t="shared" si="19"/>
        <v>0</v>
      </c>
      <c r="BA138" s="303" t="s">
        <v>504</v>
      </c>
      <c r="BB138" s="306"/>
      <c r="BC138" s="315">
        <f t="shared" si="14"/>
        <v>2</v>
      </c>
      <c r="BD138" s="316" t="str">
        <f t="shared" si="20"/>
        <v>Habilitado</v>
      </c>
    </row>
    <row r="139" spans="1:56" ht="63.75" x14ac:dyDescent="0.25">
      <c r="A139" s="308">
        <v>137</v>
      </c>
      <c r="B139" s="309" t="s">
        <v>799</v>
      </c>
      <c r="C139" s="335" t="s">
        <v>800</v>
      </c>
      <c r="D139" s="360" t="s">
        <v>801</v>
      </c>
      <c r="E139" s="311"/>
      <c r="F139" s="311"/>
      <c r="G139" s="311"/>
      <c r="H139" s="311"/>
      <c r="I139" s="311"/>
      <c r="J139" s="311"/>
      <c r="K139" s="311"/>
      <c r="L139" s="408">
        <f t="shared" si="15"/>
        <v>0</v>
      </c>
      <c r="M139" s="311"/>
      <c r="N139" s="320"/>
      <c r="O139" s="311"/>
      <c r="P139" s="311"/>
      <c r="Q139" s="311"/>
      <c r="R139" s="311"/>
      <c r="S139" s="311"/>
      <c r="T139" s="311"/>
      <c r="U139" s="311"/>
      <c r="V139" s="409">
        <f t="shared" si="16"/>
        <v>0</v>
      </c>
      <c r="W139" s="311"/>
      <c r="X139" s="320"/>
      <c r="Y139" s="312"/>
      <c r="Z139" s="312"/>
      <c r="AA139" s="312"/>
      <c r="AB139" s="312"/>
      <c r="AC139" s="312"/>
      <c r="AD139" s="312"/>
      <c r="AE139" s="313"/>
      <c r="AF139" s="410">
        <f t="shared" si="17"/>
        <v>0</v>
      </c>
      <c r="AG139" s="312"/>
      <c r="AH139" s="317"/>
      <c r="AI139" s="303"/>
      <c r="AJ139" s="303"/>
      <c r="AK139" s="303"/>
      <c r="AL139" s="303"/>
      <c r="AM139" s="303"/>
      <c r="AN139" s="303"/>
      <c r="AO139" s="303"/>
      <c r="AP139" s="290">
        <f t="shared" si="18"/>
        <v>0</v>
      </c>
      <c r="AQ139" s="303"/>
      <c r="AR139" s="301"/>
      <c r="AS139" s="303"/>
      <c r="AT139" s="303"/>
      <c r="AU139" s="303"/>
      <c r="AV139" s="303"/>
      <c r="AW139" s="303"/>
      <c r="AX139" s="303"/>
      <c r="AY139" s="303"/>
      <c r="AZ139" s="290">
        <f t="shared" si="19"/>
        <v>0</v>
      </c>
      <c r="BA139" s="303"/>
      <c r="BB139" s="301"/>
      <c r="BC139" s="315">
        <f t="shared" si="14"/>
        <v>0</v>
      </c>
      <c r="BD139" s="316" t="str">
        <f t="shared" si="20"/>
        <v>Desierto</v>
      </c>
    </row>
    <row r="140" spans="1:56" ht="25.5" x14ac:dyDescent="0.25">
      <c r="A140" s="308">
        <v>138</v>
      </c>
      <c r="B140" s="309" t="s">
        <v>802</v>
      </c>
      <c r="C140" s="310" t="s">
        <v>518</v>
      </c>
      <c r="D140" s="310" t="s">
        <v>628</v>
      </c>
      <c r="E140" s="303" t="s">
        <v>510</v>
      </c>
      <c r="F140" s="303" t="s">
        <v>510</v>
      </c>
      <c r="G140" s="303" t="s">
        <v>510</v>
      </c>
      <c r="H140" s="303" t="s">
        <v>511</v>
      </c>
      <c r="I140" s="303" t="s">
        <v>510</v>
      </c>
      <c r="J140" s="303" t="s">
        <v>511</v>
      </c>
      <c r="K140" s="303">
        <v>40</v>
      </c>
      <c r="L140" s="408">
        <f t="shared" si="15"/>
        <v>40</v>
      </c>
      <c r="M140" s="303" t="s">
        <v>504</v>
      </c>
      <c r="N140" s="303"/>
      <c r="O140" s="311"/>
      <c r="P140" s="311"/>
      <c r="Q140" s="311"/>
      <c r="R140" s="311"/>
      <c r="S140" s="311"/>
      <c r="T140" s="311"/>
      <c r="U140" s="311"/>
      <c r="V140" s="409">
        <f t="shared" si="16"/>
        <v>0</v>
      </c>
      <c r="W140" s="311"/>
      <c r="X140" s="320"/>
      <c r="Y140" s="300" t="s">
        <v>510</v>
      </c>
      <c r="Z140" s="300" t="s">
        <v>510</v>
      </c>
      <c r="AA140" s="300" t="s">
        <v>510</v>
      </c>
      <c r="AB140" s="300" t="s">
        <v>511</v>
      </c>
      <c r="AC140" s="300" t="s">
        <v>510</v>
      </c>
      <c r="AD140" s="300" t="s">
        <v>511</v>
      </c>
      <c r="AE140" s="318">
        <v>40</v>
      </c>
      <c r="AF140" s="410">
        <f t="shared" si="17"/>
        <v>40</v>
      </c>
      <c r="AG140" s="300" t="s">
        <v>504</v>
      </c>
      <c r="AH140" s="300"/>
      <c r="AI140" s="303" t="s">
        <v>510</v>
      </c>
      <c r="AJ140" s="303" t="s">
        <v>510</v>
      </c>
      <c r="AK140" s="303" t="s">
        <v>510</v>
      </c>
      <c r="AL140" s="303" t="s">
        <v>511</v>
      </c>
      <c r="AM140" s="303" t="s">
        <v>510</v>
      </c>
      <c r="AN140" s="303" t="s">
        <v>511</v>
      </c>
      <c r="AO140" s="303">
        <v>20</v>
      </c>
      <c r="AP140" s="290">
        <f t="shared" si="18"/>
        <v>20</v>
      </c>
      <c r="AQ140" s="303" t="s">
        <v>504</v>
      </c>
      <c r="AR140" s="303"/>
      <c r="AS140" s="303" t="s">
        <v>510</v>
      </c>
      <c r="AT140" s="303" t="s">
        <v>510</v>
      </c>
      <c r="AU140" s="303" t="s">
        <v>510</v>
      </c>
      <c r="AV140" s="303" t="s">
        <v>511</v>
      </c>
      <c r="AW140" s="303" t="s">
        <v>510</v>
      </c>
      <c r="AX140" s="303" t="s">
        <v>511</v>
      </c>
      <c r="AY140" s="303">
        <v>0</v>
      </c>
      <c r="AZ140" s="290">
        <f t="shared" si="19"/>
        <v>0</v>
      </c>
      <c r="BA140" s="303" t="s">
        <v>504</v>
      </c>
      <c r="BB140" s="301"/>
      <c r="BC140" s="315">
        <f t="shared" si="14"/>
        <v>4</v>
      </c>
      <c r="BD140" s="316" t="str">
        <f t="shared" si="20"/>
        <v>Habilitado</v>
      </c>
    </row>
    <row r="141" spans="1:56" ht="51" x14ac:dyDescent="0.25">
      <c r="A141" s="308">
        <v>139</v>
      </c>
      <c r="B141" s="309" t="s">
        <v>803</v>
      </c>
      <c r="C141" s="310" t="s">
        <v>804</v>
      </c>
      <c r="D141" s="310" t="s">
        <v>742</v>
      </c>
      <c r="E141" s="311"/>
      <c r="F141" s="311"/>
      <c r="G141" s="311"/>
      <c r="H141" s="311"/>
      <c r="I141" s="311"/>
      <c r="J141" s="311"/>
      <c r="K141" s="311"/>
      <c r="L141" s="408">
        <f t="shared" si="15"/>
        <v>0</v>
      </c>
      <c r="M141" s="311"/>
      <c r="N141" s="303"/>
      <c r="O141" s="311"/>
      <c r="P141" s="311"/>
      <c r="Q141" s="311"/>
      <c r="R141" s="311"/>
      <c r="S141" s="311"/>
      <c r="T141" s="311"/>
      <c r="U141" s="311"/>
      <c r="V141" s="409">
        <f t="shared" si="16"/>
        <v>0</v>
      </c>
      <c r="W141" s="311"/>
      <c r="X141" s="311"/>
      <c r="Y141" s="300" t="s">
        <v>510</v>
      </c>
      <c r="Z141" s="300" t="s">
        <v>510</v>
      </c>
      <c r="AA141" s="300" t="s">
        <v>510</v>
      </c>
      <c r="AB141" s="300" t="s">
        <v>511</v>
      </c>
      <c r="AC141" s="300" t="s">
        <v>510</v>
      </c>
      <c r="AD141" s="300" t="s">
        <v>511</v>
      </c>
      <c r="AE141" s="318">
        <v>0</v>
      </c>
      <c r="AF141" s="410">
        <f t="shared" si="17"/>
        <v>0</v>
      </c>
      <c r="AG141" s="300" t="s">
        <v>504</v>
      </c>
      <c r="AH141" s="299"/>
      <c r="AI141" s="303" t="s">
        <v>510</v>
      </c>
      <c r="AJ141" s="303" t="s">
        <v>510</v>
      </c>
      <c r="AK141" s="303" t="s">
        <v>510</v>
      </c>
      <c r="AL141" s="303" t="s">
        <v>511</v>
      </c>
      <c r="AM141" s="303" t="s">
        <v>510</v>
      </c>
      <c r="AN141" s="303" t="s">
        <v>511</v>
      </c>
      <c r="AO141" s="303">
        <v>20</v>
      </c>
      <c r="AP141" s="290">
        <f t="shared" si="18"/>
        <v>20</v>
      </c>
      <c r="AQ141" s="303" t="s">
        <v>504</v>
      </c>
      <c r="AR141" s="303"/>
      <c r="AS141" s="303"/>
      <c r="AT141" s="303"/>
      <c r="AU141" s="303"/>
      <c r="AV141" s="303"/>
      <c r="AW141" s="303"/>
      <c r="AX141" s="303"/>
      <c r="AY141" s="303"/>
      <c r="AZ141" s="290">
        <f t="shared" si="19"/>
        <v>0</v>
      </c>
      <c r="BA141" s="303"/>
      <c r="BB141" s="301"/>
      <c r="BC141" s="315">
        <f t="shared" si="14"/>
        <v>2</v>
      </c>
      <c r="BD141" s="316" t="str">
        <f t="shared" si="20"/>
        <v>Habilitado</v>
      </c>
    </row>
    <row r="142" spans="1:56" ht="63.75" x14ac:dyDescent="0.25">
      <c r="A142" s="308">
        <v>140</v>
      </c>
      <c r="B142" s="309" t="s">
        <v>805</v>
      </c>
      <c r="C142" s="310" t="s">
        <v>518</v>
      </c>
      <c r="D142" s="310" t="s">
        <v>806</v>
      </c>
      <c r="E142" s="303" t="s">
        <v>510</v>
      </c>
      <c r="F142" s="303" t="s">
        <v>510</v>
      </c>
      <c r="G142" s="303" t="s">
        <v>510</v>
      </c>
      <c r="H142" s="303" t="s">
        <v>511</v>
      </c>
      <c r="I142" s="303" t="s">
        <v>510</v>
      </c>
      <c r="J142" s="303" t="s">
        <v>510</v>
      </c>
      <c r="K142" s="303">
        <v>40</v>
      </c>
      <c r="L142" s="408">
        <f t="shared" si="15"/>
        <v>40</v>
      </c>
      <c r="M142" s="303" t="s">
        <v>504</v>
      </c>
      <c r="N142" s="301" t="s">
        <v>807</v>
      </c>
      <c r="O142" s="311"/>
      <c r="P142" s="311"/>
      <c r="Q142" s="311"/>
      <c r="R142" s="311"/>
      <c r="S142" s="311"/>
      <c r="T142" s="311"/>
      <c r="U142" s="311"/>
      <c r="V142" s="409">
        <f t="shared" si="16"/>
        <v>0</v>
      </c>
      <c r="W142" s="311"/>
      <c r="X142" s="320"/>
      <c r="Y142" s="300" t="s">
        <v>510</v>
      </c>
      <c r="Z142" s="300" t="s">
        <v>510</v>
      </c>
      <c r="AA142" s="300" t="s">
        <v>510</v>
      </c>
      <c r="AB142" s="300" t="s">
        <v>511</v>
      </c>
      <c r="AC142" s="300" t="s">
        <v>510</v>
      </c>
      <c r="AD142" s="300" t="s">
        <v>510</v>
      </c>
      <c r="AE142" s="318">
        <v>40</v>
      </c>
      <c r="AF142" s="410">
        <f t="shared" si="17"/>
        <v>40</v>
      </c>
      <c r="AG142" s="300" t="s">
        <v>504</v>
      </c>
      <c r="AH142" s="299" t="s">
        <v>807</v>
      </c>
      <c r="AI142" s="303" t="s">
        <v>510</v>
      </c>
      <c r="AJ142" s="303" t="s">
        <v>510</v>
      </c>
      <c r="AK142" s="303" t="s">
        <v>510</v>
      </c>
      <c r="AL142" s="303" t="s">
        <v>511</v>
      </c>
      <c r="AM142" s="303" t="s">
        <v>510</v>
      </c>
      <c r="AN142" s="303" t="s">
        <v>510</v>
      </c>
      <c r="AO142" s="303">
        <v>20</v>
      </c>
      <c r="AP142" s="290">
        <f t="shared" si="18"/>
        <v>20</v>
      </c>
      <c r="AQ142" s="303" t="s">
        <v>504</v>
      </c>
      <c r="AR142" s="301" t="s">
        <v>807</v>
      </c>
      <c r="AS142" s="303"/>
      <c r="AT142" s="303"/>
      <c r="AU142" s="303"/>
      <c r="AV142" s="303"/>
      <c r="AW142" s="303"/>
      <c r="AX142" s="303"/>
      <c r="AY142" s="303"/>
      <c r="AZ142" s="290">
        <f t="shared" si="19"/>
        <v>0</v>
      </c>
      <c r="BA142" s="303"/>
      <c r="BB142" s="301"/>
      <c r="BC142" s="315">
        <f t="shared" si="14"/>
        <v>3</v>
      </c>
      <c r="BD142" s="316" t="str">
        <f t="shared" si="20"/>
        <v>Habilitado</v>
      </c>
    </row>
    <row r="143" spans="1:56" ht="51" x14ac:dyDescent="0.25">
      <c r="A143" s="308">
        <v>141</v>
      </c>
      <c r="B143" s="309" t="s">
        <v>808</v>
      </c>
      <c r="C143" s="310" t="s">
        <v>809</v>
      </c>
      <c r="D143" s="310" t="s">
        <v>745</v>
      </c>
      <c r="E143" s="303" t="s">
        <v>510</v>
      </c>
      <c r="F143" s="303" t="s">
        <v>510</v>
      </c>
      <c r="G143" s="303" t="s">
        <v>510</v>
      </c>
      <c r="H143" s="303" t="s">
        <v>511</v>
      </c>
      <c r="I143" s="303" t="s">
        <v>510</v>
      </c>
      <c r="J143" s="303" t="s">
        <v>511</v>
      </c>
      <c r="K143" s="303">
        <v>40</v>
      </c>
      <c r="L143" s="408">
        <f t="shared" si="15"/>
        <v>40</v>
      </c>
      <c r="M143" s="303" t="s">
        <v>504</v>
      </c>
      <c r="N143" s="301" t="s">
        <v>810</v>
      </c>
      <c r="O143" s="311"/>
      <c r="P143" s="311"/>
      <c r="Q143" s="311"/>
      <c r="R143" s="311"/>
      <c r="S143" s="311"/>
      <c r="T143" s="311"/>
      <c r="U143" s="311"/>
      <c r="V143" s="409">
        <f t="shared" si="16"/>
        <v>0</v>
      </c>
      <c r="W143" s="311"/>
      <c r="X143" s="320"/>
      <c r="Y143" s="300" t="s">
        <v>510</v>
      </c>
      <c r="Z143" s="300" t="s">
        <v>510</v>
      </c>
      <c r="AA143" s="300" t="s">
        <v>510</v>
      </c>
      <c r="AB143" s="300" t="s">
        <v>511</v>
      </c>
      <c r="AC143" s="300" t="s">
        <v>510</v>
      </c>
      <c r="AD143" s="300" t="s">
        <v>511</v>
      </c>
      <c r="AE143" s="318">
        <v>40</v>
      </c>
      <c r="AF143" s="410">
        <f t="shared" si="17"/>
        <v>40</v>
      </c>
      <c r="AG143" s="300" t="s">
        <v>504</v>
      </c>
      <c r="AH143" s="299" t="s">
        <v>810</v>
      </c>
      <c r="AI143" s="303"/>
      <c r="AJ143" s="303"/>
      <c r="AK143" s="303"/>
      <c r="AL143" s="303"/>
      <c r="AM143" s="303"/>
      <c r="AN143" s="303"/>
      <c r="AO143" s="303"/>
      <c r="AP143" s="290">
        <f t="shared" si="18"/>
        <v>0</v>
      </c>
      <c r="AQ143" s="303"/>
      <c r="AR143" s="301"/>
      <c r="AS143" s="303"/>
      <c r="AT143" s="303"/>
      <c r="AU143" s="303"/>
      <c r="AV143" s="303"/>
      <c r="AW143" s="303"/>
      <c r="AX143" s="303"/>
      <c r="AY143" s="303"/>
      <c r="AZ143" s="290">
        <f t="shared" si="19"/>
        <v>0</v>
      </c>
      <c r="BA143" s="303"/>
      <c r="BB143" s="301"/>
      <c r="BC143" s="315">
        <f t="shared" si="14"/>
        <v>2</v>
      </c>
      <c r="BD143" s="316" t="str">
        <f t="shared" si="20"/>
        <v>Habilitado</v>
      </c>
    </row>
    <row r="144" spans="1:56" ht="25.5" x14ac:dyDescent="0.25">
      <c r="A144" s="308">
        <v>142</v>
      </c>
      <c r="B144" s="309" t="s">
        <v>811</v>
      </c>
      <c r="C144" s="310" t="s">
        <v>518</v>
      </c>
      <c r="D144" s="310" t="s">
        <v>806</v>
      </c>
      <c r="E144" s="311"/>
      <c r="F144" s="311"/>
      <c r="G144" s="311"/>
      <c r="H144" s="311"/>
      <c r="I144" s="311"/>
      <c r="J144" s="311"/>
      <c r="K144" s="311"/>
      <c r="L144" s="408">
        <f t="shared" si="15"/>
        <v>0</v>
      </c>
      <c r="M144" s="311"/>
      <c r="N144" s="311"/>
      <c r="O144" s="311"/>
      <c r="P144" s="311"/>
      <c r="Q144" s="311"/>
      <c r="R144" s="311"/>
      <c r="S144" s="311"/>
      <c r="T144" s="311"/>
      <c r="U144" s="311"/>
      <c r="V144" s="409">
        <f t="shared" si="16"/>
        <v>0</v>
      </c>
      <c r="W144" s="311"/>
      <c r="X144" s="311"/>
      <c r="Y144" s="300" t="s">
        <v>510</v>
      </c>
      <c r="Z144" s="300" t="s">
        <v>510</v>
      </c>
      <c r="AA144" s="300" t="s">
        <v>510</v>
      </c>
      <c r="AB144" s="300" t="s">
        <v>511</v>
      </c>
      <c r="AC144" s="300" t="s">
        <v>510</v>
      </c>
      <c r="AD144" s="300" t="s">
        <v>511</v>
      </c>
      <c r="AE144" s="318">
        <v>40</v>
      </c>
      <c r="AF144" s="410">
        <f t="shared" si="17"/>
        <v>40</v>
      </c>
      <c r="AG144" s="300" t="s">
        <v>504</v>
      </c>
      <c r="AH144" s="300"/>
      <c r="AI144" s="303"/>
      <c r="AJ144" s="303"/>
      <c r="AK144" s="303"/>
      <c r="AL144" s="303"/>
      <c r="AM144" s="303"/>
      <c r="AN144" s="303"/>
      <c r="AO144" s="303"/>
      <c r="AP144" s="290">
        <f t="shared" si="18"/>
        <v>0</v>
      </c>
      <c r="AQ144" s="303"/>
      <c r="AR144" s="303"/>
      <c r="AS144" s="303"/>
      <c r="AT144" s="303"/>
      <c r="AU144" s="303"/>
      <c r="AV144" s="303"/>
      <c r="AW144" s="303"/>
      <c r="AX144" s="303"/>
      <c r="AY144" s="303"/>
      <c r="AZ144" s="290">
        <f t="shared" si="19"/>
        <v>0</v>
      </c>
      <c r="BA144" s="303"/>
      <c r="BB144" s="303"/>
      <c r="BC144" s="315">
        <f t="shared" si="14"/>
        <v>1</v>
      </c>
      <c r="BD144" s="316" t="str">
        <f t="shared" si="20"/>
        <v>Habilitado</v>
      </c>
    </row>
    <row r="145" spans="1:56" ht="51" x14ac:dyDescent="0.25">
      <c r="A145" s="308">
        <v>143</v>
      </c>
      <c r="B145" s="309" t="s">
        <v>812</v>
      </c>
      <c r="C145" s="310" t="s">
        <v>813</v>
      </c>
      <c r="D145" s="310" t="s">
        <v>123</v>
      </c>
      <c r="E145" s="303" t="s">
        <v>510</v>
      </c>
      <c r="F145" s="303" t="s">
        <v>510</v>
      </c>
      <c r="G145" s="303" t="s">
        <v>510</v>
      </c>
      <c r="H145" s="303" t="s">
        <v>511</v>
      </c>
      <c r="I145" s="303" t="s">
        <v>510</v>
      </c>
      <c r="J145" s="303" t="s">
        <v>511</v>
      </c>
      <c r="K145" s="303">
        <v>40</v>
      </c>
      <c r="L145" s="408">
        <f t="shared" si="15"/>
        <v>40</v>
      </c>
      <c r="M145" s="303" t="s">
        <v>504</v>
      </c>
      <c r="N145" s="303"/>
      <c r="O145" s="311"/>
      <c r="P145" s="311"/>
      <c r="Q145" s="311"/>
      <c r="R145" s="311"/>
      <c r="S145" s="311"/>
      <c r="T145" s="311"/>
      <c r="U145" s="311"/>
      <c r="V145" s="409">
        <f t="shared" si="16"/>
        <v>0</v>
      </c>
      <c r="W145" s="311"/>
      <c r="X145" s="320"/>
      <c r="Y145" s="300" t="s">
        <v>510</v>
      </c>
      <c r="Z145" s="300" t="s">
        <v>510</v>
      </c>
      <c r="AA145" s="300" t="s">
        <v>510</v>
      </c>
      <c r="AB145" s="300" t="s">
        <v>511</v>
      </c>
      <c r="AC145" s="300" t="s">
        <v>510</v>
      </c>
      <c r="AD145" s="300" t="s">
        <v>511</v>
      </c>
      <c r="AE145" s="318">
        <v>40</v>
      </c>
      <c r="AF145" s="410">
        <f t="shared" si="17"/>
        <v>40</v>
      </c>
      <c r="AG145" s="300" t="s">
        <v>504</v>
      </c>
      <c r="AH145" s="300"/>
      <c r="AI145" s="303" t="s">
        <v>510</v>
      </c>
      <c r="AJ145" s="303" t="s">
        <v>510</v>
      </c>
      <c r="AK145" s="303" t="s">
        <v>510</v>
      </c>
      <c r="AL145" s="303" t="s">
        <v>511</v>
      </c>
      <c r="AM145" s="303" t="s">
        <v>510</v>
      </c>
      <c r="AN145" s="303" t="s">
        <v>511</v>
      </c>
      <c r="AO145" s="303">
        <v>20</v>
      </c>
      <c r="AP145" s="290">
        <f t="shared" si="18"/>
        <v>20</v>
      </c>
      <c r="AQ145" s="303" t="s">
        <v>504</v>
      </c>
      <c r="AR145" s="303"/>
      <c r="AS145" s="303"/>
      <c r="AT145" s="303"/>
      <c r="AU145" s="303"/>
      <c r="AV145" s="303"/>
      <c r="AW145" s="303"/>
      <c r="AX145" s="303"/>
      <c r="AY145" s="303"/>
      <c r="AZ145" s="290">
        <f t="shared" si="19"/>
        <v>0</v>
      </c>
      <c r="BA145" s="303"/>
      <c r="BB145" s="301"/>
      <c r="BC145" s="315">
        <f t="shared" si="14"/>
        <v>3</v>
      </c>
      <c r="BD145" s="316" t="str">
        <f t="shared" si="20"/>
        <v>Habilitado</v>
      </c>
    </row>
    <row r="146" spans="1:56" ht="35.25" customHeight="1" x14ac:dyDescent="0.25">
      <c r="A146" s="324">
        <v>144</v>
      </c>
      <c r="B146" s="331" t="s">
        <v>814</v>
      </c>
      <c r="C146" s="331" t="s">
        <v>815</v>
      </c>
      <c r="D146" s="331" t="s">
        <v>123</v>
      </c>
      <c r="E146" s="306" t="s">
        <v>510</v>
      </c>
      <c r="F146" s="306" t="s">
        <v>510</v>
      </c>
      <c r="G146" s="306" t="s">
        <v>510</v>
      </c>
      <c r="H146" s="306" t="s">
        <v>511</v>
      </c>
      <c r="I146" s="303" t="s">
        <v>510</v>
      </c>
      <c r="J146" s="306" t="s">
        <v>511</v>
      </c>
      <c r="K146" s="306">
        <v>40</v>
      </c>
      <c r="L146" s="408">
        <f t="shared" si="15"/>
        <v>40</v>
      </c>
      <c r="M146" s="303" t="s">
        <v>504</v>
      </c>
      <c r="N146" s="306" t="s">
        <v>551</v>
      </c>
      <c r="O146" s="320"/>
      <c r="P146" s="320"/>
      <c r="Q146" s="320"/>
      <c r="R146" s="320"/>
      <c r="S146" s="320"/>
      <c r="T146" s="320"/>
      <c r="U146" s="320"/>
      <c r="V146" s="409">
        <f t="shared" si="16"/>
        <v>0</v>
      </c>
      <c r="W146" s="320"/>
      <c r="X146" s="320"/>
      <c r="Y146" s="299" t="s">
        <v>510</v>
      </c>
      <c r="Z146" s="299" t="s">
        <v>510</v>
      </c>
      <c r="AA146" s="299" t="s">
        <v>510</v>
      </c>
      <c r="AB146" s="299" t="s">
        <v>511</v>
      </c>
      <c r="AC146" s="300" t="s">
        <v>510</v>
      </c>
      <c r="AD146" s="299" t="s">
        <v>511</v>
      </c>
      <c r="AE146" s="318">
        <v>40</v>
      </c>
      <c r="AF146" s="410">
        <f t="shared" si="17"/>
        <v>40</v>
      </c>
      <c r="AG146" s="299" t="s">
        <v>504</v>
      </c>
      <c r="AH146" s="299"/>
      <c r="AI146" s="306" t="s">
        <v>510</v>
      </c>
      <c r="AJ146" s="306" t="s">
        <v>510</v>
      </c>
      <c r="AK146" s="306" t="s">
        <v>510</v>
      </c>
      <c r="AL146" s="306" t="s">
        <v>511</v>
      </c>
      <c r="AM146" s="303" t="s">
        <v>510</v>
      </c>
      <c r="AN146" s="306" t="s">
        <v>511</v>
      </c>
      <c r="AO146" s="303">
        <v>20</v>
      </c>
      <c r="AP146" s="290">
        <f t="shared" si="18"/>
        <v>20</v>
      </c>
      <c r="AQ146" s="303" t="s">
        <v>504</v>
      </c>
      <c r="AR146" s="306" t="s">
        <v>551</v>
      </c>
      <c r="AS146" s="306"/>
      <c r="AT146" s="306"/>
      <c r="AU146" s="306"/>
      <c r="AV146" s="306"/>
      <c r="AW146" s="306"/>
      <c r="AX146" s="306"/>
      <c r="AY146" s="306"/>
      <c r="AZ146" s="290">
        <f t="shared" si="19"/>
        <v>0</v>
      </c>
      <c r="BA146" s="306"/>
      <c r="BB146" s="306"/>
      <c r="BC146" s="315">
        <f t="shared" si="14"/>
        <v>3</v>
      </c>
      <c r="BD146" s="316" t="str">
        <f t="shared" si="20"/>
        <v>Habilitado</v>
      </c>
    </row>
    <row r="147" spans="1:56" ht="63.75" x14ac:dyDescent="0.25">
      <c r="A147" s="308">
        <v>145</v>
      </c>
      <c r="B147" s="309" t="s">
        <v>816</v>
      </c>
      <c r="C147" s="310" t="s">
        <v>338</v>
      </c>
      <c r="D147" s="310" t="s">
        <v>817</v>
      </c>
      <c r="E147" s="311"/>
      <c r="F147" s="311"/>
      <c r="G147" s="311"/>
      <c r="H147" s="311"/>
      <c r="I147" s="311"/>
      <c r="J147" s="311"/>
      <c r="K147" s="311"/>
      <c r="L147" s="408">
        <f t="shared" si="15"/>
        <v>0</v>
      </c>
      <c r="M147" s="311"/>
      <c r="N147" s="311"/>
      <c r="O147" s="311"/>
      <c r="P147" s="311"/>
      <c r="Q147" s="311"/>
      <c r="R147" s="311"/>
      <c r="S147" s="311"/>
      <c r="T147" s="311"/>
      <c r="U147" s="311"/>
      <c r="V147" s="409">
        <f t="shared" si="16"/>
        <v>0</v>
      </c>
      <c r="W147" s="311"/>
      <c r="X147" s="311"/>
      <c r="Y147" s="300"/>
      <c r="Z147" s="300"/>
      <c r="AA147" s="300"/>
      <c r="AB147" s="300"/>
      <c r="AC147" s="300"/>
      <c r="AD147" s="300"/>
      <c r="AE147" s="318"/>
      <c r="AF147" s="410">
        <f t="shared" si="17"/>
        <v>0</v>
      </c>
      <c r="AG147" s="300"/>
      <c r="AH147" s="300"/>
      <c r="AI147" s="303" t="s">
        <v>510</v>
      </c>
      <c r="AJ147" s="303" t="s">
        <v>510</v>
      </c>
      <c r="AK147" s="303" t="s">
        <v>510</v>
      </c>
      <c r="AL147" s="303" t="s">
        <v>511</v>
      </c>
      <c r="AM147" s="303" t="s">
        <v>510</v>
      </c>
      <c r="AN147" s="303" t="s">
        <v>511</v>
      </c>
      <c r="AO147" s="303">
        <v>20</v>
      </c>
      <c r="AP147" s="290">
        <f t="shared" si="18"/>
        <v>20</v>
      </c>
      <c r="AQ147" s="303" t="s">
        <v>504</v>
      </c>
      <c r="AR147" s="303"/>
      <c r="AS147" s="303"/>
      <c r="AT147" s="303"/>
      <c r="AU147" s="303"/>
      <c r="AV147" s="303"/>
      <c r="AW147" s="303"/>
      <c r="AX147" s="303"/>
      <c r="AY147" s="303"/>
      <c r="AZ147" s="290">
        <f t="shared" si="19"/>
        <v>0</v>
      </c>
      <c r="BA147" s="303"/>
      <c r="BB147" s="301"/>
      <c r="BC147" s="315">
        <f t="shared" si="14"/>
        <v>1</v>
      </c>
      <c r="BD147" s="316" t="str">
        <f t="shared" si="20"/>
        <v>Habilitado</v>
      </c>
    </row>
    <row r="148" spans="1:56" ht="76.5" x14ac:dyDescent="0.25">
      <c r="A148" s="308">
        <v>146</v>
      </c>
      <c r="B148" s="309" t="s">
        <v>818</v>
      </c>
      <c r="C148" s="310" t="s">
        <v>819</v>
      </c>
      <c r="D148" s="310" t="s">
        <v>457</v>
      </c>
      <c r="E148" s="303" t="s">
        <v>510</v>
      </c>
      <c r="F148" s="303" t="s">
        <v>510</v>
      </c>
      <c r="G148" s="303" t="s">
        <v>510</v>
      </c>
      <c r="H148" s="303" t="s">
        <v>511</v>
      </c>
      <c r="I148" s="303" t="s">
        <v>510</v>
      </c>
      <c r="J148" s="303" t="s">
        <v>511</v>
      </c>
      <c r="K148" s="303">
        <v>40</v>
      </c>
      <c r="L148" s="408">
        <f t="shared" si="15"/>
        <v>40</v>
      </c>
      <c r="M148" s="303" t="s">
        <v>504</v>
      </c>
      <c r="N148" s="303"/>
      <c r="O148" s="311"/>
      <c r="P148" s="311"/>
      <c r="Q148" s="311"/>
      <c r="R148" s="311"/>
      <c r="S148" s="311"/>
      <c r="T148" s="311"/>
      <c r="U148" s="311"/>
      <c r="V148" s="409">
        <f t="shared" si="16"/>
        <v>0</v>
      </c>
      <c r="W148" s="311"/>
      <c r="X148" s="311"/>
      <c r="Y148" s="300" t="s">
        <v>510</v>
      </c>
      <c r="Z148" s="300" t="s">
        <v>510</v>
      </c>
      <c r="AA148" s="300" t="s">
        <v>510</v>
      </c>
      <c r="AB148" s="300" t="s">
        <v>511</v>
      </c>
      <c r="AC148" s="300" t="s">
        <v>510</v>
      </c>
      <c r="AD148" s="300" t="s">
        <v>511</v>
      </c>
      <c r="AE148" s="318">
        <v>40</v>
      </c>
      <c r="AF148" s="410">
        <f t="shared" si="17"/>
        <v>40</v>
      </c>
      <c r="AG148" s="300" t="s">
        <v>504</v>
      </c>
      <c r="AH148" s="299" t="s">
        <v>820</v>
      </c>
      <c r="AI148" s="303" t="s">
        <v>510</v>
      </c>
      <c r="AJ148" s="303" t="s">
        <v>510</v>
      </c>
      <c r="AK148" s="303" t="s">
        <v>510</v>
      </c>
      <c r="AL148" s="303" t="s">
        <v>511</v>
      </c>
      <c r="AM148" s="303" t="s">
        <v>510</v>
      </c>
      <c r="AN148" s="303" t="s">
        <v>511</v>
      </c>
      <c r="AO148" s="303">
        <v>20</v>
      </c>
      <c r="AP148" s="290">
        <f t="shared" si="18"/>
        <v>20</v>
      </c>
      <c r="AQ148" s="303" t="s">
        <v>504</v>
      </c>
      <c r="AR148" s="303"/>
      <c r="AS148" s="303"/>
      <c r="AT148" s="303"/>
      <c r="AU148" s="303"/>
      <c r="AV148" s="303"/>
      <c r="AW148" s="303"/>
      <c r="AX148" s="303"/>
      <c r="AY148" s="303"/>
      <c r="AZ148" s="290">
        <f t="shared" si="19"/>
        <v>0</v>
      </c>
      <c r="BA148" s="303"/>
      <c r="BB148" s="301"/>
      <c r="BC148" s="315">
        <f t="shared" si="14"/>
        <v>3</v>
      </c>
      <c r="BD148" s="316" t="str">
        <f t="shared" si="20"/>
        <v>Habilitado</v>
      </c>
    </row>
    <row r="149" spans="1:56" ht="51" x14ac:dyDescent="0.25">
      <c r="A149" s="308">
        <v>147</v>
      </c>
      <c r="B149" s="309" t="s">
        <v>821</v>
      </c>
      <c r="C149" s="310" t="s">
        <v>822</v>
      </c>
      <c r="D149" s="310" t="s">
        <v>823</v>
      </c>
      <c r="E149" s="303" t="s">
        <v>510</v>
      </c>
      <c r="F149" s="303" t="s">
        <v>510</v>
      </c>
      <c r="G149" s="303" t="s">
        <v>510</v>
      </c>
      <c r="H149" s="303" t="s">
        <v>511</v>
      </c>
      <c r="I149" s="303" t="s">
        <v>510</v>
      </c>
      <c r="J149" s="303" t="s">
        <v>511</v>
      </c>
      <c r="K149" s="303">
        <v>40</v>
      </c>
      <c r="L149" s="408">
        <f t="shared" si="15"/>
        <v>40</v>
      </c>
      <c r="M149" s="303" t="s">
        <v>504</v>
      </c>
      <c r="N149" s="303"/>
      <c r="O149" s="311"/>
      <c r="P149" s="311"/>
      <c r="Q149" s="311"/>
      <c r="R149" s="311"/>
      <c r="S149" s="311"/>
      <c r="T149" s="311"/>
      <c r="U149" s="311"/>
      <c r="V149" s="409">
        <f t="shared" si="16"/>
        <v>0</v>
      </c>
      <c r="W149" s="311"/>
      <c r="X149" s="311"/>
      <c r="Y149" s="300"/>
      <c r="Z149" s="300"/>
      <c r="AA149" s="300"/>
      <c r="AB149" s="300"/>
      <c r="AC149" s="300"/>
      <c r="AD149" s="300"/>
      <c r="AE149" s="318"/>
      <c r="AF149" s="410">
        <f t="shared" si="17"/>
        <v>0</v>
      </c>
      <c r="AG149" s="300"/>
      <c r="AH149" s="300"/>
      <c r="AI149" s="303"/>
      <c r="AJ149" s="303"/>
      <c r="AK149" s="303"/>
      <c r="AL149" s="303"/>
      <c r="AM149" s="303"/>
      <c r="AN149" s="303"/>
      <c r="AO149" s="303"/>
      <c r="AP149" s="290">
        <f t="shared" si="18"/>
        <v>0</v>
      </c>
      <c r="AQ149" s="303"/>
      <c r="AR149" s="303"/>
      <c r="AS149" s="303"/>
      <c r="AT149" s="303"/>
      <c r="AU149" s="303"/>
      <c r="AV149" s="303"/>
      <c r="AW149" s="303"/>
      <c r="AX149" s="303"/>
      <c r="AY149" s="303"/>
      <c r="AZ149" s="290">
        <f t="shared" si="19"/>
        <v>0</v>
      </c>
      <c r="BA149" s="303"/>
      <c r="BB149" s="303"/>
      <c r="BC149" s="315">
        <f t="shared" si="14"/>
        <v>1</v>
      </c>
      <c r="BD149" s="316" t="str">
        <f t="shared" si="20"/>
        <v>Habilitado</v>
      </c>
    </row>
    <row r="150" spans="1:56" ht="25.5" x14ac:dyDescent="0.25">
      <c r="A150" s="308">
        <v>148</v>
      </c>
      <c r="B150" s="309" t="s">
        <v>824</v>
      </c>
      <c r="C150" s="310" t="s">
        <v>825</v>
      </c>
      <c r="D150" s="310" t="s">
        <v>56</v>
      </c>
      <c r="E150" s="303" t="s">
        <v>510</v>
      </c>
      <c r="F150" s="303" t="s">
        <v>510</v>
      </c>
      <c r="G150" s="303" t="s">
        <v>510</v>
      </c>
      <c r="H150" s="303" t="s">
        <v>511</v>
      </c>
      <c r="I150" s="303" t="s">
        <v>510</v>
      </c>
      <c r="J150" s="303" t="s">
        <v>511</v>
      </c>
      <c r="K150" s="303">
        <v>40</v>
      </c>
      <c r="L150" s="408">
        <f t="shared" si="15"/>
        <v>40</v>
      </c>
      <c r="M150" s="303" t="s">
        <v>504</v>
      </c>
      <c r="N150" s="303"/>
      <c r="O150" s="311"/>
      <c r="P150" s="311"/>
      <c r="Q150" s="311"/>
      <c r="R150" s="311"/>
      <c r="S150" s="311"/>
      <c r="T150" s="311"/>
      <c r="U150" s="311"/>
      <c r="V150" s="409">
        <f t="shared" si="16"/>
        <v>0</v>
      </c>
      <c r="W150" s="311"/>
      <c r="X150" s="311"/>
      <c r="Y150" s="300" t="s">
        <v>510</v>
      </c>
      <c r="Z150" s="300" t="s">
        <v>510</v>
      </c>
      <c r="AA150" s="300" t="s">
        <v>510</v>
      </c>
      <c r="AB150" s="300" t="s">
        <v>511</v>
      </c>
      <c r="AC150" s="300" t="s">
        <v>510</v>
      </c>
      <c r="AD150" s="300" t="s">
        <v>511</v>
      </c>
      <c r="AE150" s="318">
        <v>40</v>
      </c>
      <c r="AF150" s="410">
        <f t="shared" si="17"/>
        <v>40</v>
      </c>
      <c r="AG150" s="300" t="s">
        <v>504</v>
      </c>
      <c r="AH150" s="300"/>
      <c r="AI150" s="303"/>
      <c r="AJ150" s="303"/>
      <c r="AK150" s="303"/>
      <c r="AL150" s="303"/>
      <c r="AM150" s="303"/>
      <c r="AN150" s="303"/>
      <c r="AO150" s="303"/>
      <c r="AP150" s="290">
        <f t="shared" si="18"/>
        <v>0</v>
      </c>
      <c r="AQ150" s="303"/>
      <c r="AR150" s="303"/>
      <c r="AS150" s="303"/>
      <c r="AT150" s="303"/>
      <c r="AU150" s="303"/>
      <c r="AV150" s="303"/>
      <c r="AW150" s="303"/>
      <c r="AX150" s="303"/>
      <c r="AY150" s="303"/>
      <c r="AZ150" s="290">
        <f t="shared" si="19"/>
        <v>0</v>
      </c>
      <c r="BA150" s="303"/>
      <c r="BB150" s="303"/>
      <c r="BC150" s="315">
        <f t="shared" si="14"/>
        <v>2</v>
      </c>
      <c r="BD150" s="316" t="str">
        <f t="shared" si="20"/>
        <v>Habilitado</v>
      </c>
    </row>
    <row r="151" spans="1:56" x14ac:dyDescent="0.25">
      <c r="A151" s="308">
        <v>149</v>
      </c>
      <c r="B151" s="309" t="s">
        <v>826</v>
      </c>
      <c r="C151" s="310" t="s">
        <v>518</v>
      </c>
      <c r="D151" s="310" t="s">
        <v>794</v>
      </c>
      <c r="E151" s="303" t="s">
        <v>510</v>
      </c>
      <c r="F151" s="303" t="s">
        <v>510</v>
      </c>
      <c r="G151" s="303" t="s">
        <v>510</v>
      </c>
      <c r="H151" s="303" t="s">
        <v>511</v>
      </c>
      <c r="I151" s="303" t="s">
        <v>510</v>
      </c>
      <c r="J151" s="303" t="s">
        <v>511</v>
      </c>
      <c r="K151" s="303">
        <v>0</v>
      </c>
      <c r="L151" s="408">
        <f t="shared" si="15"/>
        <v>0</v>
      </c>
      <c r="M151" s="303" t="s">
        <v>504</v>
      </c>
      <c r="N151" s="303"/>
      <c r="O151" s="311"/>
      <c r="P151" s="311"/>
      <c r="Q151" s="311"/>
      <c r="R151" s="311"/>
      <c r="S151" s="311"/>
      <c r="T151" s="311"/>
      <c r="U151" s="311"/>
      <c r="V151" s="409">
        <f t="shared" si="16"/>
        <v>0</v>
      </c>
      <c r="W151" s="311"/>
      <c r="X151" s="311"/>
      <c r="Y151" s="300" t="s">
        <v>510</v>
      </c>
      <c r="Z151" s="300" t="s">
        <v>510</v>
      </c>
      <c r="AA151" s="300" t="s">
        <v>510</v>
      </c>
      <c r="AB151" s="300" t="s">
        <v>511</v>
      </c>
      <c r="AC151" s="300" t="s">
        <v>510</v>
      </c>
      <c r="AD151" s="300" t="s">
        <v>511</v>
      </c>
      <c r="AE151" s="318">
        <v>40</v>
      </c>
      <c r="AF151" s="410">
        <f t="shared" si="17"/>
        <v>40</v>
      </c>
      <c r="AG151" s="300" t="s">
        <v>504</v>
      </c>
      <c r="AH151" s="300"/>
      <c r="AI151" s="303"/>
      <c r="AJ151" s="303"/>
      <c r="AK151" s="303"/>
      <c r="AL151" s="303"/>
      <c r="AM151" s="303"/>
      <c r="AN151" s="303"/>
      <c r="AO151" s="303"/>
      <c r="AP151" s="290">
        <f t="shared" si="18"/>
        <v>0</v>
      </c>
      <c r="AQ151" s="303"/>
      <c r="AR151" s="303"/>
      <c r="AS151" s="303"/>
      <c r="AT151" s="303"/>
      <c r="AU151" s="303"/>
      <c r="AV151" s="303"/>
      <c r="AW151" s="303"/>
      <c r="AX151" s="303"/>
      <c r="AY151" s="303"/>
      <c r="AZ151" s="290">
        <f t="shared" si="19"/>
        <v>0</v>
      </c>
      <c r="BA151" s="303"/>
      <c r="BB151" s="303"/>
      <c r="BC151" s="315">
        <f t="shared" si="14"/>
        <v>2</v>
      </c>
      <c r="BD151" s="316" t="str">
        <f t="shared" si="20"/>
        <v>Habilitado</v>
      </c>
    </row>
    <row r="152" spans="1:56" ht="55.5" customHeight="1" x14ac:dyDescent="0.25">
      <c r="A152" s="308">
        <v>150</v>
      </c>
      <c r="B152" s="309" t="s">
        <v>827</v>
      </c>
      <c r="C152" s="310" t="s">
        <v>825</v>
      </c>
      <c r="D152" s="310" t="s">
        <v>56</v>
      </c>
      <c r="E152" s="303" t="s">
        <v>510</v>
      </c>
      <c r="F152" s="303" t="s">
        <v>510</v>
      </c>
      <c r="G152" s="303" t="s">
        <v>510</v>
      </c>
      <c r="H152" s="303" t="s">
        <v>511</v>
      </c>
      <c r="I152" s="303" t="s">
        <v>510</v>
      </c>
      <c r="J152" s="303" t="s">
        <v>511</v>
      </c>
      <c r="K152" s="303">
        <v>40</v>
      </c>
      <c r="L152" s="408">
        <f t="shared" si="15"/>
        <v>40</v>
      </c>
      <c r="M152" s="303" t="s">
        <v>504</v>
      </c>
      <c r="N152" s="301"/>
      <c r="O152" s="311"/>
      <c r="P152" s="311"/>
      <c r="Q152" s="311"/>
      <c r="R152" s="311"/>
      <c r="S152" s="311"/>
      <c r="T152" s="311"/>
      <c r="U152" s="311"/>
      <c r="V152" s="409">
        <f t="shared" si="16"/>
        <v>0</v>
      </c>
      <c r="W152" s="311"/>
      <c r="X152" s="311"/>
      <c r="Y152" s="300" t="s">
        <v>510</v>
      </c>
      <c r="Z152" s="300" t="s">
        <v>510</v>
      </c>
      <c r="AA152" s="300" t="s">
        <v>510</v>
      </c>
      <c r="AB152" s="300" t="s">
        <v>511</v>
      </c>
      <c r="AC152" s="300" t="s">
        <v>510</v>
      </c>
      <c r="AD152" s="300" t="s">
        <v>511</v>
      </c>
      <c r="AE152" s="318">
        <v>40</v>
      </c>
      <c r="AF152" s="410">
        <f t="shared" si="17"/>
        <v>40</v>
      </c>
      <c r="AG152" s="300" t="s">
        <v>504</v>
      </c>
      <c r="AH152" s="299"/>
      <c r="AI152" s="303" t="s">
        <v>510</v>
      </c>
      <c r="AJ152" s="303" t="s">
        <v>510</v>
      </c>
      <c r="AK152" s="303" t="s">
        <v>510</v>
      </c>
      <c r="AL152" s="303" t="s">
        <v>511</v>
      </c>
      <c r="AM152" s="303" t="s">
        <v>510</v>
      </c>
      <c r="AN152" s="303" t="s">
        <v>511</v>
      </c>
      <c r="AO152" s="303">
        <v>20</v>
      </c>
      <c r="AP152" s="290">
        <f t="shared" si="18"/>
        <v>20</v>
      </c>
      <c r="AQ152" s="303" t="s">
        <v>504</v>
      </c>
      <c r="AR152" s="303"/>
      <c r="AS152" s="303"/>
      <c r="AT152" s="303"/>
      <c r="AU152" s="303"/>
      <c r="AV152" s="303"/>
      <c r="AW152" s="303"/>
      <c r="AX152" s="303"/>
      <c r="AY152" s="303"/>
      <c r="AZ152" s="290">
        <f t="shared" si="19"/>
        <v>0</v>
      </c>
      <c r="BA152" s="303"/>
      <c r="BB152" s="301"/>
      <c r="BC152" s="315">
        <f t="shared" si="14"/>
        <v>3</v>
      </c>
      <c r="BD152" s="316" t="str">
        <f t="shared" si="20"/>
        <v>Habilitado</v>
      </c>
    </row>
    <row r="153" spans="1:56" ht="25.5" x14ac:dyDescent="0.25">
      <c r="A153" s="308">
        <v>151</v>
      </c>
      <c r="B153" s="309" t="s">
        <v>828</v>
      </c>
      <c r="C153" s="310" t="s">
        <v>829</v>
      </c>
      <c r="D153" s="310" t="s">
        <v>830</v>
      </c>
      <c r="E153" s="303" t="s">
        <v>510</v>
      </c>
      <c r="F153" s="303" t="s">
        <v>510</v>
      </c>
      <c r="G153" s="303" t="s">
        <v>510</v>
      </c>
      <c r="H153" s="303" t="s">
        <v>511</v>
      </c>
      <c r="I153" s="303" t="s">
        <v>510</v>
      </c>
      <c r="J153" s="303" t="s">
        <v>511</v>
      </c>
      <c r="K153" s="303">
        <v>40</v>
      </c>
      <c r="L153" s="408">
        <f t="shared" si="15"/>
        <v>40</v>
      </c>
      <c r="M153" s="303" t="s">
        <v>504</v>
      </c>
      <c r="N153" s="303"/>
      <c r="O153" s="311"/>
      <c r="P153" s="311"/>
      <c r="Q153" s="311"/>
      <c r="R153" s="311"/>
      <c r="S153" s="311"/>
      <c r="T153" s="311"/>
      <c r="U153" s="311"/>
      <c r="V153" s="409">
        <f t="shared" si="16"/>
        <v>0</v>
      </c>
      <c r="W153" s="311"/>
      <c r="X153" s="311"/>
      <c r="Y153" s="300"/>
      <c r="Z153" s="300"/>
      <c r="AA153" s="300"/>
      <c r="AB153" s="300"/>
      <c r="AC153" s="300"/>
      <c r="AD153" s="300"/>
      <c r="AE153" s="318"/>
      <c r="AF153" s="410">
        <f t="shared" si="17"/>
        <v>0</v>
      </c>
      <c r="AG153" s="300"/>
      <c r="AH153" s="299"/>
      <c r="AI153" s="303"/>
      <c r="AJ153" s="303"/>
      <c r="AK153" s="303"/>
      <c r="AL153" s="303"/>
      <c r="AM153" s="303"/>
      <c r="AN153" s="303"/>
      <c r="AO153" s="303"/>
      <c r="AP153" s="290">
        <f t="shared" si="18"/>
        <v>0</v>
      </c>
      <c r="AQ153" s="303"/>
      <c r="AR153" s="303"/>
      <c r="AS153" s="303"/>
      <c r="AT153" s="303"/>
      <c r="AU153" s="303"/>
      <c r="AV153" s="303"/>
      <c r="AW153" s="303"/>
      <c r="AX153" s="303"/>
      <c r="AY153" s="303"/>
      <c r="AZ153" s="290">
        <f t="shared" si="19"/>
        <v>0</v>
      </c>
      <c r="BA153" s="303"/>
      <c r="BB153" s="303"/>
      <c r="BC153" s="315">
        <f t="shared" si="14"/>
        <v>1</v>
      </c>
      <c r="BD153" s="316" t="str">
        <f t="shared" si="20"/>
        <v>Habilitado</v>
      </c>
    </row>
    <row r="154" spans="1:56" ht="25.5" x14ac:dyDescent="0.25">
      <c r="A154" s="308">
        <v>152</v>
      </c>
      <c r="B154" s="309" t="s">
        <v>831</v>
      </c>
      <c r="C154" s="310" t="s">
        <v>832</v>
      </c>
      <c r="D154" s="310" t="s">
        <v>833</v>
      </c>
      <c r="E154" s="303" t="s">
        <v>510</v>
      </c>
      <c r="F154" s="303" t="s">
        <v>510</v>
      </c>
      <c r="G154" s="303" t="s">
        <v>510</v>
      </c>
      <c r="H154" s="303" t="s">
        <v>511</v>
      </c>
      <c r="I154" s="303" t="s">
        <v>510</v>
      </c>
      <c r="J154" s="303" t="s">
        <v>511</v>
      </c>
      <c r="K154" s="303">
        <v>40</v>
      </c>
      <c r="L154" s="408">
        <f t="shared" si="15"/>
        <v>40</v>
      </c>
      <c r="M154" s="303" t="s">
        <v>504</v>
      </c>
      <c r="N154" s="303"/>
      <c r="O154" s="311"/>
      <c r="P154" s="311"/>
      <c r="Q154" s="311"/>
      <c r="R154" s="311"/>
      <c r="S154" s="311"/>
      <c r="T154" s="311"/>
      <c r="U154" s="311"/>
      <c r="V154" s="409">
        <f t="shared" si="16"/>
        <v>0</v>
      </c>
      <c r="W154" s="311"/>
      <c r="X154" s="311"/>
      <c r="Y154" s="300"/>
      <c r="Z154" s="300"/>
      <c r="AA154" s="300"/>
      <c r="AB154" s="300"/>
      <c r="AC154" s="300"/>
      <c r="AD154" s="300"/>
      <c r="AE154" s="318"/>
      <c r="AF154" s="410">
        <f t="shared" si="17"/>
        <v>0</v>
      </c>
      <c r="AG154" s="300"/>
      <c r="AH154" s="300"/>
      <c r="AI154" s="303"/>
      <c r="AJ154" s="303"/>
      <c r="AK154" s="303"/>
      <c r="AL154" s="303"/>
      <c r="AM154" s="303"/>
      <c r="AN154" s="303"/>
      <c r="AO154" s="303"/>
      <c r="AP154" s="290">
        <f t="shared" si="18"/>
        <v>0</v>
      </c>
      <c r="AQ154" s="303"/>
      <c r="AR154" s="303"/>
      <c r="AS154" s="303" t="s">
        <v>510</v>
      </c>
      <c r="AT154" s="303" t="s">
        <v>510</v>
      </c>
      <c r="AU154" s="303" t="s">
        <v>510</v>
      </c>
      <c r="AV154" s="303" t="s">
        <v>511</v>
      </c>
      <c r="AW154" s="303" t="s">
        <v>510</v>
      </c>
      <c r="AX154" s="303" t="s">
        <v>511</v>
      </c>
      <c r="AY154" s="303">
        <v>0</v>
      </c>
      <c r="AZ154" s="290">
        <f t="shared" si="19"/>
        <v>0</v>
      </c>
      <c r="BA154" s="303" t="s">
        <v>504</v>
      </c>
      <c r="BB154" s="303"/>
      <c r="BC154" s="315">
        <f t="shared" si="14"/>
        <v>2</v>
      </c>
      <c r="BD154" s="316" t="str">
        <f t="shared" si="20"/>
        <v>Habilitado</v>
      </c>
    </row>
    <row r="155" spans="1:56" x14ac:dyDescent="0.25">
      <c r="A155" s="308">
        <v>153</v>
      </c>
      <c r="B155" s="309" t="s">
        <v>834</v>
      </c>
      <c r="C155" s="310" t="s">
        <v>518</v>
      </c>
      <c r="D155" s="310" t="s">
        <v>794</v>
      </c>
      <c r="E155" s="311"/>
      <c r="F155" s="311"/>
      <c r="G155" s="311"/>
      <c r="H155" s="311"/>
      <c r="I155" s="311"/>
      <c r="J155" s="311"/>
      <c r="K155" s="311"/>
      <c r="L155" s="408">
        <f t="shared" si="15"/>
        <v>0</v>
      </c>
      <c r="M155" s="311"/>
      <c r="N155" s="311"/>
      <c r="O155" s="311"/>
      <c r="P155" s="311"/>
      <c r="Q155" s="311"/>
      <c r="R155" s="311"/>
      <c r="S155" s="311"/>
      <c r="T155" s="311"/>
      <c r="U155" s="311"/>
      <c r="V155" s="409">
        <f t="shared" si="16"/>
        <v>0</v>
      </c>
      <c r="W155" s="311"/>
      <c r="X155" s="311"/>
      <c r="Y155" s="300" t="s">
        <v>510</v>
      </c>
      <c r="Z155" s="300" t="s">
        <v>510</v>
      </c>
      <c r="AA155" s="300" t="s">
        <v>510</v>
      </c>
      <c r="AB155" s="300" t="s">
        <v>511</v>
      </c>
      <c r="AC155" s="300" t="s">
        <v>510</v>
      </c>
      <c r="AD155" s="300" t="s">
        <v>511</v>
      </c>
      <c r="AE155" s="318">
        <v>40</v>
      </c>
      <c r="AF155" s="410">
        <f t="shared" si="17"/>
        <v>40</v>
      </c>
      <c r="AG155" s="300" t="s">
        <v>504</v>
      </c>
      <c r="AH155" s="300"/>
      <c r="AI155" s="303"/>
      <c r="AJ155" s="303"/>
      <c r="AK155" s="303"/>
      <c r="AL155" s="303"/>
      <c r="AM155" s="303"/>
      <c r="AN155" s="303"/>
      <c r="AO155" s="303"/>
      <c r="AP155" s="290">
        <f t="shared" si="18"/>
        <v>0</v>
      </c>
      <c r="AQ155" s="303"/>
      <c r="AR155" s="303"/>
      <c r="AS155" s="303"/>
      <c r="AT155" s="303"/>
      <c r="AU155" s="303"/>
      <c r="AV155" s="303"/>
      <c r="AW155" s="303"/>
      <c r="AX155" s="303"/>
      <c r="AY155" s="303"/>
      <c r="AZ155" s="290">
        <f t="shared" si="19"/>
        <v>0</v>
      </c>
      <c r="BA155" s="303"/>
      <c r="BB155" s="303"/>
      <c r="BC155" s="315">
        <f t="shared" si="14"/>
        <v>1</v>
      </c>
      <c r="BD155" s="316" t="str">
        <f t="shared" si="20"/>
        <v>Habilitado</v>
      </c>
    </row>
    <row r="156" spans="1:56" ht="51" x14ac:dyDescent="0.25">
      <c r="A156" s="308">
        <v>154</v>
      </c>
      <c r="B156" s="309" t="s">
        <v>835</v>
      </c>
      <c r="C156" s="310" t="s">
        <v>518</v>
      </c>
      <c r="D156" s="310" t="s">
        <v>628</v>
      </c>
      <c r="E156" s="303" t="s">
        <v>510</v>
      </c>
      <c r="F156" s="303" t="s">
        <v>510</v>
      </c>
      <c r="G156" s="303" t="s">
        <v>510</v>
      </c>
      <c r="H156" s="303" t="s">
        <v>511</v>
      </c>
      <c r="I156" s="303" t="s">
        <v>510</v>
      </c>
      <c r="J156" s="303" t="s">
        <v>511</v>
      </c>
      <c r="K156" s="303">
        <v>40</v>
      </c>
      <c r="L156" s="408">
        <f t="shared" si="15"/>
        <v>40</v>
      </c>
      <c r="M156" s="303" t="s">
        <v>504</v>
      </c>
      <c r="N156" s="303"/>
      <c r="O156" s="311"/>
      <c r="P156" s="311"/>
      <c r="Q156" s="311"/>
      <c r="R156" s="311"/>
      <c r="S156" s="311"/>
      <c r="T156" s="311"/>
      <c r="U156" s="311"/>
      <c r="V156" s="409">
        <f t="shared" si="16"/>
        <v>0</v>
      </c>
      <c r="W156" s="311"/>
      <c r="X156" s="311"/>
      <c r="Y156" s="300" t="s">
        <v>510</v>
      </c>
      <c r="Z156" s="300" t="s">
        <v>510</v>
      </c>
      <c r="AA156" s="300" t="s">
        <v>510</v>
      </c>
      <c r="AB156" s="300" t="s">
        <v>511</v>
      </c>
      <c r="AC156" s="300" t="s">
        <v>510</v>
      </c>
      <c r="AD156" s="300" t="s">
        <v>511</v>
      </c>
      <c r="AE156" s="318">
        <v>40</v>
      </c>
      <c r="AF156" s="410">
        <f t="shared" si="17"/>
        <v>40</v>
      </c>
      <c r="AG156" s="300" t="s">
        <v>504</v>
      </c>
      <c r="AH156" s="300"/>
      <c r="AI156" s="303" t="s">
        <v>510</v>
      </c>
      <c r="AJ156" s="303" t="s">
        <v>510</v>
      </c>
      <c r="AK156" s="303" t="s">
        <v>510</v>
      </c>
      <c r="AL156" s="303" t="s">
        <v>511</v>
      </c>
      <c r="AM156" s="303" t="s">
        <v>510</v>
      </c>
      <c r="AN156" s="303" t="s">
        <v>511</v>
      </c>
      <c r="AO156" s="303">
        <v>20</v>
      </c>
      <c r="AP156" s="290">
        <f t="shared" si="18"/>
        <v>20</v>
      </c>
      <c r="AQ156" s="303" t="s">
        <v>504</v>
      </c>
      <c r="AR156" s="303"/>
      <c r="AS156" s="303"/>
      <c r="AT156" s="303"/>
      <c r="AU156" s="303"/>
      <c r="AV156" s="303"/>
      <c r="AW156" s="303"/>
      <c r="AX156" s="303"/>
      <c r="AY156" s="303"/>
      <c r="AZ156" s="290">
        <f t="shared" si="19"/>
        <v>0</v>
      </c>
      <c r="BA156" s="303"/>
      <c r="BB156" s="301"/>
      <c r="BC156" s="315">
        <f t="shared" si="14"/>
        <v>3</v>
      </c>
      <c r="BD156" s="316" t="str">
        <f t="shared" si="20"/>
        <v>Habilitado</v>
      </c>
    </row>
    <row r="157" spans="1:56" ht="25.5" x14ac:dyDescent="0.25">
      <c r="A157" s="308">
        <v>155</v>
      </c>
      <c r="B157" s="309" t="s">
        <v>836</v>
      </c>
      <c r="C157" s="310" t="s">
        <v>837</v>
      </c>
      <c r="D157" s="310" t="s">
        <v>838</v>
      </c>
      <c r="E157" s="303" t="s">
        <v>510</v>
      </c>
      <c r="F157" s="303" t="s">
        <v>510</v>
      </c>
      <c r="G157" s="303" t="s">
        <v>510</v>
      </c>
      <c r="H157" s="303" t="s">
        <v>511</v>
      </c>
      <c r="I157" s="303" t="s">
        <v>510</v>
      </c>
      <c r="J157" s="303" t="s">
        <v>511</v>
      </c>
      <c r="K157" s="303">
        <v>40</v>
      </c>
      <c r="L157" s="408">
        <f t="shared" si="15"/>
        <v>40</v>
      </c>
      <c r="M157" s="303" t="s">
        <v>504</v>
      </c>
      <c r="N157" s="303"/>
      <c r="O157" s="311"/>
      <c r="P157" s="311"/>
      <c r="Q157" s="311"/>
      <c r="R157" s="311"/>
      <c r="S157" s="311"/>
      <c r="T157" s="311"/>
      <c r="U157" s="311"/>
      <c r="V157" s="409">
        <f t="shared" si="16"/>
        <v>0</v>
      </c>
      <c r="W157" s="311"/>
      <c r="X157" s="311"/>
      <c r="Y157" s="300"/>
      <c r="Z157" s="300"/>
      <c r="AA157" s="300"/>
      <c r="AB157" s="300"/>
      <c r="AC157" s="300"/>
      <c r="AD157" s="300"/>
      <c r="AE157" s="318"/>
      <c r="AF157" s="410">
        <f t="shared" si="17"/>
        <v>0</v>
      </c>
      <c r="AG157" s="300"/>
      <c r="AH157" s="300"/>
      <c r="AI157" s="303"/>
      <c r="AJ157" s="303"/>
      <c r="AK157" s="303"/>
      <c r="AL157" s="303"/>
      <c r="AM157" s="303"/>
      <c r="AN157" s="303"/>
      <c r="AO157" s="303"/>
      <c r="AP157" s="290">
        <f t="shared" si="18"/>
        <v>0</v>
      </c>
      <c r="AQ157" s="303"/>
      <c r="AR157" s="303"/>
      <c r="AS157" s="303"/>
      <c r="AT157" s="303"/>
      <c r="AU157" s="303"/>
      <c r="AV157" s="303"/>
      <c r="AW157" s="303"/>
      <c r="AX157" s="303"/>
      <c r="AY157" s="303"/>
      <c r="AZ157" s="290">
        <f t="shared" si="19"/>
        <v>0</v>
      </c>
      <c r="BA157" s="303"/>
      <c r="BB157" s="303"/>
      <c r="BC157" s="315">
        <f t="shared" si="14"/>
        <v>1</v>
      </c>
      <c r="BD157" s="316" t="str">
        <f t="shared" si="20"/>
        <v>Habilitado</v>
      </c>
    </row>
    <row r="158" spans="1:56" ht="25.5" x14ac:dyDescent="0.25">
      <c r="A158" s="308">
        <v>156</v>
      </c>
      <c r="B158" s="309" t="s">
        <v>839</v>
      </c>
      <c r="C158" s="310" t="s">
        <v>518</v>
      </c>
      <c r="D158" s="310" t="s">
        <v>840</v>
      </c>
      <c r="E158" s="311"/>
      <c r="F158" s="311"/>
      <c r="G158" s="311"/>
      <c r="H158" s="311"/>
      <c r="I158" s="311"/>
      <c r="J158" s="311"/>
      <c r="K158" s="311"/>
      <c r="L158" s="408">
        <f t="shared" si="15"/>
        <v>0</v>
      </c>
      <c r="M158" s="311"/>
      <c r="N158" s="303"/>
      <c r="O158" s="311"/>
      <c r="P158" s="311"/>
      <c r="Q158" s="311"/>
      <c r="R158" s="311"/>
      <c r="S158" s="311"/>
      <c r="T158" s="311"/>
      <c r="U158" s="311"/>
      <c r="V158" s="409">
        <f t="shared" si="16"/>
        <v>0</v>
      </c>
      <c r="W158" s="311"/>
      <c r="X158" s="311"/>
      <c r="Y158" s="300"/>
      <c r="Z158" s="300"/>
      <c r="AA158" s="300"/>
      <c r="AB158" s="300"/>
      <c r="AC158" s="300"/>
      <c r="AD158" s="300"/>
      <c r="AE158" s="318"/>
      <c r="AF158" s="410">
        <f t="shared" si="17"/>
        <v>0</v>
      </c>
      <c r="AG158" s="300"/>
      <c r="AH158" s="299"/>
      <c r="AI158" s="303"/>
      <c r="AJ158" s="303"/>
      <c r="AK158" s="303"/>
      <c r="AL158" s="303"/>
      <c r="AM158" s="303"/>
      <c r="AN158" s="303"/>
      <c r="AO158" s="303"/>
      <c r="AP158" s="290">
        <f t="shared" si="18"/>
        <v>0</v>
      </c>
      <c r="AQ158" s="303"/>
      <c r="AR158" s="303"/>
      <c r="AS158" s="303"/>
      <c r="AT158" s="303"/>
      <c r="AU158" s="303"/>
      <c r="AV158" s="303"/>
      <c r="AW158" s="303"/>
      <c r="AX158" s="303"/>
      <c r="AY158" s="303"/>
      <c r="AZ158" s="290">
        <f t="shared" si="19"/>
        <v>0</v>
      </c>
      <c r="BA158" s="303"/>
      <c r="BB158" s="303"/>
      <c r="BC158" s="315">
        <f t="shared" si="14"/>
        <v>0</v>
      </c>
      <c r="BD158" s="316" t="str">
        <f t="shared" si="20"/>
        <v>Desierto</v>
      </c>
    </row>
    <row r="159" spans="1:56" x14ac:dyDescent="0.25">
      <c r="A159" s="308">
        <v>157</v>
      </c>
      <c r="B159" s="309" t="s">
        <v>841</v>
      </c>
      <c r="C159" s="310" t="s">
        <v>65</v>
      </c>
      <c r="D159" s="310" t="s">
        <v>628</v>
      </c>
      <c r="E159" s="311"/>
      <c r="F159" s="311"/>
      <c r="G159" s="311"/>
      <c r="H159" s="311"/>
      <c r="I159" s="311"/>
      <c r="J159" s="311"/>
      <c r="K159" s="311"/>
      <c r="L159" s="408">
        <f t="shared" si="15"/>
        <v>0</v>
      </c>
      <c r="M159" s="311"/>
      <c r="N159" s="311"/>
      <c r="O159" s="311"/>
      <c r="P159" s="311"/>
      <c r="Q159" s="311"/>
      <c r="R159" s="311"/>
      <c r="S159" s="311"/>
      <c r="T159" s="311"/>
      <c r="U159" s="311"/>
      <c r="V159" s="409">
        <f t="shared" si="16"/>
        <v>0</v>
      </c>
      <c r="W159" s="311"/>
      <c r="X159" s="311"/>
      <c r="Y159" s="300"/>
      <c r="Z159" s="300"/>
      <c r="AA159" s="300"/>
      <c r="AB159" s="300"/>
      <c r="AC159" s="300"/>
      <c r="AD159" s="300"/>
      <c r="AE159" s="318"/>
      <c r="AF159" s="410">
        <f t="shared" si="17"/>
        <v>0</v>
      </c>
      <c r="AG159" s="300"/>
      <c r="AH159" s="300"/>
      <c r="AI159" s="303"/>
      <c r="AJ159" s="303"/>
      <c r="AK159" s="303"/>
      <c r="AL159" s="303"/>
      <c r="AM159" s="303"/>
      <c r="AN159" s="303"/>
      <c r="AO159" s="303"/>
      <c r="AP159" s="290">
        <f t="shared" si="18"/>
        <v>0</v>
      </c>
      <c r="AQ159" s="303"/>
      <c r="AR159" s="303"/>
      <c r="AS159" s="303"/>
      <c r="AT159" s="303"/>
      <c r="AU159" s="303"/>
      <c r="AV159" s="303"/>
      <c r="AW159" s="303"/>
      <c r="AX159" s="303"/>
      <c r="AY159" s="303"/>
      <c r="AZ159" s="290">
        <f t="shared" si="19"/>
        <v>0</v>
      </c>
      <c r="BA159" s="303"/>
      <c r="BB159" s="303"/>
      <c r="BC159" s="315">
        <f t="shared" si="14"/>
        <v>0</v>
      </c>
      <c r="BD159" s="316" t="str">
        <f t="shared" si="20"/>
        <v>Desierto</v>
      </c>
    </row>
    <row r="160" spans="1:56" x14ac:dyDescent="0.25">
      <c r="A160" s="308">
        <v>158</v>
      </c>
      <c r="B160" s="309" t="s">
        <v>842</v>
      </c>
      <c r="C160" s="310" t="s">
        <v>65</v>
      </c>
      <c r="D160" s="310" t="s">
        <v>224</v>
      </c>
      <c r="E160" s="311"/>
      <c r="F160" s="311"/>
      <c r="G160" s="311"/>
      <c r="H160" s="311"/>
      <c r="I160" s="311"/>
      <c r="J160" s="311"/>
      <c r="K160" s="311"/>
      <c r="L160" s="408">
        <f t="shared" si="15"/>
        <v>0</v>
      </c>
      <c r="M160" s="311"/>
      <c r="N160" s="311"/>
      <c r="O160" s="311"/>
      <c r="P160" s="311"/>
      <c r="Q160" s="311"/>
      <c r="R160" s="311"/>
      <c r="S160" s="311"/>
      <c r="T160" s="311"/>
      <c r="U160" s="311"/>
      <c r="V160" s="409">
        <f t="shared" si="16"/>
        <v>0</v>
      </c>
      <c r="W160" s="311"/>
      <c r="X160" s="311"/>
      <c r="Y160" s="300"/>
      <c r="Z160" s="300"/>
      <c r="AA160" s="300"/>
      <c r="AB160" s="300"/>
      <c r="AC160" s="300"/>
      <c r="AD160" s="300"/>
      <c r="AE160" s="318"/>
      <c r="AF160" s="410">
        <f t="shared" si="17"/>
        <v>0</v>
      </c>
      <c r="AG160" s="300"/>
      <c r="AH160" s="300"/>
      <c r="AI160" s="303"/>
      <c r="AJ160" s="303"/>
      <c r="AK160" s="303"/>
      <c r="AL160" s="303"/>
      <c r="AM160" s="303"/>
      <c r="AN160" s="303"/>
      <c r="AO160" s="303"/>
      <c r="AP160" s="290">
        <f t="shared" si="18"/>
        <v>0</v>
      </c>
      <c r="AQ160" s="303"/>
      <c r="AR160" s="303"/>
      <c r="AS160" s="303"/>
      <c r="AT160" s="303"/>
      <c r="AU160" s="303"/>
      <c r="AV160" s="303"/>
      <c r="AW160" s="303"/>
      <c r="AX160" s="303"/>
      <c r="AY160" s="303"/>
      <c r="AZ160" s="290">
        <f t="shared" si="19"/>
        <v>0</v>
      </c>
      <c r="BA160" s="303"/>
      <c r="BB160" s="303"/>
      <c r="BC160" s="315">
        <f t="shared" si="14"/>
        <v>0</v>
      </c>
      <c r="BD160" s="316" t="str">
        <f t="shared" si="20"/>
        <v>Desierto</v>
      </c>
    </row>
    <row r="161" spans="1:56" ht="38.25" x14ac:dyDescent="0.25">
      <c r="A161" s="324">
        <v>159</v>
      </c>
      <c r="B161" s="331" t="s">
        <v>843</v>
      </c>
      <c r="C161" s="331" t="s">
        <v>608</v>
      </c>
      <c r="D161" s="331" t="s">
        <v>123</v>
      </c>
      <c r="E161" s="320"/>
      <c r="F161" s="320"/>
      <c r="G161" s="320"/>
      <c r="H161" s="320"/>
      <c r="I161" s="311"/>
      <c r="J161" s="320"/>
      <c r="K161" s="320"/>
      <c r="L161" s="408">
        <f t="shared" si="15"/>
        <v>0</v>
      </c>
      <c r="M161" s="311"/>
      <c r="N161" s="320"/>
      <c r="O161" s="320"/>
      <c r="P161" s="320"/>
      <c r="Q161" s="320"/>
      <c r="R161" s="320"/>
      <c r="S161" s="320"/>
      <c r="T161" s="320"/>
      <c r="U161" s="320"/>
      <c r="V161" s="409">
        <f t="shared" si="16"/>
        <v>0</v>
      </c>
      <c r="W161" s="320"/>
      <c r="X161" s="320"/>
      <c r="Y161" s="299"/>
      <c r="Z161" s="299"/>
      <c r="AA161" s="299"/>
      <c r="AB161" s="299"/>
      <c r="AC161" s="299"/>
      <c r="AD161" s="299"/>
      <c r="AE161" s="330"/>
      <c r="AF161" s="410">
        <f t="shared" si="17"/>
        <v>0</v>
      </c>
      <c r="AG161" s="299"/>
      <c r="AH161" s="299"/>
      <c r="AI161" s="306"/>
      <c r="AJ161" s="306"/>
      <c r="AK161" s="306"/>
      <c r="AL161" s="306"/>
      <c r="AM161" s="306"/>
      <c r="AN161" s="306"/>
      <c r="AO161" s="306"/>
      <c r="AP161" s="290">
        <f t="shared" si="18"/>
        <v>0</v>
      </c>
      <c r="AQ161" s="306"/>
      <c r="AR161" s="306"/>
      <c r="AS161" s="306"/>
      <c r="AT161" s="306"/>
      <c r="AU161" s="306"/>
      <c r="AV161" s="306"/>
      <c r="AW161" s="306"/>
      <c r="AX161" s="306"/>
      <c r="AY161" s="306"/>
      <c r="AZ161" s="290">
        <f t="shared" si="19"/>
        <v>0</v>
      </c>
      <c r="BA161" s="306"/>
      <c r="BB161" s="306" t="s">
        <v>551</v>
      </c>
      <c r="BC161" s="315">
        <f t="shared" si="14"/>
        <v>0</v>
      </c>
      <c r="BD161" s="316" t="str">
        <f t="shared" si="20"/>
        <v>Desierto</v>
      </c>
    </row>
    <row r="162" spans="1:56" ht="38.25" x14ac:dyDescent="0.25">
      <c r="A162" s="308">
        <v>160</v>
      </c>
      <c r="B162" s="309" t="s">
        <v>844</v>
      </c>
      <c r="C162" s="329" t="s">
        <v>845</v>
      </c>
      <c r="D162" s="411" t="s">
        <v>628</v>
      </c>
      <c r="E162" s="311"/>
      <c r="F162" s="311"/>
      <c r="G162" s="311"/>
      <c r="H162" s="311"/>
      <c r="I162" s="311"/>
      <c r="J162" s="311"/>
      <c r="K162" s="311"/>
      <c r="L162" s="408">
        <f t="shared" si="15"/>
        <v>0</v>
      </c>
      <c r="M162" s="311"/>
      <c r="N162" s="320"/>
      <c r="O162" s="311"/>
      <c r="P162" s="311"/>
      <c r="Q162" s="311"/>
      <c r="R162" s="311"/>
      <c r="S162" s="311"/>
      <c r="T162" s="311"/>
      <c r="U162" s="311"/>
      <c r="V162" s="409">
        <f t="shared" si="16"/>
        <v>0</v>
      </c>
      <c r="W162" s="311"/>
      <c r="X162" s="320"/>
      <c r="Y162" s="300" t="s">
        <v>510</v>
      </c>
      <c r="Z162" s="300" t="s">
        <v>510</v>
      </c>
      <c r="AA162" s="300" t="s">
        <v>510</v>
      </c>
      <c r="AB162" s="300" t="s">
        <v>511</v>
      </c>
      <c r="AC162" s="300" t="s">
        <v>510</v>
      </c>
      <c r="AD162" s="300" t="s">
        <v>511</v>
      </c>
      <c r="AE162" s="318">
        <v>40</v>
      </c>
      <c r="AF162" s="410">
        <f t="shared" si="17"/>
        <v>40</v>
      </c>
      <c r="AG162" s="300" t="s">
        <v>504</v>
      </c>
      <c r="AH162" s="300"/>
      <c r="AI162" s="303"/>
      <c r="AJ162" s="303"/>
      <c r="AK162" s="303"/>
      <c r="AL162" s="303"/>
      <c r="AM162" s="303"/>
      <c r="AN162" s="303"/>
      <c r="AO162" s="303"/>
      <c r="AP162" s="290">
        <f t="shared" si="18"/>
        <v>0</v>
      </c>
      <c r="AQ162" s="303"/>
      <c r="AR162" s="301"/>
      <c r="AS162" s="303"/>
      <c r="AT162" s="303"/>
      <c r="AU162" s="303"/>
      <c r="AV162" s="303"/>
      <c r="AW162" s="303"/>
      <c r="AX162" s="303"/>
      <c r="AY162" s="303"/>
      <c r="AZ162" s="290">
        <f t="shared" si="19"/>
        <v>0</v>
      </c>
      <c r="BA162" s="303"/>
      <c r="BB162" s="301"/>
      <c r="BC162" s="315">
        <f t="shared" si="14"/>
        <v>1</v>
      </c>
      <c r="BD162" s="316" t="str">
        <f t="shared" si="20"/>
        <v>Habilitado</v>
      </c>
    </row>
    <row r="163" spans="1:56" ht="51" x14ac:dyDescent="0.25">
      <c r="A163" s="308">
        <v>161</v>
      </c>
      <c r="B163" s="309" t="s">
        <v>846</v>
      </c>
      <c r="C163" s="310" t="s">
        <v>518</v>
      </c>
      <c r="D163" s="310" t="s">
        <v>847</v>
      </c>
      <c r="E163" s="311"/>
      <c r="F163" s="311"/>
      <c r="G163" s="311"/>
      <c r="H163" s="311"/>
      <c r="I163" s="311"/>
      <c r="J163" s="311"/>
      <c r="K163" s="311"/>
      <c r="L163" s="408">
        <f t="shared" si="15"/>
        <v>0</v>
      </c>
      <c r="M163" s="311"/>
      <c r="N163" s="320"/>
      <c r="O163" s="311"/>
      <c r="P163" s="311"/>
      <c r="Q163" s="311"/>
      <c r="R163" s="311"/>
      <c r="S163" s="311"/>
      <c r="T163" s="311"/>
      <c r="U163" s="311"/>
      <c r="V163" s="409">
        <f t="shared" si="16"/>
        <v>0</v>
      </c>
      <c r="W163" s="311"/>
      <c r="X163" s="320"/>
      <c r="Y163" s="300" t="s">
        <v>510</v>
      </c>
      <c r="Z163" s="300" t="s">
        <v>519</v>
      </c>
      <c r="AA163" s="300" t="s">
        <v>510</v>
      </c>
      <c r="AB163" s="300" t="s">
        <v>511</v>
      </c>
      <c r="AC163" s="300" t="s">
        <v>510</v>
      </c>
      <c r="AD163" s="300" t="s">
        <v>511</v>
      </c>
      <c r="AE163" s="318"/>
      <c r="AF163" s="410">
        <f t="shared" si="17"/>
        <v>0</v>
      </c>
      <c r="AG163" s="300" t="s">
        <v>520</v>
      </c>
      <c r="AH163" s="299" t="s">
        <v>848</v>
      </c>
      <c r="AI163" s="303"/>
      <c r="AJ163" s="303"/>
      <c r="AK163" s="303"/>
      <c r="AL163" s="303"/>
      <c r="AM163" s="303"/>
      <c r="AN163" s="303"/>
      <c r="AO163" s="303"/>
      <c r="AP163" s="290">
        <f t="shared" si="18"/>
        <v>0</v>
      </c>
      <c r="AQ163" s="303"/>
      <c r="AR163" s="301"/>
      <c r="AS163" s="303"/>
      <c r="AT163" s="303"/>
      <c r="AU163" s="303"/>
      <c r="AV163" s="303"/>
      <c r="AW163" s="303"/>
      <c r="AX163" s="303"/>
      <c r="AY163" s="303"/>
      <c r="AZ163" s="290">
        <f t="shared" si="19"/>
        <v>0</v>
      </c>
      <c r="BA163" s="303"/>
      <c r="BB163" s="301"/>
      <c r="BC163" s="315">
        <f t="shared" si="14"/>
        <v>0</v>
      </c>
      <c r="BD163" s="316" t="str">
        <f t="shared" si="20"/>
        <v>Desierto</v>
      </c>
    </row>
    <row r="164" spans="1:56" ht="25.5" x14ac:dyDescent="0.25">
      <c r="A164" s="308">
        <v>162</v>
      </c>
      <c r="B164" s="309" t="s">
        <v>849</v>
      </c>
      <c r="C164" s="310" t="s">
        <v>518</v>
      </c>
      <c r="D164" s="310" t="s">
        <v>547</v>
      </c>
      <c r="E164" s="311"/>
      <c r="F164" s="311"/>
      <c r="G164" s="311"/>
      <c r="H164" s="311"/>
      <c r="I164" s="311"/>
      <c r="J164" s="311"/>
      <c r="K164" s="311"/>
      <c r="L164" s="408">
        <f t="shared" si="15"/>
        <v>0</v>
      </c>
      <c r="M164" s="311"/>
      <c r="N164" s="311"/>
      <c r="O164" s="311"/>
      <c r="P164" s="311"/>
      <c r="Q164" s="311"/>
      <c r="R164" s="311"/>
      <c r="S164" s="311"/>
      <c r="T164" s="311"/>
      <c r="U164" s="311"/>
      <c r="V164" s="409">
        <f t="shared" si="16"/>
        <v>0</v>
      </c>
      <c r="W164" s="311"/>
      <c r="X164" s="311"/>
      <c r="Y164" s="300" t="s">
        <v>510</v>
      </c>
      <c r="Z164" s="300" t="s">
        <v>510</v>
      </c>
      <c r="AA164" s="300" t="s">
        <v>510</v>
      </c>
      <c r="AB164" s="300" t="s">
        <v>511</v>
      </c>
      <c r="AC164" s="300" t="s">
        <v>510</v>
      </c>
      <c r="AD164" s="300" t="s">
        <v>511</v>
      </c>
      <c r="AE164" s="318">
        <v>40</v>
      </c>
      <c r="AF164" s="410">
        <f t="shared" si="17"/>
        <v>40</v>
      </c>
      <c r="AG164" s="300" t="s">
        <v>504</v>
      </c>
      <c r="AH164" s="300"/>
      <c r="AI164" s="303" t="s">
        <v>510</v>
      </c>
      <c r="AJ164" s="303" t="s">
        <v>510</v>
      </c>
      <c r="AK164" s="303" t="s">
        <v>510</v>
      </c>
      <c r="AL164" s="303" t="s">
        <v>511</v>
      </c>
      <c r="AM164" s="303" t="s">
        <v>510</v>
      </c>
      <c r="AN164" s="303" t="s">
        <v>511</v>
      </c>
      <c r="AO164" s="303">
        <v>20</v>
      </c>
      <c r="AP164" s="290">
        <f t="shared" si="18"/>
        <v>20</v>
      </c>
      <c r="AQ164" s="303" t="s">
        <v>504</v>
      </c>
      <c r="AR164" s="303"/>
      <c r="AS164" s="303"/>
      <c r="AT164" s="303"/>
      <c r="AU164" s="303"/>
      <c r="AV164" s="303"/>
      <c r="AW164" s="303"/>
      <c r="AX164" s="303"/>
      <c r="AY164" s="303"/>
      <c r="AZ164" s="290">
        <f t="shared" si="19"/>
        <v>0</v>
      </c>
      <c r="BA164" s="303"/>
      <c r="BB164" s="301"/>
      <c r="BC164" s="315">
        <f t="shared" si="14"/>
        <v>2</v>
      </c>
      <c r="BD164" s="316" t="str">
        <f t="shared" si="20"/>
        <v>Habilitado</v>
      </c>
    </row>
    <row r="165" spans="1:56" ht="25.5" x14ac:dyDescent="0.25">
      <c r="A165" s="308">
        <v>163</v>
      </c>
      <c r="B165" s="309" t="s">
        <v>850</v>
      </c>
      <c r="C165" s="331" t="s">
        <v>851</v>
      </c>
      <c r="D165" s="411" t="s">
        <v>806</v>
      </c>
      <c r="E165" s="303" t="s">
        <v>510</v>
      </c>
      <c r="F165" s="303" t="s">
        <v>510</v>
      </c>
      <c r="G165" s="303" t="s">
        <v>510</v>
      </c>
      <c r="H165" s="303" t="s">
        <v>511</v>
      </c>
      <c r="I165" s="303" t="s">
        <v>510</v>
      </c>
      <c r="J165" s="303" t="s">
        <v>511</v>
      </c>
      <c r="K165" s="303">
        <v>40</v>
      </c>
      <c r="L165" s="408">
        <f t="shared" si="15"/>
        <v>40</v>
      </c>
      <c r="M165" s="303" t="s">
        <v>504</v>
      </c>
      <c r="N165" s="303"/>
      <c r="O165" s="311"/>
      <c r="P165" s="311"/>
      <c r="Q165" s="311"/>
      <c r="R165" s="311"/>
      <c r="S165" s="311"/>
      <c r="T165" s="311"/>
      <c r="U165" s="311"/>
      <c r="V165" s="409">
        <f t="shared" si="16"/>
        <v>0</v>
      </c>
      <c r="W165" s="311"/>
      <c r="X165" s="320"/>
      <c r="Y165" s="300"/>
      <c r="Z165" s="300"/>
      <c r="AA165" s="300"/>
      <c r="AB165" s="300"/>
      <c r="AC165" s="300"/>
      <c r="AD165" s="300"/>
      <c r="AE165" s="318"/>
      <c r="AF165" s="410">
        <f t="shared" si="17"/>
        <v>0</v>
      </c>
      <c r="AG165" s="300"/>
      <c r="AH165" s="299"/>
      <c r="AI165" s="303"/>
      <c r="AJ165" s="303"/>
      <c r="AK165" s="303"/>
      <c r="AL165" s="303"/>
      <c r="AM165" s="303"/>
      <c r="AN165" s="303"/>
      <c r="AO165" s="303"/>
      <c r="AP165" s="290">
        <f t="shared" si="18"/>
        <v>0</v>
      </c>
      <c r="AQ165" s="303"/>
      <c r="AR165" s="301"/>
      <c r="AS165" s="303"/>
      <c r="AT165" s="303"/>
      <c r="AU165" s="303"/>
      <c r="AV165" s="303"/>
      <c r="AW165" s="303"/>
      <c r="AX165" s="303"/>
      <c r="AY165" s="303"/>
      <c r="AZ165" s="290">
        <f t="shared" si="19"/>
        <v>0</v>
      </c>
      <c r="BA165" s="303"/>
      <c r="BB165" s="301"/>
      <c r="BC165" s="315">
        <f t="shared" si="14"/>
        <v>1</v>
      </c>
      <c r="BD165" s="316" t="str">
        <f t="shared" si="20"/>
        <v>Habilitado</v>
      </c>
    </row>
    <row r="166" spans="1:56" ht="25.5" x14ac:dyDescent="0.25">
      <c r="A166" s="308">
        <v>164</v>
      </c>
      <c r="B166" s="309" t="s">
        <v>852</v>
      </c>
      <c r="C166" s="310" t="s">
        <v>853</v>
      </c>
      <c r="D166" s="310" t="s">
        <v>628</v>
      </c>
      <c r="E166" s="311"/>
      <c r="F166" s="311"/>
      <c r="G166" s="311"/>
      <c r="H166" s="311"/>
      <c r="I166" s="311"/>
      <c r="J166" s="311"/>
      <c r="K166" s="311"/>
      <c r="L166" s="408">
        <f t="shared" si="15"/>
        <v>0</v>
      </c>
      <c r="M166" s="311"/>
      <c r="N166" s="311"/>
      <c r="O166" s="311"/>
      <c r="P166" s="311"/>
      <c r="Q166" s="311"/>
      <c r="R166" s="311"/>
      <c r="S166" s="311"/>
      <c r="T166" s="311"/>
      <c r="U166" s="311"/>
      <c r="V166" s="409">
        <f t="shared" si="16"/>
        <v>0</v>
      </c>
      <c r="W166" s="311"/>
      <c r="X166" s="311"/>
      <c r="Y166" s="300"/>
      <c r="Z166" s="300"/>
      <c r="AA166" s="300"/>
      <c r="AB166" s="300"/>
      <c r="AC166" s="300"/>
      <c r="AD166" s="300"/>
      <c r="AE166" s="318"/>
      <c r="AF166" s="410">
        <f t="shared" si="17"/>
        <v>0</v>
      </c>
      <c r="AG166" s="300"/>
      <c r="AH166" s="300"/>
      <c r="AI166" s="303"/>
      <c r="AJ166" s="303"/>
      <c r="AK166" s="303"/>
      <c r="AL166" s="303"/>
      <c r="AM166" s="303"/>
      <c r="AN166" s="303"/>
      <c r="AO166" s="303"/>
      <c r="AP166" s="290">
        <f t="shared" si="18"/>
        <v>0</v>
      </c>
      <c r="AQ166" s="303"/>
      <c r="AR166" s="303"/>
      <c r="AS166" s="303"/>
      <c r="AT166" s="303"/>
      <c r="AU166" s="303"/>
      <c r="AV166" s="303"/>
      <c r="AW166" s="303"/>
      <c r="AX166" s="303"/>
      <c r="AY166" s="303"/>
      <c r="AZ166" s="290">
        <f t="shared" si="19"/>
        <v>0</v>
      </c>
      <c r="BA166" s="303"/>
      <c r="BB166" s="303"/>
      <c r="BC166" s="315">
        <f t="shared" si="14"/>
        <v>0</v>
      </c>
      <c r="BD166" s="316" t="str">
        <f t="shared" si="20"/>
        <v>Desierto</v>
      </c>
    </row>
    <row r="167" spans="1:56" ht="25.5" x14ac:dyDescent="0.25">
      <c r="A167" s="324">
        <v>165</v>
      </c>
      <c r="B167" s="331" t="s">
        <v>854</v>
      </c>
      <c r="C167" s="331" t="s">
        <v>855</v>
      </c>
      <c r="D167" s="331" t="s">
        <v>280</v>
      </c>
      <c r="E167" s="320"/>
      <c r="F167" s="320"/>
      <c r="G167" s="320"/>
      <c r="H167" s="320"/>
      <c r="I167" s="311"/>
      <c r="J167" s="320"/>
      <c r="K167" s="320"/>
      <c r="L167" s="408">
        <f t="shared" si="15"/>
        <v>0</v>
      </c>
      <c r="M167" s="311"/>
      <c r="N167" s="320"/>
      <c r="O167" s="320"/>
      <c r="P167" s="320"/>
      <c r="Q167" s="320"/>
      <c r="R167" s="320"/>
      <c r="S167" s="320"/>
      <c r="T167" s="320"/>
      <c r="U167" s="320"/>
      <c r="V167" s="409">
        <f t="shared" si="16"/>
        <v>0</v>
      </c>
      <c r="W167" s="320"/>
      <c r="X167" s="320"/>
      <c r="Y167" s="299"/>
      <c r="Z167" s="299"/>
      <c r="AA167" s="299"/>
      <c r="AB167" s="299"/>
      <c r="AC167" s="299"/>
      <c r="AD167" s="299"/>
      <c r="AE167" s="330"/>
      <c r="AF167" s="410">
        <f t="shared" si="17"/>
        <v>0</v>
      </c>
      <c r="AG167" s="299"/>
      <c r="AH167" s="299"/>
      <c r="AI167" s="306"/>
      <c r="AJ167" s="306"/>
      <c r="AK167" s="306"/>
      <c r="AL167" s="306"/>
      <c r="AM167" s="306"/>
      <c r="AN167" s="306"/>
      <c r="AO167" s="306"/>
      <c r="AP167" s="290">
        <f t="shared" si="18"/>
        <v>0</v>
      </c>
      <c r="AQ167" s="306"/>
      <c r="AR167" s="306"/>
      <c r="AS167" s="306"/>
      <c r="AT167" s="306"/>
      <c r="AU167" s="306"/>
      <c r="AV167" s="306"/>
      <c r="AW167" s="306"/>
      <c r="AX167" s="306"/>
      <c r="AY167" s="306"/>
      <c r="AZ167" s="290">
        <f t="shared" si="19"/>
        <v>0</v>
      </c>
      <c r="BA167" s="306"/>
      <c r="BB167" s="306" t="s">
        <v>551</v>
      </c>
      <c r="BC167" s="315">
        <f t="shared" si="14"/>
        <v>0</v>
      </c>
      <c r="BD167" s="316" t="str">
        <f t="shared" si="20"/>
        <v>Desierto</v>
      </c>
    </row>
    <row r="168" spans="1:56" ht="25.5" x14ac:dyDescent="0.25">
      <c r="A168" s="308">
        <v>166</v>
      </c>
      <c r="B168" s="309" t="s">
        <v>856</v>
      </c>
      <c r="C168" s="310" t="s">
        <v>857</v>
      </c>
      <c r="D168" s="310" t="s">
        <v>123</v>
      </c>
      <c r="E168" s="311"/>
      <c r="F168" s="311"/>
      <c r="G168" s="311"/>
      <c r="H168" s="311"/>
      <c r="I168" s="311"/>
      <c r="J168" s="311"/>
      <c r="K168" s="311"/>
      <c r="L168" s="408">
        <f t="shared" si="15"/>
        <v>0</v>
      </c>
      <c r="M168" s="311"/>
      <c r="N168" s="311"/>
      <c r="O168" s="311"/>
      <c r="P168" s="311"/>
      <c r="Q168" s="311"/>
      <c r="R168" s="311"/>
      <c r="S168" s="311"/>
      <c r="T168" s="311"/>
      <c r="U168" s="311"/>
      <c r="V168" s="409">
        <f t="shared" si="16"/>
        <v>0</v>
      </c>
      <c r="W168" s="311"/>
      <c r="X168" s="311"/>
      <c r="Y168" s="300"/>
      <c r="Z168" s="300"/>
      <c r="AA168" s="300"/>
      <c r="AB168" s="300"/>
      <c r="AC168" s="300"/>
      <c r="AD168" s="300"/>
      <c r="AE168" s="318"/>
      <c r="AF168" s="410">
        <f t="shared" si="17"/>
        <v>0</v>
      </c>
      <c r="AG168" s="300"/>
      <c r="AH168" s="300"/>
      <c r="AI168" s="303"/>
      <c r="AJ168" s="303"/>
      <c r="AK168" s="303"/>
      <c r="AL168" s="303"/>
      <c r="AM168" s="303"/>
      <c r="AN168" s="303"/>
      <c r="AO168" s="303"/>
      <c r="AP168" s="290">
        <f t="shared" si="18"/>
        <v>0</v>
      </c>
      <c r="AQ168" s="303"/>
      <c r="AR168" s="303"/>
      <c r="AS168" s="303"/>
      <c r="AT168" s="303"/>
      <c r="AU168" s="303"/>
      <c r="AV168" s="303"/>
      <c r="AW168" s="303"/>
      <c r="AX168" s="303"/>
      <c r="AY168" s="303"/>
      <c r="AZ168" s="290">
        <f t="shared" si="19"/>
        <v>0</v>
      </c>
      <c r="BA168" s="303"/>
      <c r="BB168" s="303"/>
      <c r="BC168" s="315">
        <f t="shared" si="14"/>
        <v>0</v>
      </c>
      <c r="BD168" s="316" t="str">
        <f t="shared" si="20"/>
        <v>Desierto</v>
      </c>
    </row>
    <row r="169" spans="1:56" ht="38.25" x14ac:dyDescent="0.25">
      <c r="A169" s="308">
        <v>167</v>
      </c>
      <c r="B169" s="309" t="s">
        <v>858</v>
      </c>
      <c r="C169" s="310" t="s">
        <v>608</v>
      </c>
      <c r="D169" s="310" t="s">
        <v>628</v>
      </c>
      <c r="E169" s="311"/>
      <c r="F169" s="311"/>
      <c r="G169" s="311"/>
      <c r="H169" s="311"/>
      <c r="I169" s="311"/>
      <c r="J169" s="311"/>
      <c r="K169" s="311"/>
      <c r="L169" s="408">
        <f t="shared" si="15"/>
        <v>0</v>
      </c>
      <c r="M169" s="311"/>
      <c r="N169" s="311"/>
      <c r="O169" s="311"/>
      <c r="P169" s="311"/>
      <c r="Q169" s="311"/>
      <c r="R169" s="311"/>
      <c r="S169" s="311"/>
      <c r="T169" s="311"/>
      <c r="U169" s="311"/>
      <c r="V169" s="409">
        <f t="shared" si="16"/>
        <v>0</v>
      </c>
      <c r="W169" s="311"/>
      <c r="X169" s="311"/>
      <c r="Y169" s="300"/>
      <c r="Z169" s="300"/>
      <c r="AA169" s="300"/>
      <c r="AB169" s="300"/>
      <c r="AC169" s="300"/>
      <c r="AD169" s="300"/>
      <c r="AE169" s="318"/>
      <c r="AF169" s="410">
        <f t="shared" si="17"/>
        <v>0</v>
      </c>
      <c r="AG169" s="300"/>
      <c r="AH169" s="300"/>
      <c r="AI169" s="303"/>
      <c r="AJ169" s="303"/>
      <c r="AK169" s="303"/>
      <c r="AL169" s="303"/>
      <c r="AM169" s="303"/>
      <c r="AN169" s="303"/>
      <c r="AO169" s="303"/>
      <c r="AP169" s="290">
        <f t="shared" si="18"/>
        <v>0</v>
      </c>
      <c r="AQ169" s="303"/>
      <c r="AR169" s="303"/>
      <c r="AS169" s="303"/>
      <c r="AT169" s="303"/>
      <c r="AU169" s="303"/>
      <c r="AV169" s="303"/>
      <c r="AW169" s="303"/>
      <c r="AX169" s="303"/>
      <c r="AY169" s="303"/>
      <c r="AZ169" s="290">
        <f t="shared" si="19"/>
        <v>0</v>
      </c>
      <c r="BA169" s="303"/>
      <c r="BB169" s="303"/>
      <c r="BC169" s="315">
        <f t="shared" si="14"/>
        <v>0</v>
      </c>
      <c r="BD169" s="316" t="str">
        <f t="shared" si="20"/>
        <v>Desierto</v>
      </c>
    </row>
    <row r="170" spans="1:56" ht="25.5" x14ac:dyDescent="0.25">
      <c r="A170" s="308">
        <v>168</v>
      </c>
      <c r="B170" s="309" t="s">
        <v>859</v>
      </c>
      <c r="C170" s="310" t="s">
        <v>860</v>
      </c>
      <c r="D170" s="310" t="s">
        <v>628</v>
      </c>
      <c r="E170" s="311"/>
      <c r="F170" s="311"/>
      <c r="G170" s="311"/>
      <c r="H170" s="311"/>
      <c r="I170" s="311"/>
      <c r="J170" s="311"/>
      <c r="K170" s="311"/>
      <c r="L170" s="408">
        <f t="shared" si="15"/>
        <v>0</v>
      </c>
      <c r="M170" s="311"/>
      <c r="N170" s="311"/>
      <c r="O170" s="311"/>
      <c r="P170" s="311"/>
      <c r="Q170" s="311"/>
      <c r="R170" s="311"/>
      <c r="S170" s="311"/>
      <c r="T170" s="311"/>
      <c r="U170" s="311"/>
      <c r="V170" s="409">
        <f t="shared" si="16"/>
        <v>0</v>
      </c>
      <c r="W170" s="311"/>
      <c r="X170" s="311"/>
      <c r="Y170" s="300"/>
      <c r="Z170" s="300"/>
      <c r="AA170" s="300"/>
      <c r="AB170" s="300"/>
      <c r="AC170" s="300"/>
      <c r="AD170" s="300"/>
      <c r="AE170" s="318"/>
      <c r="AF170" s="410">
        <f t="shared" si="17"/>
        <v>0</v>
      </c>
      <c r="AG170" s="300"/>
      <c r="AH170" s="300"/>
      <c r="AI170" s="303"/>
      <c r="AJ170" s="303"/>
      <c r="AK170" s="303"/>
      <c r="AL170" s="303"/>
      <c r="AM170" s="303"/>
      <c r="AN170" s="303"/>
      <c r="AO170" s="303"/>
      <c r="AP170" s="290">
        <f t="shared" si="18"/>
        <v>0</v>
      </c>
      <c r="AQ170" s="303"/>
      <c r="AR170" s="303"/>
      <c r="AS170" s="303"/>
      <c r="AT170" s="303"/>
      <c r="AU170" s="303"/>
      <c r="AV170" s="303"/>
      <c r="AW170" s="303"/>
      <c r="AX170" s="303"/>
      <c r="AY170" s="303"/>
      <c r="AZ170" s="290">
        <f t="shared" si="19"/>
        <v>0</v>
      </c>
      <c r="BA170" s="303"/>
      <c r="BB170" s="303"/>
      <c r="BC170" s="315">
        <f t="shared" si="14"/>
        <v>0</v>
      </c>
      <c r="BD170" s="316" t="str">
        <f t="shared" si="20"/>
        <v>Desierto</v>
      </c>
    </row>
    <row r="171" spans="1:56" x14ac:dyDescent="0.25">
      <c r="A171" s="308">
        <v>169</v>
      </c>
      <c r="B171" s="309" t="s">
        <v>861</v>
      </c>
      <c r="C171" s="310" t="s">
        <v>862</v>
      </c>
      <c r="D171" s="310" t="s">
        <v>794</v>
      </c>
      <c r="E171" s="311"/>
      <c r="F171" s="311"/>
      <c r="G171" s="311"/>
      <c r="H171" s="311"/>
      <c r="I171" s="311"/>
      <c r="J171" s="311"/>
      <c r="K171" s="311"/>
      <c r="L171" s="408">
        <f t="shared" si="15"/>
        <v>0</v>
      </c>
      <c r="M171" s="311"/>
      <c r="N171" s="311"/>
      <c r="O171" s="311"/>
      <c r="P171" s="311"/>
      <c r="Q171" s="311"/>
      <c r="R171" s="311"/>
      <c r="S171" s="311"/>
      <c r="T171" s="311"/>
      <c r="U171" s="311"/>
      <c r="V171" s="409">
        <f t="shared" si="16"/>
        <v>0</v>
      </c>
      <c r="W171" s="311"/>
      <c r="X171" s="311"/>
      <c r="Y171" s="300"/>
      <c r="Z171" s="300"/>
      <c r="AA171" s="300"/>
      <c r="AB171" s="300"/>
      <c r="AC171" s="300"/>
      <c r="AD171" s="300"/>
      <c r="AE171" s="318"/>
      <c r="AF171" s="410">
        <f t="shared" si="17"/>
        <v>0</v>
      </c>
      <c r="AG171" s="300"/>
      <c r="AH171" s="300"/>
      <c r="AI171" s="303"/>
      <c r="AJ171" s="303"/>
      <c r="AK171" s="303"/>
      <c r="AL171" s="303"/>
      <c r="AM171" s="303"/>
      <c r="AN171" s="303"/>
      <c r="AO171" s="303"/>
      <c r="AP171" s="290">
        <f t="shared" si="18"/>
        <v>0</v>
      </c>
      <c r="AQ171" s="303"/>
      <c r="AR171" s="303"/>
      <c r="AS171" s="303"/>
      <c r="AT171" s="303"/>
      <c r="AU171" s="303"/>
      <c r="AV171" s="303"/>
      <c r="AW171" s="303"/>
      <c r="AX171" s="303"/>
      <c r="AY171" s="303"/>
      <c r="AZ171" s="290">
        <f t="shared" si="19"/>
        <v>0</v>
      </c>
      <c r="BA171" s="303"/>
      <c r="BB171" s="303"/>
      <c r="BC171" s="315">
        <f t="shared" si="14"/>
        <v>0</v>
      </c>
      <c r="BD171" s="316" t="str">
        <f t="shared" si="20"/>
        <v>Desierto</v>
      </c>
    </row>
    <row r="172" spans="1:56" ht="25.5" x14ac:dyDescent="0.25">
      <c r="A172" s="308">
        <v>170</v>
      </c>
      <c r="B172" s="309" t="s">
        <v>863</v>
      </c>
      <c r="C172" s="310" t="s">
        <v>864</v>
      </c>
      <c r="D172" s="310" t="s">
        <v>628</v>
      </c>
      <c r="E172" s="311"/>
      <c r="F172" s="311"/>
      <c r="G172" s="311"/>
      <c r="H172" s="311"/>
      <c r="I172" s="311"/>
      <c r="J172" s="311"/>
      <c r="K172" s="311"/>
      <c r="L172" s="408">
        <f t="shared" si="15"/>
        <v>0</v>
      </c>
      <c r="M172" s="311"/>
      <c r="N172" s="320"/>
      <c r="O172" s="311"/>
      <c r="P172" s="311"/>
      <c r="Q172" s="311"/>
      <c r="R172" s="311"/>
      <c r="S172" s="311"/>
      <c r="T172" s="311"/>
      <c r="U172" s="311"/>
      <c r="V172" s="409">
        <f t="shared" si="16"/>
        <v>0</v>
      </c>
      <c r="W172" s="311"/>
      <c r="X172" s="311"/>
      <c r="Y172" s="300" t="s">
        <v>510</v>
      </c>
      <c r="Z172" s="300" t="s">
        <v>510</v>
      </c>
      <c r="AA172" s="300" t="s">
        <v>510</v>
      </c>
      <c r="AB172" s="300" t="s">
        <v>511</v>
      </c>
      <c r="AC172" s="300" t="s">
        <v>510</v>
      </c>
      <c r="AD172" s="300" t="s">
        <v>511</v>
      </c>
      <c r="AE172" s="318">
        <v>40</v>
      </c>
      <c r="AF172" s="410">
        <f t="shared" si="17"/>
        <v>40</v>
      </c>
      <c r="AG172" s="300" t="s">
        <v>504</v>
      </c>
      <c r="AH172" s="300"/>
      <c r="AI172" s="303"/>
      <c r="AJ172" s="303"/>
      <c r="AK172" s="303"/>
      <c r="AL172" s="303"/>
      <c r="AM172" s="303"/>
      <c r="AN172" s="303"/>
      <c r="AO172" s="303"/>
      <c r="AP172" s="290">
        <f t="shared" si="18"/>
        <v>0</v>
      </c>
      <c r="AQ172" s="303"/>
      <c r="AR172" s="303"/>
      <c r="AS172" s="303"/>
      <c r="AT172" s="303"/>
      <c r="AU172" s="303"/>
      <c r="AV172" s="303"/>
      <c r="AW172" s="303"/>
      <c r="AX172" s="303"/>
      <c r="AY172" s="303"/>
      <c r="AZ172" s="290">
        <f t="shared" si="19"/>
        <v>0</v>
      </c>
      <c r="BA172" s="303"/>
      <c r="BB172" s="303"/>
      <c r="BC172" s="315">
        <f t="shared" si="14"/>
        <v>1</v>
      </c>
      <c r="BD172" s="316" t="str">
        <f t="shared" si="20"/>
        <v>Habilitado</v>
      </c>
    </row>
    <row r="173" spans="1:56" ht="25.5" x14ac:dyDescent="0.25">
      <c r="A173" s="308">
        <v>171</v>
      </c>
      <c r="B173" s="309" t="s">
        <v>865</v>
      </c>
      <c r="C173" s="310" t="s">
        <v>866</v>
      </c>
      <c r="D173" s="310" t="s">
        <v>123</v>
      </c>
      <c r="E173" s="311"/>
      <c r="F173" s="311"/>
      <c r="G173" s="311"/>
      <c r="H173" s="311"/>
      <c r="I173" s="311"/>
      <c r="J173" s="311"/>
      <c r="K173" s="311"/>
      <c r="L173" s="408">
        <f t="shared" si="15"/>
        <v>0</v>
      </c>
      <c r="M173" s="311"/>
      <c r="N173" s="311"/>
      <c r="O173" s="311"/>
      <c r="P173" s="311"/>
      <c r="Q173" s="311"/>
      <c r="R173" s="311"/>
      <c r="S173" s="311"/>
      <c r="T173" s="311"/>
      <c r="U173" s="311"/>
      <c r="V173" s="409">
        <f t="shared" si="16"/>
        <v>0</v>
      </c>
      <c r="W173" s="311"/>
      <c r="X173" s="311"/>
      <c r="Y173" s="300" t="s">
        <v>510</v>
      </c>
      <c r="Z173" s="300" t="s">
        <v>510</v>
      </c>
      <c r="AA173" s="300" t="s">
        <v>510</v>
      </c>
      <c r="AB173" s="300" t="s">
        <v>511</v>
      </c>
      <c r="AC173" s="300" t="s">
        <v>510</v>
      </c>
      <c r="AD173" s="300" t="s">
        <v>511</v>
      </c>
      <c r="AE173" s="318">
        <v>40</v>
      </c>
      <c r="AF173" s="410">
        <f t="shared" si="17"/>
        <v>40</v>
      </c>
      <c r="AG173" s="300" t="s">
        <v>504</v>
      </c>
      <c r="AH173" s="300"/>
      <c r="AI173" s="303" t="s">
        <v>510</v>
      </c>
      <c r="AJ173" s="303" t="s">
        <v>510</v>
      </c>
      <c r="AK173" s="303" t="s">
        <v>510</v>
      </c>
      <c r="AL173" s="303" t="s">
        <v>511</v>
      </c>
      <c r="AM173" s="303" t="s">
        <v>510</v>
      </c>
      <c r="AN173" s="303" t="s">
        <v>511</v>
      </c>
      <c r="AO173" s="303">
        <v>20</v>
      </c>
      <c r="AP173" s="290">
        <f t="shared" si="18"/>
        <v>20</v>
      </c>
      <c r="AQ173" s="303" t="s">
        <v>504</v>
      </c>
      <c r="AR173" s="303"/>
      <c r="AS173" s="303"/>
      <c r="AT173" s="303"/>
      <c r="AU173" s="303"/>
      <c r="AV173" s="303"/>
      <c r="AW173" s="303"/>
      <c r="AX173" s="303"/>
      <c r="AY173" s="303"/>
      <c r="AZ173" s="290">
        <f t="shared" si="19"/>
        <v>0</v>
      </c>
      <c r="BA173" s="303"/>
      <c r="BB173" s="301"/>
      <c r="BC173" s="315">
        <f t="shared" si="14"/>
        <v>2</v>
      </c>
      <c r="BD173" s="316" t="str">
        <f t="shared" si="20"/>
        <v>Habilitado</v>
      </c>
    </row>
    <row r="174" spans="1:56" ht="38.25" x14ac:dyDescent="0.25">
      <c r="A174" s="308">
        <v>172</v>
      </c>
      <c r="B174" s="309" t="s">
        <v>867</v>
      </c>
      <c r="C174" s="310" t="s">
        <v>868</v>
      </c>
      <c r="D174" s="310" t="s">
        <v>46</v>
      </c>
      <c r="E174" s="311"/>
      <c r="F174" s="311"/>
      <c r="G174" s="311"/>
      <c r="H174" s="311"/>
      <c r="I174" s="311"/>
      <c r="J174" s="311"/>
      <c r="K174" s="311"/>
      <c r="L174" s="408">
        <f t="shared" si="15"/>
        <v>0</v>
      </c>
      <c r="M174" s="311"/>
      <c r="N174" s="311"/>
      <c r="O174" s="311"/>
      <c r="P174" s="311"/>
      <c r="Q174" s="311"/>
      <c r="R174" s="311"/>
      <c r="S174" s="311"/>
      <c r="T174" s="311"/>
      <c r="U174" s="311"/>
      <c r="V174" s="409">
        <f t="shared" si="16"/>
        <v>0</v>
      </c>
      <c r="W174" s="311"/>
      <c r="X174" s="311"/>
      <c r="Y174" s="300"/>
      <c r="Z174" s="300"/>
      <c r="AA174" s="300"/>
      <c r="AB174" s="300"/>
      <c r="AC174" s="300"/>
      <c r="AD174" s="300"/>
      <c r="AE174" s="318"/>
      <c r="AF174" s="410">
        <f t="shared" si="17"/>
        <v>0</v>
      </c>
      <c r="AG174" s="300"/>
      <c r="AH174" s="300"/>
      <c r="AI174" s="303"/>
      <c r="AJ174" s="303"/>
      <c r="AK174" s="303"/>
      <c r="AL174" s="303"/>
      <c r="AM174" s="303"/>
      <c r="AN174" s="303"/>
      <c r="AO174" s="303"/>
      <c r="AP174" s="290">
        <f t="shared" si="18"/>
        <v>0</v>
      </c>
      <c r="AQ174" s="303"/>
      <c r="AR174" s="303"/>
      <c r="AS174" s="303" t="s">
        <v>510</v>
      </c>
      <c r="AT174" s="303" t="s">
        <v>510</v>
      </c>
      <c r="AU174" s="303" t="s">
        <v>510</v>
      </c>
      <c r="AV174" s="303" t="s">
        <v>511</v>
      </c>
      <c r="AW174" s="303" t="s">
        <v>510</v>
      </c>
      <c r="AX174" s="303" t="s">
        <v>511</v>
      </c>
      <c r="AY174" s="303">
        <v>0</v>
      </c>
      <c r="AZ174" s="290">
        <f t="shared" si="19"/>
        <v>0</v>
      </c>
      <c r="BA174" s="303" t="s">
        <v>504</v>
      </c>
      <c r="BB174" s="303"/>
      <c r="BC174" s="315">
        <f t="shared" si="14"/>
        <v>1</v>
      </c>
      <c r="BD174" s="316" t="str">
        <f t="shared" si="20"/>
        <v>Habilitado</v>
      </c>
    </row>
    <row r="175" spans="1:56" x14ac:dyDescent="0.25">
      <c r="A175" s="308">
        <v>173</v>
      </c>
      <c r="B175" s="309" t="s">
        <v>869</v>
      </c>
      <c r="C175" s="310" t="s">
        <v>870</v>
      </c>
      <c r="D175" s="310" t="s">
        <v>871</v>
      </c>
      <c r="E175" s="303" t="s">
        <v>510</v>
      </c>
      <c r="F175" s="303" t="s">
        <v>510</v>
      </c>
      <c r="G175" s="303" t="s">
        <v>510</v>
      </c>
      <c r="H175" s="303" t="s">
        <v>511</v>
      </c>
      <c r="I175" s="303" t="s">
        <v>510</v>
      </c>
      <c r="J175" s="303" t="s">
        <v>511</v>
      </c>
      <c r="K175" s="303">
        <v>40</v>
      </c>
      <c r="L175" s="408">
        <f t="shared" si="15"/>
        <v>40</v>
      </c>
      <c r="M175" s="303" t="s">
        <v>504</v>
      </c>
      <c r="N175" s="303"/>
      <c r="O175" s="311"/>
      <c r="P175" s="311"/>
      <c r="Q175" s="311"/>
      <c r="R175" s="311"/>
      <c r="S175" s="311"/>
      <c r="T175" s="311"/>
      <c r="U175" s="311"/>
      <c r="V175" s="409">
        <f t="shared" si="16"/>
        <v>0</v>
      </c>
      <c r="W175" s="311"/>
      <c r="X175" s="311"/>
      <c r="Y175" s="300"/>
      <c r="Z175" s="300"/>
      <c r="AA175" s="300"/>
      <c r="AB175" s="300"/>
      <c r="AC175" s="300"/>
      <c r="AD175" s="300"/>
      <c r="AE175" s="318"/>
      <c r="AF175" s="410">
        <f t="shared" si="17"/>
        <v>0</v>
      </c>
      <c r="AG175" s="300"/>
      <c r="AH175" s="300"/>
      <c r="AI175" s="303"/>
      <c r="AJ175" s="303"/>
      <c r="AK175" s="303"/>
      <c r="AL175" s="303"/>
      <c r="AM175" s="303"/>
      <c r="AN175" s="303"/>
      <c r="AO175" s="303"/>
      <c r="AP175" s="290">
        <f t="shared" si="18"/>
        <v>0</v>
      </c>
      <c r="AQ175" s="303"/>
      <c r="AR175" s="303"/>
      <c r="AS175" s="303"/>
      <c r="AT175" s="303"/>
      <c r="AU175" s="303"/>
      <c r="AV175" s="303"/>
      <c r="AW175" s="303"/>
      <c r="AX175" s="303"/>
      <c r="AY175" s="303"/>
      <c r="AZ175" s="290">
        <f t="shared" si="19"/>
        <v>0</v>
      </c>
      <c r="BA175" s="303"/>
      <c r="BB175" s="303"/>
      <c r="BC175" s="315">
        <f t="shared" si="14"/>
        <v>1</v>
      </c>
      <c r="BD175" s="316" t="str">
        <f t="shared" si="20"/>
        <v>Habilitado</v>
      </c>
    </row>
    <row r="176" spans="1:56" ht="25.5" x14ac:dyDescent="0.25">
      <c r="A176" s="308">
        <v>174</v>
      </c>
      <c r="B176" s="309" t="s">
        <v>872</v>
      </c>
      <c r="C176" s="310" t="s">
        <v>873</v>
      </c>
      <c r="D176" s="310" t="s">
        <v>874</v>
      </c>
      <c r="E176" s="311"/>
      <c r="F176" s="311"/>
      <c r="G176" s="311"/>
      <c r="H176" s="311"/>
      <c r="I176" s="311"/>
      <c r="J176" s="311"/>
      <c r="K176" s="311"/>
      <c r="L176" s="408">
        <f t="shared" si="15"/>
        <v>0</v>
      </c>
      <c r="M176" s="311"/>
      <c r="N176" s="311"/>
      <c r="O176" s="311"/>
      <c r="P176" s="311"/>
      <c r="Q176" s="311"/>
      <c r="R176" s="311"/>
      <c r="S176" s="311"/>
      <c r="T176" s="311"/>
      <c r="U176" s="311"/>
      <c r="V176" s="409">
        <f t="shared" si="16"/>
        <v>0</v>
      </c>
      <c r="W176" s="311"/>
      <c r="X176" s="311"/>
      <c r="Y176" s="300"/>
      <c r="Z176" s="300"/>
      <c r="AA176" s="300"/>
      <c r="AB176" s="300"/>
      <c r="AC176" s="300"/>
      <c r="AD176" s="300"/>
      <c r="AE176" s="318"/>
      <c r="AF176" s="410">
        <f t="shared" si="17"/>
        <v>0</v>
      </c>
      <c r="AG176" s="300"/>
      <c r="AH176" s="300"/>
      <c r="AI176" s="303"/>
      <c r="AJ176" s="303"/>
      <c r="AK176" s="303"/>
      <c r="AL176" s="303"/>
      <c r="AM176" s="303"/>
      <c r="AN176" s="303"/>
      <c r="AO176" s="303"/>
      <c r="AP176" s="290">
        <f t="shared" si="18"/>
        <v>0</v>
      </c>
      <c r="AQ176" s="303"/>
      <c r="AR176" s="303"/>
      <c r="AS176" s="303"/>
      <c r="AT176" s="303"/>
      <c r="AU176" s="303"/>
      <c r="AV176" s="303"/>
      <c r="AW176" s="303"/>
      <c r="AX176" s="303"/>
      <c r="AY176" s="303"/>
      <c r="AZ176" s="290">
        <f t="shared" si="19"/>
        <v>0</v>
      </c>
      <c r="BA176" s="303"/>
      <c r="BB176" s="303"/>
      <c r="BC176" s="315">
        <f t="shared" si="14"/>
        <v>0</v>
      </c>
      <c r="BD176" s="316" t="str">
        <f t="shared" si="20"/>
        <v>Desierto</v>
      </c>
    </row>
    <row r="177" spans="1:56" ht="25.5" x14ac:dyDescent="0.25">
      <c r="A177" s="308">
        <v>175</v>
      </c>
      <c r="B177" s="309" t="s">
        <v>875</v>
      </c>
      <c r="C177" s="310" t="s">
        <v>729</v>
      </c>
      <c r="D177" s="310" t="s">
        <v>46</v>
      </c>
      <c r="E177" s="311"/>
      <c r="F177" s="311"/>
      <c r="G177" s="311"/>
      <c r="H177" s="311"/>
      <c r="I177" s="311"/>
      <c r="J177" s="311"/>
      <c r="K177" s="311"/>
      <c r="L177" s="408">
        <f t="shared" si="15"/>
        <v>0</v>
      </c>
      <c r="M177" s="311"/>
      <c r="N177" s="311"/>
      <c r="O177" s="311"/>
      <c r="P177" s="311"/>
      <c r="Q177" s="311"/>
      <c r="R177" s="311"/>
      <c r="S177" s="311"/>
      <c r="T177" s="311"/>
      <c r="U177" s="311"/>
      <c r="V177" s="409">
        <f t="shared" si="16"/>
        <v>0</v>
      </c>
      <c r="W177" s="311"/>
      <c r="X177" s="311"/>
      <c r="Y177" s="300"/>
      <c r="Z177" s="300"/>
      <c r="AA177" s="300"/>
      <c r="AB177" s="300"/>
      <c r="AC177" s="300"/>
      <c r="AD177" s="300"/>
      <c r="AE177" s="318"/>
      <c r="AF177" s="410">
        <f t="shared" si="17"/>
        <v>0</v>
      </c>
      <c r="AG177" s="300"/>
      <c r="AH177" s="300"/>
      <c r="AI177" s="303"/>
      <c r="AJ177" s="303"/>
      <c r="AK177" s="303"/>
      <c r="AL177" s="303"/>
      <c r="AM177" s="303"/>
      <c r="AN177" s="303"/>
      <c r="AO177" s="303"/>
      <c r="AP177" s="290">
        <f t="shared" si="18"/>
        <v>0</v>
      </c>
      <c r="AQ177" s="303"/>
      <c r="AR177" s="303"/>
      <c r="AS177" s="303"/>
      <c r="AT177" s="303"/>
      <c r="AU177" s="303"/>
      <c r="AV177" s="303"/>
      <c r="AW177" s="303"/>
      <c r="AX177" s="303"/>
      <c r="AY177" s="303"/>
      <c r="AZ177" s="290">
        <f t="shared" si="19"/>
        <v>0</v>
      </c>
      <c r="BA177" s="303"/>
      <c r="BB177" s="303"/>
      <c r="BC177" s="315">
        <f t="shared" si="14"/>
        <v>0</v>
      </c>
      <c r="BD177" s="316" t="str">
        <f t="shared" si="20"/>
        <v>Desierto</v>
      </c>
    </row>
    <row r="178" spans="1:56" ht="25.5" x14ac:dyDescent="0.25">
      <c r="A178" s="308">
        <v>176</v>
      </c>
      <c r="B178" s="309" t="s">
        <v>876</v>
      </c>
      <c r="C178" s="310" t="s">
        <v>877</v>
      </c>
      <c r="D178" s="310" t="s">
        <v>667</v>
      </c>
      <c r="E178" s="311"/>
      <c r="F178" s="311"/>
      <c r="G178" s="311"/>
      <c r="H178" s="311"/>
      <c r="I178" s="311"/>
      <c r="J178" s="311"/>
      <c r="K178" s="311"/>
      <c r="L178" s="408">
        <f t="shared" si="15"/>
        <v>0</v>
      </c>
      <c r="M178" s="311"/>
      <c r="N178" s="311"/>
      <c r="O178" s="311"/>
      <c r="P178" s="311"/>
      <c r="Q178" s="311"/>
      <c r="R178" s="311"/>
      <c r="S178" s="311"/>
      <c r="T178" s="311"/>
      <c r="U178" s="311"/>
      <c r="V178" s="409">
        <f t="shared" si="16"/>
        <v>0</v>
      </c>
      <c r="W178" s="311"/>
      <c r="X178" s="311"/>
      <c r="Y178" s="300"/>
      <c r="Z178" s="300"/>
      <c r="AA178" s="300"/>
      <c r="AB178" s="300"/>
      <c r="AC178" s="300"/>
      <c r="AD178" s="300"/>
      <c r="AE178" s="318"/>
      <c r="AF178" s="410">
        <f t="shared" si="17"/>
        <v>0</v>
      </c>
      <c r="AG178" s="300"/>
      <c r="AH178" s="300"/>
      <c r="AI178" s="303"/>
      <c r="AJ178" s="303"/>
      <c r="AK178" s="303"/>
      <c r="AL178" s="303"/>
      <c r="AM178" s="303"/>
      <c r="AN178" s="303"/>
      <c r="AO178" s="303"/>
      <c r="AP178" s="290">
        <f t="shared" si="18"/>
        <v>0</v>
      </c>
      <c r="AQ178" s="303"/>
      <c r="AR178" s="303"/>
      <c r="AS178" s="303"/>
      <c r="AT178" s="303"/>
      <c r="AU178" s="303"/>
      <c r="AV178" s="303"/>
      <c r="AW178" s="303"/>
      <c r="AX178" s="303"/>
      <c r="AY178" s="303"/>
      <c r="AZ178" s="290">
        <f t="shared" si="19"/>
        <v>0</v>
      </c>
      <c r="BA178" s="303"/>
      <c r="BB178" s="303"/>
      <c r="BC178" s="315">
        <f t="shared" si="14"/>
        <v>0</v>
      </c>
      <c r="BD178" s="316" t="str">
        <f t="shared" si="20"/>
        <v>Desierto</v>
      </c>
    </row>
    <row r="179" spans="1:56" x14ac:dyDescent="0.25">
      <c r="A179" s="308">
        <v>177</v>
      </c>
      <c r="B179" s="309" t="s">
        <v>878</v>
      </c>
      <c r="C179" s="310" t="s">
        <v>65</v>
      </c>
      <c r="D179" s="310" t="s">
        <v>794</v>
      </c>
      <c r="E179" s="311"/>
      <c r="F179" s="311"/>
      <c r="G179" s="311"/>
      <c r="H179" s="311"/>
      <c r="I179" s="311"/>
      <c r="J179" s="311"/>
      <c r="K179" s="311"/>
      <c r="L179" s="408">
        <f t="shared" si="15"/>
        <v>0</v>
      </c>
      <c r="M179" s="311"/>
      <c r="N179" s="311"/>
      <c r="O179" s="311"/>
      <c r="P179" s="311"/>
      <c r="Q179" s="311"/>
      <c r="R179" s="311"/>
      <c r="S179" s="311"/>
      <c r="T179" s="311"/>
      <c r="U179" s="311"/>
      <c r="V179" s="409">
        <f t="shared" si="16"/>
        <v>0</v>
      </c>
      <c r="W179" s="311"/>
      <c r="X179" s="311"/>
      <c r="Y179" s="300"/>
      <c r="Z179" s="300"/>
      <c r="AA179" s="300"/>
      <c r="AB179" s="300"/>
      <c r="AC179" s="300"/>
      <c r="AD179" s="300"/>
      <c r="AE179" s="318"/>
      <c r="AF179" s="410">
        <f t="shared" si="17"/>
        <v>0</v>
      </c>
      <c r="AG179" s="300"/>
      <c r="AH179" s="300"/>
      <c r="AI179" s="303"/>
      <c r="AJ179" s="303"/>
      <c r="AK179" s="303"/>
      <c r="AL179" s="303"/>
      <c r="AM179" s="303"/>
      <c r="AN179" s="303"/>
      <c r="AO179" s="303"/>
      <c r="AP179" s="290">
        <f t="shared" si="18"/>
        <v>0</v>
      </c>
      <c r="AQ179" s="303"/>
      <c r="AR179" s="303"/>
      <c r="AS179" s="303"/>
      <c r="AT179" s="303"/>
      <c r="AU179" s="303"/>
      <c r="AV179" s="303"/>
      <c r="AW179" s="303"/>
      <c r="AX179" s="303"/>
      <c r="AY179" s="303"/>
      <c r="AZ179" s="290">
        <f t="shared" si="19"/>
        <v>0</v>
      </c>
      <c r="BA179" s="303"/>
      <c r="BB179" s="303"/>
      <c r="BC179" s="315">
        <f t="shared" si="14"/>
        <v>0</v>
      </c>
      <c r="BD179" s="316" t="str">
        <f t="shared" si="20"/>
        <v>Desierto</v>
      </c>
    </row>
    <row r="180" spans="1:56" ht="25.5" x14ac:dyDescent="0.25">
      <c r="A180" s="308">
        <v>178</v>
      </c>
      <c r="B180" s="309" t="s">
        <v>879</v>
      </c>
      <c r="C180" s="310" t="s">
        <v>562</v>
      </c>
      <c r="D180" s="310" t="s">
        <v>794</v>
      </c>
      <c r="E180" s="311"/>
      <c r="F180" s="311"/>
      <c r="G180" s="311"/>
      <c r="H180" s="311"/>
      <c r="I180" s="311"/>
      <c r="J180" s="311"/>
      <c r="K180" s="311"/>
      <c r="L180" s="408">
        <f t="shared" si="15"/>
        <v>0</v>
      </c>
      <c r="M180" s="311"/>
      <c r="N180" s="311"/>
      <c r="O180" s="311"/>
      <c r="P180" s="311"/>
      <c r="Q180" s="311"/>
      <c r="R180" s="311"/>
      <c r="S180" s="311"/>
      <c r="T180" s="311"/>
      <c r="U180" s="311"/>
      <c r="V180" s="409">
        <f t="shared" si="16"/>
        <v>0</v>
      </c>
      <c r="W180" s="311"/>
      <c r="X180" s="311"/>
      <c r="Y180" s="300"/>
      <c r="Z180" s="300"/>
      <c r="AA180" s="300"/>
      <c r="AB180" s="300"/>
      <c r="AC180" s="300"/>
      <c r="AD180" s="300"/>
      <c r="AE180" s="318"/>
      <c r="AF180" s="410">
        <f t="shared" si="17"/>
        <v>0</v>
      </c>
      <c r="AG180" s="300"/>
      <c r="AH180" s="300"/>
      <c r="AI180" s="303"/>
      <c r="AJ180" s="303"/>
      <c r="AK180" s="303"/>
      <c r="AL180" s="303"/>
      <c r="AM180" s="303"/>
      <c r="AN180" s="303"/>
      <c r="AO180" s="303"/>
      <c r="AP180" s="290">
        <f t="shared" si="18"/>
        <v>0</v>
      </c>
      <c r="AQ180" s="303"/>
      <c r="AR180" s="303"/>
      <c r="AS180" s="303"/>
      <c r="AT180" s="303"/>
      <c r="AU180" s="303"/>
      <c r="AV180" s="303"/>
      <c r="AW180" s="303"/>
      <c r="AX180" s="303"/>
      <c r="AY180" s="303"/>
      <c r="AZ180" s="290">
        <f t="shared" si="19"/>
        <v>0</v>
      </c>
      <c r="BA180" s="303"/>
      <c r="BB180" s="303"/>
      <c r="BC180" s="315">
        <f t="shared" si="14"/>
        <v>0</v>
      </c>
      <c r="BD180" s="316" t="str">
        <f t="shared" si="20"/>
        <v>Desierto</v>
      </c>
    </row>
    <row r="181" spans="1:56" ht="30" customHeight="1" x14ac:dyDescent="0.25">
      <c r="A181" s="308">
        <v>179</v>
      </c>
      <c r="B181" s="309" t="s">
        <v>880</v>
      </c>
      <c r="C181" s="310" t="s">
        <v>518</v>
      </c>
      <c r="D181" s="310" t="s">
        <v>881</v>
      </c>
      <c r="E181" s="303" t="s">
        <v>510</v>
      </c>
      <c r="F181" s="303" t="s">
        <v>510</v>
      </c>
      <c r="G181" s="303" t="s">
        <v>510</v>
      </c>
      <c r="H181" s="303" t="s">
        <v>511</v>
      </c>
      <c r="I181" s="303" t="s">
        <v>510</v>
      </c>
      <c r="J181" s="303" t="s">
        <v>511</v>
      </c>
      <c r="K181" s="303">
        <v>40</v>
      </c>
      <c r="L181" s="408">
        <f t="shared" si="15"/>
        <v>40</v>
      </c>
      <c r="M181" s="303" t="s">
        <v>504</v>
      </c>
      <c r="N181" s="301"/>
      <c r="O181" s="311"/>
      <c r="P181" s="311"/>
      <c r="Q181" s="311"/>
      <c r="R181" s="311"/>
      <c r="S181" s="311"/>
      <c r="T181" s="311"/>
      <c r="U181" s="311"/>
      <c r="V181" s="409">
        <f t="shared" si="16"/>
        <v>0</v>
      </c>
      <c r="W181" s="311"/>
      <c r="X181" s="311"/>
      <c r="Y181" s="300"/>
      <c r="Z181" s="300"/>
      <c r="AA181" s="300"/>
      <c r="AB181" s="300"/>
      <c r="AC181" s="300"/>
      <c r="AD181" s="300"/>
      <c r="AE181" s="318"/>
      <c r="AF181" s="410">
        <f t="shared" si="17"/>
        <v>0</v>
      </c>
      <c r="AG181" s="300"/>
      <c r="AH181" s="300"/>
      <c r="AI181" s="303"/>
      <c r="AJ181" s="303"/>
      <c r="AK181" s="303"/>
      <c r="AL181" s="303"/>
      <c r="AM181" s="303"/>
      <c r="AN181" s="303"/>
      <c r="AO181" s="303"/>
      <c r="AP181" s="290">
        <f t="shared" si="18"/>
        <v>0</v>
      </c>
      <c r="AQ181" s="303"/>
      <c r="AR181" s="303"/>
      <c r="AS181" s="303"/>
      <c r="AT181" s="303"/>
      <c r="AU181" s="303"/>
      <c r="AV181" s="303"/>
      <c r="AW181" s="303"/>
      <c r="AX181" s="303"/>
      <c r="AY181" s="303"/>
      <c r="AZ181" s="290">
        <f t="shared" si="19"/>
        <v>0</v>
      </c>
      <c r="BA181" s="303"/>
      <c r="BB181" s="303"/>
      <c r="BC181" s="315">
        <f t="shared" si="14"/>
        <v>1</v>
      </c>
      <c r="BD181" s="316" t="str">
        <f t="shared" si="20"/>
        <v>Habilitado</v>
      </c>
    </row>
    <row r="182" spans="1:56" ht="25.5" x14ac:dyDescent="0.25">
      <c r="A182" s="308">
        <v>180</v>
      </c>
      <c r="B182" s="309" t="s">
        <v>882</v>
      </c>
      <c r="C182" s="310" t="s">
        <v>883</v>
      </c>
      <c r="D182" s="310" t="s">
        <v>140</v>
      </c>
      <c r="E182" s="303"/>
      <c r="F182" s="311"/>
      <c r="G182" s="311"/>
      <c r="H182" s="311"/>
      <c r="I182" s="311"/>
      <c r="J182" s="311"/>
      <c r="K182" s="311"/>
      <c r="L182" s="408">
        <f t="shared" si="15"/>
        <v>0</v>
      </c>
      <c r="M182" s="311"/>
      <c r="N182" s="311"/>
      <c r="O182" s="311"/>
      <c r="P182" s="311"/>
      <c r="Q182" s="311"/>
      <c r="R182" s="311"/>
      <c r="S182" s="311"/>
      <c r="T182" s="311"/>
      <c r="U182" s="311"/>
      <c r="V182" s="409">
        <f t="shared" si="16"/>
        <v>0</v>
      </c>
      <c r="W182" s="311"/>
      <c r="X182" s="311"/>
      <c r="Y182" s="300" t="s">
        <v>510</v>
      </c>
      <c r="Z182" s="300" t="s">
        <v>510</v>
      </c>
      <c r="AA182" s="300" t="s">
        <v>511</v>
      </c>
      <c r="AB182" s="300" t="s">
        <v>511</v>
      </c>
      <c r="AC182" s="300" t="s">
        <v>510</v>
      </c>
      <c r="AD182" s="300" t="s">
        <v>511</v>
      </c>
      <c r="AE182" s="318">
        <v>40</v>
      </c>
      <c r="AF182" s="410">
        <f t="shared" si="17"/>
        <v>40</v>
      </c>
      <c r="AG182" s="300" t="s">
        <v>504</v>
      </c>
      <c r="AH182" s="300"/>
      <c r="AI182" s="303"/>
      <c r="AJ182" s="303"/>
      <c r="AK182" s="303"/>
      <c r="AL182" s="303"/>
      <c r="AM182" s="303"/>
      <c r="AN182" s="303"/>
      <c r="AO182" s="303"/>
      <c r="AP182" s="290">
        <f t="shared" si="18"/>
        <v>0</v>
      </c>
      <c r="AQ182" s="303"/>
      <c r="AR182" s="303"/>
      <c r="AS182" s="303"/>
      <c r="AT182" s="303"/>
      <c r="AU182" s="303"/>
      <c r="AV182" s="303"/>
      <c r="AW182" s="303"/>
      <c r="AX182" s="303"/>
      <c r="AY182" s="303"/>
      <c r="AZ182" s="290">
        <f t="shared" si="19"/>
        <v>0</v>
      </c>
      <c r="BA182" s="303"/>
      <c r="BB182" s="303"/>
      <c r="BC182" s="315">
        <f t="shared" si="14"/>
        <v>1</v>
      </c>
      <c r="BD182" s="316" t="str">
        <f t="shared" si="20"/>
        <v>Habilitado</v>
      </c>
    </row>
    <row r="183" spans="1:56" ht="63.75" x14ac:dyDescent="0.25">
      <c r="A183" s="308">
        <v>181</v>
      </c>
      <c r="B183" s="309" t="s">
        <v>884</v>
      </c>
      <c r="C183" s="310" t="s">
        <v>885</v>
      </c>
      <c r="D183" s="310" t="s">
        <v>886</v>
      </c>
      <c r="E183" s="303" t="s">
        <v>510</v>
      </c>
      <c r="F183" s="303" t="s">
        <v>510</v>
      </c>
      <c r="G183" s="303" t="s">
        <v>510</v>
      </c>
      <c r="H183" s="303" t="s">
        <v>510</v>
      </c>
      <c r="I183" s="303" t="s">
        <v>510</v>
      </c>
      <c r="J183" s="303" t="s">
        <v>511</v>
      </c>
      <c r="K183" s="303">
        <v>40</v>
      </c>
      <c r="L183" s="408">
        <f t="shared" si="15"/>
        <v>40</v>
      </c>
      <c r="M183" s="303" t="s">
        <v>504</v>
      </c>
      <c r="N183" s="303"/>
      <c r="O183" s="311"/>
      <c r="P183" s="311"/>
      <c r="Q183" s="311"/>
      <c r="R183" s="311"/>
      <c r="S183" s="311"/>
      <c r="T183" s="311"/>
      <c r="U183" s="311"/>
      <c r="V183" s="409">
        <f t="shared" si="16"/>
        <v>0</v>
      </c>
      <c r="W183" s="311"/>
      <c r="X183" s="311"/>
      <c r="Y183" s="300"/>
      <c r="Z183" s="300"/>
      <c r="AA183" s="300"/>
      <c r="AB183" s="300"/>
      <c r="AC183" s="300"/>
      <c r="AD183" s="300"/>
      <c r="AE183" s="318"/>
      <c r="AF183" s="410">
        <f t="shared" si="17"/>
        <v>0</v>
      </c>
      <c r="AG183" s="300"/>
      <c r="AH183" s="300"/>
      <c r="AI183" s="303" t="s">
        <v>510</v>
      </c>
      <c r="AJ183" s="303" t="s">
        <v>510</v>
      </c>
      <c r="AK183" s="303" t="s">
        <v>510</v>
      </c>
      <c r="AL183" s="303" t="s">
        <v>511</v>
      </c>
      <c r="AM183" s="303" t="s">
        <v>510</v>
      </c>
      <c r="AN183" s="303" t="s">
        <v>511</v>
      </c>
      <c r="AO183" s="303">
        <v>20</v>
      </c>
      <c r="AP183" s="290">
        <f t="shared" si="18"/>
        <v>20</v>
      </c>
      <c r="AQ183" s="303" t="s">
        <v>504</v>
      </c>
      <c r="AR183" s="303"/>
      <c r="AS183" s="303"/>
      <c r="AT183" s="303"/>
      <c r="AU183" s="303"/>
      <c r="AV183" s="303"/>
      <c r="AW183" s="303"/>
      <c r="AX183" s="303"/>
      <c r="AY183" s="303"/>
      <c r="AZ183" s="290">
        <f t="shared" si="19"/>
        <v>0</v>
      </c>
      <c r="BA183" s="303"/>
      <c r="BB183" s="303"/>
      <c r="BC183" s="315">
        <f t="shared" si="14"/>
        <v>2</v>
      </c>
      <c r="BD183" s="316" t="str">
        <f t="shared" si="20"/>
        <v>Habilitado</v>
      </c>
    </row>
    <row r="184" spans="1:56" ht="63.75" x14ac:dyDescent="0.25">
      <c r="A184" s="308">
        <v>182</v>
      </c>
      <c r="B184" s="309" t="s">
        <v>887</v>
      </c>
      <c r="C184" s="310" t="s">
        <v>888</v>
      </c>
      <c r="D184" s="310" t="s">
        <v>886</v>
      </c>
      <c r="E184" s="303" t="s">
        <v>510</v>
      </c>
      <c r="F184" s="303" t="s">
        <v>510</v>
      </c>
      <c r="G184" s="303" t="s">
        <v>510</v>
      </c>
      <c r="H184" s="303" t="s">
        <v>510</v>
      </c>
      <c r="I184" s="303" t="s">
        <v>510</v>
      </c>
      <c r="J184" s="303" t="s">
        <v>511</v>
      </c>
      <c r="K184" s="303">
        <v>40</v>
      </c>
      <c r="L184" s="408">
        <f t="shared" si="15"/>
        <v>40</v>
      </c>
      <c r="M184" s="303" t="s">
        <v>504</v>
      </c>
      <c r="N184" s="303"/>
      <c r="O184" s="311"/>
      <c r="P184" s="311"/>
      <c r="Q184" s="311"/>
      <c r="R184" s="311"/>
      <c r="S184" s="311"/>
      <c r="T184" s="311"/>
      <c r="U184" s="311"/>
      <c r="V184" s="409">
        <f t="shared" si="16"/>
        <v>0</v>
      </c>
      <c r="W184" s="311"/>
      <c r="X184" s="311"/>
      <c r="Y184" s="300"/>
      <c r="Z184" s="300"/>
      <c r="AA184" s="300"/>
      <c r="AB184" s="300"/>
      <c r="AC184" s="300"/>
      <c r="AD184" s="300"/>
      <c r="AE184" s="318"/>
      <c r="AF184" s="410">
        <f t="shared" si="17"/>
        <v>0</v>
      </c>
      <c r="AG184" s="300"/>
      <c r="AH184" s="300"/>
      <c r="AI184" s="303" t="s">
        <v>510</v>
      </c>
      <c r="AJ184" s="303" t="s">
        <v>510</v>
      </c>
      <c r="AK184" s="303" t="s">
        <v>510</v>
      </c>
      <c r="AL184" s="303" t="s">
        <v>511</v>
      </c>
      <c r="AM184" s="303" t="s">
        <v>510</v>
      </c>
      <c r="AN184" s="303" t="s">
        <v>511</v>
      </c>
      <c r="AO184" s="303">
        <v>20</v>
      </c>
      <c r="AP184" s="290">
        <f t="shared" si="18"/>
        <v>20</v>
      </c>
      <c r="AQ184" s="303" t="s">
        <v>504</v>
      </c>
      <c r="AR184" s="303"/>
      <c r="AS184" s="303"/>
      <c r="AT184" s="303"/>
      <c r="AU184" s="303"/>
      <c r="AV184" s="303"/>
      <c r="AW184" s="303"/>
      <c r="AX184" s="303"/>
      <c r="AY184" s="303"/>
      <c r="AZ184" s="290">
        <f t="shared" si="19"/>
        <v>0</v>
      </c>
      <c r="BA184" s="303"/>
      <c r="BB184" s="303"/>
      <c r="BC184" s="315">
        <f t="shared" si="14"/>
        <v>2</v>
      </c>
      <c r="BD184" s="316" t="str">
        <f t="shared" si="20"/>
        <v>Habilitado</v>
      </c>
    </row>
    <row r="185" spans="1:56" ht="63.75" x14ac:dyDescent="0.25">
      <c r="A185" s="308">
        <v>183</v>
      </c>
      <c r="B185" s="309" t="s">
        <v>889</v>
      </c>
      <c r="C185" s="310" t="s">
        <v>890</v>
      </c>
      <c r="D185" s="310" t="s">
        <v>886</v>
      </c>
      <c r="E185" s="303" t="s">
        <v>510</v>
      </c>
      <c r="F185" s="303" t="s">
        <v>510</v>
      </c>
      <c r="G185" s="303" t="s">
        <v>510</v>
      </c>
      <c r="H185" s="303" t="s">
        <v>510</v>
      </c>
      <c r="I185" s="303" t="s">
        <v>510</v>
      </c>
      <c r="J185" s="303" t="s">
        <v>511</v>
      </c>
      <c r="K185" s="303">
        <v>40</v>
      </c>
      <c r="L185" s="408">
        <f t="shared" si="15"/>
        <v>40</v>
      </c>
      <c r="M185" s="303" t="s">
        <v>504</v>
      </c>
      <c r="N185" s="303"/>
      <c r="O185" s="311"/>
      <c r="P185" s="311"/>
      <c r="Q185" s="311"/>
      <c r="R185" s="311"/>
      <c r="S185" s="311"/>
      <c r="T185" s="311"/>
      <c r="U185" s="311"/>
      <c r="V185" s="409">
        <f t="shared" si="16"/>
        <v>0</v>
      </c>
      <c r="W185" s="311"/>
      <c r="X185" s="311"/>
      <c r="Y185" s="300"/>
      <c r="Z185" s="300"/>
      <c r="AA185" s="300"/>
      <c r="AB185" s="300"/>
      <c r="AC185" s="300"/>
      <c r="AD185" s="300"/>
      <c r="AE185" s="318"/>
      <c r="AF185" s="410">
        <f t="shared" si="17"/>
        <v>0</v>
      </c>
      <c r="AG185" s="300"/>
      <c r="AH185" s="300"/>
      <c r="AI185" s="303" t="s">
        <v>510</v>
      </c>
      <c r="AJ185" s="303" t="s">
        <v>510</v>
      </c>
      <c r="AK185" s="322" t="s">
        <v>510</v>
      </c>
      <c r="AL185" s="303" t="s">
        <v>511</v>
      </c>
      <c r="AM185" s="303" t="s">
        <v>510</v>
      </c>
      <c r="AN185" s="303" t="s">
        <v>511</v>
      </c>
      <c r="AO185" s="303">
        <v>20</v>
      </c>
      <c r="AP185" s="290">
        <f t="shared" si="18"/>
        <v>20</v>
      </c>
      <c r="AQ185" s="322" t="s">
        <v>504</v>
      </c>
      <c r="AR185" s="303"/>
      <c r="AS185" s="303"/>
      <c r="AT185" s="303"/>
      <c r="AU185" s="303"/>
      <c r="AV185" s="303"/>
      <c r="AW185" s="303"/>
      <c r="AX185" s="303"/>
      <c r="AY185" s="303"/>
      <c r="AZ185" s="290">
        <f t="shared" si="19"/>
        <v>0</v>
      </c>
      <c r="BA185" s="303"/>
      <c r="BB185" s="303"/>
      <c r="BC185" s="315">
        <f t="shared" si="14"/>
        <v>2</v>
      </c>
      <c r="BD185" s="316" t="str">
        <f t="shared" si="20"/>
        <v>Habilitado</v>
      </c>
    </row>
    <row r="186" spans="1:56" ht="63.75" x14ac:dyDescent="0.25">
      <c r="A186" s="308">
        <v>184</v>
      </c>
      <c r="B186" s="309" t="s">
        <v>891</v>
      </c>
      <c r="C186" s="310" t="s">
        <v>892</v>
      </c>
      <c r="D186" s="310" t="s">
        <v>886</v>
      </c>
      <c r="E186" s="311"/>
      <c r="F186" s="311"/>
      <c r="G186" s="311"/>
      <c r="H186" s="311"/>
      <c r="I186" s="311"/>
      <c r="J186" s="311"/>
      <c r="K186" s="311"/>
      <c r="L186" s="408">
        <f t="shared" si="15"/>
        <v>0</v>
      </c>
      <c r="M186" s="311"/>
      <c r="N186" s="303"/>
      <c r="O186" s="311"/>
      <c r="P186" s="311"/>
      <c r="Q186" s="311"/>
      <c r="R186" s="311"/>
      <c r="S186" s="311"/>
      <c r="T186" s="311"/>
      <c r="U186" s="311"/>
      <c r="V186" s="409">
        <f t="shared" si="16"/>
        <v>0</v>
      </c>
      <c r="W186" s="311"/>
      <c r="X186" s="311"/>
      <c r="Y186" s="300"/>
      <c r="Z186" s="300"/>
      <c r="AA186" s="300"/>
      <c r="AB186" s="300"/>
      <c r="AC186" s="300"/>
      <c r="AD186" s="300"/>
      <c r="AE186" s="318"/>
      <c r="AF186" s="410">
        <f t="shared" si="17"/>
        <v>0</v>
      </c>
      <c r="AG186" s="300"/>
      <c r="AH186" s="300"/>
      <c r="AI186" s="303" t="s">
        <v>510</v>
      </c>
      <c r="AJ186" s="303" t="s">
        <v>510</v>
      </c>
      <c r="AK186" s="322" t="s">
        <v>510</v>
      </c>
      <c r="AL186" s="303" t="s">
        <v>511</v>
      </c>
      <c r="AM186" s="303" t="s">
        <v>510</v>
      </c>
      <c r="AN186" s="303" t="s">
        <v>511</v>
      </c>
      <c r="AO186" s="303">
        <v>20</v>
      </c>
      <c r="AP186" s="290">
        <f t="shared" si="18"/>
        <v>20</v>
      </c>
      <c r="AQ186" s="322" t="s">
        <v>504</v>
      </c>
      <c r="AR186" s="303"/>
      <c r="AS186" s="303"/>
      <c r="AT186" s="303"/>
      <c r="AU186" s="303"/>
      <c r="AV186" s="303"/>
      <c r="AW186" s="303"/>
      <c r="AX186" s="303"/>
      <c r="AY186" s="303"/>
      <c r="AZ186" s="290">
        <f t="shared" si="19"/>
        <v>0</v>
      </c>
      <c r="BA186" s="303"/>
      <c r="BB186" s="303"/>
      <c r="BC186" s="315">
        <f t="shared" si="14"/>
        <v>1</v>
      </c>
      <c r="BD186" s="316" t="str">
        <f t="shared" si="20"/>
        <v>Habilitado</v>
      </c>
    </row>
    <row r="187" spans="1:56" ht="63.75" x14ac:dyDescent="0.25">
      <c r="A187" s="308">
        <v>185</v>
      </c>
      <c r="B187" s="309" t="s">
        <v>893</v>
      </c>
      <c r="C187" s="310" t="s">
        <v>894</v>
      </c>
      <c r="D187" s="310" t="s">
        <v>895</v>
      </c>
      <c r="E187" s="303" t="s">
        <v>510</v>
      </c>
      <c r="F187" s="303" t="s">
        <v>510</v>
      </c>
      <c r="G187" s="303" t="s">
        <v>510</v>
      </c>
      <c r="H187" s="303" t="s">
        <v>511</v>
      </c>
      <c r="I187" s="303" t="s">
        <v>510</v>
      </c>
      <c r="J187" s="303" t="s">
        <v>511</v>
      </c>
      <c r="K187" s="303">
        <v>40</v>
      </c>
      <c r="L187" s="408">
        <f t="shared" si="15"/>
        <v>40</v>
      </c>
      <c r="M187" s="303" t="s">
        <v>504</v>
      </c>
      <c r="N187" s="303"/>
      <c r="O187" s="311"/>
      <c r="P187" s="311"/>
      <c r="Q187" s="311"/>
      <c r="R187" s="311"/>
      <c r="S187" s="311"/>
      <c r="T187" s="311"/>
      <c r="U187" s="311"/>
      <c r="V187" s="409">
        <f t="shared" si="16"/>
        <v>0</v>
      </c>
      <c r="W187" s="311"/>
      <c r="X187" s="311"/>
      <c r="Y187" s="300"/>
      <c r="Z187" s="300"/>
      <c r="AA187" s="300"/>
      <c r="AB187" s="300"/>
      <c r="AC187" s="300"/>
      <c r="AD187" s="300"/>
      <c r="AE187" s="318"/>
      <c r="AF187" s="410">
        <f t="shared" si="17"/>
        <v>0</v>
      </c>
      <c r="AG187" s="300"/>
      <c r="AH187" s="300"/>
      <c r="AI187" s="303" t="s">
        <v>510</v>
      </c>
      <c r="AJ187" s="303" t="s">
        <v>510</v>
      </c>
      <c r="AK187" s="322" t="s">
        <v>510</v>
      </c>
      <c r="AL187" s="303" t="s">
        <v>511</v>
      </c>
      <c r="AM187" s="303" t="s">
        <v>510</v>
      </c>
      <c r="AN187" s="303" t="s">
        <v>511</v>
      </c>
      <c r="AO187" s="303">
        <v>20</v>
      </c>
      <c r="AP187" s="290">
        <f t="shared" si="18"/>
        <v>20</v>
      </c>
      <c r="AQ187" s="322" t="s">
        <v>504</v>
      </c>
      <c r="AR187" s="303"/>
      <c r="AS187" s="303"/>
      <c r="AT187" s="303"/>
      <c r="AU187" s="303"/>
      <c r="AV187" s="303"/>
      <c r="AW187" s="303"/>
      <c r="AX187" s="303"/>
      <c r="AY187" s="303"/>
      <c r="AZ187" s="290">
        <f t="shared" si="19"/>
        <v>0</v>
      </c>
      <c r="BA187" s="303"/>
      <c r="BB187" s="303"/>
      <c r="BC187" s="315">
        <f t="shared" si="14"/>
        <v>2</v>
      </c>
      <c r="BD187" s="316" t="str">
        <f t="shared" si="20"/>
        <v>Habilitado</v>
      </c>
    </row>
    <row r="188" spans="1:56" ht="76.5" x14ac:dyDescent="0.25">
      <c r="A188" s="308">
        <v>186</v>
      </c>
      <c r="B188" s="309" t="s">
        <v>896</v>
      </c>
      <c r="C188" s="310" t="s">
        <v>897</v>
      </c>
      <c r="D188" s="310" t="s">
        <v>898</v>
      </c>
      <c r="E188" s="311"/>
      <c r="F188" s="311"/>
      <c r="G188" s="311"/>
      <c r="H188" s="311"/>
      <c r="I188" s="311"/>
      <c r="J188" s="311"/>
      <c r="K188" s="311"/>
      <c r="L188" s="408">
        <f t="shared" si="15"/>
        <v>0</v>
      </c>
      <c r="M188" s="311"/>
      <c r="N188" s="303"/>
      <c r="O188" s="311"/>
      <c r="P188" s="311"/>
      <c r="Q188" s="311"/>
      <c r="R188" s="311"/>
      <c r="S188" s="311"/>
      <c r="T188" s="311"/>
      <c r="U188" s="311"/>
      <c r="V188" s="409">
        <f t="shared" si="16"/>
        <v>0</v>
      </c>
      <c r="W188" s="311"/>
      <c r="X188" s="311"/>
      <c r="Y188" s="300"/>
      <c r="Z188" s="300"/>
      <c r="AA188" s="300"/>
      <c r="AB188" s="300"/>
      <c r="AC188" s="300"/>
      <c r="AD188" s="300"/>
      <c r="AE188" s="318"/>
      <c r="AF188" s="410">
        <f t="shared" si="17"/>
        <v>0</v>
      </c>
      <c r="AG188" s="300"/>
      <c r="AH188" s="300"/>
      <c r="AI188" s="303" t="s">
        <v>510</v>
      </c>
      <c r="AJ188" s="303" t="s">
        <v>510</v>
      </c>
      <c r="AK188" s="322" t="s">
        <v>510</v>
      </c>
      <c r="AL188" s="303" t="s">
        <v>511</v>
      </c>
      <c r="AM188" s="303" t="s">
        <v>510</v>
      </c>
      <c r="AN188" s="303" t="s">
        <v>511</v>
      </c>
      <c r="AO188" s="303">
        <v>20</v>
      </c>
      <c r="AP188" s="290">
        <f t="shared" si="18"/>
        <v>20</v>
      </c>
      <c r="AQ188" s="322" t="s">
        <v>504</v>
      </c>
      <c r="AR188" s="303"/>
      <c r="AS188" s="303"/>
      <c r="AT188" s="303"/>
      <c r="AU188" s="303"/>
      <c r="AV188" s="303"/>
      <c r="AW188" s="303"/>
      <c r="AX188" s="303"/>
      <c r="AY188" s="303"/>
      <c r="AZ188" s="290">
        <f t="shared" si="19"/>
        <v>0</v>
      </c>
      <c r="BA188" s="303"/>
      <c r="BB188" s="303"/>
      <c r="BC188" s="315">
        <f t="shared" si="14"/>
        <v>1</v>
      </c>
      <c r="BD188" s="316" t="str">
        <f t="shared" si="20"/>
        <v>Habilitado</v>
      </c>
    </row>
    <row r="189" spans="1:56" ht="76.5" x14ac:dyDescent="0.25">
      <c r="A189" s="308">
        <v>187</v>
      </c>
      <c r="B189" s="309" t="s">
        <v>899</v>
      </c>
      <c r="C189" s="310" t="s">
        <v>900</v>
      </c>
      <c r="D189" s="310" t="s">
        <v>901</v>
      </c>
      <c r="E189" s="311"/>
      <c r="F189" s="311"/>
      <c r="G189" s="311"/>
      <c r="H189" s="311"/>
      <c r="I189" s="311"/>
      <c r="J189" s="311"/>
      <c r="K189" s="311"/>
      <c r="L189" s="408">
        <f t="shared" si="15"/>
        <v>0</v>
      </c>
      <c r="M189" s="311"/>
      <c r="N189" s="303"/>
      <c r="O189" s="311"/>
      <c r="P189" s="311"/>
      <c r="Q189" s="311"/>
      <c r="R189" s="311"/>
      <c r="S189" s="311"/>
      <c r="T189" s="311"/>
      <c r="U189" s="311"/>
      <c r="V189" s="409">
        <f t="shared" si="16"/>
        <v>0</v>
      </c>
      <c r="W189" s="311"/>
      <c r="X189" s="311"/>
      <c r="Y189" s="300"/>
      <c r="Z189" s="300"/>
      <c r="AA189" s="300"/>
      <c r="AB189" s="300"/>
      <c r="AC189" s="300"/>
      <c r="AD189" s="300"/>
      <c r="AE189" s="318"/>
      <c r="AF189" s="410">
        <f t="shared" si="17"/>
        <v>0</v>
      </c>
      <c r="AG189" s="300"/>
      <c r="AH189" s="300"/>
      <c r="AI189" s="303"/>
      <c r="AJ189" s="303"/>
      <c r="AK189" s="322"/>
      <c r="AL189" s="303"/>
      <c r="AM189" s="303"/>
      <c r="AN189" s="303"/>
      <c r="AO189" s="303"/>
      <c r="AP189" s="290">
        <f t="shared" si="18"/>
        <v>0</v>
      </c>
      <c r="AQ189" s="322"/>
      <c r="AR189" s="322"/>
      <c r="AS189" s="303"/>
      <c r="AT189" s="303"/>
      <c r="AU189" s="303"/>
      <c r="AV189" s="303"/>
      <c r="AW189" s="303"/>
      <c r="AX189" s="303"/>
      <c r="AY189" s="303"/>
      <c r="AZ189" s="290">
        <f t="shared" si="19"/>
        <v>0</v>
      </c>
      <c r="BA189" s="303"/>
      <c r="BB189" s="303"/>
      <c r="BC189" s="315">
        <f t="shared" si="14"/>
        <v>0</v>
      </c>
      <c r="BD189" s="316" t="str">
        <f t="shared" si="20"/>
        <v>Desierto</v>
      </c>
    </row>
    <row r="190" spans="1:56" ht="76.5" x14ac:dyDescent="0.25">
      <c r="A190" s="308">
        <v>188</v>
      </c>
      <c r="B190" s="309" t="s">
        <v>902</v>
      </c>
      <c r="C190" s="310" t="s">
        <v>903</v>
      </c>
      <c r="D190" s="310" t="s">
        <v>898</v>
      </c>
      <c r="E190" s="311"/>
      <c r="F190" s="311"/>
      <c r="G190" s="311"/>
      <c r="H190" s="311"/>
      <c r="I190" s="311"/>
      <c r="J190" s="311"/>
      <c r="K190" s="311"/>
      <c r="L190" s="408">
        <f t="shared" si="15"/>
        <v>0</v>
      </c>
      <c r="M190" s="311"/>
      <c r="N190" s="311"/>
      <c r="O190" s="311"/>
      <c r="P190" s="311"/>
      <c r="Q190" s="311"/>
      <c r="R190" s="311"/>
      <c r="S190" s="311"/>
      <c r="T190" s="311"/>
      <c r="U190" s="311"/>
      <c r="V190" s="409">
        <f t="shared" si="16"/>
        <v>0</v>
      </c>
      <c r="W190" s="311"/>
      <c r="X190" s="311"/>
      <c r="Y190" s="300"/>
      <c r="Z190" s="300"/>
      <c r="AA190" s="300"/>
      <c r="AB190" s="300"/>
      <c r="AC190" s="300"/>
      <c r="AD190" s="300"/>
      <c r="AE190" s="318"/>
      <c r="AF190" s="410">
        <f t="shared" si="17"/>
        <v>0</v>
      </c>
      <c r="AG190" s="300"/>
      <c r="AH190" s="300"/>
      <c r="AI190" s="303"/>
      <c r="AJ190" s="303"/>
      <c r="AK190" s="322"/>
      <c r="AL190" s="303"/>
      <c r="AM190" s="303"/>
      <c r="AN190" s="303"/>
      <c r="AO190" s="303"/>
      <c r="AP190" s="290">
        <f t="shared" si="18"/>
        <v>0</v>
      </c>
      <c r="AQ190" s="322"/>
      <c r="AR190" s="303"/>
      <c r="AS190" s="303"/>
      <c r="AT190" s="303"/>
      <c r="AU190" s="303"/>
      <c r="AV190" s="303"/>
      <c r="AW190" s="303"/>
      <c r="AX190" s="303"/>
      <c r="AY190" s="303"/>
      <c r="AZ190" s="290">
        <f t="shared" si="19"/>
        <v>0</v>
      </c>
      <c r="BA190" s="303"/>
      <c r="BB190" s="303"/>
      <c r="BC190" s="315">
        <f t="shared" si="14"/>
        <v>0</v>
      </c>
      <c r="BD190" s="316" t="str">
        <f t="shared" si="20"/>
        <v>Desierto</v>
      </c>
    </row>
    <row r="191" spans="1:56" ht="45" customHeight="1" x14ac:dyDescent="0.25">
      <c r="A191" s="308">
        <v>189</v>
      </c>
      <c r="B191" s="309" t="s">
        <v>904</v>
      </c>
      <c r="C191" s="310" t="s">
        <v>905</v>
      </c>
      <c r="D191" s="310" t="s">
        <v>906</v>
      </c>
      <c r="E191" s="303" t="s">
        <v>510</v>
      </c>
      <c r="F191" s="303" t="s">
        <v>510</v>
      </c>
      <c r="G191" s="303" t="s">
        <v>510</v>
      </c>
      <c r="H191" s="303" t="s">
        <v>511</v>
      </c>
      <c r="I191" s="303" t="s">
        <v>510</v>
      </c>
      <c r="J191" s="303" t="s">
        <v>511</v>
      </c>
      <c r="K191" s="303">
        <v>40</v>
      </c>
      <c r="L191" s="408">
        <f t="shared" si="15"/>
        <v>40</v>
      </c>
      <c r="M191" s="303" t="s">
        <v>504</v>
      </c>
      <c r="N191" s="303"/>
      <c r="O191" s="311"/>
      <c r="P191" s="311"/>
      <c r="Q191" s="311"/>
      <c r="R191" s="311"/>
      <c r="S191" s="311"/>
      <c r="T191" s="311"/>
      <c r="U191" s="311"/>
      <c r="V191" s="409">
        <f t="shared" si="16"/>
        <v>0</v>
      </c>
      <c r="W191" s="311"/>
      <c r="X191" s="311"/>
      <c r="Y191" s="300"/>
      <c r="Z191" s="300"/>
      <c r="AA191" s="300"/>
      <c r="AB191" s="300"/>
      <c r="AC191" s="300"/>
      <c r="AD191" s="300"/>
      <c r="AE191" s="318"/>
      <c r="AF191" s="410">
        <f t="shared" si="17"/>
        <v>0</v>
      </c>
      <c r="AG191" s="300"/>
      <c r="AH191" s="300"/>
      <c r="AI191" s="303" t="s">
        <v>510</v>
      </c>
      <c r="AJ191" s="303" t="s">
        <v>510</v>
      </c>
      <c r="AK191" s="322" t="s">
        <v>510</v>
      </c>
      <c r="AL191" s="303" t="s">
        <v>511</v>
      </c>
      <c r="AM191" s="303" t="s">
        <v>510</v>
      </c>
      <c r="AN191" s="303" t="s">
        <v>511</v>
      </c>
      <c r="AO191" s="303">
        <v>20</v>
      </c>
      <c r="AP191" s="290">
        <f t="shared" si="18"/>
        <v>20</v>
      </c>
      <c r="AQ191" s="322" t="s">
        <v>504</v>
      </c>
      <c r="AR191" s="303"/>
      <c r="AS191" s="303"/>
      <c r="AT191" s="303"/>
      <c r="AU191" s="303"/>
      <c r="AV191" s="303"/>
      <c r="AW191" s="303"/>
      <c r="AX191" s="303"/>
      <c r="AY191" s="303"/>
      <c r="AZ191" s="290">
        <f t="shared" si="19"/>
        <v>0</v>
      </c>
      <c r="BA191" s="303"/>
      <c r="BB191" s="303"/>
      <c r="BC191" s="315">
        <f t="shared" si="14"/>
        <v>2</v>
      </c>
      <c r="BD191" s="316" t="str">
        <f t="shared" si="20"/>
        <v>Habilitado</v>
      </c>
    </row>
    <row r="192" spans="1:56" ht="41.25" customHeight="1" x14ac:dyDescent="0.25">
      <c r="A192" s="308">
        <v>190</v>
      </c>
      <c r="B192" s="309" t="s">
        <v>907</v>
      </c>
      <c r="C192" s="310" t="s">
        <v>908</v>
      </c>
      <c r="D192" s="310" t="s">
        <v>46</v>
      </c>
      <c r="E192" s="311"/>
      <c r="F192" s="311"/>
      <c r="G192" s="311"/>
      <c r="H192" s="311"/>
      <c r="I192" s="311"/>
      <c r="J192" s="311"/>
      <c r="K192" s="311"/>
      <c r="L192" s="408">
        <f t="shared" si="15"/>
        <v>0</v>
      </c>
      <c r="M192" s="311"/>
      <c r="N192" s="320"/>
      <c r="O192" s="311"/>
      <c r="P192" s="311"/>
      <c r="Q192" s="311"/>
      <c r="R192" s="311"/>
      <c r="S192" s="311"/>
      <c r="T192" s="311"/>
      <c r="U192" s="311"/>
      <c r="V192" s="409">
        <f t="shared" si="16"/>
        <v>0</v>
      </c>
      <c r="W192" s="311"/>
      <c r="X192" s="320"/>
      <c r="Y192" s="300"/>
      <c r="Z192" s="300"/>
      <c r="AA192" s="300"/>
      <c r="AB192" s="300"/>
      <c r="AC192" s="300"/>
      <c r="AD192" s="300"/>
      <c r="AE192" s="318"/>
      <c r="AF192" s="410">
        <f t="shared" si="17"/>
        <v>0</v>
      </c>
      <c r="AG192" s="300"/>
      <c r="AH192" s="299"/>
      <c r="AI192" s="303" t="s">
        <v>510</v>
      </c>
      <c r="AJ192" s="303" t="s">
        <v>510</v>
      </c>
      <c r="AK192" s="303" t="s">
        <v>510</v>
      </c>
      <c r="AL192" s="303" t="s">
        <v>511</v>
      </c>
      <c r="AM192" s="303" t="s">
        <v>510</v>
      </c>
      <c r="AN192" s="303" t="s">
        <v>511</v>
      </c>
      <c r="AO192" s="303">
        <v>20</v>
      </c>
      <c r="AP192" s="290">
        <f t="shared" si="18"/>
        <v>20</v>
      </c>
      <c r="AQ192" s="303" t="s">
        <v>504</v>
      </c>
      <c r="AR192" s="301" t="s">
        <v>909</v>
      </c>
      <c r="AS192" s="303"/>
      <c r="AT192" s="303"/>
      <c r="AU192" s="303"/>
      <c r="AV192" s="303"/>
      <c r="AW192" s="303"/>
      <c r="AX192" s="303"/>
      <c r="AY192" s="303"/>
      <c r="AZ192" s="290">
        <f t="shared" si="19"/>
        <v>0</v>
      </c>
      <c r="BA192" s="303"/>
      <c r="BB192" s="301"/>
      <c r="BC192" s="315">
        <f t="shared" si="14"/>
        <v>1</v>
      </c>
      <c r="BD192" s="316" t="str">
        <f t="shared" si="20"/>
        <v>Habilitado</v>
      </c>
    </row>
    <row r="193" spans="1:56" ht="51.75" customHeight="1" x14ac:dyDescent="0.25">
      <c r="A193" s="308">
        <v>191</v>
      </c>
      <c r="B193" s="309" t="s">
        <v>910</v>
      </c>
      <c r="C193" s="324" t="s">
        <v>911</v>
      </c>
      <c r="D193" s="310" t="s">
        <v>46</v>
      </c>
      <c r="E193" s="311"/>
      <c r="F193" s="311"/>
      <c r="G193" s="311"/>
      <c r="H193" s="311"/>
      <c r="I193" s="311"/>
      <c r="J193" s="311"/>
      <c r="K193" s="311"/>
      <c r="L193" s="408">
        <f t="shared" si="15"/>
        <v>0</v>
      </c>
      <c r="M193" s="311"/>
      <c r="N193" s="320"/>
      <c r="O193" s="311"/>
      <c r="P193" s="311"/>
      <c r="Q193" s="311"/>
      <c r="R193" s="311"/>
      <c r="S193" s="311"/>
      <c r="T193" s="311"/>
      <c r="U193" s="311"/>
      <c r="V193" s="409">
        <f t="shared" si="16"/>
        <v>0</v>
      </c>
      <c r="W193" s="311"/>
      <c r="X193" s="320"/>
      <c r="Y193" s="312"/>
      <c r="Z193" s="312"/>
      <c r="AA193" s="312"/>
      <c r="AB193" s="312"/>
      <c r="AC193" s="312"/>
      <c r="AD193" s="312"/>
      <c r="AE193" s="313"/>
      <c r="AF193" s="410">
        <f t="shared" si="17"/>
        <v>0</v>
      </c>
      <c r="AG193" s="312"/>
      <c r="AH193" s="317"/>
      <c r="AI193" s="303" t="s">
        <v>510</v>
      </c>
      <c r="AJ193" s="303" t="s">
        <v>510</v>
      </c>
      <c r="AK193" s="303" t="s">
        <v>510</v>
      </c>
      <c r="AL193" s="303" t="s">
        <v>511</v>
      </c>
      <c r="AM193" s="303" t="s">
        <v>510</v>
      </c>
      <c r="AN193" s="303" t="s">
        <v>511</v>
      </c>
      <c r="AO193" s="303">
        <v>20</v>
      </c>
      <c r="AP193" s="290">
        <f t="shared" si="18"/>
        <v>20</v>
      </c>
      <c r="AQ193" s="303" t="s">
        <v>504</v>
      </c>
      <c r="AR193" s="301" t="s">
        <v>912</v>
      </c>
      <c r="AS193" s="303"/>
      <c r="AT193" s="303"/>
      <c r="AU193" s="303"/>
      <c r="AV193" s="303"/>
      <c r="AW193" s="303"/>
      <c r="AX193" s="303"/>
      <c r="AY193" s="303"/>
      <c r="AZ193" s="290">
        <f t="shared" si="19"/>
        <v>0</v>
      </c>
      <c r="BA193" s="303"/>
      <c r="BB193" s="301"/>
      <c r="BC193" s="315">
        <f t="shared" si="14"/>
        <v>1</v>
      </c>
      <c r="BD193" s="316" t="str">
        <f t="shared" si="20"/>
        <v>Habilitado</v>
      </c>
    </row>
    <row r="194" spans="1:56" ht="58.5" customHeight="1" x14ac:dyDescent="0.25">
      <c r="A194" s="308">
        <v>192</v>
      </c>
      <c r="B194" s="309" t="s">
        <v>913</v>
      </c>
      <c r="C194" s="310" t="s">
        <v>914</v>
      </c>
      <c r="D194" s="310" t="s">
        <v>46</v>
      </c>
      <c r="E194" s="311"/>
      <c r="F194" s="311"/>
      <c r="G194" s="311"/>
      <c r="H194" s="311"/>
      <c r="I194" s="311"/>
      <c r="J194" s="311"/>
      <c r="K194" s="311"/>
      <c r="L194" s="408">
        <f t="shared" si="15"/>
        <v>0</v>
      </c>
      <c r="M194" s="311"/>
      <c r="N194" s="320"/>
      <c r="O194" s="311"/>
      <c r="P194" s="311"/>
      <c r="Q194" s="311"/>
      <c r="R194" s="311"/>
      <c r="S194" s="311"/>
      <c r="T194" s="311"/>
      <c r="U194" s="311"/>
      <c r="V194" s="409">
        <f t="shared" si="16"/>
        <v>0</v>
      </c>
      <c r="W194" s="311"/>
      <c r="X194" s="320"/>
      <c r="Y194" s="312"/>
      <c r="Z194" s="312"/>
      <c r="AA194" s="312"/>
      <c r="AB194" s="312"/>
      <c r="AC194" s="312"/>
      <c r="AD194" s="312"/>
      <c r="AE194" s="313"/>
      <c r="AF194" s="410">
        <f t="shared" si="17"/>
        <v>0</v>
      </c>
      <c r="AG194" s="312"/>
      <c r="AH194" s="317"/>
      <c r="AI194" s="303" t="s">
        <v>510</v>
      </c>
      <c r="AJ194" s="303" t="s">
        <v>510</v>
      </c>
      <c r="AK194" s="303" t="s">
        <v>510</v>
      </c>
      <c r="AL194" s="303" t="s">
        <v>511</v>
      </c>
      <c r="AM194" s="303" t="s">
        <v>510</v>
      </c>
      <c r="AN194" s="303" t="s">
        <v>511</v>
      </c>
      <c r="AO194" s="303">
        <v>20</v>
      </c>
      <c r="AP194" s="290">
        <f t="shared" si="18"/>
        <v>20</v>
      </c>
      <c r="AQ194" s="303" t="s">
        <v>504</v>
      </c>
      <c r="AR194" s="301"/>
      <c r="AS194" s="303"/>
      <c r="AT194" s="303"/>
      <c r="AU194" s="303"/>
      <c r="AV194" s="303"/>
      <c r="AW194" s="303"/>
      <c r="AX194" s="303"/>
      <c r="AY194" s="303"/>
      <c r="AZ194" s="290">
        <f t="shared" si="19"/>
        <v>0</v>
      </c>
      <c r="BA194" s="303"/>
      <c r="BB194" s="301"/>
      <c r="BC194" s="315">
        <f t="shared" si="14"/>
        <v>1</v>
      </c>
      <c r="BD194" s="316" t="str">
        <f t="shared" si="20"/>
        <v>Habilitado</v>
      </c>
    </row>
    <row r="195" spans="1:56" ht="66.75" customHeight="1" x14ac:dyDescent="0.25">
      <c r="A195" s="308">
        <v>193</v>
      </c>
      <c r="B195" s="309" t="s">
        <v>915</v>
      </c>
      <c r="C195" s="310" t="s">
        <v>914</v>
      </c>
      <c r="D195" s="310" t="s">
        <v>46</v>
      </c>
      <c r="E195" s="311"/>
      <c r="F195" s="311"/>
      <c r="G195" s="311"/>
      <c r="H195" s="311"/>
      <c r="I195" s="311"/>
      <c r="J195" s="311"/>
      <c r="K195" s="311"/>
      <c r="L195" s="408">
        <f t="shared" si="15"/>
        <v>0</v>
      </c>
      <c r="M195" s="311"/>
      <c r="N195" s="320"/>
      <c r="O195" s="311"/>
      <c r="P195" s="311"/>
      <c r="Q195" s="311"/>
      <c r="R195" s="311"/>
      <c r="S195" s="311"/>
      <c r="T195" s="311"/>
      <c r="U195" s="311"/>
      <c r="V195" s="409">
        <f t="shared" si="16"/>
        <v>0</v>
      </c>
      <c r="W195" s="311"/>
      <c r="X195" s="320"/>
      <c r="Y195" s="312"/>
      <c r="Z195" s="312"/>
      <c r="AA195" s="312"/>
      <c r="AB195" s="312"/>
      <c r="AC195" s="312"/>
      <c r="AD195" s="312"/>
      <c r="AE195" s="313"/>
      <c r="AF195" s="410">
        <f t="shared" si="17"/>
        <v>0</v>
      </c>
      <c r="AG195" s="312"/>
      <c r="AH195" s="317"/>
      <c r="AI195" s="303" t="s">
        <v>510</v>
      </c>
      <c r="AJ195" s="303" t="s">
        <v>519</v>
      </c>
      <c r="AK195" s="303" t="s">
        <v>510</v>
      </c>
      <c r="AL195" s="303" t="s">
        <v>511</v>
      </c>
      <c r="AM195" s="303" t="s">
        <v>510</v>
      </c>
      <c r="AN195" s="303" t="s">
        <v>511</v>
      </c>
      <c r="AO195" s="303">
        <v>0</v>
      </c>
      <c r="AP195" s="290">
        <f t="shared" si="18"/>
        <v>0</v>
      </c>
      <c r="AQ195" s="303" t="s">
        <v>520</v>
      </c>
      <c r="AR195" s="302" t="s">
        <v>916</v>
      </c>
      <c r="AS195" s="303"/>
      <c r="AT195" s="303"/>
      <c r="AU195" s="303"/>
      <c r="AV195" s="303"/>
      <c r="AW195" s="303"/>
      <c r="AX195" s="303"/>
      <c r="AY195" s="303"/>
      <c r="AZ195" s="290">
        <f t="shared" si="19"/>
        <v>0</v>
      </c>
      <c r="BA195" s="303"/>
      <c r="BB195" s="301"/>
      <c r="BC195" s="315">
        <f t="shared" ref="BC195:BC258" si="21">COUNTIF(M195,"Habilitado")+COUNTIF(W195,"Habilitado")+COUNTIF(AG195,"Habilitado")+COUNTIF(AQ195,"Habilitado")+COUNTIF(AS195,"Habilitado")+COUNTIF(BA195,"Habilitado")</f>
        <v>0</v>
      </c>
      <c r="BD195" s="316" t="str">
        <f t="shared" si="20"/>
        <v>Desierto</v>
      </c>
    </row>
    <row r="196" spans="1:56" ht="75.75" customHeight="1" x14ac:dyDescent="0.25">
      <c r="A196" s="308">
        <v>194</v>
      </c>
      <c r="B196" s="309" t="s">
        <v>917</v>
      </c>
      <c r="C196" s="310" t="s">
        <v>918</v>
      </c>
      <c r="D196" s="310" t="s">
        <v>46</v>
      </c>
      <c r="E196" s="311"/>
      <c r="F196" s="311"/>
      <c r="G196" s="311"/>
      <c r="H196" s="311"/>
      <c r="I196" s="311"/>
      <c r="J196" s="311"/>
      <c r="K196" s="311"/>
      <c r="L196" s="408">
        <f t="shared" ref="L196:L259" si="22">+K196</f>
        <v>0</v>
      </c>
      <c r="M196" s="311"/>
      <c r="N196" s="320"/>
      <c r="O196" s="311"/>
      <c r="P196" s="311"/>
      <c r="Q196" s="311"/>
      <c r="R196" s="311"/>
      <c r="S196" s="311"/>
      <c r="T196" s="311"/>
      <c r="U196" s="311"/>
      <c r="V196" s="409">
        <f t="shared" ref="V196:V259" si="23">+U196</f>
        <v>0</v>
      </c>
      <c r="W196" s="311"/>
      <c r="X196" s="320"/>
      <c r="Y196" s="312"/>
      <c r="Z196" s="312"/>
      <c r="AA196" s="312"/>
      <c r="AB196" s="312"/>
      <c r="AC196" s="312"/>
      <c r="AD196" s="312"/>
      <c r="AE196" s="313"/>
      <c r="AF196" s="410">
        <f t="shared" ref="AF196:AF259" si="24">AE196</f>
        <v>0</v>
      </c>
      <c r="AG196" s="312"/>
      <c r="AH196" s="317"/>
      <c r="AI196" s="303" t="s">
        <v>510</v>
      </c>
      <c r="AJ196" s="303" t="s">
        <v>510</v>
      </c>
      <c r="AK196" s="303" t="s">
        <v>510</v>
      </c>
      <c r="AL196" s="303" t="s">
        <v>511</v>
      </c>
      <c r="AM196" s="303" t="s">
        <v>510</v>
      </c>
      <c r="AN196" s="303" t="s">
        <v>511</v>
      </c>
      <c r="AO196" s="303">
        <v>20</v>
      </c>
      <c r="AP196" s="290">
        <f t="shared" ref="AP196:AP259" si="25">+AO196</f>
        <v>20</v>
      </c>
      <c r="AQ196" s="303" t="s">
        <v>504</v>
      </c>
      <c r="AR196" s="301" t="s">
        <v>912</v>
      </c>
      <c r="AS196" s="303"/>
      <c r="AT196" s="303"/>
      <c r="AU196" s="303"/>
      <c r="AV196" s="303"/>
      <c r="AW196" s="303"/>
      <c r="AX196" s="303"/>
      <c r="AY196" s="303"/>
      <c r="AZ196" s="290">
        <f t="shared" ref="AZ196:AZ259" si="26">+AY196</f>
        <v>0</v>
      </c>
      <c r="BA196" s="303"/>
      <c r="BB196" s="301"/>
      <c r="BC196" s="315">
        <f t="shared" si="21"/>
        <v>1</v>
      </c>
      <c r="BD196" s="316" t="str">
        <f t="shared" ref="BD196:BD259" si="27">IF(BC196&gt;=1,"Habilitado","Desierto")</f>
        <v>Habilitado</v>
      </c>
    </row>
    <row r="197" spans="1:56" ht="63.75" x14ac:dyDescent="0.25">
      <c r="A197" s="308">
        <v>195</v>
      </c>
      <c r="B197" s="309" t="s">
        <v>919</v>
      </c>
      <c r="C197" s="310" t="s">
        <v>920</v>
      </c>
      <c r="D197" s="310" t="s">
        <v>921</v>
      </c>
      <c r="E197" s="303" t="s">
        <v>510</v>
      </c>
      <c r="F197" s="303" t="s">
        <v>510</v>
      </c>
      <c r="G197" s="303" t="s">
        <v>510</v>
      </c>
      <c r="H197" s="303" t="s">
        <v>511</v>
      </c>
      <c r="I197" s="303" t="s">
        <v>510</v>
      </c>
      <c r="J197" s="303" t="s">
        <v>511</v>
      </c>
      <c r="K197" s="303">
        <v>40</v>
      </c>
      <c r="L197" s="408">
        <f t="shared" si="22"/>
        <v>40</v>
      </c>
      <c r="M197" s="303" t="s">
        <v>504</v>
      </c>
      <c r="N197" s="303"/>
      <c r="O197" s="311"/>
      <c r="P197" s="311"/>
      <c r="Q197" s="311"/>
      <c r="R197" s="311"/>
      <c r="S197" s="311"/>
      <c r="T197" s="311"/>
      <c r="U197" s="311"/>
      <c r="V197" s="409">
        <f t="shared" si="23"/>
        <v>0</v>
      </c>
      <c r="W197" s="311"/>
      <c r="X197" s="311"/>
      <c r="Y197" s="300"/>
      <c r="Z197" s="300"/>
      <c r="AA197" s="300"/>
      <c r="AB197" s="300"/>
      <c r="AC197" s="300"/>
      <c r="AD197" s="300"/>
      <c r="AE197" s="318"/>
      <c r="AF197" s="410">
        <f t="shared" si="24"/>
        <v>0</v>
      </c>
      <c r="AG197" s="300"/>
      <c r="AH197" s="300"/>
      <c r="AI197" s="303" t="s">
        <v>510</v>
      </c>
      <c r="AJ197" s="303" t="s">
        <v>510</v>
      </c>
      <c r="AK197" s="303" t="s">
        <v>510</v>
      </c>
      <c r="AL197" s="303" t="s">
        <v>511</v>
      </c>
      <c r="AM197" s="303" t="s">
        <v>510</v>
      </c>
      <c r="AN197" s="303" t="s">
        <v>511</v>
      </c>
      <c r="AO197" s="303">
        <v>20</v>
      </c>
      <c r="AP197" s="290">
        <f t="shared" si="25"/>
        <v>20</v>
      </c>
      <c r="AQ197" s="303" t="s">
        <v>504</v>
      </c>
      <c r="AR197" s="303"/>
      <c r="AS197" s="303"/>
      <c r="AT197" s="303"/>
      <c r="AU197" s="303"/>
      <c r="AV197" s="303"/>
      <c r="AW197" s="303"/>
      <c r="AX197" s="303"/>
      <c r="AY197" s="303"/>
      <c r="AZ197" s="290">
        <f t="shared" si="26"/>
        <v>0</v>
      </c>
      <c r="BA197" s="303"/>
      <c r="BB197" s="303"/>
      <c r="BC197" s="315">
        <f t="shared" si="21"/>
        <v>2</v>
      </c>
      <c r="BD197" s="316" t="str">
        <f t="shared" si="27"/>
        <v>Habilitado</v>
      </c>
    </row>
    <row r="198" spans="1:56" ht="63.75" x14ac:dyDescent="0.25">
      <c r="A198" s="308">
        <v>196</v>
      </c>
      <c r="B198" s="309" t="s">
        <v>922</v>
      </c>
      <c r="C198" s="310" t="s">
        <v>923</v>
      </c>
      <c r="D198" s="310" t="s">
        <v>906</v>
      </c>
      <c r="E198" s="303" t="s">
        <v>510</v>
      </c>
      <c r="F198" s="303" t="s">
        <v>510</v>
      </c>
      <c r="G198" s="303" t="s">
        <v>510</v>
      </c>
      <c r="H198" s="303" t="s">
        <v>511</v>
      </c>
      <c r="I198" s="303" t="s">
        <v>510</v>
      </c>
      <c r="J198" s="303" t="s">
        <v>511</v>
      </c>
      <c r="K198" s="303">
        <v>40</v>
      </c>
      <c r="L198" s="408">
        <f t="shared" si="22"/>
        <v>40</v>
      </c>
      <c r="M198" s="303" t="s">
        <v>504</v>
      </c>
      <c r="N198" s="303"/>
      <c r="O198" s="311"/>
      <c r="P198" s="311"/>
      <c r="Q198" s="311"/>
      <c r="R198" s="311"/>
      <c r="S198" s="311"/>
      <c r="T198" s="311"/>
      <c r="U198" s="311"/>
      <c r="V198" s="409">
        <f t="shared" si="23"/>
        <v>0</v>
      </c>
      <c r="W198" s="311"/>
      <c r="X198" s="311"/>
      <c r="Y198" s="300"/>
      <c r="Z198" s="300"/>
      <c r="AA198" s="300"/>
      <c r="AB198" s="300"/>
      <c r="AC198" s="300"/>
      <c r="AD198" s="300"/>
      <c r="AE198" s="318"/>
      <c r="AF198" s="410">
        <f t="shared" si="24"/>
        <v>0</v>
      </c>
      <c r="AG198" s="300"/>
      <c r="AH198" s="300"/>
      <c r="AI198" s="303" t="s">
        <v>510</v>
      </c>
      <c r="AJ198" s="303" t="s">
        <v>510</v>
      </c>
      <c r="AK198" s="303" t="s">
        <v>510</v>
      </c>
      <c r="AL198" s="303" t="s">
        <v>511</v>
      </c>
      <c r="AM198" s="303" t="s">
        <v>510</v>
      </c>
      <c r="AN198" s="303" t="s">
        <v>511</v>
      </c>
      <c r="AO198" s="303">
        <v>20</v>
      </c>
      <c r="AP198" s="290">
        <f t="shared" si="25"/>
        <v>20</v>
      </c>
      <c r="AQ198" s="303" t="s">
        <v>504</v>
      </c>
      <c r="AR198" s="303"/>
      <c r="AS198" s="303"/>
      <c r="AT198" s="303"/>
      <c r="AU198" s="303"/>
      <c r="AV198" s="303"/>
      <c r="AW198" s="303"/>
      <c r="AX198" s="303"/>
      <c r="AY198" s="303"/>
      <c r="AZ198" s="290">
        <f t="shared" si="26"/>
        <v>0</v>
      </c>
      <c r="BA198" s="303"/>
      <c r="BB198" s="303"/>
      <c r="BC198" s="315">
        <f t="shared" si="21"/>
        <v>2</v>
      </c>
      <c r="BD198" s="316" t="str">
        <f t="shared" si="27"/>
        <v>Habilitado</v>
      </c>
    </row>
    <row r="199" spans="1:56" ht="76.5" x14ac:dyDescent="0.25">
      <c r="A199" s="308">
        <v>197</v>
      </c>
      <c r="B199" s="309" t="s">
        <v>924</v>
      </c>
      <c r="C199" s="310" t="s">
        <v>925</v>
      </c>
      <c r="D199" s="310" t="s">
        <v>895</v>
      </c>
      <c r="E199" s="303" t="s">
        <v>510</v>
      </c>
      <c r="F199" s="303" t="s">
        <v>510</v>
      </c>
      <c r="G199" s="303" t="s">
        <v>510</v>
      </c>
      <c r="H199" s="303" t="s">
        <v>511</v>
      </c>
      <c r="I199" s="303" t="s">
        <v>510</v>
      </c>
      <c r="J199" s="303" t="s">
        <v>511</v>
      </c>
      <c r="K199" s="303">
        <v>40</v>
      </c>
      <c r="L199" s="408">
        <f t="shared" si="22"/>
        <v>40</v>
      </c>
      <c r="M199" s="303" t="s">
        <v>504</v>
      </c>
      <c r="N199" s="303"/>
      <c r="O199" s="311"/>
      <c r="P199" s="311"/>
      <c r="Q199" s="311"/>
      <c r="R199" s="311"/>
      <c r="S199" s="311"/>
      <c r="T199" s="311"/>
      <c r="U199" s="311"/>
      <c r="V199" s="409">
        <f t="shared" si="23"/>
        <v>0</v>
      </c>
      <c r="W199" s="311"/>
      <c r="X199" s="307"/>
      <c r="Y199" s="300"/>
      <c r="Z199" s="300"/>
      <c r="AA199" s="300"/>
      <c r="AB199" s="300"/>
      <c r="AC199" s="300"/>
      <c r="AD199" s="300"/>
      <c r="AE199" s="318"/>
      <c r="AF199" s="410">
        <f t="shared" si="24"/>
        <v>0</v>
      </c>
      <c r="AG199" s="300"/>
      <c r="AH199" s="300"/>
      <c r="AI199" s="303" t="s">
        <v>510</v>
      </c>
      <c r="AJ199" s="303" t="s">
        <v>510</v>
      </c>
      <c r="AK199" s="322" t="s">
        <v>510</v>
      </c>
      <c r="AL199" s="303" t="s">
        <v>511</v>
      </c>
      <c r="AM199" s="303" t="s">
        <v>510</v>
      </c>
      <c r="AN199" s="303" t="s">
        <v>511</v>
      </c>
      <c r="AO199" s="303">
        <v>20</v>
      </c>
      <c r="AP199" s="290">
        <f t="shared" si="25"/>
        <v>20</v>
      </c>
      <c r="AQ199" s="322" t="s">
        <v>504</v>
      </c>
      <c r="AR199" s="303"/>
      <c r="AS199" s="303"/>
      <c r="AT199" s="303"/>
      <c r="AU199" s="303"/>
      <c r="AV199" s="303"/>
      <c r="AW199" s="303"/>
      <c r="AX199" s="303"/>
      <c r="AY199" s="303"/>
      <c r="AZ199" s="290">
        <f t="shared" si="26"/>
        <v>0</v>
      </c>
      <c r="BA199" s="303"/>
      <c r="BB199" s="303"/>
      <c r="BC199" s="315">
        <f t="shared" si="21"/>
        <v>2</v>
      </c>
      <c r="BD199" s="316" t="str">
        <f t="shared" si="27"/>
        <v>Habilitado</v>
      </c>
    </row>
    <row r="200" spans="1:56" ht="76.5" x14ac:dyDescent="0.25">
      <c r="A200" s="308">
        <v>198</v>
      </c>
      <c r="B200" s="309" t="s">
        <v>926</v>
      </c>
      <c r="C200" s="310" t="s">
        <v>927</v>
      </c>
      <c r="D200" s="310" t="s">
        <v>886</v>
      </c>
      <c r="E200" s="303" t="s">
        <v>510</v>
      </c>
      <c r="F200" s="303" t="s">
        <v>510</v>
      </c>
      <c r="G200" s="303" t="s">
        <v>510</v>
      </c>
      <c r="H200" s="303" t="s">
        <v>511</v>
      </c>
      <c r="I200" s="303" t="s">
        <v>510</v>
      </c>
      <c r="J200" s="303" t="s">
        <v>511</v>
      </c>
      <c r="K200" s="303">
        <v>40</v>
      </c>
      <c r="L200" s="408">
        <f t="shared" si="22"/>
        <v>40</v>
      </c>
      <c r="M200" s="303" t="s">
        <v>504</v>
      </c>
      <c r="N200" s="303"/>
      <c r="O200" s="311"/>
      <c r="P200" s="311"/>
      <c r="Q200" s="311"/>
      <c r="R200" s="311"/>
      <c r="S200" s="311"/>
      <c r="T200" s="311"/>
      <c r="U200" s="311"/>
      <c r="V200" s="409">
        <f t="shared" si="23"/>
        <v>0</v>
      </c>
      <c r="W200" s="311"/>
      <c r="X200" s="307"/>
      <c r="Y200" s="300"/>
      <c r="Z200" s="300"/>
      <c r="AA200" s="300"/>
      <c r="AB200" s="300"/>
      <c r="AC200" s="300"/>
      <c r="AD200" s="300"/>
      <c r="AE200" s="318"/>
      <c r="AF200" s="410">
        <f t="shared" si="24"/>
        <v>0</v>
      </c>
      <c r="AG200" s="300"/>
      <c r="AH200" s="300"/>
      <c r="AI200" s="303" t="s">
        <v>510</v>
      </c>
      <c r="AJ200" s="303" t="s">
        <v>510</v>
      </c>
      <c r="AK200" s="322" t="s">
        <v>510</v>
      </c>
      <c r="AL200" s="303" t="s">
        <v>511</v>
      </c>
      <c r="AM200" s="303" t="s">
        <v>510</v>
      </c>
      <c r="AN200" s="303" t="s">
        <v>511</v>
      </c>
      <c r="AO200" s="303">
        <v>20</v>
      </c>
      <c r="AP200" s="290">
        <f t="shared" si="25"/>
        <v>20</v>
      </c>
      <c r="AQ200" s="322" t="s">
        <v>504</v>
      </c>
      <c r="AR200" s="303"/>
      <c r="AS200" s="303"/>
      <c r="AT200" s="303"/>
      <c r="AU200" s="303"/>
      <c r="AV200" s="303"/>
      <c r="AW200" s="303"/>
      <c r="AX200" s="303"/>
      <c r="AY200" s="303"/>
      <c r="AZ200" s="290">
        <f t="shared" si="26"/>
        <v>0</v>
      </c>
      <c r="BA200" s="303"/>
      <c r="BB200" s="303"/>
      <c r="BC200" s="315">
        <f t="shared" si="21"/>
        <v>2</v>
      </c>
      <c r="BD200" s="316" t="str">
        <f t="shared" si="27"/>
        <v>Habilitado</v>
      </c>
    </row>
    <row r="201" spans="1:56" ht="68.25" customHeight="1" x14ac:dyDescent="0.25">
      <c r="A201" s="308">
        <v>199</v>
      </c>
      <c r="B201" s="309" t="s">
        <v>928</v>
      </c>
      <c r="C201" s="310" t="s">
        <v>929</v>
      </c>
      <c r="D201" s="310" t="s">
        <v>886</v>
      </c>
      <c r="E201" s="303" t="s">
        <v>510</v>
      </c>
      <c r="F201" s="303" t="s">
        <v>510</v>
      </c>
      <c r="G201" s="303" t="s">
        <v>510</v>
      </c>
      <c r="H201" s="303" t="s">
        <v>511</v>
      </c>
      <c r="I201" s="303" t="s">
        <v>510</v>
      </c>
      <c r="J201" s="303" t="s">
        <v>511</v>
      </c>
      <c r="K201" s="303">
        <v>40</v>
      </c>
      <c r="L201" s="408">
        <f t="shared" si="22"/>
        <v>40</v>
      </c>
      <c r="M201" s="303" t="s">
        <v>504</v>
      </c>
      <c r="N201" s="303"/>
      <c r="O201" s="311"/>
      <c r="P201" s="311"/>
      <c r="Q201" s="311"/>
      <c r="R201" s="311"/>
      <c r="S201" s="311"/>
      <c r="T201" s="311"/>
      <c r="U201" s="311"/>
      <c r="V201" s="409">
        <f t="shared" si="23"/>
        <v>0</v>
      </c>
      <c r="W201" s="311"/>
      <c r="X201" s="307"/>
      <c r="Y201" s="300"/>
      <c r="Z201" s="300"/>
      <c r="AA201" s="300"/>
      <c r="AB201" s="300"/>
      <c r="AC201" s="300"/>
      <c r="AD201" s="300"/>
      <c r="AE201" s="318"/>
      <c r="AF201" s="410">
        <f t="shared" si="24"/>
        <v>0</v>
      </c>
      <c r="AG201" s="300"/>
      <c r="AH201" s="300"/>
      <c r="AI201" s="303" t="s">
        <v>510</v>
      </c>
      <c r="AJ201" s="303" t="s">
        <v>510</v>
      </c>
      <c r="AK201" s="322" t="s">
        <v>510</v>
      </c>
      <c r="AL201" s="303" t="s">
        <v>511</v>
      </c>
      <c r="AM201" s="303" t="s">
        <v>510</v>
      </c>
      <c r="AN201" s="303" t="s">
        <v>511</v>
      </c>
      <c r="AO201" s="303">
        <v>20</v>
      </c>
      <c r="AP201" s="290">
        <f t="shared" si="25"/>
        <v>20</v>
      </c>
      <c r="AQ201" s="322" t="s">
        <v>504</v>
      </c>
      <c r="AR201" s="303"/>
      <c r="AS201" s="303"/>
      <c r="AT201" s="303"/>
      <c r="AU201" s="303"/>
      <c r="AV201" s="303"/>
      <c r="AW201" s="303"/>
      <c r="AX201" s="303"/>
      <c r="AY201" s="303"/>
      <c r="AZ201" s="290">
        <f t="shared" si="26"/>
        <v>0</v>
      </c>
      <c r="BA201" s="303"/>
      <c r="BB201" s="303"/>
      <c r="BC201" s="315">
        <f t="shared" si="21"/>
        <v>2</v>
      </c>
      <c r="BD201" s="316" t="str">
        <f t="shared" si="27"/>
        <v>Habilitado</v>
      </c>
    </row>
    <row r="202" spans="1:56" ht="69.75" customHeight="1" x14ac:dyDescent="0.25">
      <c r="A202" s="308">
        <v>200</v>
      </c>
      <c r="B202" s="309" t="s">
        <v>930</v>
      </c>
      <c r="C202" s="310" t="s">
        <v>931</v>
      </c>
      <c r="D202" s="310" t="s">
        <v>886</v>
      </c>
      <c r="E202" s="303" t="s">
        <v>510</v>
      </c>
      <c r="F202" s="303" t="s">
        <v>510</v>
      </c>
      <c r="G202" s="303" t="s">
        <v>510</v>
      </c>
      <c r="H202" s="303" t="s">
        <v>511</v>
      </c>
      <c r="I202" s="303" t="s">
        <v>510</v>
      </c>
      <c r="J202" s="303" t="s">
        <v>511</v>
      </c>
      <c r="K202" s="303">
        <v>40</v>
      </c>
      <c r="L202" s="408">
        <f t="shared" si="22"/>
        <v>40</v>
      </c>
      <c r="M202" s="303" t="s">
        <v>504</v>
      </c>
      <c r="N202" s="303"/>
      <c r="O202" s="311"/>
      <c r="P202" s="311"/>
      <c r="Q202" s="311"/>
      <c r="R202" s="311"/>
      <c r="S202" s="311"/>
      <c r="T202" s="311"/>
      <c r="U202" s="311"/>
      <c r="V202" s="409">
        <f t="shared" si="23"/>
        <v>0</v>
      </c>
      <c r="W202" s="311"/>
      <c r="X202" s="307"/>
      <c r="Y202" s="300"/>
      <c r="Z202" s="300"/>
      <c r="AA202" s="300"/>
      <c r="AB202" s="300"/>
      <c r="AC202" s="300"/>
      <c r="AD202" s="300"/>
      <c r="AE202" s="318"/>
      <c r="AF202" s="410">
        <f t="shared" si="24"/>
        <v>0</v>
      </c>
      <c r="AG202" s="300"/>
      <c r="AH202" s="300"/>
      <c r="AI202" s="303"/>
      <c r="AJ202" s="303"/>
      <c r="AK202" s="303"/>
      <c r="AL202" s="303"/>
      <c r="AM202" s="303"/>
      <c r="AN202" s="303"/>
      <c r="AO202" s="303"/>
      <c r="AP202" s="290">
        <f t="shared" si="25"/>
        <v>0</v>
      </c>
      <c r="AQ202" s="303"/>
      <c r="AR202" s="303"/>
      <c r="AS202" s="303"/>
      <c r="AT202" s="303"/>
      <c r="AU202" s="303"/>
      <c r="AV202" s="303"/>
      <c r="AW202" s="303"/>
      <c r="AX202" s="303"/>
      <c r="AY202" s="303"/>
      <c r="AZ202" s="290">
        <f t="shared" si="26"/>
        <v>0</v>
      </c>
      <c r="BA202" s="303"/>
      <c r="BB202" s="303"/>
      <c r="BC202" s="315">
        <f t="shared" si="21"/>
        <v>1</v>
      </c>
      <c r="BD202" s="316" t="str">
        <f t="shared" si="27"/>
        <v>Habilitado</v>
      </c>
    </row>
    <row r="203" spans="1:56" ht="51" x14ac:dyDescent="0.25">
      <c r="A203" s="308">
        <v>201</v>
      </c>
      <c r="B203" s="309" t="s">
        <v>932</v>
      </c>
      <c r="C203" s="310" t="s">
        <v>933</v>
      </c>
      <c r="D203" s="310" t="s">
        <v>46</v>
      </c>
      <c r="E203" s="303" t="s">
        <v>510</v>
      </c>
      <c r="F203" s="303" t="s">
        <v>510</v>
      </c>
      <c r="G203" s="303" t="s">
        <v>510</v>
      </c>
      <c r="H203" s="303" t="s">
        <v>511</v>
      </c>
      <c r="I203" s="303" t="s">
        <v>510</v>
      </c>
      <c r="J203" s="303" t="s">
        <v>511</v>
      </c>
      <c r="K203" s="303">
        <v>40</v>
      </c>
      <c r="L203" s="408">
        <f t="shared" si="22"/>
        <v>40</v>
      </c>
      <c r="M203" s="303" t="s">
        <v>504</v>
      </c>
      <c r="N203" s="303"/>
      <c r="O203" s="311"/>
      <c r="P203" s="311"/>
      <c r="Q203" s="311"/>
      <c r="R203" s="311"/>
      <c r="S203" s="311"/>
      <c r="T203" s="311"/>
      <c r="U203" s="311"/>
      <c r="V203" s="409">
        <f t="shared" si="23"/>
        <v>0</v>
      </c>
      <c r="W203" s="311"/>
      <c r="X203" s="307"/>
      <c r="Y203" s="300"/>
      <c r="Z203" s="300"/>
      <c r="AA203" s="300"/>
      <c r="AB203" s="300"/>
      <c r="AC203" s="300"/>
      <c r="AD203" s="300"/>
      <c r="AE203" s="318"/>
      <c r="AF203" s="410">
        <f t="shared" si="24"/>
        <v>0</v>
      </c>
      <c r="AG203" s="300"/>
      <c r="AH203" s="300"/>
      <c r="AI203" s="303" t="s">
        <v>510</v>
      </c>
      <c r="AJ203" s="303" t="s">
        <v>510</v>
      </c>
      <c r="AK203" s="322" t="s">
        <v>510</v>
      </c>
      <c r="AL203" s="303" t="s">
        <v>511</v>
      </c>
      <c r="AM203" s="303" t="s">
        <v>510</v>
      </c>
      <c r="AN203" s="303" t="s">
        <v>511</v>
      </c>
      <c r="AO203" s="303">
        <v>20</v>
      </c>
      <c r="AP203" s="290">
        <f t="shared" si="25"/>
        <v>20</v>
      </c>
      <c r="AQ203" s="322" t="s">
        <v>504</v>
      </c>
      <c r="AR203" s="303"/>
      <c r="AS203" s="303"/>
      <c r="AT203" s="303"/>
      <c r="AU203" s="303"/>
      <c r="AV203" s="303"/>
      <c r="AW203" s="303"/>
      <c r="AX203" s="303"/>
      <c r="AY203" s="303"/>
      <c r="AZ203" s="290">
        <f t="shared" si="26"/>
        <v>0</v>
      </c>
      <c r="BA203" s="303"/>
      <c r="BB203" s="303"/>
      <c r="BC203" s="315">
        <f t="shared" si="21"/>
        <v>2</v>
      </c>
      <c r="BD203" s="316" t="str">
        <f t="shared" si="27"/>
        <v>Habilitado</v>
      </c>
    </row>
    <row r="204" spans="1:56" ht="63.75" x14ac:dyDescent="0.25">
      <c r="A204" s="308">
        <v>202</v>
      </c>
      <c r="B204" s="309" t="s">
        <v>934</v>
      </c>
      <c r="C204" s="310" t="s">
        <v>935</v>
      </c>
      <c r="D204" s="310" t="s">
        <v>906</v>
      </c>
      <c r="E204" s="303" t="s">
        <v>510</v>
      </c>
      <c r="F204" s="303" t="s">
        <v>510</v>
      </c>
      <c r="G204" s="303" t="s">
        <v>510</v>
      </c>
      <c r="H204" s="303" t="s">
        <v>511</v>
      </c>
      <c r="I204" s="303" t="s">
        <v>510</v>
      </c>
      <c r="J204" s="303" t="s">
        <v>511</v>
      </c>
      <c r="K204" s="303">
        <v>40</v>
      </c>
      <c r="L204" s="408">
        <f t="shared" si="22"/>
        <v>40</v>
      </c>
      <c r="M204" s="303" t="s">
        <v>504</v>
      </c>
      <c r="N204" s="303"/>
      <c r="O204" s="311"/>
      <c r="P204" s="311"/>
      <c r="Q204" s="311"/>
      <c r="R204" s="311"/>
      <c r="S204" s="311"/>
      <c r="T204" s="311"/>
      <c r="U204" s="311"/>
      <c r="V204" s="409">
        <f t="shared" si="23"/>
        <v>0</v>
      </c>
      <c r="W204" s="311"/>
      <c r="X204" s="307"/>
      <c r="Y204" s="300"/>
      <c r="Z204" s="300"/>
      <c r="AA204" s="300"/>
      <c r="AB204" s="300"/>
      <c r="AC204" s="300"/>
      <c r="AD204" s="300"/>
      <c r="AE204" s="318"/>
      <c r="AF204" s="410">
        <f t="shared" si="24"/>
        <v>0</v>
      </c>
      <c r="AG204" s="300"/>
      <c r="AH204" s="300"/>
      <c r="AI204" s="303" t="s">
        <v>510</v>
      </c>
      <c r="AJ204" s="303" t="s">
        <v>510</v>
      </c>
      <c r="AK204" s="322" t="s">
        <v>510</v>
      </c>
      <c r="AL204" s="303" t="s">
        <v>511</v>
      </c>
      <c r="AM204" s="303" t="s">
        <v>510</v>
      </c>
      <c r="AN204" s="303" t="s">
        <v>511</v>
      </c>
      <c r="AO204" s="303">
        <v>20</v>
      </c>
      <c r="AP204" s="290">
        <f t="shared" si="25"/>
        <v>20</v>
      </c>
      <c r="AQ204" s="322" t="s">
        <v>504</v>
      </c>
      <c r="AR204" s="303"/>
      <c r="AS204" s="303"/>
      <c r="AT204" s="303"/>
      <c r="AU204" s="303"/>
      <c r="AV204" s="303"/>
      <c r="AW204" s="303"/>
      <c r="AX204" s="303"/>
      <c r="AY204" s="303"/>
      <c r="AZ204" s="290">
        <f t="shared" si="26"/>
        <v>0</v>
      </c>
      <c r="BA204" s="303"/>
      <c r="BB204" s="303"/>
      <c r="BC204" s="315">
        <f t="shared" si="21"/>
        <v>2</v>
      </c>
      <c r="BD204" s="316" t="str">
        <f t="shared" si="27"/>
        <v>Habilitado</v>
      </c>
    </row>
    <row r="205" spans="1:56" ht="59.25" customHeight="1" x14ac:dyDescent="0.25">
      <c r="A205" s="308">
        <v>203</v>
      </c>
      <c r="B205" s="309" t="s">
        <v>936</v>
      </c>
      <c r="C205" s="310" t="s">
        <v>937</v>
      </c>
      <c r="D205" s="310" t="s">
        <v>46</v>
      </c>
      <c r="E205" s="311"/>
      <c r="F205" s="311"/>
      <c r="G205" s="311"/>
      <c r="H205" s="311"/>
      <c r="I205" s="311"/>
      <c r="J205" s="311"/>
      <c r="K205" s="311"/>
      <c r="L205" s="408">
        <f t="shared" si="22"/>
        <v>0</v>
      </c>
      <c r="M205" s="311"/>
      <c r="N205" s="320"/>
      <c r="O205" s="311"/>
      <c r="P205" s="311"/>
      <c r="Q205" s="311"/>
      <c r="R205" s="311"/>
      <c r="S205" s="311"/>
      <c r="T205" s="311"/>
      <c r="U205" s="311"/>
      <c r="V205" s="409">
        <f t="shared" si="23"/>
        <v>0</v>
      </c>
      <c r="W205" s="311"/>
      <c r="X205" s="320"/>
      <c r="Y205" s="312"/>
      <c r="Z205" s="312"/>
      <c r="AA205" s="312"/>
      <c r="AB205" s="312"/>
      <c r="AC205" s="312"/>
      <c r="AD205" s="312"/>
      <c r="AE205" s="313"/>
      <c r="AF205" s="410">
        <f t="shared" si="24"/>
        <v>0</v>
      </c>
      <c r="AG205" s="312"/>
      <c r="AH205" s="317"/>
      <c r="AI205" s="303" t="s">
        <v>510</v>
      </c>
      <c r="AJ205" s="303" t="s">
        <v>519</v>
      </c>
      <c r="AK205" s="303" t="s">
        <v>510</v>
      </c>
      <c r="AL205" s="303" t="s">
        <v>511</v>
      </c>
      <c r="AM205" s="303" t="s">
        <v>510</v>
      </c>
      <c r="AN205" s="303" t="s">
        <v>511</v>
      </c>
      <c r="AO205" s="303">
        <v>0</v>
      </c>
      <c r="AP205" s="290">
        <f t="shared" si="25"/>
        <v>0</v>
      </c>
      <c r="AQ205" s="303" t="s">
        <v>520</v>
      </c>
      <c r="AR205" s="301" t="s">
        <v>938</v>
      </c>
      <c r="AS205" s="303"/>
      <c r="AT205" s="303"/>
      <c r="AU205" s="303"/>
      <c r="AV205" s="303"/>
      <c r="AW205" s="303"/>
      <c r="AX205" s="303"/>
      <c r="AY205" s="303"/>
      <c r="AZ205" s="290">
        <f t="shared" si="26"/>
        <v>0</v>
      </c>
      <c r="BA205" s="303"/>
      <c r="BB205" s="301"/>
      <c r="BC205" s="315">
        <f t="shared" si="21"/>
        <v>0</v>
      </c>
      <c r="BD205" s="316" t="str">
        <f t="shared" si="27"/>
        <v>Desierto</v>
      </c>
    </row>
    <row r="206" spans="1:56" ht="51" customHeight="1" x14ac:dyDescent="0.25">
      <c r="A206" s="308">
        <v>204</v>
      </c>
      <c r="B206" s="309" t="s">
        <v>939</v>
      </c>
      <c r="C206" s="310" t="s">
        <v>940</v>
      </c>
      <c r="D206" s="310" t="s">
        <v>46</v>
      </c>
      <c r="E206" s="311"/>
      <c r="F206" s="311"/>
      <c r="G206" s="311"/>
      <c r="H206" s="311"/>
      <c r="I206" s="311"/>
      <c r="J206" s="311"/>
      <c r="K206" s="311"/>
      <c r="L206" s="408">
        <f t="shared" si="22"/>
        <v>0</v>
      </c>
      <c r="M206" s="311"/>
      <c r="N206" s="320"/>
      <c r="O206" s="311"/>
      <c r="P206" s="311"/>
      <c r="Q206" s="311"/>
      <c r="R206" s="311"/>
      <c r="S206" s="311"/>
      <c r="T206" s="311"/>
      <c r="U206" s="311"/>
      <c r="V206" s="409">
        <f t="shared" si="23"/>
        <v>0</v>
      </c>
      <c r="W206" s="311"/>
      <c r="X206" s="320"/>
      <c r="Y206" s="312"/>
      <c r="Z206" s="312"/>
      <c r="AA206" s="312"/>
      <c r="AB206" s="312"/>
      <c r="AC206" s="312"/>
      <c r="AD206" s="312"/>
      <c r="AE206" s="313"/>
      <c r="AF206" s="410">
        <f t="shared" si="24"/>
        <v>0</v>
      </c>
      <c r="AG206" s="312"/>
      <c r="AH206" s="317"/>
      <c r="AI206" s="303" t="s">
        <v>510</v>
      </c>
      <c r="AJ206" s="303" t="s">
        <v>510</v>
      </c>
      <c r="AK206" s="303" t="s">
        <v>510</v>
      </c>
      <c r="AL206" s="303" t="s">
        <v>511</v>
      </c>
      <c r="AM206" s="303" t="s">
        <v>510</v>
      </c>
      <c r="AN206" s="303" t="s">
        <v>511</v>
      </c>
      <c r="AO206" s="303">
        <v>20</v>
      </c>
      <c r="AP206" s="290">
        <f t="shared" si="25"/>
        <v>20</v>
      </c>
      <c r="AQ206" s="303" t="s">
        <v>504</v>
      </c>
      <c r="AR206" s="301"/>
      <c r="AS206" s="303"/>
      <c r="AT206" s="303"/>
      <c r="AU206" s="303"/>
      <c r="AV206" s="303"/>
      <c r="AW206" s="303"/>
      <c r="AX206" s="303"/>
      <c r="AY206" s="303"/>
      <c r="AZ206" s="290">
        <f t="shared" si="26"/>
        <v>0</v>
      </c>
      <c r="BA206" s="303"/>
      <c r="BB206" s="301"/>
      <c r="BC206" s="315">
        <f t="shared" si="21"/>
        <v>1</v>
      </c>
      <c r="BD206" s="316" t="str">
        <f t="shared" si="27"/>
        <v>Habilitado</v>
      </c>
    </row>
    <row r="207" spans="1:56" ht="25.5" x14ac:dyDescent="0.25">
      <c r="A207" s="308">
        <v>205</v>
      </c>
      <c r="B207" s="309" t="s">
        <v>941</v>
      </c>
      <c r="C207" s="310" t="s">
        <v>942</v>
      </c>
      <c r="D207" s="310" t="s">
        <v>895</v>
      </c>
      <c r="E207" s="303" t="s">
        <v>510</v>
      </c>
      <c r="F207" s="303" t="s">
        <v>510</v>
      </c>
      <c r="G207" s="303" t="s">
        <v>510</v>
      </c>
      <c r="H207" s="303" t="s">
        <v>511</v>
      </c>
      <c r="I207" s="303" t="s">
        <v>510</v>
      </c>
      <c r="J207" s="303" t="s">
        <v>511</v>
      </c>
      <c r="K207" s="303">
        <v>40</v>
      </c>
      <c r="L207" s="408">
        <f t="shared" si="22"/>
        <v>40</v>
      </c>
      <c r="M207" s="303" t="s">
        <v>504</v>
      </c>
      <c r="N207" s="303"/>
      <c r="O207" s="311"/>
      <c r="P207" s="311"/>
      <c r="Q207" s="311"/>
      <c r="R207" s="311"/>
      <c r="S207" s="311"/>
      <c r="T207" s="311"/>
      <c r="U207" s="311"/>
      <c r="V207" s="409">
        <f t="shared" si="23"/>
        <v>0</v>
      </c>
      <c r="W207" s="311"/>
      <c r="X207" s="306"/>
      <c r="Y207" s="300"/>
      <c r="Z207" s="300"/>
      <c r="AA207" s="300"/>
      <c r="AB207" s="300"/>
      <c r="AC207" s="300"/>
      <c r="AD207" s="300"/>
      <c r="AE207" s="318"/>
      <c r="AF207" s="410">
        <f t="shared" si="24"/>
        <v>0</v>
      </c>
      <c r="AG207" s="300"/>
      <c r="AH207" s="300"/>
      <c r="AI207" s="303" t="s">
        <v>510</v>
      </c>
      <c r="AJ207" s="303" t="s">
        <v>510</v>
      </c>
      <c r="AK207" s="322" t="s">
        <v>510</v>
      </c>
      <c r="AL207" s="303" t="s">
        <v>511</v>
      </c>
      <c r="AM207" s="303" t="s">
        <v>510</v>
      </c>
      <c r="AN207" s="303" t="s">
        <v>511</v>
      </c>
      <c r="AO207" s="303">
        <v>20</v>
      </c>
      <c r="AP207" s="290">
        <f t="shared" si="25"/>
        <v>20</v>
      </c>
      <c r="AQ207" s="322" t="s">
        <v>504</v>
      </c>
      <c r="AR207" s="303"/>
      <c r="AS207" s="303"/>
      <c r="AT207" s="303"/>
      <c r="AU207" s="303"/>
      <c r="AV207" s="303"/>
      <c r="AW207" s="303"/>
      <c r="AX207" s="303"/>
      <c r="AY207" s="303"/>
      <c r="AZ207" s="290">
        <f t="shared" si="26"/>
        <v>0</v>
      </c>
      <c r="BA207" s="303"/>
      <c r="BB207" s="303"/>
      <c r="BC207" s="315">
        <f t="shared" si="21"/>
        <v>2</v>
      </c>
      <c r="BD207" s="316" t="str">
        <f t="shared" si="27"/>
        <v>Habilitado</v>
      </c>
    </row>
    <row r="208" spans="1:56" ht="51" x14ac:dyDescent="0.25">
      <c r="A208" s="308">
        <v>206</v>
      </c>
      <c r="B208" s="309" t="s">
        <v>943</v>
      </c>
      <c r="C208" s="310" t="s">
        <v>944</v>
      </c>
      <c r="D208" s="310" t="s">
        <v>895</v>
      </c>
      <c r="E208" s="303" t="s">
        <v>510</v>
      </c>
      <c r="F208" s="303" t="s">
        <v>510</v>
      </c>
      <c r="G208" s="303" t="s">
        <v>510</v>
      </c>
      <c r="H208" s="303" t="s">
        <v>511</v>
      </c>
      <c r="I208" s="303" t="s">
        <v>510</v>
      </c>
      <c r="J208" s="303" t="s">
        <v>511</v>
      </c>
      <c r="K208" s="303">
        <v>40</v>
      </c>
      <c r="L208" s="408">
        <f t="shared" si="22"/>
        <v>40</v>
      </c>
      <c r="M208" s="303" t="s">
        <v>504</v>
      </c>
      <c r="N208" s="303"/>
      <c r="O208" s="311"/>
      <c r="P208" s="311"/>
      <c r="Q208" s="311"/>
      <c r="R208" s="311"/>
      <c r="S208" s="311"/>
      <c r="T208" s="311"/>
      <c r="U208" s="311"/>
      <c r="V208" s="409">
        <f t="shared" si="23"/>
        <v>0</v>
      </c>
      <c r="W208" s="311"/>
      <c r="X208" s="306"/>
      <c r="Y208" s="300"/>
      <c r="Z208" s="300"/>
      <c r="AA208" s="300"/>
      <c r="AB208" s="300"/>
      <c r="AC208" s="300"/>
      <c r="AD208" s="300"/>
      <c r="AE208" s="318"/>
      <c r="AF208" s="410">
        <f t="shared" si="24"/>
        <v>0</v>
      </c>
      <c r="AG208" s="300"/>
      <c r="AH208" s="300"/>
      <c r="AI208" s="303" t="s">
        <v>510</v>
      </c>
      <c r="AJ208" s="303" t="s">
        <v>510</v>
      </c>
      <c r="AK208" s="322" t="s">
        <v>510</v>
      </c>
      <c r="AL208" s="303" t="s">
        <v>511</v>
      </c>
      <c r="AM208" s="303" t="s">
        <v>510</v>
      </c>
      <c r="AN208" s="303" t="s">
        <v>511</v>
      </c>
      <c r="AO208" s="303">
        <v>20</v>
      </c>
      <c r="AP208" s="290">
        <f t="shared" si="25"/>
        <v>20</v>
      </c>
      <c r="AQ208" s="322" t="s">
        <v>504</v>
      </c>
      <c r="AR208" s="303"/>
      <c r="AS208" s="303"/>
      <c r="AT208" s="303"/>
      <c r="AU208" s="303"/>
      <c r="AV208" s="303"/>
      <c r="AW208" s="303"/>
      <c r="AX208" s="303"/>
      <c r="AY208" s="303"/>
      <c r="AZ208" s="290">
        <f t="shared" si="26"/>
        <v>0</v>
      </c>
      <c r="BA208" s="303"/>
      <c r="BB208" s="303"/>
      <c r="BC208" s="315">
        <f t="shared" si="21"/>
        <v>2</v>
      </c>
      <c r="BD208" s="316" t="str">
        <f t="shared" si="27"/>
        <v>Habilitado</v>
      </c>
    </row>
    <row r="209" spans="1:56" ht="76.5" x14ac:dyDescent="0.25">
      <c r="A209" s="308">
        <v>207</v>
      </c>
      <c r="B209" s="309" t="s">
        <v>945</v>
      </c>
      <c r="C209" s="310" t="s">
        <v>946</v>
      </c>
      <c r="D209" s="310" t="s">
        <v>276</v>
      </c>
      <c r="E209" s="307"/>
      <c r="F209" s="307"/>
      <c r="G209" s="307"/>
      <c r="H209" s="307"/>
      <c r="I209" s="307"/>
      <c r="J209" s="307"/>
      <c r="K209" s="307"/>
      <c r="L209" s="408">
        <f t="shared" si="22"/>
        <v>0</v>
      </c>
      <c r="M209" s="307"/>
      <c r="N209" s="303"/>
      <c r="O209" s="311"/>
      <c r="P209" s="311"/>
      <c r="Q209" s="311"/>
      <c r="R209" s="311"/>
      <c r="S209" s="311"/>
      <c r="T209" s="311"/>
      <c r="U209" s="311"/>
      <c r="V209" s="409">
        <f t="shared" si="23"/>
        <v>0</v>
      </c>
      <c r="W209" s="311"/>
      <c r="X209" s="306"/>
      <c r="Y209" s="300"/>
      <c r="Z209" s="300"/>
      <c r="AA209" s="300"/>
      <c r="AB209" s="300"/>
      <c r="AC209" s="300"/>
      <c r="AD209" s="300"/>
      <c r="AE209" s="318"/>
      <c r="AF209" s="410">
        <f t="shared" si="24"/>
        <v>0</v>
      </c>
      <c r="AG209" s="300"/>
      <c r="AH209" s="300"/>
      <c r="AI209" s="303" t="s">
        <v>510</v>
      </c>
      <c r="AJ209" s="303" t="s">
        <v>510</v>
      </c>
      <c r="AK209" s="322" t="s">
        <v>510</v>
      </c>
      <c r="AL209" s="303" t="s">
        <v>511</v>
      </c>
      <c r="AM209" s="303" t="s">
        <v>510</v>
      </c>
      <c r="AN209" s="303" t="s">
        <v>511</v>
      </c>
      <c r="AO209" s="303">
        <v>20</v>
      </c>
      <c r="AP209" s="290">
        <f t="shared" si="25"/>
        <v>20</v>
      </c>
      <c r="AQ209" s="322" t="s">
        <v>504</v>
      </c>
      <c r="AR209" s="303"/>
      <c r="AS209" s="303"/>
      <c r="AT209" s="303"/>
      <c r="AU209" s="303"/>
      <c r="AV209" s="303"/>
      <c r="AW209" s="303"/>
      <c r="AX209" s="303"/>
      <c r="AY209" s="303"/>
      <c r="AZ209" s="290">
        <f t="shared" si="26"/>
        <v>0</v>
      </c>
      <c r="BA209" s="303"/>
      <c r="BB209" s="303"/>
      <c r="BC209" s="315">
        <f t="shared" si="21"/>
        <v>1</v>
      </c>
      <c r="BD209" s="316" t="str">
        <f t="shared" si="27"/>
        <v>Habilitado</v>
      </c>
    </row>
    <row r="210" spans="1:56" ht="63.75" x14ac:dyDescent="0.25">
      <c r="A210" s="308">
        <v>208</v>
      </c>
      <c r="B210" s="309" t="s">
        <v>947</v>
      </c>
      <c r="C210" s="310" t="s">
        <v>948</v>
      </c>
      <c r="D210" s="310" t="s">
        <v>898</v>
      </c>
      <c r="E210" s="303" t="s">
        <v>510</v>
      </c>
      <c r="F210" s="303" t="s">
        <v>510</v>
      </c>
      <c r="G210" s="303" t="s">
        <v>510</v>
      </c>
      <c r="H210" s="303" t="s">
        <v>511</v>
      </c>
      <c r="I210" s="303" t="s">
        <v>510</v>
      </c>
      <c r="J210" s="303" t="s">
        <v>511</v>
      </c>
      <c r="K210" s="303">
        <v>40</v>
      </c>
      <c r="L210" s="408">
        <f t="shared" si="22"/>
        <v>40</v>
      </c>
      <c r="M210" s="303" t="s">
        <v>504</v>
      </c>
      <c r="N210" s="303"/>
      <c r="O210" s="311"/>
      <c r="P210" s="311"/>
      <c r="Q210" s="311"/>
      <c r="R210" s="311"/>
      <c r="S210" s="311"/>
      <c r="T210" s="311"/>
      <c r="U210" s="311"/>
      <c r="V210" s="409">
        <f t="shared" si="23"/>
        <v>0</v>
      </c>
      <c r="W210" s="311"/>
      <c r="X210" s="306"/>
      <c r="Y210" s="300"/>
      <c r="Z210" s="300"/>
      <c r="AA210" s="300"/>
      <c r="AB210" s="300"/>
      <c r="AC210" s="300"/>
      <c r="AD210" s="300"/>
      <c r="AE210" s="318"/>
      <c r="AF210" s="410">
        <f t="shared" si="24"/>
        <v>0</v>
      </c>
      <c r="AG210" s="300"/>
      <c r="AH210" s="300"/>
      <c r="AI210" s="303" t="s">
        <v>510</v>
      </c>
      <c r="AJ210" s="303" t="s">
        <v>510</v>
      </c>
      <c r="AK210" s="322" t="s">
        <v>510</v>
      </c>
      <c r="AL210" s="303" t="s">
        <v>511</v>
      </c>
      <c r="AM210" s="303" t="s">
        <v>510</v>
      </c>
      <c r="AN210" s="303" t="s">
        <v>511</v>
      </c>
      <c r="AO210" s="303">
        <v>20</v>
      </c>
      <c r="AP210" s="290">
        <f t="shared" si="25"/>
        <v>20</v>
      </c>
      <c r="AQ210" s="322" t="s">
        <v>504</v>
      </c>
      <c r="AR210" s="303"/>
      <c r="AS210" s="303"/>
      <c r="AT210" s="303"/>
      <c r="AU210" s="303"/>
      <c r="AV210" s="303"/>
      <c r="AW210" s="303"/>
      <c r="AX210" s="303"/>
      <c r="AY210" s="303"/>
      <c r="AZ210" s="290">
        <f t="shared" si="26"/>
        <v>0</v>
      </c>
      <c r="BA210" s="303"/>
      <c r="BB210" s="303"/>
      <c r="BC210" s="315">
        <f t="shared" si="21"/>
        <v>2</v>
      </c>
      <c r="BD210" s="316" t="str">
        <f t="shared" si="27"/>
        <v>Habilitado</v>
      </c>
    </row>
    <row r="211" spans="1:56" ht="63.75" x14ac:dyDescent="0.25">
      <c r="A211" s="308">
        <v>209</v>
      </c>
      <c r="B211" s="309" t="s">
        <v>949</v>
      </c>
      <c r="C211" s="310" t="s">
        <v>950</v>
      </c>
      <c r="D211" s="310" t="s">
        <v>886</v>
      </c>
      <c r="E211" s="303" t="s">
        <v>510</v>
      </c>
      <c r="F211" s="303" t="s">
        <v>510</v>
      </c>
      <c r="G211" s="303" t="s">
        <v>510</v>
      </c>
      <c r="H211" s="303" t="s">
        <v>511</v>
      </c>
      <c r="I211" s="303" t="s">
        <v>510</v>
      </c>
      <c r="J211" s="303" t="s">
        <v>511</v>
      </c>
      <c r="K211" s="303">
        <v>40</v>
      </c>
      <c r="L211" s="408">
        <f t="shared" si="22"/>
        <v>40</v>
      </c>
      <c r="M211" s="303" t="s">
        <v>504</v>
      </c>
      <c r="N211" s="303"/>
      <c r="O211" s="311"/>
      <c r="P211" s="311"/>
      <c r="Q211" s="311"/>
      <c r="R211" s="311"/>
      <c r="S211" s="311"/>
      <c r="T211" s="311"/>
      <c r="U211" s="311"/>
      <c r="V211" s="409">
        <f t="shared" si="23"/>
        <v>0</v>
      </c>
      <c r="W211" s="311"/>
      <c r="X211" s="306"/>
      <c r="Y211" s="300"/>
      <c r="Z211" s="300"/>
      <c r="AA211" s="300"/>
      <c r="AB211" s="300"/>
      <c r="AC211" s="300"/>
      <c r="AD211" s="300"/>
      <c r="AE211" s="318"/>
      <c r="AF211" s="410">
        <f t="shared" si="24"/>
        <v>0</v>
      </c>
      <c r="AG211" s="300"/>
      <c r="AH211" s="300"/>
      <c r="AI211" s="303" t="s">
        <v>510</v>
      </c>
      <c r="AJ211" s="303" t="s">
        <v>510</v>
      </c>
      <c r="AK211" s="322" t="s">
        <v>510</v>
      </c>
      <c r="AL211" s="303" t="s">
        <v>511</v>
      </c>
      <c r="AM211" s="303" t="s">
        <v>510</v>
      </c>
      <c r="AN211" s="303" t="s">
        <v>511</v>
      </c>
      <c r="AO211" s="303">
        <v>20</v>
      </c>
      <c r="AP211" s="290">
        <f t="shared" si="25"/>
        <v>20</v>
      </c>
      <c r="AQ211" s="322" t="s">
        <v>504</v>
      </c>
      <c r="AR211" s="303"/>
      <c r="AS211" s="303"/>
      <c r="AT211" s="303"/>
      <c r="AU211" s="303"/>
      <c r="AV211" s="303"/>
      <c r="AW211" s="303"/>
      <c r="AX211" s="303"/>
      <c r="AY211" s="303"/>
      <c r="AZ211" s="290">
        <f t="shared" si="26"/>
        <v>0</v>
      </c>
      <c r="BA211" s="303"/>
      <c r="BB211" s="303"/>
      <c r="BC211" s="315">
        <f t="shared" si="21"/>
        <v>2</v>
      </c>
      <c r="BD211" s="316" t="str">
        <f t="shared" si="27"/>
        <v>Habilitado</v>
      </c>
    </row>
    <row r="212" spans="1:56" ht="76.5" x14ac:dyDescent="0.25">
      <c r="A212" s="308">
        <v>210</v>
      </c>
      <c r="B212" s="309" t="s">
        <v>951</v>
      </c>
      <c r="C212" s="310" t="s">
        <v>952</v>
      </c>
      <c r="D212" s="310" t="s">
        <v>898</v>
      </c>
      <c r="E212" s="303" t="s">
        <v>510</v>
      </c>
      <c r="F212" s="303" t="s">
        <v>510</v>
      </c>
      <c r="G212" s="303" t="s">
        <v>510</v>
      </c>
      <c r="H212" s="303" t="s">
        <v>511</v>
      </c>
      <c r="I212" s="303" t="s">
        <v>510</v>
      </c>
      <c r="J212" s="303" t="s">
        <v>511</v>
      </c>
      <c r="K212" s="303">
        <v>40</v>
      </c>
      <c r="L212" s="408">
        <f t="shared" si="22"/>
        <v>40</v>
      </c>
      <c r="M212" s="303" t="s">
        <v>504</v>
      </c>
      <c r="N212" s="303"/>
      <c r="O212" s="311"/>
      <c r="P212" s="311"/>
      <c r="Q212" s="311"/>
      <c r="R212" s="311"/>
      <c r="S212" s="311"/>
      <c r="T212" s="311"/>
      <c r="U212" s="311"/>
      <c r="V212" s="409">
        <f t="shared" si="23"/>
        <v>0</v>
      </c>
      <c r="W212" s="311"/>
      <c r="X212" s="306"/>
      <c r="Y212" s="300"/>
      <c r="Z212" s="300"/>
      <c r="AA212" s="300"/>
      <c r="AB212" s="300"/>
      <c r="AC212" s="300"/>
      <c r="AD212" s="300"/>
      <c r="AE212" s="318"/>
      <c r="AF212" s="410">
        <f t="shared" si="24"/>
        <v>0</v>
      </c>
      <c r="AG212" s="300"/>
      <c r="AH212" s="300"/>
      <c r="AI212" s="303" t="s">
        <v>510</v>
      </c>
      <c r="AJ212" s="303" t="s">
        <v>510</v>
      </c>
      <c r="AK212" s="322" t="s">
        <v>510</v>
      </c>
      <c r="AL212" s="303" t="s">
        <v>511</v>
      </c>
      <c r="AM212" s="303" t="s">
        <v>510</v>
      </c>
      <c r="AN212" s="303" t="s">
        <v>511</v>
      </c>
      <c r="AO212" s="303">
        <v>20</v>
      </c>
      <c r="AP212" s="290">
        <f t="shared" si="25"/>
        <v>20</v>
      </c>
      <c r="AQ212" s="322" t="s">
        <v>504</v>
      </c>
      <c r="AR212" s="303"/>
      <c r="AS212" s="303"/>
      <c r="AT212" s="303"/>
      <c r="AU212" s="303"/>
      <c r="AV212" s="303"/>
      <c r="AW212" s="303"/>
      <c r="AX212" s="303"/>
      <c r="AY212" s="303"/>
      <c r="AZ212" s="290">
        <f t="shared" si="26"/>
        <v>0</v>
      </c>
      <c r="BA212" s="303"/>
      <c r="BB212" s="303"/>
      <c r="BC212" s="315">
        <f t="shared" si="21"/>
        <v>2</v>
      </c>
      <c r="BD212" s="316" t="str">
        <f t="shared" si="27"/>
        <v>Habilitado</v>
      </c>
    </row>
    <row r="213" spans="1:56" ht="76.5" x14ac:dyDescent="0.25">
      <c r="A213" s="308">
        <v>211</v>
      </c>
      <c r="B213" s="309" t="s">
        <v>953</v>
      </c>
      <c r="C213" s="310" t="s">
        <v>954</v>
      </c>
      <c r="D213" s="310" t="s">
        <v>955</v>
      </c>
      <c r="E213" s="303" t="s">
        <v>510</v>
      </c>
      <c r="F213" s="303" t="s">
        <v>510</v>
      </c>
      <c r="G213" s="303" t="s">
        <v>510</v>
      </c>
      <c r="H213" s="303" t="s">
        <v>511</v>
      </c>
      <c r="I213" s="303" t="s">
        <v>510</v>
      </c>
      <c r="J213" s="303" t="s">
        <v>511</v>
      </c>
      <c r="K213" s="303">
        <v>40</v>
      </c>
      <c r="L213" s="408">
        <f t="shared" si="22"/>
        <v>40</v>
      </c>
      <c r="M213" s="303" t="s">
        <v>504</v>
      </c>
      <c r="N213" s="303"/>
      <c r="O213" s="311"/>
      <c r="P213" s="311"/>
      <c r="Q213" s="311"/>
      <c r="R213" s="311"/>
      <c r="S213" s="311"/>
      <c r="T213" s="311"/>
      <c r="U213" s="311"/>
      <c r="V213" s="409">
        <f t="shared" si="23"/>
        <v>0</v>
      </c>
      <c r="W213" s="311"/>
      <c r="X213" s="306"/>
      <c r="Y213" s="300"/>
      <c r="Z213" s="300"/>
      <c r="AA213" s="300"/>
      <c r="AB213" s="300"/>
      <c r="AC213" s="300"/>
      <c r="AD213" s="300"/>
      <c r="AE213" s="318"/>
      <c r="AF213" s="410">
        <f t="shared" si="24"/>
        <v>0</v>
      </c>
      <c r="AG213" s="300"/>
      <c r="AH213" s="300"/>
      <c r="AI213" s="303"/>
      <c r="AJ213" s="303"/>
      <c r="AK213" s="303"/>
      <c r="AL213" s="303"/>
      <c r="AM213" s="303"/>
      <c r="AN213" s="303"/>
      <c r="AO213" s="303"/>
      <c r="AP213" s="290">
        <f t="shared" si="25"/>
        <v>0</v>
      </c>
      <c r="AQ213" s="303"/>
      <c r="AR213" s="303"/>
      <c r="AS213" s="303"/>
      <c r="AT213" s="303"/>
      <c r="AU213" s="303"/>
      <c r="AV213" s="303"/>
      <c r="AW213" s="303"/>
      <c r="AX213" s="303"/>
      <c r="AY213" s="303"/>
      <c r="AZ213" s="290">
        <f t="shared" si="26"/>
        <v>0</v>
      </c>
      <c r="BA213" s="303"/>
      <c r="BB213" s="303"/>
      <c r="BC213" s="315">
        <f t="shared" si="21"/>
        <v>1</v>
      </c>
      <c r="BD213" s="316" t="str">
        <f t="shared" si="27"/>
        <v>Habilitado</v>
      </c>
    </row>
    <row r="214" spans="1:56" ht="63.75" x14ac:dyDescent="0.25">
      <c r="A214" s="308">
        <v>212</v>
      </c>
      <c r="B214" s="309" t="s">
        <v>956</v>
      </c>
      <c r="C214" s="310" t="s">
        <v>957</v>
      </c>
      <c r="D214" s="310" t="s">
        <v>895</v>
      </c>
      <c r="E214" s="303" t="s">
        <v>510</v>
      </c>
      <c r="F214" s="303" t="s">
        <v>510</v>
      </c>
      <c r="G214" s="303" t="s">
        <v>510</v>
      </c>
      <c r="H214" s="303" t="s">
        <v>511</v>
      </c>
      <c r="I214" s="303" t="s">
        <v>510</v>
      </c>
      <c r="J214" s="303" t="s">
        <v>511</v>
      </c>
      <c r="K214" s="303">
        <v>40</v>
      </c>
      <c r="L214" s="408">
        <f t="shared" si="22"/>
        <v>40</v>
      </c>
      <c r="M214" s="303" t="s">
        <v>504</v>
      </c>
      <c r="N214" s="303"/>
      <c r="O214" s="311"/>
      <c r="P214" s="311"/>
      <c r="Q214" s="311"/>
      <c r="R214" s="311"/>
      <c r="S214" s="311"/>
      <c r="T214" s="311"/>
      <c r="U214" s="311"/>
      <c r="V214" s="409">
        <f t="shared" si="23"/>
        <v>0</v>
      </c>
      <c r="W214" s="311"/>
      <c r="X214" s="306"/>
      <c r="Y214" s="300"/>
      <c r="Z214" s="300"/>
      <c r="AA214" s="300"/>
      <c r="AB214" s="300"/>
      <c r="AC214" s="300"/>
      <c r="AD214" s="300"/>
      <c r="AE214" s="318"/>
      <c r="AF214" s="410">
        <f t="shared" si="24"/>
        <v>0</v>
      </c>
      <c r="AG214" s="300"/>
      <c r="AH214" s="300"/>
      <c r="AI214" s="303"/>
      <c r="AJ214" s="303"/>
      <c r="AK214" s="303"/>
      <c r="AL214" s="303"/>
      <c r="AM214" s="303"/>
      <c r="AN214" s="303"/>
      <c r="AO214" s="303"/>
      <c r="AP214" s="290">
        <f t="shared" si="25"/>
        <v>0</v>
      </c>
      <c r="AQ214" s="303"/>
      <c r="AR214" s="303"/>
      <c r="AS214" s="303"/>
      <c r="AT214" s="303"/>
      <c r="AU214" s="303"/>
      <c r="AV214" s="303"/>
      <c r="AW214" s="303"/>
      <c r="AX214" s="303"/>
      <c r="AY214" s="303"/>
      <c r="AZ214" s="290">
        <f t="shared" si="26"/>
        <v>0</v>
      </c>
      <c r="BA214" s="303"/>
      <c r="BB214" s="303"/>
      <c r="BC214" s="315">
        <f t="shared" si="21"/>
        <v>1</v>
      </c>
      <c r="BD214" s="316" t="str">
        <f t="shared" si="27"/>
        <v>Habilitado</v>
      </c>
    </row>
    <row r="215" spans="1:56" ht="63.75" x14ac:dyDescent="0.25">
      <c r="A215" s="308">
        <v>213</v>
      </c>
      <c r="B215" s="309" t="s">
        <v>958</v>
      </c>
      <c r="C215" s="310" t="s">
        <v>959</v>
      </c>
      <c r="D215" s="310" t="s">
        <v>895</v>
      </c>
      <c r="E215" s="303" t="s">
        <v>510</v>
      </c>
      <c r="F215" s="303" t="s">
        <v>510</v>
      </c>
      <c r="G215" s="303" t="s">
        <v>510</v>
      </c>
      <c r="H215" s="303" t="s">
        <v>511</v>
      </c>
      <c r="I215" s="303" t="s">
        <v>510</v>
      </c>
      <c r="J215" s="303" t="s">
        <v>511</v>
      </c>
      <c r="K215" s="303">
        <v>40</v>
      </c>
      <c r="L215" s="408">
        <f t="shared" si="22"/>
        <v>40</v>
      </c>
      <c r="M215" s="303" t="s">
        <v>504</v>
      </c>
      <c r="N215" s="303"/>
      <c r="O215" s="311"/>
      <c r="P215" s="311"/>
      <c r="Q215" s="311"/>
      <c r="R215" s="311"/>
      <c r="S215" s="311"/>
      <c r="T215" s="311"/>
      <c r="U215" s="311"/>
      <c r="V215" s="409">
        <f t="shared" si="23"/>
        <v>0</v>
      </c>
      <c r="W215" s="311"/>
      <c r="X215" s="306"/>
      <c r="Y215" s="300"/>
      <c r="Z215" s="300"/>
      <c r="AA215" s="300"/>
      <c r="AB215" s="300"/>
      <c r="AC215" s="300"/>
      <c r="AD215" s="300"/>
      <c r="AE215" s="318"/>
      <c r="AF215" s="410">
        <f t="shared" si="24"/>
        <v>0</v>
      </c>
      <c r="AG215" s="300"/>
      <c r="AH215" s="300"/>
      <c r="AI215" s="303" t="s">
        <v>510</v>
      </c>
      <c r="AJ215" s="303" t="s">
        <v>510</v>
      </c>
      <c r="AK215" s="322" t="s">
        <v>510</v>
      </c>
      <c r="AL215" s="303" t="s">
        <v>511</v>
      </c>
      <c r="AM215" s="303" t="s">
        <v>510</v>
      </c>
      <c r="AN215" s="303" t="s">
        <v>511</v>
      </c>
      <c r="AO215" s="303">
        <v>20</v>
      </c>
      <c r="AP215" s="290">
        <f t="shared" si="25"/>
        <v>20</v>
      </c>
      <c r="AQ215" s="322" t="s">
        <v>504</v>
      </c>
      <c r="AR215" s="303"/>
      <c r="AS215" s="303"/>
      <c r="AT215" s="303"/>
      <c r="AU215" s="303"/>
      <c r="AV215" s="303"/>
      <c r="AW215" s="303"/>
      <c r="AX215" s="303"/>
      <c r="AY215" s="303"/>
      <c r="AZ215" s="290">
        <f t="shared" si="26"/>
        <v>0</v>
      </c>
      <c r="BA215" s="303"/>
      <c r="BB215" s="303"/>
      <c r="BC215" s="315">
        <f t="shared" si="21"/>
        <v>2</v>
      </c>
      <c r="BD215" s="316" t="str">
        <f t="shared" si="27"/>
        <v>Habilitado</v>
      </c>
    </row>
    <row r="216" spans="1:56" ht="63.75" x14ac:dyDescent="0.25">
      <c r="A216" s="308">
        <v>214</v>
      </c>
      <c r="B216" s="309" t="s">
        <v>960</v>
      </c>
      <c r="C216" s="310" t="s">
        <v>961</v>
      </c>
      <c r="D216" s="310" t="s">
        <v>962</v>
      </c>
      <c r="E216" s="303" t="s">
        <v>510</v>
      </c>
      <c r="F216" s="303" t="s">
        <v>510</v>
      </c>
      <c r="G216" s="303" t="s">
        <v>510</v>
      </c>
      <c r="H216" s="303" t="s">
        <v>511</v>
      </c>
      <c r="I216" s="303" t="s">
        <v>510</v>
      </c>
      <c r="J216" s="303" t="s">
        <v>511</v>
      </c>
      <c r="K216" s="303">
        <v>40</v>
      </c>
      <c r="L216" s="408">
        <f t="shared" si="22"/>
        <v>40</v>
      </c>
      <c r="M216" s="303" t="s">
        <v>504</v>
      </c>
      <c r="N216" s="303"/>
      <c r="O216" s="311"/>
      <c r="P216" s="311"/>
      <c r="Q216" s="311"/>
      <c r="R216" s="311"/>
      <c r="S216" s="311"/>
      <c r="T216" s="311"/>
      <c r="U216" s="311"/>
      <c r="V216" s="409">
        <f t="shared" si="23"/>
        <v>0</v>
      </c>
      <c r="W216" s="311"/>
      <c r="X216" s="306"/>
      <c r="Y216" s="300"/>
      <c r="Z216" s="300"/>
      <c r="AA216" s="300"/>
      <c r="AB216" s="300"/>
      <c r="AC216" s="300"/>
      <c r="AD216" s="300"/>
      <c r="AE216" s="318"/>
      <c r="AF216" s="410">
        <f t="shared" si="24"/>
        <v>0</v>
      </c>
      <c r="AG216" s="300"/>
      <c r="AH216" s="300"/>
      <c r="AI216" s="303" t="s">
        <v>510</v>
      </c>
      <c r="AJ216" s="303" t="s">
        <v>510</v>
      </c>
      <c r="AK216" s="322" t="s">
        <v>510</v>
      </c>
      <c r="AL216" s="303" t="s">
        <v>511</v>
      </c>
      <c r="AM216" s="303" t="s">
        <v>510</v>
      </c>
      <c r="AN216" s="303" t="s">
        <v>511</v>
      </c>
      <c r="AO216" s="303">
        <v>20</v>
      </c>
      <c r="AP216" s="290">
        <f t="shared" si="25"/>
        <v>20</v>
      </c>
      <c r="AQ216" s="322" t="s">
        <v>504</v>
      </c>
      <c r="AR216" s="303"/>
      <c r="AS216" s="303"/>
      <c r="AT216" s="303"/>
      <c r="AU216" s="303"/>
      <c r="AV216" s="303"/>
      <c r="AW216" s="303"/>
      <c r="AX216" s="303"/>
      <c r="AY216" s="303"/>
      <c r="AZ216" s="290">
        <f t="shared" si="26"/>
        <v>0</v>
      </c>
      <c r="BA216" s="303"/>
      <c r="BB216" s="303"/>
      <c r="BC216" s="315">
        <f t="shared" si="21"/>
        <v>2</v>
      </c>
      <c r="BD216" s="316" t="str">
        <f t="shared" si="27"/>
        <v>Habilitado</v>
      </c>
    </row>
    <row r="217" spans="1:56" ht="38.25" x14ac:dyDescent="0.25">
      <c r="A217" s="308">
        <v>215</v>
      </c>
      <c r="B217" s="309" t="s">
        <v>963</v>
      </c>
      <c r="C217" s="310" t="s">
        <v>964</v>
      </c>
      <c r="D217" s="310" t="s">
        <v>965</v>
      </c>
      <c r="E217" s="303" t="s">
        <v>510</v>
      </c>
      <c r="F217" s="303" t="s">
        <v>510</v>
      </c>
      <c r="G217" s="303" t="s">
        <v>510</v>
      </c>
      <c r="H217" s="303" t="s">
        <v>511</v>
      </c>
      <c r="I217" s="303" t="s">
        <v>510</v>
      </c>
      <c r="J217" s="303" t="s">
        <v>511</v>
      </c>
      <c r="K217" s="303">
        <v>40</v>
      </c>
      <c r="L217" s="408">
        <f t="shared" si="22"/>
        <v>40</v>
      </c>
      <c r="M217" s="303" t="s">
        <v>504</v>
      </c>
      <c r="N217" s="303"/>
      <c r="O217" s="311"/>
      <c r="P217" s="311"/>
      <c r="Q217" s="311"/>
      <c r="R217" s="311"/>
      <c r="S217" s="311"/>
      <c r="T217" s="311"/>
      <c r="U217" s="311"/>
      <c r="V217" s="409">
        <f t="shared" si="23"/>
        <v>0</v>
      </c>
      <c r="W217" s="311"/>
      <c r="X217" s="306"/>
      <c r="Y217" s="300"/>
      <c r="Z217" s="300"/>
      <c r="AA217" s="300"/>
      <c r="AB217" s="300"/>
      <c r="AC217" s="300"/>
      <c r="AD217" s="300"/>
      <c r="AE217" s="318"/>
      <c r="AF217" s="410">
        <f t="shared" si="24"/>
        <v>0</v>
      </c>
      <c r="AG217" s="300"/>
      <c r="AH217" s="300"/>
      <c r="AI217" s="303" t="s">
        <v>510</v>
      </c>
      <c r="AJ217" s="303" t="s">
        <v>510</v>
      </c>
      <c r="AK217" s="322" t="s">
        <v>510</v>
      </c>
      <c r="AL217" s="303" t="s">
        <v>511</v>
      </c>
      <c r="AM217" s="303" t="s">
        <v>510</v>
      </c>
      <c r="AN217" s="303" t="s">
        <v>511</v>
      </c>
      <c r="AO217" s="303">
        <v>20</v>
      </c>
      <c r="AP217" s="290">
        <f t="shared" si="25"/>
        <v>20</v>
      </c>
      <c r="AQ217" s="322" t="s">
        <v>504</v>
      </c>
      <c r="AR217" s="303"/>
      <c r="AS217" s="303"/>
      <c r="AT217" s="303"/>
      <c r="AU217" s="303"/>
      <c r="AV217" s="303"/>
      <c r="AW217" s="303"/>
      <c r="AX217" s="303"/>
      <c r="AY217" s="303"/>
      <c r="AZ217" s="290">
        <f t="shared" si="26"/>
        <v>0</v>
      </c>
      <c r="BA217" s="303"/>
      <c r="BB217" s="303"/>
      <c r="BC217" s="315">
        <f t="shared" si="21"/>
        <v>2</v>
      </c>
      <c r="BD217" s="316" t="str">
        <f t="shared" si="27"/>
        <v>Habilitado</v>
      </c>
    </row>
    <row r="218" spans="1:56" ht="25.5" x14ac:dyDescent="0.25">
      <c r="A218" s="308">
        <v>216</v>
      </c>
      <c r="B218" s="309" t="s">
        <v>966</v>
      </c>
      <c r="C218" s="310" t="s">
        <v>967</v>
      </c>
      <c r="D218" s="310" t="s">
        <v>547</v>
      </c>
      <c r="E218" s="303" t="s">
        <v>510</v>
      </c>
      <c r="F218" s="303" t="s">
        <v>510</v>
      </c>
      <c r="G218" s="303" t="s">
        <v>510</v>
      </c>
      <c r="H218" s="303" t="s">
        <v>511</v>
      </c>
      <c r="I218" s="303" t="s">
        <v>510</v>
      </c>
      <c r="J218" s="303" t="s">
        <v>511</v>
      </c>
      <c r="K218" s="303">
        <v>40</v>
      </c>
      <c r="L218" s="408">
        <f t="shared" si="22"/>
        <v>40</v>
      </c>
      <c r="M218" s="303" t="s">
        <v>504</v>
      </c>
      <c r="N218" s="303"/>
      <c r="O218" s="311"/>
      <c r="P218" s="311"/>
      <c r="Q218" s="311"/>
      <c r="R218" s="311"/>
      <c r="S218" s="311"/>
      <c r="T218" s="311"/>
      <c r="U218" s="311"/>
      <c r="V218" s="409">
        <f t="shared" si="23"/>
        <v>0</v>
      </c>
      <c r="W218" s="311"/>
      <c r="X218" s="306"/>
      <c r="Y218" s="300"/>
      <c r="Z218" s="300"/>
      <c r="AA218" s="300"/>
      <c r="AB218" s="300"/>
      <c r="AC218" s="300"/>
      <c r="AD218" s="300"/>
      <c r="AE218" s="318"/>
      <c r="AF218" s="410">
        <f t="shared" si="24"/>
        <v>0</v>
      </c>
      <c r="AG218" s="300"/>
      <c r="AH218" s="300"/>
      <c r="AI218" s="303"/>
      <c r="AJ218" s="303"/>
      <c r="AK218" s="303"/>
      <c r="AL218" s="303"/>
      <c r="AM218" s="303"/>
      <c r="AN218" s="303"/>
      <c r="AO218" s="303"/>
      <c r="AP218" s="290">
        <f t="shared" si="25"/>
        <v>0</v>
      </c>
      <c r="AQ218" s="303"/>
      <c r="AR218" s="303"/>
      <c r="AS218" s="303"/>
      <c r="AT218" s="303"/>
      <c r="AU218" s="303"/>
      <c r="AV218" s="303"/>
      <c r="AW218" s="303"/>
      <c r="AX218" s="303"/>
      <c r="AY218" s="303"/>
      <c r="AZ218" s="290">
        <f t="shared" si="26"/>
        <v>0</v>
      </c>
      <c r="BA218" s="303"/>
      <c r="BB218" s="303"/>
      <c r="BC218" s="315">
        <f t="shared" si="21"/>
        <v>1</v>
      </c>
      <c r="BD218" s="316" t="str">
        <f t="shared" si="27"/>
        <v>Habilitado</v>
      </c>
    </row>
    <row r="219" spans="1:56" ht="25.5" x14ac:dyDescent="0.25">
      <c r="A219" s="324">
        <v>217</v>
      </c>
      <c r="B219" s="331" t="s">
        <v>968</v>
      </c>
      <c r="C219" s="331" t="s">
        <v>969</v>
      </c>
      <c r="D219" s="331" t="s">
        <v>56</v>
      </c>
      <c r="E219" s="306" t="s">
        <v>510</v>
      </c>
      <c r="F219" s="306" t="s">
        <v>510</v>
      </c>
      <c r="G219" s="306" t="s">
        <v>510</v>
      </c>
      <c r="H219" s="306" t="s">
        <v>511</v>
      </c>
      <c r="I219" s="303" t="s">
        <v>510</v>
      </c>
      <c r="J219" s="306" t="s">
        <v>511</v>
      </c>
      <c r="K219" s="306">
        <v>40</v>
      </c>
      <c r="L219" s="408">
        <f t="shared" si="22"/>
        <v>40</v>
      </c>
      <c r="M219" s="303" t="s">
        <v>504</v>
      </c>
      <c r="N219" s="306" t="s">
        <v>551</v>
      </c>
      <c r="O219" s="320"/>
      <c r="P219" s="320"/>
      <c r="Q219" s="320"/>
      <c r="R219" s="320"/>
      <c r="S219" s="320"/>
      <c r="T219" s="320"/>
      <c r="U219" s="320"/>
      <c r="V219" s="409">
        <f t="shared" si="23"/>
        <v>0</v>
      </c>
      <c r="W219" s="320"/>
      <c r="X219" s="320"/>
      <c r="Y219" s="299"/>
      <c r="Z219" s="299"/>
      <c r="AA219" s="299"/>
      <c r="AB219" s="299"/>
      <c r="AC219" s="299"/>
      <c r="AD219" s="299"/>
      <c r="AE219" s="330"/>
      <c r="AF219" s="410">
        <f t="shared" si="24"/>
        <v>0</v>
      </c>
      <c r="AG219" s="299"/>
      <c r="AH219" s="299"/>
      <c r="AI219" s="306" t="s">
        <v>510</v>
      </c>
      <c r="AJ219" s="306" t="s">
        <v>510</v>
      </c>
      <c r="AK219" s="306" t="s">
        <v>510</v>
      </c>
      <c r="AL219" s="306" t="s">
        <v>511</v>
      </c>
      <c r="AM219" s="303" t="s">
        <v>510</v>
      </c>
      <c r="AN219" s="306" t="s">
        <v>511</v>
      </c>
      <c r="AO219" s="303">
        <v>20</v>
      </c>
      <c r="AP219" s="290">
        <f t="shared" si="25"/>
        <v>20</v>
      </c>
      <c r="AQ219" s="303" t="s">
        <v>504</v>
      </c>
      <c r="AR219" s="306" t="s">
        <v>551</v>
      </c>
      <c r="AS219" s="306"/>
      <c r="AT219" s="306"/>
      <c r="AU219" s="306"/>
      <c r="AV219" s="306"/>
      <c r="AW219" s="306"/>
      <c r="AX219" s="306"/>
      <c r="AY219" s="306"/>
      <c r="AZ219" s="290">
        <f t="shared" si="26"/>
        <v>0</v>
      </c>
      <c r="BA219" s="306"/>
      <c r="BB219" s="306"/>
      <c r="BC219" s="315">
        <f t="shared" si="21"/>
        <v>2</v>
      </c>
      <c r="BD219" s="316" t="str">
        <f t="shared" si="27"/>
        <v>Habilitado</v>
      </c>
    </row>
    <row r="220" spans="1:56" ht="25.5" x14ac:dyDescent="0.25">
      <c r="A220" s="308">
        <v>218</v>
      </c>
      <c r="B220" s="309" t="s">
        <v>970</v>
      </c>
      <c r="C220" s="310" t="s">
        <v>825</v>
      </c>
      <c r="D220" s="310" t="s">
        <v>56</v>
      </c>
      <c r="E220" s="303" t="s">
        <v>510</v>
      </c>
      <c r="F220" s="303" t="s">
        <v>510</v>
      </c>
      <c r="G220" s="303" t="s">
        <v>510</v>
      </c>
      <c r="H220" s="303" t="s">
        <v>511</v>
      </c>
      <c r="I220" s="303" t="s">
        <v>510</v>
      </c>
      <c r="J220" s="303" t="s">
        <v>511</v>
      </c>
      <c r="K220" s="303">
        <v>40</v>
      </c>
      <c r="L220" s="408">
        <f t="shared" si="22"/>
        <v>40</v>
      </c>
      <c r="M220" s="303" t="s">
        <v>504</v>
      </c>
      <c r="N220" s="303"/>
      <c r="O220" s="311"/>
      <c r="P220" s="311"/>
      <c r="Q220" s="311"/>
      <c r="R220" s="311"/>
      <c r="S220" s="311"/>
      <c r="T220" s="311"/>
      <c r="U220" s="311"/>
      <c r="V220" s="409">
        <f t="shared" si="23"/>
        <v>0</v>
      </c>
      <c r="W220" s="311"/>
      <c r="X220" s="311"/>
      <c r="Y220" s="300" t="s">
        <v>510</v>
      </c>
      <c r="Z220" s="300" t="s">
        <v>510</v>
      </c>
      <c r="AA220" s="300" t="s">
        <v>510</v>
      </c>
      <c r="AB220" s="300" t="s">
        <v>511</v>
      </c>
      <c r="AC220" s="300" t="s">
        <v>510</v>
      </c>
      <c r="AD220" s="300" t="s">
        <v>511</v>
      </c>
      <c r="AE220" s="318">
        <v>40</v>
      </c>
      <c r="AF220" s="410">
        <f t="shared" si="24"/>
        <v>40</v>
      </c>
      <c r="AG220" s="300" t="s">
        <v>504</v>
      </c>
      <c r="AH220" s="299"/>
      <c r="AI220" s="303" t="s">
        <v>510</v>
      </c>
      <c r="AJ220" s="303" t="s">
        <v>510</v>
      </c>
      <c r="AK220" s="303" t="s">
        <v>510</v>
      </c>
      <c r="AL220" s="303" t="s">
        <v>511</v>
      </c>
      <c r="AM220" s="303" t="s">
        <v>510</v>
      </c>
      <c r="AN220" s="303" t="s">
        <v>511</v>
      </c>
      <c r="AO220" s="303">
        <v>20</v>
      </c>
      <c r="AP220" s="290">
        <f t="shared" si="25"/>
        <v>20</v>
      </c>
      <c r="AQ220" s="303" t="s">
        <v>504</v>
      </c>
      <c r="AR220" s="303"/>
      <c r="AS220" s="303"/>
      <c r="AT220" s="303"/>
      <c r="AU220" s="303"/>
      <c r="AV220" s="303"/>
      <c r="AW220" s="303"/>
      <c r="AX220" s="303"/>
      <c r="AY220" s="303"/>
      <c r="AZ220" s="290">
        <f t="shared" si="26"/>
        <v>0</v>
      </c>
      <c r="BA220" s="303"/>
      <c r="BB220" s="301"/>
      <c r="BC220" s="315">
        <f t="shared" si="21"/>
        <v>3</v>
      </c>
      <c r="BD220" s="316" t="str">
        <f t="shared" si="27"/>
        <v>Habilitado</v>
      </c>
    </row>
    <row r="221" spans="1:56" ht="76.5" x14ac:dyDescent="0.25">
      <c r="A221" s="308">
        <v>219</v>
      </c>
      <c r="B221" s="309" t="s">
        <v>971</v>
      </c>
      <c r="C221" s="310" t="s">
        <v>972</v>
      </c>
      <c r="D221" s="310" t="s">
        <v>71</v>
      </c>
      <c r="E221" s="303" t="s">
        <v>510</v>
      </c>
      <c r="F221" s="303" t="s">
        <v>510</v>
      </c>
      <c r="G221" s="303" t="s">
        <v>510</v>
      </c>
      <c r="H221" s="303" t="s">
        <v>511</v>
      </c>
      <c r="I221" s="303" t="s">
        <v>510</v>
      </c>
      <c r="J221" s="303" t="s">
        <v>510</v>
      </c>
      <c r="K221" s="303">
        <v>40</v>
      </c>
      <c r="L221" s="408">
        <f t="shared" si="22"/>
        <v>40</v>
      </c>
      <c r="M221" s="303" t="s">
        <v>504</v>
      </c>
      <c r="N221" s="303"/>
      <c r="O221" s="311"/>
      <c r="P221" s="311"/>
      <c r="Q221" s="311"/>
      <c r="R221" s="311"/>
      <c r="S221" s="311"/>
      <c r="T221" s="311"/>
      <c r="U221" s="311"/>
      <c r="V221" s="409">
        <f t="shared" si="23"/>
        <v>0</v>
      </c>
      <c r="W221" s="311"/>
      <c r="X221" s="307"/>
      <c r="Y221" s="300" t="s">
        <v>510</v>
      </c>
      <c r="Z221" s="300" t="s">
        <v>510</v>
      </c>
      <c r="AA221" s="300" t="s">
        <v>510</v>
      </c>
      <c r="AB221" s="300" t="s">
        <v>511</v>
      </c>
      <c r="AC221" s="300" t="s">
        <v>510</v>
      </c>
      <c r="AD221" s="300" t="s">
        <v>510</v>
      </c>
      <c r="AE221" s="416">
        <v>40</v>
      </c>
      <c r="AF221" s="410">
        <f t="shared" si="24"/>
        <v>40</v>
      </c>
      <c r="AG221" s="300" t="s">
        <v>504</v>
      </c>
      <c r="AH221" s="299" t="s">
        <v>973</v>
      </c>
      <c r="AI221" s="303" t="s">
        <v>510</v>
      </c>
      <c r="AJ221" s="303" t="s">
        <v>510</v>
      </c>
      <c r="AK221" s="303" t="s">
        <v>510</v>
      </c>
      <c r="AL221" s="303" t="s">
        <v>511</v>
      </c>
      <c r="AM221" s="303" t="s">
        <v>510</v>
      </c>
      <c r="AN221" s="303" t="s">
        <v>510</v>
      </c>
      <c r="AO221" s="303">
        <v>20</v>
      </c>
      <c r="AP221" s="290">
        <f t="shared" si="25"/>
        <v>20</v>
      </c>
      <c r="AQ221" s="303" t="s">
        <v>504</v>
      </c>
      <c r="AR221" s="303"/>
      <c r="AS221" s="303"/>
      <c r="AT221" s="303"/>
      <c r="AU221" s="303"/>
      <c r="AV221" s="303"/>
      <c r="AW221" s="303"/>
      <c r="AX221" s="303"/>
      <c r="AY221" s="303"/>
      <c r="AZ221" s="290">
        <f t="shared" si="26"/>
        <v>0</v>
      </c>
      <c r="BA221" s="303"/>
      <c r="BB221" s="301"/>
      <c r="BC221" s="315">
        <f t="shared" si="21"/>
        <v>3</v>
      </c>
      <c r="BD221" s="316" t="str">
        <f t="shared" si="27"/>
        <v>Habilitado</v>
      </c>
    </row>
    <row r="222" spans="1:56" ht="25.5" x14ac:dyDescent="0.25">
      <c r="A222" s="308">
        <v>220</v>
      </c>
      <c r="B222" s="309" t="s">
        <v>974</v>
      </c>
      <c r="C222" s="310" t="s">
        <v>975</v>
      </c>
      <c r="D222" s="310" t="s">
        <v>976</v>
      </c>
      <c r="E222" s="311"/>
      <c r="F222" s="311"/>
      <c r="G222" s="311"/>
      <c r="H222" s="311"/>
      <c r="I222" s="311"/>
      <c r="J222" s="311"/>
      <c r="K222" s="311"/>
      <c r="L222" s="408">
        <f t="shared" si="22"/>
        <v>0</v>
      </c>
      <c r="M222" s="311"/>
      <c r="N222" s="303"/>
      <c r="O222" s="311"/>
      <c r="P222" s="311"/>
      <c r="Q222" s="311"/>
      <c r="R222" s="311"/>
      <c r="S222" s="311"/>
      <c r="T222" s="311"/>
      <c r="U222" s="311"/>
      <c r="V222" s="409">
        <f t="shared" si="23"/>
        <v>0</v>
      </c>
      <c r="W222" s="311"/>
      <c r="X222" s="311"/>
      <c r="Y222" s="300"/>
      <c r="Z222" s="300"/>
      <c r="AA222" s="300"/>
      <c r="AB222" s="300"/>
      <c r="AC222" s="300"/>
      <c r="AD222" s="300"/>
      <c r="AE222" s="318"/>
      <c r="AF222" s="410">
        <f t="shared" si="24"/>
        <v>0</v>
      </c>
      <c r="AG222" s="300"/>
      <c r="AH222" s="300"/>
      <c r="AI222" s="303"/>
      <c r="AJ222" s="303"/>
      <c r="AK222" s="303"/>
      <c r="AL222" s="303"/>
      <c r="AM222" s="303"/>
      <c r="AN222" s="303"/>
      <c r="AO222" s="303"/>
      <c r="AP222" s="290">
        <f t="shared" si="25"/>
        <v>0</v>
      </c>
      <c r="AQ222" s="303"/>
      <c r="AR222" s="303"/>
      <c r="AS222" s="303" t="s">
        <v>510</v>
      </c>
      <c r="AT222" s="303" t="s">
        <v>510</v>
      </c>
      <c r="AU222" s="303" t="s">
        <v>519</v>
      </c>
      <c r="AV222" s="303" t="s">
        <v>511</v>
      </c>
      <c r="AW222" s="303" t="s">
        <v>510</v>
      </c>
      <c r="AX222" s="303" t="s">
        <v>511</v>
      </c>
      <c r="AY222" s="303">
        <v>0</v>
      </c>
      <c r="AZ222" s="290">
        <f t="shared" si="26"/>
        <v>0</v>
      </c>
      <c r="BA222" s="303" t="s">
        <v>520</v>
      </c>
      <c r="BB222" s="301" t="s">
        <v>977</v>
      </c>
      <c r="BC222" s="315">
        <f t="shared" si="21"/>
        <v>0</v>
      </c>
      <c r="BD222" s="316" t="str">
        <f t="shared" si="27"/>
        <v>Desierto</v>
      </c>
    </row>
    <row r="223" spans="1:56" ht="57.75" customHeight="1" x14ac:dyDescent="0.25">
      <c r="A223" s="308">
        <v>221</v>
      </c>
      <c r="B223" s="309" t="s">
        <v>978</v>
      </c>
      <c r="C223" s="310" t="s">
        <v>979</v>
      </c>
      <c r="D223" s="310" t="s">
        <v>547</v>
      </c>
      <c r="E223" s="303" t="s">
        <v>510</v>
      </c>
      <c r="F223" s="303" t="s">
        <v>510</v>
      </c>
      <c r="G223" s="303" t="s">
        <v>510</v>
      </c>
      <c r="H223" s="303" t="s">
        <v>511</v>
      </c>
      <c r="I223" s="303" t="s">
        <v>510</v>
      </c>
      <c r="J223" s="303" t="s">
        <v>511</v>
      </c>
      <c r="K223" s="303">
        <v>40</v>
      </c>
      <c r="L223" s="408">
        <f t="shared" si="22"/>
        <v>40</v>
      </c>
      <c r="M223" s="303" t="s">
        <v>504</v>
      </c>
      <c r="N223" s="412" t="s">
        <v>980</v>
      </c>
      <c r="O223" s="311"/>
      <c r="P223" s="311"/>
      <c r="Q223" s="311"/>
      <c r="R223" s="311"/>
      <c r="S223" s="311"/>
      <c r="T223" s="311"/>
      <c r="U223" s="311"/>
      <c r="V223" s="409">
        <f t="shared" si="23"/>
        <v>0</v>
      </c>
      <c r="W223" s="311"/>
      <c r="X223" s="320"/>
      <c r="Y223" s="312"/>
      <c r="Z223" s="312"/>
      <c r="AA223" s="312"/>
      <c r="AB223" s="312"/>
      <c r="AC223" s="312"/>
      <c r="AD223" s="312"/>
      <c r="AE223" s="313"/>
      <c r="AF223" s="410">
        <f t="shared" si="24"/>
        <v>0</v>
      </c>
      <c r="AG223" s="312"/>
      <c r="AH223" s="413"/>
      <c r="AI223" s="303" t="s">
        <v>510</v>
      </c>
      <c r="AJ223" s="303" t="s">
        <v>510</v>
      </c>
      <c r="AK223" s="303" t="s">
        <v>510</v>
      </c>
      <c r="AL223" s="303" t="s">
        <v>511</v>
      </c>
      <c r="AM223" s="303" t="s">
        <v>510</v>
      </c>
      <c r="AN223" s="303" t="s">
        <v>511</v>
      </c>
      <c r="AO223" s="303">
        <v>20</v>
      </c>
      <c r="AP223" s="290">
        <f t="shared" si="25"/>
        <v>20</v>
      </c>
      <c r="AQ223" s="303" t="s">
        <v>504</v>
      </c>
      <c r="AR223" s="412" t="s">
        <v>980</v>
      </c>
      <c r="AS223" s="303" t="s">
        <v>510</v>
      </c>
      <c r="AT223" s="303" t="s">
        <v>510</v>
      </c>
      <c r="AU223" s="303" t="s">
        <v>510</v>
      </c>
      <c r="AV223" s="303" t="s">
        <v>511</v>
      </c>
      <c r="AW223" s="303" t="s">
        <v>510</v>
      </c>
      <c r="AX223" s="303" t="s">
        <v>511</v>
      </c>
      <c r="AY223" s="303">
        <v>0</v>
      </c>
      <c r="AZ223" s="290">
        <f t="shared" si="26"/>
        <v>0</v>
      </c>
      <c r="BA223" s="303" t="s">
        <v>504</v>
      </c>
      <c r="BB223" s="301"/>
      <c r="BC223" s="315">
        <f t="shared" si="21"/>
        <v>3</v>
      </c>
      <c r="BD223" s="316" t="str">
        <f t="shared" si="27"/>
        <v>Habilitado</v>
      </c>
    </row>
    <row r="224" spans="1:56" ht="38.25" x14ac:dyDescent="0.25">
      <c r="A224" s="324">
        <v>222</v>
      </c>
      <c r="B224" s="331" t="s">
        <v>981</v>
      </c>
      <c r="C224" s="331" t="s">
        <v>982</v>
      </c>
      <c r="D224" s="331" t="s">
        <v>312</v>
      </c>
      <c r="E224" s="306" t="s">
        <v>510</v>
      </c>
      <c r="F224" s="306" t="s">
        <v>519</v>
      </c>
      <c r="G224" s="306" t="s">
        <v>510</v>
      </c>
      <c r="H224" s="306" t="s">
        <v>511</v>
      </c>
      <c r="I224" s="303" t="s">
        <v>510</v>
      </c>
      <c r="J224" s="306" t="s">
        <v>511</v>
      </c>
      <c r="K224" s="306">
        <v>40</v>
      </c>
      <c r="L224" s="408">
        <f t="shared" si="22"/>
        <v>40</v>
      </c>
      <c r="M224" s="303" t="s">
        <v>520</v>
      </c>
      <c r="N224" s="306" t="s">
        <v>983</v>
      </c>
      <c r="O224" s="320"/>
      <c r="P224" s="320"/>
      <c r="Q224" s="320"/>
      <c r="R224" s="320"/>
      <c r="S224" s="320"/>
      <c r="T224" s="320"/>
      <c r="U224" s="320"/>
      <c r="V224" s="409">
        <f t="shared" si="23"/>
        <v>0</v>
      </c>
      <c r="W224" s="320"/>
      <c r="X224" s="320"/>
      <c r="Y224" s="299"/>
      <c r="Z224" s="299"/>
      <c r="AA224" s="299"/>
      <c r="AB224" s="299"/>
      <c r="AC224" s="299"/>
      <c r="AD224" s="299"/>
      <c r="AE224" s="330"/>
      <c r="AF224" s="410">
        <f t="shared" si="24"/>
        <v>0</v>
      </c>
      <c r="AG224" s="299"/>
      <c r="AH224" s="299"/>
      <c r="AI224" s="306" t="s">
        <v>510</v>
      </c>
      <c r="AJ224" s="306" t="s">
        <v>510</v>
      </c>
      <c r="AK224" s="306" t="s">
        <v>510</v>
      </c>
      <c r="AL224" s="306" t="s">
        <v>511</v>
      </c>
      <c r="AM224" s="303" t="s">
        <v>510</v>
      </c>
      <c r="AN224" s="306" t="s">
        <v>511</v>
      </c>
      <c r="AO224" s="303">
        <v>20</v>
      </c>
      <c r="AP224" s="290">
        <f t="shared" si="25"/>
        <v>20</v>
      </c>
      <c r="AQ224" s="303" t="s">
        <v>504</v>
      </c>
      <c r="AR224" s="306" t="s">
        <v>551</v>
      </c>
      <c r="AS224" s="306" t="s">
        <v>510</v>
      </c>
      <c r="AT224" s="306" t="s">
        <v>510</v>
      </c>
      <c r="AU224" s="306" t="s">
        <v>510</v>
      </c>
      <c r="AV224" s="306" t="s">
        <v>511</v>
      </c>
      <c r="AW224" s="303" t="s">
        <v>510</v>
      </c>
      <c r="AX224" s="306" t="s">
        <v>511</v>
      </c>
      <c r="AY224" s="306">
        <v>0</v>
      </c>
      <c r="AZ224" s="290">
        <f t="shared" si="26"/>
        <v>0</v>
      </c>
      <c r="BA224" s="303" t="s">
        <v>504</v>
      </c>
      <c r="BB224" s="306" t="s">
        <v>551</v>
      </c>
      <c r="BC224" s="315">
        <f t="shared" si="21"/>
        <v>2</v>
      </c>
      <c r="BD224" s="316" t="str">
        <f t="shared" si="27"/>
        <v>Habilitado</v>
      </c>
    </row>
    <row r="225" spans="1:56" ht="25.5" x14ac:dyDescent="0.25">
      <c r="A225" s="308">
        <v>223</v>
      </c>
      <c r="B225" s="309" t="s">
        <v>984</v>
      </c>
      <c r="C225" s="310" t="s">
        <v>985</v>
      </c>
      <c r="D225" s="310" t="s">
        <v>986</v>
      </c>
      <c r="E225" s="303" t="s">
        <v>510</v>
      </c>
      <c r="F225" s="303" t="s">
        <v>510</v>
      </c>
      <c r="G225" s="303" t="s">
        <v>510</v>
      </c>
      <c r="H225" s="303" t="s">
        <v>511</v>
      </c>
      <c r="I225" s="303" t="s">
        <v>510</v>
      </c>
      <c r="J225" s="303" t="s">
        <v>511</v>
      </c>
      <c r="K225" s="303">
        <v>40</v>
      </c>
      <c r="L225" s="408">
        <f t="shared" si="22"/>
        <v>40</v>
      </c>
      <c r="M225" s="303" t="s">
        <v>504</v>
      </c>
      <c r="N225" s="303"/>
      <c r="O225" s="311"/>
      <c r="P225" s="311"/>
      <c r="Q225" s="311"/>
      <c r="R225" s="311"/>
      <c r="S225" s="311"/>
      <c r="T225" s="311"/>
      <c r="U225" s="311"/>
      <c r="V225" s="409">
        <f t="shared" si="23"/>
        <v>0</v>
      </c>
      <c r="W225" s="311"/>
      <c r="X225" s="311"/>
      <c r="Y225" s="300" t="s">
        <v>510</v>
      </c>
      <c r="Z225" s="300" t="s">
        <v>510</v>
      </c>
      <c r="AA225" s="300" t="s">
        <v>510</v>
      </c>
      <c r="AB225" s="300" t="s">
        <v>511</v>
      </c>
      <c r="AC225" s="300" t="s">
        <v>510</v>
      </c>
      <c r="AD225" s="300" t="s">
        <v>511</v>
      </c>
      <c r="AE225" s="318">
        <v>40</v>
      </c>
      <c r="AF225" s="410">
        <f t="shared" si="24"/>
        <v>40</v>
      </c>
      <c r="AG225" s="300" t="s">
        <v>504</v>
      </c>
      <c r="AH225" s="300"/>
      <c r="AI225" s="303"/>
      <c r="AJ225" s="303"/>
      <c r="AK225" s="303"/>
      <c r="AL225" s="303"/>
      <c r="AM225" s="303"/>
      <c r="AN225" s="303"/>
      <c r="AO225" s="303"/>
      <c r="AP225" s="290">
        <f t="shared" si="25"/>
        <v>0</v>
      </c>
      <c r="AQ225" s="303"/>
      <c r="AR225" s="303"/>
      <c r="AS225" s="303"/>
      <c r="AT225" s="303"/>
      <c r="AU225" s="303"/>
      <c r="AV225" s="303"/>
      <c r="AW225" s="303"/>
      <c r="AX225" s="303"/>
      <c r="AY225" s="303"/>
      <c r="AZ225" s="290">
        <f t="shared" si="26"/>
        <v>0</v>
      </c>
      <c r="BA225" s="303"/>
      <c r="BB225" s="303"/>
      <c r="BC225" s="315">
        <f t="shared" si="21"/>
        <v>2</v>
      </c>
      <c r="BD225" s="316" t="str">
        <f t="shared" si="27"/>
        <v>Habilitado</v>
      </c>
    </row>
    <row r="226" spans="1:56" ht="25.5" x14ac:dyDescent="0.25">
      <c r="A226" s="308">
        <v>224</v>
      </c>
      <c r="B226" s="309" t="s">
        <v>987</v>
      </c>
      <c r="C226" s="310" t="s">
        <v>988</v>
      </c>
      <c r="D226" s="310" t="s">
        <v>989</v>
      </c>
      <c r="E226" s="303" t="s">
        <v>510</v>
      </c>
      <c r="F226" s="303" t="s">
        <v>510</v>
      </c>
      <c r="G226" s="303" t="s">
        <v>510</v>
      </c>
      <c r="H226" s="303" t="s">
        <v>511</v>
      </c>
      <c r="I226" s="303" t="s">
        <v>510</v>
      </c>
      <c r="J226" s="303" t="s">
        <v>511</v>
      </c>
      <c r="K226" s="303">
        <v>40</v>
      </c>
      <c r="L226" s="408">
        <f t="shared" si="22"/>
        <v>40</v>
      </c>
      <c r="M226" s="303" t="s">
        <v>504</v>
      </c>
      <c r="N226" s="303"/>
      <c r="O226" s="311"/>
      <c r="P226" s="311"/>
      <c r="Q226" s="311"/>
      <c r="R226" s="311"/>
      <c r="S226" s="311"/>
      <c r="T226" s="311"/>
      <c r="U226" s="311"/>
      <c r="V226" s="409">
        <f t="shared" si="23"/>
        <v>0</v>
      </c>
      <c r="W226" s="311"/>
      <c r="X226" s="320"/>
      <c r="Y226" s="312"/>
      <c r="Z226" s="312"/>
      <c r="AA226" s="312"/>
      <c r="AB226" s="312"/>
      <c r="AC226" s="312"/>
      <c r="AD226" s="312"/>
      <c r="AE226" s="313"/>
      <c r="AF226" s="410">
        <f t="shared" si="24"/>
        <v>0</v>
      </c>
      <c r="AG226" s="312"/>
      <c r="AH226" s="317"/>
      <c r="AI226" s="303"/>
      <c r="AJ226" s="303"/>
      <c r="AK226" s="303"/>
      <c r="AL226" s="303"/>
      <c r="AM226" s="303"/>
      <c r="AN226" s="303"/>
      <c r="AO226" s="303"/>
      <c r="AP226" s="290">
        <f t="shared" si="25"/>
        <v>0</v>
      </c>
      <c r="AQ226" s="303"/>
      <c r="AR226" s="301"/>
      <c r="AS226" s="303"/>
      <c r="AT226" s="303"/>
      <c r="AU226" s="303"/>
      <c r="AV226" s="303"/>
      <c r="AW226" s="303"/>
      <c r="AX226" s="303"/>
      <c r="AY226" s="303"/>
      <c r="AZ226" s="290">
        <f t="shared" si="26"/>
        <v>0</v>
      </c>
      <c r="BA226" s="303"/>
      <c r="BB226" s="301"/>
      <c r="BC226" s="315">
        <f t="shared" si="21"/>
        <v>1</v>
      </c>
      <c r="BD226" s="316" t="str">
        <f t="shared" si="27"/>
        <v>Habilitado</v>
      </c>
    </row>
    <row r="227" spans="1:56" ht="25.5" x14ac:dyDescent="0.25">
      <c r="A227" s="308">
        <v>225</v>
      </c>
      <c r="B227" s="309" t="s">
        <v>990</v>
      </c>
      <c r="C227" s="310" t="s">
        <v>518</v>
      </c>
      <c r="D227" s="310" t="s">
        <v>123</v>
      </c>
      <c r="E227" s="311"/>
      <c r="F227" s="311"/>
      <c r="G227" s="311"/>
      <c r="H227" s="311"/>
      <c r="I227" s="311"/>
      <c r="J227" s="311"/>
      <c r="K227" s="311"/>
      <c r="L227" s="408">
        <f t="shared" si="22"/>
        <v>0</v>
      </c>
      <c r="M227" s="311"/>
      <c r="N227" s="311"/>
      <c r="O227" s="311"/>
      <c r="P227" s="311"/>
      <c r="Q227" s="311"/>
      <c r="R227" s="311"/>
      <c r="S227" s="311"/>
      <c r="T227" s="311"/>
      <c r="U227" s="311"/>
      <c r="V227" s="409">
        <f t="shared" si="23"/>
        <v>0</v>
      </c>
      <c r="W227" s="311"/>
      <c r="X227" s="311"/>
      <c r="Y227" s="300" t="s">
        <v>510</v>
      </c>
      <c r="Z227" s="300" t="s">
        <v>510</v>
      </c>
      <c r="AA227" s="300" t="s">
        <v>510</v>
      </c>
      <c r="AB227" s="300" t="s">
        <v>511</v>
      </c>
      <c r="AC227" s="300" t="s">
        <v>510</v>
      </c>
      <c r="AD227" s="300" t="s">
        <v>511</v>
      </c>
      <c r="AE227" s="318">
        <v>40</v>
      </c>
      <c r="AF227" s="410">
        <f t="shared" si="24"/>
        <v>40</v>
      </c>
      <c r="AG227" s="300" t="s">
        <v>504</v>
      </c>
      <c r="AH227" s="300"/>
      <c r="AI227" s="303" t="s">
        <v>510</v>
      </c>
      <c r="AJ227" s="303" t="s">
        <v>510</v>
      </c>
      <c r="AK227" s="303" t="s">
        <v>510</v>
      </c>
      <c r="AL227" s="303" t="s">
        <v>511</v>
      </c>
      <c r="AM227" s="303" t="s">
        <v>510</v>
      </c>
      <c r="AN227" s="303" t="s">
        <v>511</v>
      </c>
      <c r="AO227" s="303">
        <v>20</v>
      </c>
      <c r="AP227" s="290">
        <f t="shared" si="25"/>
        <v>20</v>
      </c>
      <c r="AQ227" s="303" t="s">
        <v>504</v>
      </c>
      <c r="AR227" s="303"/>
      <c r="AS227" s="303"/>
      <c r="AT227" s="303"/>
      <c r="AU227" s="303"/>
      <c r="AV227" s="303"/>
      <c r="AW227" s="303"/>
      <c r="AX227" s="303"/>
      <c r="AY227" s="303"/>
      <c r="AZ227" s="290">
        <f t="shared" si="26"/>
        <v>0</v>
      </c>
      <c r="BA227" s="303"/>
      <c r="BB227" s="301"/>
      <c r="BC227" s="315">
        <f t="shared" si="21"/>
        <v>2</v>
      </c>
      <c r="BD227" s="316" t="str">
        <f t="shared" si="27"/>
        <v>Habilitado</v>
      </c>
    </row>
    <row r="228" spans="1:56" ht="63" customHeight="1" x14ac:dyDescent="0.25">
      <c r="A228" s="308">
        <v>226</v>
      </c>
      <c r="B228" s="309" t="s">
        <v>991</v>
      </c>
      <c r="C228" s="310" t="s">
        <v>992</v>
      </c>
      <c r="D228" s="310" t="s">
        <v>123</v>
      </c>
      <c r="E228" s="311"/>
      <c r="F228" s="311"/>
      <c r="G228" s="311"/>
      <c r="H228" s="311"/>
      <c r="I228" s="311"/>
      <c r="J228" s="311"/>
      <c r="K228" s="311"/>
      <c r="L228" s="408">
        <f t="shared" si="22"/>
        <v>0</v>
      </c>
      <c r="M228" s="311"/>
      <c r="N228" s="311"/>
      <c r="O228" s="311"/>
      <c r="P228" s="311"/>
      <c r="Q228" s="311"/>
      <c r="R228" s="311"/>
      <c r="S228" s="311"/>
      <c r="T228" s="311"/>
      <c r="U228" s="311"/>
      <c r="V228" s="409">
        <f t="shared" si="23"/>
        <v>0</v>
      </c>
      <c r="W228" s="311"/>
      <c r="X228" s="311"/>
      <c r="Y228" s="300" t="s">
        <v>510</v>
      </c>
      <c r="Z228" s="300" t="s">
        <v>510</v>
      </c>
      <c r="AA228" s="300" t="s">
        <v>510</v>
      </c>
      <c r="AB228" s="300" t="s">
        <v>511</v>
      </c>
      <c r="AC228" s="300" t="s">
        <v>510</v>
      </c>
      <c r="AD228" s="300" t="s">
        <v>511</v>
      </c>
      <c r="AE228" s="318">
        <v>40</v>
      </c>
      <c r="AF228" s="410">
        <f t="shared" si="24"/>
        <v>40</v>
      </c>
      <c r="AG228" s="300" t="s">
        <v>504</v>
      </c>
      <c r="AH228" s="300"/>
      <c r="AI228" s="303" t="s">
        <v>510</v>
      </c>
      <c r="AJ228" s="303" t="s">
        <v>510</v>
      </c>
      <c r="AK228" s="303" t="s">
        <v>510</v>
      </c>
      <c r="AL228" s="303" t="s">
        <v>511</v>
      </c>
      <c r="AM228" s="303" t="s">
        <v>510</v>
      </c>
      <c r="AN228" s="303" t="s">
        <v>511</v>
      </c>
      <c r="AO228" s="303">
        <v>20</v>
      </c>
      <c r="AP228" s="290">
        <f t="shared" si="25"/>
        <v>20</v>
      </c>
      <c r="AQ228" s="303" t="s">
        <v>504</v>
      </c>
      <c r="AR228" s="412" t="s">
        <v>993</v>
      </c>
      <c r="AS228" s="303"/>
      <c r="AT228" s="303"/>
      <c r="AU228" s="303"/>
      <c r="AV228" s="303"/>
      <c r="AW228" s="303"/>
      <c r="AX228" s="303"/>
      <c r="AY228" s="303"/>
      <c r="AZ228" s="290">
        <f t="shared" si="26"/>
        <v>0</v>
      </c>
      <c r="BA228" s="303"/>
      <c r="BB228" s="301"/>
      <c r="BC228" s="315">
        <f t="shared" si="21"/>
        <v>2</v>
      </c>
      <c r="BD228" s="316" t="str">
        <f t="shared" si="27"/>
        <v>Habilitado</v>
      </c>
    </row>
    <row r="229" spans="1:56" ht="25.5" x14ac:dyDescent="0.25">
      <c r="A229" s="308">
        <v>227</v>
      </c>
      <c r="B229" s="309" t="s">
        <v>994</v>
      </c>
      <c r="C229" s="310" t="s">
        <v>985</v>
      </c>
      <c r="D229" s="310" t="s">
        <v>123</v>
      </c>
      <c r="E229" s="303" t="s">
        <v>510</v>
      </c>
      <c r="F229" s="303" t="s">
        <v>510</v>
      </c>
      <c r="G229" s="303" t="s">
        <v>510</v>
      </c>
      <c r="H229" s="303" t="s">
        <v>511</v>
      </c>
      <c r="I229" s="303" t="s">
        <v>510</v>
      </c>
      <c r="J229" s="303" t="s">
        <v>511</v>
      </c>
      <c r="K229" s="303">
        <v>40</v>
      </c>
      <c r="L229" s="408">
        <f t="shared" si="22"/>
        <v>40</v>
      </c>
      <c r="M229" s="303" t="s">
        <v>504</v>
      </c>
      <c r="N229" s="303"/>
      <c r="O229" s="311"/>
      <c r="P229" s="311"/>
      <c r="Q229" s="311"/>
      <c r="R229" s="311"/>
      <c r="S229" s="311"/>
      <c r="T229" s="311"/>
      <c r="U229" s="311"/>
      <c r="V229" s="409">
        <f t="shared" si="23"/>
        <v>0</v>
      </c>
      <c r="W229" s="311"/>
      <c r="X229" s="307"/>
      <c r="Y229" s="300" t="s">
        <v>510</v>
      </c>
      <c r="Z229" s="300" t="s">
        <v>510</v>
      </c>
      <c r="AA229" s="300" t="s">
        <v>510</v>
      </c>
      <c r="AB229" s="300" t="s">
        <v>511</v>
      </c>
      <c r="AC229" s="300" t="s">
        <v>510</v>
      </c>
      <c r="AD229" s="300" t="s">
        <v>511</v>
      </c>
      <c r="AE229" s="318">
        <v>40</v>
      </c>
      <c r="AF229" s="410">
        <f t="shared" si="24"/>
        <v>40</v>
      </c>
      <c r="AG229" s="300" t="s">
        <v>504</v>
      </c>
      <c r="AH229" s="300"/>
      <c r="AI229" s="303" t="s">
        <v>510</v>
      </c>
      <c r="AJ229" s="303" t="s">
        <v>510</v>
      </c>
      <c r="AK229" s="303" t="s">
        <v>510</v>
      </c>
      <c r="AL229" s="303" t="s">
        <v>511</v>
      </c>
      <c r="AM229" s="303" t="s">
        <v>510</v>
      </c>
      <c r="AN229" s="303" t="s">
        <v>511</v>
      </c>
      <c r="AO229" s="303">
        <v>20</v>
      </c>
      <c r="AP229" s="290">
        <f t="shared" si="25"/>
        <v>20</v>
      </c>
      <c r="AQ229" s="303" t="s">
        <v>504</v>
      </c>
      <c r="AR229" s="303"/>
      <c r="AS229" s="303"/>
      <c r="AT229" s="303"/>
      <c r="AU229" s="303"/>
      <c r="AV229" s="303"/>
      <c r="AW229" s="303"/>
      <c r="AX229" s="303"/>
      <c r="AY229" s="303"/>
      <c r="AZ229" s="290">
        <f t="shared" si="26"/>
        <v>0</v>
      </c>
      <c r="BA229" s="303"/>
      <c r="BB229" s="301"/>
      <c r="BC229" s="315">
        <f t="shared" si="21"/>
        <v>3</v>
      </c>
      <c r="BD229" s="316" t="str">
        <f t="shared" si="27"/>
        <v>Habilitado</v>
      </c>
    </row>
    <row r="230" spans="1:56" x14ac:dyDescent="0.25">
      <c r="A230" s="308">
        <v>228</v>
      </c>
      <c r="B230" s="309" t="s">
        <v>995</v>
      </c>
      <c r="C230" s="310" t="s">
        <v>996</v>
      </c>
      <c r="D230" s="310" t="s">
        <v>280</v>
      </c>
      <c r="E230" s="303"/>
      <c r="F230" s="303"/>
      <c r="G230" s="303"/>
      <c r="H230" s="303"/>
      <c r="I230" s="303"/>
      <c r="J230" s="303"/>
      <c r="K230" s="303"/>
      <c r="L230" s="408">
        <f t="shared" si="22"/>
        <v>0</v>
      </c>
      <c r="M230" s="311"/>
      <c r="N230" s="303"/>
      <c r="O230" s="311"/>
      <c r="P230" s="311"/>
      <c r="Q230" s="311"/>
      <c r="R230" s="311"/>
      <c r="S230" s="311"/>
      <c r="T230" s="311"/>
      <c r="U230" s="311"/>
      <c r="V230" s="409">
        <f t="shared" si="23"/>
        <v>0</v>
      </c>
      <c r="W230" s="311"/>
      <c r="X230" s="311"/>
      <c r="Y230" s="300"/>
      <c r="Z230" s="300"/>
      <c r="AA230" s="300"/>
      <c r="AB230" s="300"/>
      <c r="AC230" s="300"/>
      <c r="AD230" s="300"/>
      <c r="AE230" s="318"/>
      <c r="AF230" s="410">
        <f t="shared" si="24"/>
        <v>0</v>
      </c>
      <c r="AG230" s="300"/>
      <c r="AH230" s="300"/>
      <c r="AI230" s="303"/>
      <c r="AJ230" s="303"/>
      <c r="AK230" s="303"/>
      <c r="AL230" s="303"/>
      <c r="AM230" s="303"/>
      <c r="AN230" s="303"/>
      <c r="AO230" s="303"/>
      <c r="AP230" s="290">
        <f t="shared" si="25"/>
        <v>0</v>
      </c>
      <c r="AQ230" s="303"/>
      <c r="AR230" s="303"/>
      <c r="AS230" s="303"/>
      <c r="AT230" s="303"/>
      <c r="AU230" s="303"/>
      <c r="AV230" s="303"/>
      <c r="AW230" s="303"/>
      <c r="AX230" s="303"/>
      <c r="AY230" s="303"/>
      <c r="AZ230" s="290">
        <f t="shared" si="26"/>
        <v>0</v>
      </c>
      <c r="BA230" s="303"/>
      <c r="BB230" s="303"/>
      <c r="BC230" s="315">
        <f t="shared" si="21"/>
        <v>0</v>
      </c>
      <c r="BD230" s="316" t="str">
        <f t="shared" si="27"/>
        <v>Desierto</v>
      </c>
    </row>
    <row r="231" spans="1:56" ht="25.5" x14ac:dyDescent="0.25">
      <c r="A231" s="308">
        <v>229</v>
      </c>
      <c r="B231" s="309" t="s">
        <v>997</v>
      </c>
      <c r="C231" s="310" t="s">
        <v>985</v>
      </c>
      <c r="D231" s="310" t="s">
        <v>123</v>
      </c>
      <c r="E231" s="303" t="s">
        <v>510</v>
      </c>
      <c r="F231" s="303" t="s">
        <v>510</v>
      </c>
      <c r="G231" s="303" t="s">
        <v>510</v>
      </c>
      <c r="H231" s="303" t="s">
        <v>511</v>
      </c>
      <c r="I231" s="303" t="s">
        <v>510</v>
      </c>
      <c r="J231" s="303" t="s">
        <v>511</v>
      </c>
      <c r="K231" s="303">
        <v>40</v>
      </c>
      <c r="L231" s="408">
        <f t="shared" si="22"/>
        <v>40</v>
      </c>
      <c r="M231" s="303" t="s">
        <v>504</v>
      </c>
      <c r="N231" s="303"/>
      <c r="O231" s="311"/>
      <c r="P231" s="311"/>
      <c r="Q231" s="311"/>
      <c r="R231" s="311"/>
      <c r="S231" s="311"/>
      <c r="T231" s="311"/>
      <c r="U231" s="311"/>
      <c r="V231" s="409">
        <f t="shared" si="23"/>
        <v>0</v>
      </c>
      <c r="W231" s="311"/>
      <c r="X231" s="320"/>
      <c r="Y231" s="300" t="s">
        <v>510</v>
      </c>
      <c r="Z231" s="300" t="s">
        <v>510</v>
      </c>
      <c r="AA231" s="300" t="s">
        <v>510</v>
      </c>
      <c r="AB231" s="300" t="s">
        <v>511</v>
      </c>
      <c r="AC231" s="300" t="s">
        <v>510</v>
      </c>
      <c r="AD231" s="300" t="s">
        <v>511</v>
      </c>
      <c r="AE231" s="318">
        <v>40</v>
      </c>
      <c r="AF231" s="410">
        <f t="shared" si="24"/>
        <v>40</v>
      </c>
      <c r="AG231" s="300" t="s">
        <v>504</v>
      </c>
      <c r="AH231" s="300"/>
      <c r="AI231" s="303" t="s">
        <v>510</v>
      </c>
      <c r="AJ231" s="303" t="s">
        <v>510</v>
      </c>
      <c r="AK231" s="303" t="s">
        <v>510</v>
      </c>
      <c r="AL231" s="303" t="s">
        <v>511</v>
      </c>
      <c r="AM231" s="303" t="s">
        <v>510</v>
      </c>
      <c r="AN231" s="303" t="s">
        <v>511</v>
      </c>
      <c r="AO231" s="303">
        <v>20</v>
      </c>
      <c r="AP231" s="290">
        <f t="shared" si="25"/>
        <v>20</v>
      </c>
      <c r="AQ231" s="303" t="s">
        <v>504</v>
      </c>
      <c r="AR231" s="303"/>
      <c r="AS231" s="303"/>
      <c r="AT231" s="303"/>
      <c r="AU231" s="303"/>
      <c r="AV231" s="303"/>
      <c r="AW231" s="303"/>
      <c r="AX231" s="303"/>
      <c r="AY231" s="303"/>
      <c r="AZ231" s="290">
        <f t="shared" si="26"/>
        <v>0</v>
      </c>
      <c r="BA231" s="303"/>
      <c r="BB231" s="301"/>
      <c r="BC231" s="315">
        <f t="shared" si="21"/>
        <v>3</v>
      </c>
      <c r="BD231" s="316" t="str">
        <f t="shared" si="27"/>
        <v>Habilitado</v>
      </c>
    </row>
    <row r="232" spans="1:56" ht="38.25" x14ac:dyDescent="0.25">
      <c r="A232" s="308">
        <v>230</v>
      </c>
      <c r="B232" s="309" t="s">
        <v>998</v>
      </c>
      <c r="C232" s="310" t="s">
        <v>999</v>
      </c>
      <c r="D232" s="310" t="s">
        <v>280</v>
      </c>
      <c r="E232" s="311"/>
      <c r="F232" s="311"/>
      <c r="G232" s="311"/>
      <c r="H232" s="311"/>
      <c r="I232" s="311"/>
      <c r="J232" s="311"/>
      <c r="K232" s="303"/>
      <c r="L232" s="408">
        <f t="shared" si="22"/>
        <v>0</v>
      </c>
      <c r="M232" s="311"/>
      <c r="N232" s="303"/>
      <c r="O232" s="311"/>
      <c r="P232" s="311"/>
      <c r="Q232" s="311"/>
      <c r="R232" s="311"/>
      <c r="S232" s="311"/>
      <c r="T232" s="311"/>
      <c r="U232" s="311"/>
      <c r="V232" s="409">
        <f t="shared" si="23"/>
        <v>0</v>
      </c>
      <c r="W232" s="311"/>
      <c r="X232" s="307"/>
      <c r="Y232" s="300" t="s">
        <v>510</v>
      </c>
      <c r="Z232" s="300" t="s">
        <v>510</v>
      </c>
      <c r="AA232" s="300" t="s">
        <v>510</v>
      </c>
      <c r="AB232" s="300" t="s">
        <v>511</v>
      </c>
      <c r="AC232" s="300" t="s">
        <v>510</v>
      </c>
      <c r="AD232" s="300" t="s">
        <v>511</v>
      </c>
      <c r="AE232" s="318">
        <v>40</v>
      </c>
      <c r="AF232" s="410">
        <f t="shared" si="24"/>
        <v>40</v>
      </c>
      <c r="AG232" s="300" t="s">
        <v>504</v>
      </c>
      <c r="AH232" s="300"/>
      <c r="AI232" s="303" t="s">
        <v>510</v>
      </c>
      <c r="AJ232" s="303" t="s">
        <v>510</v>
      </c>
      <c r="AK232" s="303" t="s">
        <v>510</v>
      </c>
      <c r="AL232" s="303" t="s">
        <v>511</v>
      </c>
      <c r="AM232" s="303" t="s">
        <v>510</v>
      </c>
      <c r="AN232" s="303" t="s">
        <v>511</v>
      </c>
      <c r="AO232" s="303">
        <v>20</v>
      </c>
      <c r="AP232" s="290">
        <f t="shared" si="25"/>
        <v>20</v>
      </c>
      <c r="AQ232" s="303" t="s">
        <v>504</v>
      </c>
      <c r="AR232" s="303"/>
      <c r="AS232" s="303"/>
      <c r="AT232" s="303"/>
      <c r="AU232" s="303"/>
      <c r="AV232" s="303"/>
      <c r="AW232" s="303"/>
      <c r="AX232" s="303"/>
      <c r="AY232" s="303"/>
      <c r="AZ232" s="290">
        <f t="shared" si="26"/>
        <v>0</v>
      </c>
      <c r="BA232" s="303"/>
      <c r="BB232" s="301"/>
      <c r="BC232" s="315">
        <f t="shared" si="21"/>
        <v>2</v>
      </c>
      <c r="BD232" s="316" t="str">
        <f t="shared" si="27"/>
        <v>Habilitado</v>
      </c>
    </row>
    <row r="233" spans="1:56" ht="38.25" x14ac:dyDescent="0.25">
      <c r="A233" s="308">
        <v>231</v>
      </c>
      <c r="B233" s="309" t="s">
        <v>1000</v>
      </c>
      <c r="C233" s="310" t="s">
        <v>729</v>
      </c>
      <c r="D233" s="310" t="s">
        <v>123</v>
      </c>
      <c r="E233" s="303" t="s">
        <v>510</v>
      </c>
      <c r="F233" s="303" t="s">
        <v>510</v>
      </c>
      <c r="G233" s="303" t="s">
        <v>510</v>
      </c>
      <c r="H233" s="303" t="s">
        <v>511</v>
      </c>
      <c r="I233" s="303" t="s">
        <v>510</v>
      </c>
      <c r="J233" s="303" t="s">
        <v>511</v>
      </c>
      <c r="K233" s="303">
        <v>40</v>
      </c>
      <c r="L233" s="408">
        <f t="shared" si="22"/>
        <v>40</v>
      </c>
      <c r="M233" s="303" t="s">
        <v>504</v>
      </c>
      <c r="N233" s="303"/>
      <c r="O233" s="311"/>
      <c r="P233" s="311"/>
      <c r="Q233" s="311"/>
      <c r="R233" s="311"/>
      <c r="S233" s="311"/>
      <c r="T233" s="311"/>
      <c r="U233" s="311"/>
      <c r="V233" s="409">
        <f t="shared" si="23"/>
        <v>0</v>
      </c>
      <c r="W233" s="311"/>
      <c r="X233" s="307"/>
      <c r="Y233" s="300" t="s">
        <v>510</v>
      </c>
      <c r="Z233" s="300" t="s">
        <v>510</v>
      </c>
      <c r="AA233" s="300" t="s">
        <v>510</v>
      </c>
      <c r="AB233" s="300" t="s">
        <v>511</v>
      </c>
      <c r="AC233" s="300" t="s">
        <v>510</v>
      </c>
      <c r="AD233" s="300" t="s">
        <v>511</v>
      </c>
      <c r="AE233" s="318">
        <v>40</v>
      </c>
      <c r="AF233" s="410">
        <f t="shared" si="24"/>
        <v>40</v>
      </c>
      <c r="AG233" s="300" t="s">
        <v>504</v>
      </c>
      <c r="AH233" s="300"/>
      <c r="AI233" s="303" t="s">
        <v>510</v>
      </c>
      <c r="AJ233" s="303" t="s">
        <v>510</v>
      </c>
      <c r="AK233" s="303" t="s">
        <v>510</v>
      </c>
      <c r="AL233" s="303" t="s">
        <v>511</v>
      </c>
      <c r="AM233" s="303" t="s">
        <v>510</v>
      </c>
      <c r="AN233" s="303" t="s">
        <v>511</v>
      </c>
      <c r="AO233" s="303">
        <v>20</v>
      </c>
      <c r="AP233" s="290">
        <f t="shared" si="25"/>
        <v>20</v>
      </c>
      <c r="AQ233" s="303" t="s">
        <v>504</v>
      </c>
      <c r="AR233" s="303"/>
      <c r="AS233" s="303"/>
      <c r="AT233" s="303"/>
      <c r="AU233" s="303"/>
      <c r="AV233" s="303"/>
      <c r="AW233" s="303"/>
      <c r="AX233" s="303"/>
      <c r="AY233" s="303"/>
      <c r="AZ233" s="290">
        <f t="shared" si="26"/>
        <v>0</v>
      </c>
      <c r="BA233" s="303"/>
      <c r="BB233" s="301"/>
      <c r="BC233" s="315">
        <f t="shared" si="21"/>
        <v>3</v>
      </c>
      <c r="BD233" s="316" t="str">
        <f t="shared" si="27"/>
        <v>Habilitado</v>
      </c>
    </row>
    <row r="234" spans="1:56" ht="25.5" x14ac:dyDescent="0.25">
      <c r="A234" s="308">
        <v>232</v>
      </c>
      <c r="B234" s="309" t="s">
        <v>1001</v>
      </c>
      <c r="C234" s="310" t="s">
        <v>825</v>
      </c>
      <c r="D234" s="310" t="s">
        <v>56</v>
      </c>
      <c r="E234" s="303" t="s">
        <v>510</v>
      </c>
      <c r="F234" s="303" t="s">
        <v>510</v>
      </c>
      <c r="G234" s="303" t="s">
        <v>510</v>
      </c>
      <c r="H234" s="303" t="s">
        <v>511</v>
      </c>
      <c r="I234" s="303" t="s">
        <v>510</v>
      </c>
      <c r="J234" s="303" t="s">
        <v>511</v>
      </c>
      <c r="K234" s="303">
        <v>40</v>
      </c>
      <c r="L234" s="408">
        <f t="shared" si="22"/>
        <v>40</v>
      </c>
      <c r="M234" s="303" t="s">
        <v>504</v>
      </c>
      <c r="N234" s="303"/>
      <c r="O234" s="311"/>
      <c r="P234" s="311"/>
      <c r="Q234" s="311"/>
      <c r="R234" s="311"/>
      <c r="S234" s="311"/>
      <c r="T234" s="311"/>
      <c r="U234" s="311"/>
      <c r="V234" s="409">
        <f t="shared" si="23"/>
        <v>0</v>
      </c>
      <c r="W234" s="311"/>
      <c r="X234" s="311"/>
      <c r="Y234" s="300" t="s">
        <v>510</v>
      </c>
      <c r="Z234" s="300" t="s">
        <v>510</v>
      </c>
      <c r="AA234" s="300" t="s">
        <v>510</v>
      </c>
      <c r="AB234" s="300" t="s">
        <v>511</v>
      </c>
      <c r="AC234" s="300" t="s">
        <v>510</v>
      </c>
      <c r="AD234" s="300" t="s">
        <v>511</v>
      </c>
      <c r="AE234" s="318">
        <v>40</v>
      </c>
      <c r="AF234" s="410">
        <f t="shared" si="24"/>
        <v>40</v>
      </c>
      <c r="AG234" s="300" t="s">
        <v>504</v>
      </c>
      <c r="AH234" s="299"/>
      <c r="AI234" s="303" t="s">
        <v>510</v>
      </c>
      <c r="AJ234" s="303" t="s">
        <v>510</v>
      </c>
      <c r="AK234" s="303" t="s">
        <v>510</v>
      </c>
      <c r="AL234" s="303" t="s">
        <v>511</v>
      </c>
      <c r="AM234" s="303" t="s">
        <v>510</v>
      </c>
      <c r="AN234" s="303" t="s">
        <v>511</v>
      </c>
      <c r="AO234" s="303">
        <v>20</v>
      </c>
      <c r="AP234" s="290">
        <f t="shared" si="25"/>
        <v>20</v>
      </c>
      <c r="AQ234" s="303" t="s">
        <v>504</v>
      </c>
      <c r="AR234" s="303"/>
      <c r="AS234" s="303"/>
      <c r="AT234" s="303"/>
      <c r="AU234" s="303"/>
      <c r="AV234" s="303"/>
      <c r="AW234" s="303"/>
      <c r="AX234" s="303"/>
      <c r="AY234" s="303"/>
      <c r="AZ234" s="290">
        <f t="shared" si="26"/>
        <v>0</v>
      </c>
      <c r="BA234" s="303"/>
      <c r="BB234" s="301"/>
      <c r="BC234" s="315">
        <f t="shared" si="21"/>
        <v>3</v>
      </c>
      <c r="BD234" s="316" t="str">
        <f t="shared" si="27"/>
        <v>Habilitado</v>
      </c>
    </row>
    <row r="235" spans="1:56" ht="25.5" x14ac:dyDescent="0.25">
      <c r="A235" s="308">
        <v>233</v>
      </c>
      <c r="B235" s="309" t="s">
        <v>1002</v>
      </c>
      <c r="C235" s="310" t="s">
        <v>825</v>
      </c>
      <c r="D235" s="310" t="s">
        <v>56</v>
      </c>
      <c r="E235" s="303" t="s">
        <v>510</v>
      </c>
      <c r="F235" s="303" t="s">
        <v>510</v>
      </c>
      <c r="G235" s="303" t="s">
        <v>510</v>
      </c>
      <c r="H235" s="303" t="s">
        <v>511</v>
      </c>
      <c r="I235" s="303" t="s">
        <v>510</v>
      </c>
      <c r="J235" s="303" t="s">
        <v>511</v>
      </c>
      <c r="K235" s="303">
        <v>40</v>
      </c>
      <c r="L235" s="408">
        <f t="shared" si="22"/>
        <v>40</v>
      </c>
      <c r="M235" s="303" t="s">
        <v>504</v>
      </c>
      <c r="N235" s="303"/>
      <c r="O235" s="311"/>
      <c r="P235" s="311"/>
      <c r="Q235" s="311"/>
      <c r="R235" s="311"/>
      <c r="S235" s="311"/>
      <c r="T235" s="311"/>
      <c r="U235" s="311"/>
      <c r="V235" s="409">
        <f t="shared" si="23"/>
        <v>0</v>
      </c>
      <c r="W235" s="311"/>
      <c r="X235" s="311"/>
      <c r="Y235" s="300" t="s">
        <v>510</v>
      </c>
      <c r="Z235" s="300" t="s">
        <v>510</v>
      </c>
      <c r="AA235" s="300" t="s">
        <v>510</v>
      </c>
      <c r="AB235" s="300" t="s">
        <v>511</v>
      </c>
      <c r="AC235" s="300" t="s">
        <v>510</v>
      </c>
      <c r="AD235" s="300" t="s">
        <v>511</v>
      </c>
      <c r="AE235" s="318">
        <v>40</v>
      </c>
      <c r="AF235" s="410">
        <f t="shared" si="24"/>
        <v>40</v>
      </c>
      <c r="AG235" s="300" t="s">
        <v>504</v>
      </c>
      <c r="AH235" s="299"/>
      <c r="AI235" s="303"/>
      <c r="AJ235" s="303"/>
      <c r="AK235" s="303"/>
      <c r="AL235" s="303"/>
      <c r="AM235" s="303"/>
      <c r="AN235" s="303"/>
      <c r="AO235" s="303"/>
      <c r="AP235" s="290">
        <f t="shared" si="25"/>
        <v>0</v>
      </c>
      <c r="AQ235" s="303"/>
      <c r="AR235" s="303"/>
      <c r="AS235" s="303"/>
      <c r="AT235" s="303"/>
      <c r="AU235" s="303"/>
      <c r="AV235" s="303"/>
      <c r="AW235" s="303"/>
      <c r="AX235" s="303"/>
      <c r="AY235" s="303"/>
      <c r="AZ235" s="290">
        <f t="shared" si="26"/>
        <v>0</v>
      </c>
      <c r="BA235" s="303"/>
      <c r="BB235" s="303"/>
      <c r="BC235" s="315">
        <f t="shared" si="21"/>
        <v>2</v>
      </c>
      <c r="BD235" s="316" t="str">
        <f t="shared" si="27"/>
        <v>Habilitado</v>
      </c>
    </row>
    <row r="236" spans="1:56" x14ac:dyDescent="0.25">
      <c r="A236" s="308">
        <v>234</v>
      </c>
      <c r="B236" s="309" t="s">
        <v>1003</v>
      </c>
      <c r="C236" s="310" t="s">
        <v>1004</v>
      </c>
      <c r="D236" s="310" t="s">
        <v>794</v>
      </c>
      <c r="E236" s="311"/>
      <c r="F236" s="311"/>
      <c r="G236" s="311"/>
      <c r="H236" s="311"/>
      <c r="I236" s="311"/>
      <c r="J236" s="311"/>
      <c r="K236" s="311"/>
      <c r="L236" s="408">
        <f t="shared" si="22"/>
        <v>0</v>
      </c>
      <c r="M236" s="311"/>
      <c r="N236" s="311"/>
      <c r="O236" s="311"/>
      <c r="P236" s="311"/>
      <c r="Q236" s="311"/>
      <c r="R236" s="311"/>
      <c r="S236" s="311"/>
      <c r="T236" s="311"/>
      <c r="U236" s="311"/>
      <c r="V236" s="409">
        <f t="shared" si="23"/>
        <v>0</v>
      </c>
      <c r="W236" s="311"/>
      <c r="X236" s="311"/>
      <c r="Y236" s="300"/>
      <c r="Z236" s="300"/>
      <c r="AA236" s="300"/>
      <c r="AB236" s="300"/>
      <c r="AC236" s="300"/>
      <c r="AD236" s="300"/>
      <c r="AE236" s="318"/>
      <c r="AF236" s="410">
        <f t="shared" si="24"/>
        <v>0</v>
      </c>
      <c r="AG236" s="300"/>
      <c r="AH236" s="300"/>
      <c r="AI236" s="303"/>
      <c r="AJ236" s="303"/>
      <c r="AK236" s="303"/>
      <c r="AL236" s="303"/>
      <c r="AM236" s="303"/>
      <c r="AN236" s="303"/>
      <c r="AO236" s="303"/>
      <c r="AP236" s="290">
        <f t="shared" si="25"/>
        <v>0</v>
      </c>
      <c r="AQ236" s="303"/>
      <c r="AR236" s="303"/>
      <c r="AS236" s="303"/>
      <c r="AT236" s="303"/>
      <c r="AU236" s="303"/>
      <c r="AV236" s="303"/>
      <c r="AW236" s="303"/>
      <c r="AX236" s="303"/>
      <c r="AY236" s="303"/>
      <c r="AZ236" s="290">
        <f t="shared" si="26"/>
        <v>0</v>
      </c>
      <c r="BA236" s="303"/>
      <c r="BB236" s="303"/>
      <c r="BC236" s="315">
        <f t="shared" si="21"/>
        <v>0</v>
      </c>
      <c r="BD236" s="316" t="str">
        <f t="shared" si="27"/>
        <v>Desierto</v>
      </c>
    </row>
    <row r="237" spans="1:56" ht="38.25" x14ac:dyDescent="0.25">
      <c r="A237" s="308">
        <v>235</v>
      </c>
      <c r="B237" s="309" t="s">
        <v>1005</v>
      </c>
      <c r="C237" s="310" t="s">
        <v>1006</v>
      </c>
      <c r="D237" s="310" t="s">
        <v>794</v>
      </c>
      <c r="E237" s="311"/>
      <c r="F237" s="311"/>
      <c r="G237" s="311"/>
      <c r="H237" s="311"/>
      <c r="I237" s="311"/>
      <c r="J237" s="311"/>
      <c r="K237" s="311"/>
      <c r="L237" s="408">
        <f t="shared" si="22"/>
        <v>0</v>
      </c>
      <c r="M237" s="311"/>
      <c r="N237" s="311"/>
      <c r="O237" s="311"/>
      <c r="P237" s="311"/>
      <c r="Q237" s="311"/>
      <c r="R237" s="311"/>
      <c r="S237" s="311"/>
      <c r="T237" s="311"/>
      <c r="U237" s="311"/>
      <c r="V237" s="409">
        <f t="shared" si="23"/>
        <v>0</v>
      </c>
      <c r="W237" s="311"/>
      <c r="X237" s="311"/>
      <c r="Y237" s="300" t="s">
        <v>510</v>
      </c>
      <c r="Z237" s="300" t="s">
        <v>510</v>
      </c>
      <c r="AA237" s="300" t="s">
        <v>510</v>
      </c>
      <c r="AB237" s="300" t="s">
        <v>511</v>
      </c>
      <c r="AC237" s="300" t="s">
        <v>510</v>
      </c>
      <c r="AD237" s="300" t="s">
        <v>511</v>
      </c>
      <c r="AE237" s="318">
        <v>40</v>
      </c>
      <c r="AF237" s="410">
        <f t="shared" si="24"/>
        <v>40</v>
      </c>
      <c r="AG237" s="300" t="s">
        <v>504</v>
      </c>
      <c r="AH237" s="300"/>
      <c r="AI237" s="303" t="s">
        <v>510</v>
      </c>
      <c r="AJ237" s="303" t="s">
        <v>510</v>
      </c>
      <c r="AK237" s="303" t="s">
        <v>510</v>
      </c>
      <c r="AL237" s="303" t="s">
        <v>511</v>
      </c>
      <c r="AM237" s="303" t="s">
        <v>510</v>
      </c>
      <c r="AN237" s="303" t="s">
        <v>511</v>
      </c>
      <c r="AO237" s="303">
        <v>20</v>
      </c>
      <c r="AP237" s="290">
        <f t="shared" si="25"/>
        <v>20</v>
      </c>
      <c r="AQ237" s="303" t="s">
        <v>504</v>
      </c>
      <c r="AR237" s="303"/>
      <c r="AS237" s="303"/>
      <c r="AT237" s="303"/>
      <c r="AU237" s="303"/>
      <c r="AV237" s="303"/>
      <c r="AW237" s="303"/>
      <c r="AX237" s="303"/>
      <c r="AY237" s="303"/>
      <c r="AZ237" s="290">
        <f t="shared" si="26"/>
        <v>0</v>
      </c>
      <c r="BA237" s="303"/>
      <c r="BB237" s="301"/>
      <c r="BC237" s="315">
        <f t="shared" si="21"/>
        <v>2</v>
      </c>
      <c r="BD237" s="316" t="str">
        <f t="shared" si="27"/>
        <v>Habilitado</v>
      </c>
    </row>
    <row r="238" spans="1:56" ht="36.75" customHeight="1" x14ac:dyDescent="0.25">
      <c r="A238" s="324">
        <v>236</v>
      </c>
      <c r="B238" s="331" t="s">
        <v>1007</v>
      </c>
      <c r="C238" s="331" t="s">
        <v>518</v>
      </c>
      <c r="D238" s="331" t="s">
        <v>144</v>
      </c>
      <c r="E238" s="306" t="s">
        <v>510</v>
      </c>
      <c r="F238" s="306" t="s">
        <v>510</v>
      </c>
      <c r="G238" s="306" t="s">
        <v>511</v>
      </c>
      <c r="H238" s="306" t="s">
        <v>511</v>
      </c>
      <c r="I238" s="303" t="s">
        <v>510</v>
      </c>
      <c r="J238" s="306" t="s">
        <v>511</v>
      </c>
      <c r="K238" s="306">
        <v>40</v>
      </c>
      <c r="L238" s="408">
        <f t="shared" si="22"/>
        <v>40</v>
      </c>
      <c r="M238" s="303" t="s">
        <v>504</v>
      </c>
      <c r="N238" s="306" t="s">
        <v>551</v>
      </c>
      <c r="O238" s="320"/>
      <c r="P238" s="320"/>
      <c r="Q238" s="320"/>
      <c r="R238" s="320"/>
      <c r="S238" s="320"/>
      <c r="T238" s="320"/>
      <c r="U238" s="320"/>
      <c r="V238" s="409">
        <f t="shared" si="23"/>
        <v>0</v>
      </c>
      <c r="W238" s="320"/>
      <c r="X238" s="320"/>
      <c r="Y238" s="299" t="s">
        <v>510</v>
      </c>
      <c r="Z238" s="299" t="s">
        <v>510</v>
      </c>
      <c r="AA238" s="299" t="s">
        <v>511</v>
      </c>
      <c r="AB238" s="299" t="s">
        <v>511</v>
      </c>
      <c r="AC238" s="300" t="s">
        <v>510</v>
      </c>
      <c r="AD238" s="299" t="s">
        <v>511</v>
      </c>
      <c r="AE238" s="318">
        <v>40</v>
      </c>
      <c r="AF238" s="410">
        <f t="shared" si="24"/>
        <v>40</v>
      </c>
      <c r="AG238" s="299" t="s">
        <v>504</v>
      </c>
      <c r="AH238" s="299"/>
      <c r="AI238" s="306"/>
      <c r="AJ238" s="306"/>
      <c r="AK238" s="306"/>
      <c r="AL238" s="306"/>
      <c r="AM238" s="306"/>
      <c r="AN238" s="306"/>
      <c r="AO238" s="306"/>
      <c r="AP238" s="290">
        <f t="shared" si="25"/>
        <v>0</v>
      </c>
      <c r="AQ238" s="306"/>
      <c r="AR238" s="306"/>
      <c r="AS238" s="389" t="s">
        <v>510</v>
      </c>
      <c r="AT238" s="389" t="s">
        <v>510</v>
      </c>
      <c r="AU238" s="306" t="s">
        <v>511</v>
      </c>
      <c r="AV238" s="306" t="s">
        <v>511</v>
      </c>
      <c r="AW238" s="303" t="s">
        <v>510</v>
      </c>
      <c r="AX238" s="306" t="s">
        <v>511</v>
      </c>
      <c r="AY238" s="303">
        <v>0</v>
      </c>
      <c r="AZ238" s="290">
        <f t="shared" si="26"/>
        <v>0</v>
      </c>
      <c r="BA238" s="306" t="s">
        <v>504</v>
      </c>
      <c r="BB238" s="306"/>
      <c r="BC238" s="315">
        <f t="shared" si="21"/>
        <v>3</v>
      </c>
      <c r="BD238" s="316" t="str">
        <f t="shared" si="27"/>
        <v>Habilitado</v>
      </c>
    </row>
    <row r="239" spans="1:56" ht="38.25" x14ac:dyDescent="0.25">
      <c r="A239" s="308">
        <v>237</v>
      </c>
      <c r="B239" s="309" t="s">
        <v>1008</v>
      </c>
      <c r="C239" s="310" t="s">
        <v>1006</v>
      </c>
      <c r="D239" s="310" t="s">
        <v>123</v>
      </c>
      <c r="E239" s="311"/>
      <c r="F239" s="311"/>
      <c r="G239" s="311"/>
      <c r="H239" s="311"/>
      <c r="I239" s="311"/>
      <c r="J239" s="311"/>
      <c r="K239" s="311"/>
      <c r="L239" s="408">
        <f t="shared" si="22"/>
        <v>0</v>
      </c>
      <c r="M239" s="311"/>
      <c r="N239" s="311"/>
      <c r="O239" s="311"/>
      <c r="P239" s="311"/>
      <c r="Q239" s="311"/>
      <c r="R239" s="311"/>
      <c r="S239" s="311"/>
      <c r="T239" s="311"/>
      <c r="U239" s="311"/>
      <c r="V239" s="409">
        <f t="shared" si="23"/>
        <v>0</v>
      </c>
      <c r="W239" s="311"/>
      <c r="X239" s="311"/>
      <c r="Y239" s="300" t="s">
        <v>510</v>
      </c>
      <c r="Z239" s="300" t="s">
        <v>510</v>
      </c>
      <c r="AA239" s="300" t="s">
        <v>510</v>
      </c>
      <c r="AB239" s="300" t="s">
        <v>511</v>
      </c>
      <c r="AC239" s="300" t="s">
        <v>510</v>
      </c>
      <c r="AD239" s="300" t="s">
        <v>511</v>
      </c>
      <c r="AE239" s="318">
        <v>40</v>
      </c>
      <c r="AF239" s="410">
        <f t="shared" si="24"/>
        <v>40</v>
      </c>
      <c r="AG239" s="300" t="s">
        <v>504</v>
      </c>
      <c r="AH239" s="300"/>
      <c r="AI239" s="303"/>
      <c r="AJ239" s="303"/>
      <c r="AK239" s="303"/>
      <c r="AL239" s="303"/>
      <c r="AM239" s="303"/>
      <c r="AN239" s="303"/>
      <c r="AO239" s="303"/>
      <c r="AP239" s="290">
        <f t="shared" si="25"/>
        <v>0</v>
      </c>
      <c r="AQ239" s="303"/>
      <c r="AR239" s="303"/>
      <c r="AS239" s="303"/>
      <c r="AT239" s="303"/>
      <c r="AU239" s="303"/>
      <c r="AV239" s="303"/>
      <c r="AW239" s="303"/>
      <c r="AX239" s="303"/>
      <c r="AY239" s="303"/>
      <c r="AZ239" s="290">
        <f t="shared" si="26"/>
        <v>0</v>
      </c>
      <c r="BA239" s="303"/>
      <c r="BB239" s="303"/>
      <c r="BC239" s="315">
        <f t="shared" si="21"/>
        <v>1</v>
      </c>
      <c r="BD239" s="316" t="str">
        <f t="shared" si="27"/>
        <v>Habilitado</v>
      </c>
    </row>
    <row r="240" spans="1:56" ht="38.25" x14ac:dyDescent="0.25">
      <c r="A240" s="308">
        <v>238</v>
      </c>
      <c r="B240" s="309" t="s">
        <v>1009</v>
      </c>
      <c r="C240" s="310" t="s">
        <v>608</v>
      </c>
      <c r="D240" s="310" t="s">
        <v>628</v>
      </c>
      <c r="E240" s="311"/>
      <c r="F240" s="311"/>
      <c r="G240" s="311"/>
      <c r="H240" s="311"/>
      <c r="I240" s="311"/>
      <c r="J240" s="311"/>
      <c r="K240" s="311"/>
      <c r="L240" s="408">
        <f t="shared" si="22"/>
        <v>0</v>
      </c>
      <c r="M240" s="311"/>
      <c r="N240" s="311"/>
      <c r="O240" s="311"/>
      <c r="P240" s="311"/>
      <c r="Q240" s="311"/>
      <c r="R240" s="311"/>
      <c r="S240" s="311"/>
      <c r="T240" s="311"/>
      <c r="U240" s="311"/>
      <c r="V240" s="409">
        <f t="shared" si="23"/>
        <v>0</v>
      </c>
      <c r="W240" s="311"/>
      <c r="X240" s="311"/>
      <c r="Y240" s="300"/>
      <c r="Z240" s="300"/>
      <c r="AA240" s="300"/>
      <c r="AB240" s="300"/>
      <c r="AC240" s="300"/>
      <c r="AD240" s="300"/>
      <c r="AE240" s="318"/>
      <c r="AF240" s="410">
        <f t="shared" si="24"/>
        <v>0</v>
      </c>
      <c r="AG240" s="300"/>
      <c r="AH240" s="300"/>
      <c r="AI240" s="303"/>
      <c r="AJ240" s="303"/>
      <c r="AK240" s="303"/>
      <c r="AL240" s="303"/>
      <c r="AM240" s="303"/>
      <c r="AN240" s="303"/>
      <c r="AO240" s="303"/>
      <c r="AP240" s="290">
        <f t="shared" si="25"/>
        <v>0</v>
      </c>
      <c r="AQ240" s="303"/>
      <c r="AR240" s="303"/>
      <c r="AS240" s="303"/>
      <c r="AT240" s="303"/>
      <c r="AU240" s="303"/>
      <c r="AV240" s="303"/>
      <c r="AW240" s="303"/>
      <c r="AX240" s="303"/>
      <c r="AY240" s="303"/>
      <c r="AZ240" s="290">
        <f t="shared" si="26"/>
        <v>0</v>
      </c>
      <c r="BA240" s="303"/>
      <c r="BB240" s="303"/>
      <c r="BC240" s="315">
        <f t="shared" si="21"/>
        <v>0</v>
      </c>
      <c r="BD240" s="316" t="str">
        <f t="shared" si="27"/>
        <v>Desierto</v>
      </c>
    </row>
    <row r="241" spans="1:56" ht="25.5" x14ac:dyDescent="0.25">
      <c r="A241" s="308">
        <v>239</v>
      </c>
      <c r="B241" s="309" t="s">
        <v>1010</v>
      </c>
      <c r="C241" s="310" t="s">
        <v>392</v>
      </c>
      <c r="D241" s="310" t="s">
        <v>1011</v>
      </c>
      <c r="E241" s="303" t="s">
        <v>510</v>
      </c>
      <c r="F241" s="303" t="s">
        <v>510</v>
      </c>
      <c r="G241" s="303" t="s">
        <v>510</v>
      </c>
      <c r="H241" s="303" t="s">
        <v>511</v>
      </c>
      <c r="I241" s="303" t="s">
        <v>510</v>
      </c>
      <c r="J241" s="303" t="s">
        <v>511</v>
      </c>
      <c r="K241" s="303">
        <v>40</v>
      </c>
      <c r="L241" s="408">
        <f t="shared" si="22"/>
        <v>40</v>
      </c>
      <c r="M241" s="303" t="s">
        <v>504</v>
      </c>
      <c r="N241" s="303"/>
      <c r="O241" s="311"/>
      <c r="P241" s="311"/>
      <c r="Q241" s="311"/>
      <c r="R241" s="311"/>
      <c r="S241" s="311"/>
      <c r="T241" s="311"/>
      <c r="U241" s="311"/>
      <c r="V241" s="409">
        <f t="shared" si="23"/>
        <v>0</v>
      </c>
      <c r="W241" s="311"/>
      <c r="X241" s="311"/>
      <c r="Y241" s="300"/>
      <c r="Z241" s="300"/>
      <c r="AA241" s="300"/>
      <c r="AB241" s="300"/>
      <c r="AC241" s="300"/>
      <c r="AD241" s="300"/>
      <c r="AE241" s="318"/>
      <c r="AF241" s="410">
        <f t="shared" si="24"/>
        <v>0</v>
      </c>
      <c r="AG241" s="300"/>
      <c r="AH241" s="300"/>
      <c r="AI241" s="303"/>
      <c r="AJ241" s="303"/>
      <c r="AK241" s="303"/>
      <c r="AL241" s="303"/>
      <c r="AM241" s="303"/>
      <c r="AN241" s="303"/>
      <c r="AO241" s="303"/>
      <c r="AP241" s="290">
        <f t="shared" si="25"/>
        <v>0</v>
      </c>
      <c r="AQ241" s="303"/>
      <c r="AR241" s="303"/>
      <c r="AS241" s="303"/>
      <c r="AT241" s="303"/>
      <c r="AU241" s="303"/>
      <c r="AV241" s="303"/>
      <c r="AW241" s="303"/>
      <c r="AX241" s="303"/>
      <c r="AY241" s="303"/>
      <c r="AZ241" s="290">
        <f t="shared" si="26"/>
        <v>0</v>
      </c>
      <c r="BA241" s="303"/>
      <c r="BB241" s="303"/>
      <c r="BC241" s="315">
        <f t="shared" si="21"/>
        <v>1</v>
      </c>
      <c r="BD241" s="316" t="str">
        <f t="shared" si="27"/>
        <v>Habilitado</v>
      </c>
    </row>
    <row r="242" spans="1:56" ht="33" customHeight="1" x14ac:dyDescent="0.25">
      <c r="A242" s="324">
        <v>240</v>
      </c>
      <c r="B242" s="331" t="s">
        <v>1012</v>
      </c>
      <c r="C242" s="331" t="s">
        <v>518</v>
      </c>
      <c r="D242" s="331" t="s">
        <v>1013</v>
      </c>
      <c r="E242" s="320"/>
      <c r="F242" s="320"/>
      <c r="G242" s="320"/>
      <c r="H242" s="320"/>
      <c r="I242" s="311"/>
      <c r="J242" s="320"/>
      <c r="K242" s="320"/>
      <c r="L242" s="408">
        <f t="shared" si="22"/>
        <v>0</v>
      </c>
      <c r="M242" s="311"/>
      <c r="N242" s="320"/>
      <c r="O242" s="320"/>
      <c r="P242" s="320"/>
      <c r="Q242" s="320"/>
      <c r="R242" s="320"/>
      <c r="S242" s="320"/>
      <c r="T242" s="320"/>
      <c r="U242" s="320"/>
      <c r="V242" s="409">
        <f t="shared" si="23"/>
        <v>0</v>
      </c>
      <c r="W242" s="320"/>
      <c r="X242" s="320"/>
      <c r="Y242" s="299"/>
      <c r="Z242" s="299"/>
      <c r="AA242" s="299"/>
      <c r="AB242" s="299"/>
      <c r="AC242" s="299"/>
      <c r="AD242" s="299"/>
      <c r="AE242" s="330"/>
      <c r="AF242" s="410">
        <f t="shared" si="24"/>
        <v>0</v>
      </c>
      <c r="AG242" s="299"/>
      <c r="AH242" s="299"/>
      <c r="AI242" s="306"/>
      <c r="AJ242" s="306"/>
      <c r="AK242" s="306"/>
      <c r="AL242" s="306"/>
      <c r="AM242" s="306"/>
      <c r="AN242" s="306"/>
      <c r="AO242" s="306"/>
      <c r="AP242" s="290">
        <f t="shared" si="25"/>
        <v>0</v>
      </c>
      <c r="AQ242" s="306"/>
      <c r="AR242" s="306"/>
      <c r="AS242" s="389" t="s">
        <v>510</v>
      </c>
      <c r="AT242" s="389" t="s">
        <v>510</v>
      </c>
      <c r="AU242" s="370" t="s">
        <v>519</v>
      </c>
      <c r="AV242" s="306" t="s">
        <v>511</v>
      </c>
      <c r="AW242" s="303" t="s">
        <v>510</v>
      </c>
      <c r="AX242" s="306" t="s">
        <v>511</v>
      </c>
      <c r="AY242" s="303">
        <v>0</v>
      </c>
      <c r="AZ242" s="290">
        <f t="shared" si="26"/>
        <v>0</v>
      </c>
      <c r="BA242" s="306" t="s">
        <v>593</v>
      </c>
      <c r="BB242" s="389" t="s">
        <v>1014</v>
      </c>
      <c r="BC242" s="315">
        <f t="shared" si="21"/>
        <v>0</v>
      </c>
      <c r="BD242" s="316" t="str">
        <f t="shared" si="27"/>
        <v>Desierto</v>
      </c>
    </row>
    <row r="243" spans="1:56" ht="25.5" x14ac:dyDescent="0.25">
      <c r="A243" s="308">
        <v>241</v>
      </c>
      <c r="B243" s="309" t="s">
        <v>1015</v>
      </c>
      <c r="C243" s="310" t="s">
        <v>532</v>
      </c>
      <c r="D243" s="310" t="s">
        <v>56</v>
      </c>
      <c r="E243" s="311"/>
      <c r="F243" s="311"/>
      <c r="G243" s="311"/>
      <c r="H243" s="311"/>
      <c r="I243" s="311"/>
      <c r="J243" s="311"/>
      <c r="K243" s="311"/>
      <c r="L243" s="408">
        <f t="shared" si="22"/>
        <v>0</v>
      </c>
      <c r="M243" s="311"/>
      <c r="N243" s="320"/>
      <c r="O243" s="311"/>
      <c r="P243" s="311"/>
      <c r="Q243" s="311"/>
      <c r="R243" s="311"/>
      <c r="S243" s="311"/>
      <c r="T243" s="311"/>
      <c r="U243" s="311"/>
      <c r="V243" s="409">
        <f t="shared" si="23"/>
        <v>0</v>
      </c>
      <c r="W243" s="311"/>
      <c r="X243" s="311"/>
      <c r="Y243" s="300"/>
      <c r="Z243" s="300"/>
      <c r="AA243" s="300"/>
      <c r="AB243" s="300"/>
      <c r="AC243" s="300"/>
      <c r="AD243" s="300"/>
      <c r="AE243" s="318"/>
      <c r="AF243" s="410">
        <f t="shared" si="24"/>
        <v>0</v>
      </c>
      <c r="AG243" s="300"/>
      <c r="AH243" s="300"/>
      <c r="AI243" s="303"/>
      <c r="AJ243" s="303"/>
      <c r="AK243" s="303"/>
      <c r="AL243" s="303"/>
      <c r="AM243" s="303"/>
      <c r="AN243" s="303"/>
      <c r="AO243" s="303"/>
      <c r="AP243" s="290">
        <f t="shared" si="25"/>
        <v>0</v>
      </c>
      <c r="AQ243" s="303"/>
      <c r="AR243" s="303"/>
      <c r="AS243" s="303"/>
      <c r="AT243" s="303"/>
      <c r="AU243" s="303"/>
      <c r="AV243" s="303"/>
      <c r="AW243" s="303"/>
      <c r="AX243" s="303"/>
      <c r="AY243" s="303"/>
      <c r="AZ243" s="290">
        <f t="shared" si="26"/>
        <v>0</v>
      </c>
      <c r="BA243" s="303"/>
      <c r="BB243" s="303"/>
      <c r="BC243" s="315">
        <f t="shared" si="21"/>
        <v>0</v>
      </c>
      <c r="BD243" s="316" t="str">
        <f t="shared" si="27"/>
        <v>Desierto</v>
      </c>
    </row>
    <row r="244" spans="1:56" ht="25.5" x14ac:dyDescent="0.25">
      <c r="A244" s="308">
        <v>242</v>
      </c>
      <c r="B244" s="309" t="s">
        <v>1016</v>
      </c>
      <c r="C244" s="310" t="s">
        <v>1017</v>
      </c>
      <c r="D244" s="310" t="s">
        <v>56</v>
      </c>
      <c r="E244" s="303" t="s">
        <v>510</v>
      </c>
      <c r="F244" s="303" t="s">
        <v>510</v>
      </c>
      <c r="G244" s="303" t="s">
        <v>510</v>
      </c>
      <c r="H244" s="303" t="s">
        <v>511</v>
      </c>
      <c r="I244" s="303" t="s">
        <v>510</v>
      </c>
      <c r="J244" s="303" t="s">
        <v>511</v>
      </c>
      <c r="K244" s="303">
        <v>40</v>
      </c>
      <c r="L244" s="408">
        <f t="shared" si="22"/>
        <v>40</v>
      </c>
      <c r="M244" s="303" t="s">
        <v>504</v>
      </c>
      <c r="N244" s="303"/>
      <c r="O244" s="311"/>
      <c r="P244" s="311"/>
      <c r="Q244" s="311"/>
      <c r="R244" s="311"/>
      <c r="S244" s="311"/>
      <c r="T244" s="311"/>
      <c r="U244" s="311"/>
      <c r="V244" s="409">
        <f t="shared" si="23"/>
        <v>0</v>
      </c>
      <c r="W244" s="311"/>
      <c r="X244" s="307"/>
      <c r="Y244" s="300"/>
      <c r="Z244" s="300"/>
      <c r="AA244" s="300"/>
      <c r="AB244" s="300"/>
      <c r="AC244" s="300"/>
      <c r="AD244" s="300"/>
      <c r="AE244" s="318"/>
      <c r="AF244" s="410">
        <f t="shared" si="24"/>
        <v>0</v>
      </c>
      <c r="AG244" s="300"/>
      <c r="AH244" s="312"/>
      <c r="AI244" s="303"/>
      <c r="AJ244" s="303"/>
      <c r="AK244" s="303"/>
      <c r="AL244" s="303"/>
      <c r="AM244" s="303"/>
      <c r="AN244" s="303"/>
      <c r="AO244" s="303"/>
      <c r="AP244" s="290">
        <f t="shared" si="25"/>
        <v>0</v>
      </c>
      <c r="AQ244" s="303"/>
      <c r="AR244" s="303"/>
      <c r="AS244" s="303"/>
      <c r="AT244" s="303"/>
      <c r="AU244" s="303"/>
      <c r="AV244" s="303"/>
      <c r="AW244" s="303"/>
      <c r="AX244" s="303"/>
      <c r="AY244" s="303"/>
      <c r="AZ244" s="290">
        <f t="shared" si="26"/>
        <v>0</v>
      </c>
      <c r="BA244" s="303"/>
      <c r="BB244" s="303"/>
      <c r="BC244" s="315">
        <f t="shared" si="21"/>
        <v>1</v>
      </c>
      <c r="BD244" s="316" t="str">
        <f t="shared" si="27"/>
        <v>Habilitado</v>
      </c>
    </row>
    <row r="245" spans="1:56" ht="38.25" x14ac:dyDescent="0.25">
      <c r="A245" s="308">
        <v>243</v>
      </c>
      <c r="B245" s="309" t="s">
        <v>1018</v>
      </c>
      <c r="C245" s="310" t="s">
        <v>1019</v>
      </c>
      <c r="D245" s="360" t="s">
        <v>794</v>
      </c>
      <c r="E245" s="303"/>
      <c r="F245" s="303"/>
      <c r="G245" s="303"/>
      <c r="H245" s="303"/>
      <c r="I245" s="303"/>
      <c r="J245" s="303"/>
      <c r="K245" s="303"/>
      <c r="L245" s="408">
        <f t="shared" si="22"/>
        <v>0</v>
      </c>
      <c r="M245" s="311"/>
      <c r="N245" s="303"/>
      <c r="O245" s="311"/>
      <c r="P245" s="311"/>
      <c r="Q245" s="311"/>
      <c r="R245" s="311"/>
      <c r="S245" s="311"/>
      <c r="T245" s="311"/>
      <c r="U245" s="311"/>
      <c r="V245" s="409">
        <f t="shared" si="23"/>
        <v>0</v>
      </c>
      <c r="W245" s="311"/>
      <c r="X245" s="311"/>
      <c r="Y245" s="300"/>
      <c r="Z245" s="300"/>
      <c r="AA245" s="300"/>
      <c r="AB245" s="300"/>
      <c r="AC245" s="300"/>
      <c r="AD245" s="300"/>
      <c r="AE245" s="318"/>
      <c r="AF245" s="410">
        <f t="shared" si="24"/>
        <v>0</v>
      </c>
      <c r="AG245" s="300"/>
      <c r="AH245" s="300"/>
      <c r="AI245" s="303"/>
      <c r="AJ245" s="303"/>
      <c r="AK245" s="303"/>
      <c r="AL245" s="303"/>
      <c r="AM245" s="303"/>
      <c r="AN245" s="303"/>
      <c r="AO245" s="303"/>
      <c r="AP245" s="290">
        <f t="shared" si="25"/>
        <v>0</v>
      </c>
      <c r="AQ245" s="303"/>
      <c r="AR245" s="303"/>
      <c r="AS245" s="303"/>
      <c r="AT245" s="303"/>
      <c r="AU245" s="303"/>
      <c r="AV245" s="303"/>
      <c r="AW245" s="303"/>
      <c r="AX245" s="303"/>
      <c r="AY245" s="303"/>
      <c r="AZ245" s="290">
        <f t="shared" si="26"/>
        <v>0</v>
      </c>
      <c r="BA245" s="303"/>
      <c r="BB245" s="303"/>
      <c r="BC245" s="315">
        <f t="shared" si="21"/>
        <v>0</v>
      </c>
      <c r="BD245" s="316" t="str">
        <f t="shared" si="27"/>
        <v>Desierto</v>
      </c>
    </row>
    <row r="246" spans="1:56" ht="25.5" x14ac:dyDescent="0.25">
      <c r="A246" s="308">
        <v>244</v>
      </c>
      <c r="B246" s="309" t="s">
        <v>1020</v>
      </c>
      <c r="C246" s="310" t="s">
        <v>866</v>
      </c>
      <c r="D246" s="310" t="s">
        <v>794</v>
      </c>
      <c r="E246" s="303" t="s">
        <v>510</v>
      </c>
      <c r="F246" s="303" t="s">
        <v>510</v>
      </c>
      <c r="G246" s="303" t="s">
        <v>510</v>
      </c>
      <c r="H246" s="303" t="s">
        <v>511</v>
      </c>
      <c r="I246" s="303" t="s">
        <v>510</v>
      </c>
      <c r="J246" s="303" t="s">
        <v>511</v>
      </c>
      <c r="K246" s="303">
        <v>40</v>
      </c>
      <c r="L246" s="408">
        <f t="shared" si="22"/>
        <v>40</v>
      </c>
      <c r="M246" s="303" t="s">
        <v>504</v>
      </c>
      <c r="N246" s="303"/>
      <c r="O246" s="311"/>
      <c r="P246" s="311"/>
      <c r="Q246" s="311"/>
      <c r="R246" s="311"/>
      <c r="S246" s="311"/>
      <c r="T246" s="311"/>
      <c r="U246" s="311"/>
      <c r="V246" s="409">
        <f t="shared" si="23"/>
        <v>0</v>
      </c>
      <c r="W246" s="311"/>
      <c r="X246" s="311"/>
      <c r="Y246" s="300" t="s">
        <v>510</v>
      </c>
      <c r="Z246" s="300" t="s">
        <v>510</v>
      </c>
      <c r="AA246" s="300" t="s">
        <v>510</v>
      </c>
      <c r="AB246" s="300" t="s">
        <v>511</v>
      </c>
      <c r="AC246" s="300" t="s">
        <v>510</v>
      </c>
      <c r="AD246" s="300" t="s">
        <v>511</v>
      </c>
      <c r="AE246" s="318">
        <v>40</v>
      </c>
      <c r="AF246" s="410">
        <f t="shared" si="24"/>
        <v>40</v>
      </c>
      <c r="AG246" s="300" t="s">
        <v>504</v>
      </c>
      <c r="AH246" s="300"/>
      <c r="AI246" s="303" t="s">
        <v>510</v>
      </c>
      <c r="AJ246" s="303" t="s">
        <v>510</v>
      </c>
      <c r="AK246" s="303" t="s">
        <v>510</v>
      </c>
      <c r="AL246" s="303" t="s">
        <v>511</v>
      </c>
      <c r="AM246" s="303" t="s">
        <v>510</v>
      </c>
      <c r="AN246" s="303" t="s">
        <v>511</v>
      </c>
      <c r="AO246" s="303">
        <v>20</v>
      </c>
      <c r="AP246" s="290">
        <f t="shared" si="25"/>
        <v>20</v>
      </c>
      <c r="AQ246" s="303" t="s">
        <v>504</v>
      </c>
      <c r="AR246" s="301"/>
      <c r="AS246" s="303"/>
      <c r="AT246" s="303"/>
      <c r="AU246" s="303"/>
      <c r="AV246" s="303"/>
      <c r="AW246" s="303"/>
      <c r="AX246" s="303"/>
      <c r="AY246" s="303"/>
      <c r="AZ246" s="290">
        <f t="shared" si="26"/>
        <v>0</v>
      </c>
      <c r="BA246" s="303"/>
      <c r="BB246" s="303"/>
      <c r="BC246" s="315">
        <f t="shared" si="21"/>
        <v>3</v>
      </c>
      <c r="BD246" s="316" t="str">
        <f t="shared" si="27"/>
        <v>Habilitado</v>
      </c>
    </row>
    <row r="247" spans="1:56" ht="25.5" x14ac:dyDescent="0.25">
      <c r="A247" s="308">
        <v>245</v>
      </c>
      <c r="B247" s="309" t="s">
        <v>1021</v>
      </c>
      <c r="C247" s="337" t="s">
        <v>1022</v>
      </c>
      <c r="D247" s="310" t="s">
        <v>71</v>
      </c>
      <c r="E247" s="303" t="s">
        <v>510</v>
      </c>
      <c r="F247" s="303" t="s">
        <v>510</v>
      </c>
      <c r="G247" s="303" t="s">
        <v>510</v>
      </c>
      <c r="H247" s="303" t="s">
        <v>511</v>
      </c>
      <c r="I247" s="303" t="s">
        <v>510</v>
      </c>
      <c r="J247" s="303" t="s">
        <v>510</v>
      </c>
      <c r="K247" s="303">
        <v>40</v>
      </c>
      <c r="L247" s="408">
        <f t="shared" si="22"/>
        <v>40</v>
      </c>
      <c r="M247" s="303" t="s">
        <v>504</v>
      </c>
      <c r="N247" s="303"/>
      <c r="O247" s="311"/>
      <c r="P247" s="311"/>
      <c r="Q247" s="311"/>
      <c r="R247" s="311"/>
      <c r="S247" s="311"/>
      <c r="T247" s="311"/>
      <c r="U247" s="311"/>
      <c r="V247" s="409">
        <f t="shared" si="23"/>
        <v>0</v>
      </c>
      <c r="W247" s="311"/>
      <c r="X247" s="311"/>
      <c r="Y247" s="300" t="s">
        <v>510</v>
      </c>
      <c r="Z247" s="300" t="s">
        <v>510</v>
      </c>
      <c r="AA247" s="300" t="s">
        <v>510</v>
      </c>
      <c r="AB247" s="300" t="s">
        <v>511</v>
      </c>
      <c r="AC247" s="300" t="s">
        <v>510</v>
      </c>
      <c r="AD247" s="300" t="s">
        <v>510</v>
      </c>
      <c r="AE247" s="318">
        <v>40</v>
      </c>
      <c r="AF247" s="410">
        <f t="shared" si="24"/>
        <v>40</v>
      </c>
      <c r="AG247" s="300" t="s">
        <v>504</v>
      </c>
      <c r="AH247" s="300"/>
      <c r="AI247" s="303"/>
      <c r="AJ247" s="303"/>
      <c r="AK247" s="303"/>
      <c r="AL247" s="303"/>
      <c r="AM247" s="303"/>
      <c r="AN247" s="303"/>
      <c r="AO247" s="303"/>
      <c r="AP247" s="290">
        <f t="shared" si="25"/>
        <v>0</v>
      </c>
      <c r="AQ247" s="303"/>
      <c r="AR247" s="303"/>
      <c r="AS247" s="303"/>
      <c r="AT247" s="303"/>
      <c r="AU247" s="303"/>
      <c r="AV247" s="303"/>
      <c r="AW247" s="303"/>
      <c r="AX247" s="303"/>
      <c r="AY247" s="303"/>
      <c r="AZ247" s="290">
        <f t="shared" si="26"/>
        <v>0</v>
      </c>
      <c r="BA247" s="303"/>
      <c r="BB247" s="303"/>
      <c r="BC247" s="315">
        <f t="shared" si="21"/>
        <v>2</v>
      </c>
      <c r="BD247" s="316" t="str">
        <f t="shared" si="27"/>
        <v>Habilitado</v>
      </c>
    </row>
    <row r="248" spans="1:56" ht="25.5" x14ac:dyDescent="0.25">
      <c r="A248" s="308">
        <v>246</v>
      </c>
      <c r="B248" s="309" t="s">
        <v>1023</v>
      </c>
      <c r="C248" s="310" t="s">
        <v>562</v>
      </c>
      <c r="D248" s="310" t="s">
        <v>794</v>
      </c>
      <c r="E248" s="303"/>
      <c r="F248" s="303"/>
      <c r="G248" s="303"/>
      <c r="H248" s="303"/>
      <c r="I248" s="303"/>
      <c r="J248" s="303"/>
      <c r="K248" s="303"/>
      <c r="L248" s="408">
        <f t="shared" si="22"/>
        <v>0</v>
      </c>
      <c r="M248" s="311"/>
      <c r="N248" s="303"/>
      <c r="O248" s="311"/>
      <c r="P248" s="311"/>
      <c r="Q248" s="311"/>
      <c r="R248" s="311"/>
      <c r="S248" s="311"/>
      <c r="T248" s="311"/>
      <c r="U248" s="311"/>
      <c r="V248" s="409">
        <f t="shared" si="23"/>
        <v>0</v>
      </c>
      <c r="W248" s="311"/>
      <c r="X248" s="311"/>
      <c r="Y248" s="300"/>
      <c r="Z248" s="300"/>
      <c r="AA248" s="300"/>
      <c r="AB248" s="300"/>
      <c r="AC248" s="300"/>
      <c r="AD248" s="300"/>
      <c r="AE248" s="318"/>
      <c r="AF248" s="410">
        <f t="shared" si="24"/>
        <v>0</v>
      </c>
      <c r="AG248" s="300"/>
      <c r="AH248" s="300"/>
      <c r="AI248" s="303"/>
      <c r="AJ248" s="303"/>
      <c r="AK248" s="303"/>
      <c r="AL248" s="303"/>
      <c r="AM248" s="303"/>
      <c r="AN248" s="303"/>
      <c r="AO248" s="303"/>
      <c r="AP248" s="290">
        <f t="shared" si="25"/>
        <v>0</v>
      </c>
      <c r="AQ248" s="303"/>
      <c r="AR248" s="303"/>
      <c r="AS248" s="303"/>
      <c r="AT248" s="303"/>
      <c r="AU248" s="303"/>
      <c r="AV248" s="303"/>
      <c r="AW248" s="303"/>
      <c r="AX248" s="303"/>
      <c r="AY248" s="303"/>
      <c r="AZ248" s="290">
        <f t="shared" si="26"/>
        <v>0</v>
      </c>
      <c r="BA248" s="303"/>
      <c r="BB248" s="303"/>
      <c r="BC248" s="315">
        <f t="shared" si="21"/>
        <v>0</v>
      </c>
      <c r="BD248" s="316" t="str">
        <f t="shared" si="27"/>
        <v>Desierto</v>
      </c>
    </row>
    <row r="249" spans="1:56" ht="63.75" x14ac:dyDescent="0.25">
      <c r="A249" s="308">
        <v>247</v>
      </c>
      <c r="B249" s="309" t="s">
        <v>1024</v>
      </c>
      <c r="C249" s="310" t="s">
        <v>518</v>
      </c>
      <c r="D249" s="310" t="s">
        <v>56</v>
      </c>
      <c r="E249" s="303"/>
      <c r="F249" s="303"/>
      <c r="G249" s="303"/>
      <c r="H249" s="303"/>
      <c r="I249" s="303"/>
      <c r="J249" s="303"/>
      <c r="K249" s="303"/>
      <c r="L249" s="408">
        <f t="shared" si="22"/>
        <v>0</v>
      </c>
      <c r="M249" s="311"/>
      <c r="N249" s="311"/>
      <c r="O249" s="311"/>
      <c r="P249" s="311"/>
      <c r="Q249" s="311"/>
      <c r="R249" s="311"/>
      <c r="S249" s="311"/>
      <c r="T249" s="311"/>
      <c r="U249" s="311"/>
      <c r="V249" s="409">
        <f t="shared" si="23"/>
        <v>0</v>
      </c>
      <c r="W249" s="311"/>
      <c r="X249" s="307"/>
      <c r="Y249" s="300" t="s">
        <v>510</v>
      </c>
      <c r="Z249" s="300" t="s">
        <v>519</v>
      </c>
      <c r="AA249" s="300" t="s">
        <v>510</v>
      </c>
      <c r="AB249" s="300" t="s">
        <v>511</v>
      </c>
      <c r="AC249" s="300" t="s">
        <v>510</v>
      </c>
      <c r="AD249" s="300" t="s">
        <v>511</v>
      </c>
      <c r="AE249" s="318"/>
      <c r="AF249" s="410">
        <f t="shared" si="24"/>
        <v>0</v>
      </c>
      <c r="AG249" s="300" t="s">
        <v>520</v>
      </c>
      <c r="AH249" s="299" t="s">
        <v>1025</v>
      </c>
      <c r="AI249" s="303" t="s">
        <v>510</v>
      </c>
      <c r="AJ249" s="303" t="s">
        <v>510</v>
      </c>
      <c r="AK249" s="303" t="s">
        <v>511</v>
      </c>
      <c r="AL249" s="303" t="s">
        <v>511</v>
      </c>
      <c r="AM249" s="303" t="s">
        <v>510</v>
      </c>
      <c r="AN249" s="303" t="s">
        <v>511</v>
      </c>
      <c r="AO249" s="303">
        <v>20</v>
      </c>
      <c r="AP249" s="290">
        <f t="shared" si="25"/>
        <v>20</v>
      </c>
      <c r="AQ249" s="303" t="s">
        <v>504</v>
      </c>
      <c r="AR249" s="303"/>
      <c r="AS249" s="303"/>
      <c r="AT249" s="303"/>
      <c r="AU249" s="303"/>
      <c r="AV249" s="303"/>
      <c r="AW249" s="303"/>
      <c r="AX249" s="303"/>
      <c r="AY249" s="303"/>
      <c r="AZ249" s="290">
        <f t="shared" si="26"/>
        <v>0</v>
      </c>
      <c r="BA249" s="303"/>
      <c r="BB249" s="303"/>
      <c r="BC249" s="315">
        <f t="shared" si="21"/>
        <v>1</v>
      </c>
      <c r="BD249" s="316" t="str">
        <f t="shared" si="27"/>
        <v>Habilitado</v>
      </c>
    </row>
    <row r="250" spans="1:56" x14ac:dyDescent="0.25">
      <c r="A250" s="308">
        <v>248</v>
      </c>
      <c r="B250" s="309" t="s">
        <v>1026</v>
      </c>
      <c r="C250" s="329" t="s">
        <v>518</v>
      </c>
      <c r="D250" s="310" t="s">
        <v>377</v>
      </c>
      <c r="E250" s="303" t="s">
        <v>510</v>
      </c>
      <c r="F250" s="303" t="s">
        <v>510</v>
      </c>
      <c r="G250" s="303" t="s">
        <v>510</v>
      </c>
      <c r="H250" s="303" t="s">
        <v>511</v>
      </c>
      <c r="I250" s="303" t="s">
        <v>510</v>
      </c>
      <c r="J250" s="303" t="s">
        <v>511</v>
      </c>
      <c r="K250" s="303">
        <v>40</v>
      </c>
      <c r="L250" s="408">
        <f t="shared" si="22"/>
        <v>40</v>
      </c>
      <c r="M250" s="303" t="s">
        <v>504</v>
      </c>
      <c r="N250" s="303"/>
      <c r="O250" s="311"/>
      <c r="P250" s="311"/>
      <c r="Q250" s="311"/>
      <c r="R250" s="311"/>
      <c r="S250" s="311"/>
      <c r="T250" s="311"/>
      <c r="U250" s="311"/>
      <c r="V250" s="409">
        <f t="shared" si="23"/>
        <v>0</v>
      </c>
      <c r="W250" s="311"/>
      <c r="X250" s="320"/>
      <c r="Y250" s="300" t="s">
        <v>510</v>
      </c>
      <c r="Z250" s="300" t="s">
        <v>510</v>
      </c>
      <c r="AA250" s="300" t="s">
        <v>510</v>
      </c>
      <c r="AB250" s="300" t="s">
        <v>511</v>
      </c>
      <c r="AC250" s="300" t="s">
        <v>510</v>
      </c>
      <c r="AD250" s="300" t="s">
        <v>511</v>
      </c>
      <c r="AE250" s="318">
        <v>40</v>
      </c>
      <c r="AF250" s="410">
        <f t="shared" si="24"/>
        <v>40</v>
      </c>
      <c r="AG250" s="300" t="s">
        <v>504</v>
      </c>
      <c r="AH250" s="300"/>
      <c r="AI250" s="303" t="s">
        <v>510</v>
      </c>
      <c r="AJ250" s="303" t="s">
        <v>510</v>
      </c>
      <c r="AK250" s="303" t="s">
        <v>510</v>
      </c>
      <c r="AL250" s="303" t="s">
        <v>511</v>
      </c>
      <c r="AM250" s="303" t="s">
        <v>510</v>
      </c>
      <c r="AN250" s="303" t="s">
        <v>511</v>
      </c>
      <c r="AO250" s="303">
        <v>20</v>
      </c>
      <c r="AP250" s="290">
        <f t="shared" si="25"/>
        <v>20</v>
      </c>
      <c r="AQ250" s="303" t="s">
        <v>504</v>
      </c>
      <c r="AR250" s="303"/>
      <c r="AS250" s="303"/>
      <c r="AT250" s="303"/>
      <c r="AU250" s="303"/>
      <c r="AV250" s="303"/>
      <c r="AW250" s="303"/>
      <c r="AX250" s="303"/>
      <c r="AY250" s="303"/>
      <c r="AZ250" s="290">
        <f t="shared" si="26"/>
        <v>0</v>
      </c>
      <c r="BA250" s="303"/>
      <c r="BB250" s="301"/>
      <c r="BC250" s="315">
        <f t="shared" si="21"/>
        <v>3</v>
      </c>
      <c r="BD250" s="316" t="str">
        <f t="shared" si="27"/>
        <v>Habilitado</v>
      </c>
    </row>
    <row r="251" spans="1:56" x14ac:dyDescent="0.25">
      <c r="A251" s="308">
        <v>249</v>
      </c>
      <c r="B251" s="309" t="s">
        <v>1027</v>
      </c>
      <c r="C251" s="310" t="s">
        <v>65</v>
      </c>
      <c r="D251" s="310" t="s">
        <v>462</v>
      </c>
      <c r="E251" s="311"/>
      <c r="F251" s="311"/>
      <c r="G251" s="311"/>
      <c r="H251" s="311"/>
      <c r="I251" s="311"/>
      <c r="J251" s="311"/>
      <c r="K251" s="311"/>
      <c r="L251" s="408">
        <f t="shared" si="22"/>
        <v>0</v>
      </c>
      <c r="M251" s="311"/>
      <c r="N251" s="320"/>
      <c r="O251" s="311"/>
      <c r="P251" s="311"/>
      <c r="Q251" s="311"/>
      <c r="R251" s="311"/>
      <c r="S251" s="311"/>
      <c r="T251" s="311"/>
      <c r="U251" s="311"/>
      <c r="V251" s="409">
        <f t="shared" si="23"/>
        <v>0</v>
      </c>
      <c r="W251" s="311"/>
      <c r="X251" s="311"/>
      <c r="Y251" s="300"/>
      <c r="Z251" s="300"/>
      <c r="AA251" s="300"/>
      <c r="AB251" s="300"/>
      <c r="AC251" s="300"/>
      <c r="AD251" s="300"/>
      <c r="AE251" s="318"/>
      <c r="AF251" s="410">
        <f t="shared" si="24"/>
        <v>0</v>
      </c>
      <c r="AG251" s="300"/>
      <c r="AH251" s="300"/>
      <c r="AI251" s="303"/>
      <c r="AJ251" s="303"/>
      <c r="AK251" s="303"/>
      <c r="AL251" s="303"/>
      <c r="AM251" s="303"/>
      <c r="AN251" s="303"/>
      <c r="AO251" s="303"/>
      <c r="AP251" s="290">
        <f t="shared" si="25"/>
        <v>0</v>
      </c>
      <c r="AQ251" s="303"/>
      <c r="AR251" s="303"/>
      <c r="AS251" s="303"/>
      <c r="AT251" s="303"/>
      <c r="AU251" s="303"/>
      <c r="AV251" s="303"/>
      <c r="AW251" s="303"/>
      <c r="AX251" s="303"/>
      <c r="AY251" s="303"/>
      <c r="AZ251" s="290">
        <f t="shared" si="26"/>
        <v>0</v>
      </c>
      <c r="BA251" s="303"/>
      <c r="BB251" s="303"/>
      <c r="BC251" s="315">
        <f t="shared" si="21"/>
        <v>0</v>
      </c>
      <c r="BD251" s="316" t="str">
        <f t="shared" si="27"/>
        <v>Desierto</v>
      </c>
    </row>
    <row r="252" spans="1:56" ht="38.25" x14ac:dyDescent="0.25">
      <c r="A252" s="308">
        <v>250</v>
      </c>
      <c r="B252" s="309" t="s">
        <v>1028</v>
      </c>
      <c r="C252" s="310" t="s">
        <v>972</v>
      </c>
      <c r="D252" s="310" t="s">
        <v>711</v>
      </c>
      <c r="E252" s="303" t="s">
        <v>510</v>
      </c>
      <c r="F252" s="303" t="s">
        <v>510</v>
      </c>
      <c r="G252" s="303" t="s">
        <v>510</v>
      </c>
      <c r="H252" s="303" t="s">
        <v>511</v>
      </c>
      <c r="I252" s="303" t="s">
        <v>510</v>
      </c>
      <c r="J252" s="303" t="s">
        <v>510</v>
      </c>
      <c r="K252" s="303">
        <v>0</v>
      </c>
      <c r="L252" s="408">
        <f t="shared" si="22"/>
        <v>0</v>
      </c>
      <c r="M252" s="303" t="s">
        <v>504</v>
      </c>
      <c r="N252" s="303"/>
      <c r="O252" s="311"/>
      <c r="P252" s="311"/>
      <c r="Q252" s="311"/>
      <c r="R252" s="311"/>
      <c r="S252" s="311"/>
      <c r="T252" s="311"/>
      <c r="U252" s="311"/>
      <c r="V252" s="409">
        <f t="shared" si="23"/>
        <v>0</v>
      </c>
      <c r="W252" s="311"/>
      <c r="X252" s="307"/>
      <c r="Y252" s="300" t="s">
        <v>510</v>
      </c>
      <c r="Z252" s="300" t="s">
        <v>510</v>
      </c>
      <c r="AA252" s="300" t="s">
        <v>510</v>
      </c>
      <c r="AB252" s="300" t="s">
        <v>511</v>
      </c>
      <c r="AC252" s="300" t="s">
        <v>510</v>
      </c>
      <c r="AD252" s="300" t="s">
        <v>510</v>
      </c>
      <c r="AE252" s="318">
        <v>40</v>
      </c>
      <c r="AF252" s="410">
        <f t="shared" si="24"/>
        <v>40</v>
      </c>
      <c r="AG252" s="300" t="s">
        <v>504</v>
      </c>
      <c r="AH252" s="299"/>
      <c r="AI252" s="303" t="s">
        <v>510</v>
      </c>
      <c r="AJ252" s="303" t="s">
        <v>510</v>
      </c>
      <c r="AK252" s="303" t="s">
        <v>510</v>
      </c>
      <c r="AL252" s="303" t="s">
        <v>511</v>
      </c>
      <c r="AM252" s="303" t="s">
        <v>510</v>
      </c>
      <c r="AN252" s="303" t="s">
        <v>510</v>
      </c>
      <c r="AO252" s="303">
        <v>20</v>
      </c>
      <c r="AP252" s="290">
        <f t="shared" si="25"/>
        <v>20</v>
      </c>
      <c r="AQ252" s="303" t="s">
        <v>504</v>
      </c>
      <c r="AR252" s="303"/>
      <c r="AS252" s="303"/>
      <c r="AT252" s="303"/>
      <c r="AU252" s="303"/>
      <c r="AV252" s="303"/>
      <c r="AW252" s="303"/>
      <c r="AX252" s="303"/>
      <c r="AY252" s="303"/>
      <c r="AZ252" s="290">
        <f t="shared" si="26"/>
        <v>0</v>
      </c>
      <c r="BA252" s="303"/>
      <c r="BB252" s="301"/>
      <c r="BC252" s="315">
        <f t="shared" si="21"/>
        <v>3</v>
      </c>
      <c r="BD252" s="316" t="str">
        <f t="shared" si="27"/>
        <v>Habilitado</v>
      </c>
    </row>
    <row r="253" spans="1:56" ht="38.25" x14ac:dyDescent="0.25">
      <c r="A253" s="308">
        <v>251</v>
      </c>
      <c r="B253" s="309" t="s">
        <v>1029</v>
      </c>
      <c r="C253" s="329" t="s">
        <v>845</v>
      </c>
      <c r="D253" s="310" t="s">
        <v>1030</v>
      </c>
      <c r="E253" s="303" t="s">
        <v>510</v>
      </c>
      <c r="F253" s="303" t="s">
        <v>510</v>
      </c>
      <c r="G253" s="303" t="s">
        <v>510</v>
      </c>
      <c r="H253" s="303" t="s">
        <v>511</v>
      </c>
      <c r="I253" s="303" t="s">
        <v>510</v>
      </c>
      <c r="J253" s="303" t="s">
        <v>511</v>
      </c>
      <c r="K253" s="303">
        <v>40</v>
      </c>
      <c r="L253" s="408">
        <f t="shared" si="22"/>
        <v>40</v>
      </c>
      <c r="M253" s="303" t="s">
        <v>504</v>
      </c>
      <c r="N253" s="303"/>
      <c r="O253" s="311"/>
      <c r="P253" s="311"/>
      <c r="Q253" s="311"/>
      <c r="R253" s="311"/>
      <c r="S253" s="311"/>
      <c r="T253" s="311"/>
      <c r="U253" s="311"/>
      <c r="V253" s="409">
        <f t="shared" si="23"/>
        <v>0</v>
      </c>
      <c r="W253" s="311"/>
      <c r="X253" s="307"/>
      <c r="Y253" s="300" t="s">
        <v>510</v>
      </c>
      <c r="Z253" s="300" t="s">
        <v>510</v>
      </c>
      <c r="AA253" s="300" t="s">
        <v>510</v>
      </c>
      <c r="AB253" s="300" t="s">
        <v>511</v>
      </c>
      <c r="AC253" s="300" t="s">
        <v>510</v>
      </c>
      <c r="AD253" s="300" t="s">
        <v>511</v>
      </c>
      <c r="AE253" s="318">
        <v>40</v>
      </c>
      <c r="AF253" s="410">
        <f t="shared" si="24"/>
        <v>40</v>
      </c>
      <c r="AG253" s="300" t="s">
        <v>504</v>
      </c>
      <c r="AH253" s="299"/>
      <c r="AI253" s="303"/>
      <c r="AJ253" s="303"/>
      <c r="AK253" s="303"/>
      <c r="AL253" s="303"/>
      <c r="AM253" s="303"/>
      <c r="AN253" s="303"/>
      <c r="AO253" s="303"/>
      <c r="AP253" s="290">
        <f t="shared" si="25"/>
        <v>0</v>
      </c>
      <c r="AQ253" s="303"/>
      <c r="AR253" s="303"/>
      <c r="AS253" s="303" t="s">
        <v>510</v>
      </c>
      <c r="AT253" s="303" t="s">
        <v>510</v>
      </c>
      <c r="AU253" s="303" t="s">
        <v>510</v>
      </c>
      <c r="AV253" s="303" t="s">
        <v>511</v>
      </c>
      <c r="AW253" s="303" t="s">
        <v>510</v>
      </c>
      <c r="AX253" s="303" t="s">
        <v>511</v>
      </c>
      <c r="AY253" s="303">
        <v>0</v>
      </c>
      <c r="AZ253" s="290">
        <f t="shared" si="26"/>
        <v>0</v>
      </c>
      <c r="BA253" s="303" t="s">
        <v>504</v>
      </c>
      <c r="BB253" s="303"/>
      <c r="BC253" s="315">
        <f t="shared" si="21"/>
        <v>3</v>
      </c>
      <c r="BD253" s="316" t="str">
        <f t="shared" si="27"/>
        <v>Habilitado</v>
      </c>
    </row>
    <row r="254" spans="1:56" ht="25.5" x14ac:dyDescent="0.25">
      <c r="A254" s="308">
        <v>252</v>
      </c>
      <c r="B254" s="309" t="s">
        <v>1031</v>
      </c>
      <c r="C254" s="310" t="s">
        <v>1032</v>
      </c>
      <c r="D254" s="310" t="s">
        <v>1033</v>
      </c>
      <c r="E254" s="303" t="s">
        <v>510</v>
      </c>
      <c r="F254" s="303" t="s">
        <v>510</v>
      </c>
      <c r="G254" s="303" t="s">
        <v>510</v>
      </c>
      <c r="H254" s="303" t="s">
        <v>511</v>
      </c>
      <c r="I254" s="303" t="s">
        <v>510</v>
      </c>
      <c r="J254" s="303" t="s">
        <v>511</v>
      </c>
      <c r="K254" s="303">
        <v>40</v>
      </c>
      <c r="L254" s="408">
        <f t="shared" si="22"/>
        <v>40</v>
      </c>
      <c r="M254" s="303" t="s">
        <v>504</v>
      </c>
      <c r="N254" s="303"/>
      <c r="O254" s="311"/>
      <c r="P254" s="311"/>
      <c r="Q254" s="311"/>
      <c r="R254" s="311"/>
      <c r="S254" s="311"/>
      <c r="T254" s="311"/>
      <c r="U254" s="311"/>
      <c r="V254" s="409">
        <f t="shared" si="23"/>
        <v>0</v>
      </c>
      <c r="W254" s="311"/>
      <c r="X254" s="311"/>
      <c r="Y254" s="300"/>
      <c r="Z254" s="300"/>
      <c r="AA254" s="300"/>
      <c r="AB254" s="300"/>
      <c r="AC254" s="300"/>
      <c r="AD254" s="300"/>
      <c r="AE254" s="318"/>
      <c r="AF254" s="410">
        <f t="shared" si="24"/>
        <v>0</v>
      </c>
      <c r="AG254" s="300"/>
      <c r="AH254" s="300"/>
      <c r="AI254" s="303"/>
      <c r="AJ254" s="303"/>
      <c r="AK254" s="303"/>
      <c r="AL254" s="303"/>
      <c r="AM254" s="303"/>
      <c r="AN254" s="303"/>
      <c r="AO254" s="303"/>
      <c r="AP254" s="290">
        <f t="shared" si="25"/>
        <v>0</v>
      </c>
      <c r="AQ254" s="303"/>
      <c r="AR254" s="303"/>
      <c r="AS254" s="303"/>
      <c r="AT254" s="303"/>
      <c r="AU254" s="303"/>
      <c r="AV254" s="303"/>
      <c r="AW254" s="303"/>
      <c r="AX254" s="303"/>
      <c r="AY254" s="303"/>
      <c r="AZ254" s="290">
        <f t="shared" si="26"/>
        <v>0</v>
      </c>
      <c r="BA254" s="303"/>
      <c r="BB254" s="303"/>
      <c r="BC254" s="315">
        <f t="shared" si="21"/>
        <v>1</v>
      </c>
      <c r="BD254" s="316" t="str">
        <f t="shared" si="27"/>
        <v>Habilitado</v>
      </c>
    </row>
    <row r="255" spans="1:56" ht="25.5" x14ac:dyDescent="0.25">
      <c r="A255" s="308">
        <v>253</v>
      </c>
      <c r="B255" s="309" t="s">
        <v>1034</v>
      </c>
      <c r="C255" s="310" t="s">
        <v>1035</v>
      </c>
      <c r="D255" s="310" t="s">
        <v>1033</v>
      </c>
      <c r="E255" s="303" t="s">
        <v>510</v>
      </c>
      <c r="F255" s="303" t="s">
        <v>510</v>
      </c>
      <c r="G255" s="303" t="s">
        <v>510</v>
      </c>
      <c r="H255" s="303" t="s">
        <v>511</v>
      </c>
      <c r="I255" s="303" t="s">
        <v>510</v>
      </c>
      <c r="J255" s="303" t="s">
        <v>511</v>
      </c>
      <c r="K255" s="303">
        <v>40</v>
      </c>
      <c r="L255" s="408">
        <f t="shared" si="22"/>
        <v>40</v>
      </c>
      <c r="M255" s="303" t="s">
        <v>504</v>
      </c>
      <c r="N255" s="303"/>
      <c r="O255" s="311"/>
      <c r="P255" s="311"/>
      <c r="Q255" s="311"/>
      <c r="R255" s="311"/>
      <c r="S255" s="311"/>
      <c r="T255" s="311"/>
      <c r="U255" s="311"/>
      <c r="V255" s="409">
        <f t="shared" si="23"/>
        <v>0</v>
      </c>
      <c r="W255" s="311"/>
      <c r="X255" s="311"/>
      <c r="Y255" s="300"/>
      <c r="Z255" s="300"/>
      <c r="AA255" s="300"/>
      <c r="AB255" s="300"/>
      <c r="AC255" s="300"/>
      <c r="AD255" s="300"/>
      <c r="AE255" s="318"/>
      <c r="AF255" s="410">
        <f t="shared" si="24"/>
        <v>0</v>
      </c>
      <c r="AG255" s="300"/>
      <c r="AH255" s="300"/>
      <c r="AI255" s="303"/>
      <c r="AJ255" s="303"/>
      <c r="AK255" s="303"/>
      <c r="AL255" s="303"/>
      <c r="AM255" s="303"/>
      <c r="AN255" s="303"/>
      <c r="AO255" s="303"/>
      <c r="AP255" s="290">
        <f t="shared" si="25"/>
        <v>0</v>
      </c>
      <c r="AQ255" s="303"/>
      <c r="AR255" s="303"/>
      <c r="AS255" s="303"/>
      <c r="AT255" s="303"/>
      <c r="AU255" s="303"/>
      <c r="AV255" s="303"/>
      <c r="AW255" s="303"/>
      <c r="AX255" s="303"/>
      <c r="AY255" s="303"/>
      <c r="AZ255" s="290">
        <f t="shared" si="26"/>
        <v>0</v>
      </c>
      <c r="BA255" s="303"/>
      <c r="BB255" s="303"/>
      <c r="BC255" s="315">
        <f t="shared" si="21"/>
        <v>1</v>
      </c>
      <c r="BD255" s="316" t="str">
        <f t="shared" si="27"/>
        <v>Habilitado</v>
      </c>
    </row>
    <row r="256" spans="1:56" ht="25.5" x14ac:dyDescent="0.25">
      <c r="A256" s="308">
        <v>254</v>
      </c>
      <c r="B256" s="309" t="s">
        <v>1036</v>
      </c>
      <c r="C256" s="310" t="s">
        <v>338</v>
      </c>
      <c r="D256" s="340" t="s">
        <v>1037</v>
      </c>
      <c r="E256" s="311"/>
      <c r="F256" s="311"/>
      <c r="G256" s="311"/>
      <c r="H256" s="311"/>
      <c r="I256" s="311"/>
      <c r="J256" s="311"/>
      <c r="K256" s="311"/>
      <c r="L256" s="408">
        <f t="shared" si="22"/>
        <v>0</v>
      </c>
      <c r="M256" s="311"/>
      <c r="N256" s="311"/>
      <c r="O256" s="311"/>
      <c r="P256" s="311"/>
      <c r="Q256" s="311"/>
      <c r="R256" s="311"/>
      <c r="S256" s="311"/>
      <c r="T256" s="311"/>
      <c r="U256" s="311"/>
      <c r="V256" s="409">
        <f t="shared" si="23"/>
        <v>0</v>
      </c>
      <c r="W256" s="311"/>
      <c r="X256" s="311"/>
      <c r="Y256" s="300"/>
      <c r="Z256" s="300"/>
      <c r="AA256" s="300"/>
      <c r="AB256" s="300"/>
      <c r="AC256" s="300"/>
      <c r="AD256" s="300"/>
      <c r="AE256" s="318"/>
      <c r="AF256" s="410">
        <f t="shared" si="24"/>
        <v>0</v>
      </c>
      <c r="AG256" s="300"/>
      <c r="AH256" s="300"/>
      <c r="AI256" s="303"/>
      <c r="AJ256" s="303"/>
      <c r="AK256" s="303"/>
      <c r="AL256" s="303"/>
      <c r="AM256" s="303"/>
      <c r="AN256" s="303"/>
      <c r="AO256" s="303"/>
      <c r="AP256" s="290">
        <f t="shared" si="25"/>
        <v>0</v>
      </c>
      <c r="AQ256" s="303"/>
      <c r="AR256" s="303"/>
      <c r="AS256" s="303" t="s">
        <v>510</v>
      </c>
      <c r="AT256" s="303" t="s">
        <v>510</v>
      </c>
      <c r="AU256" s="303" t="s">
        <v>519</v>
      </c>
      <c r="AV256" s="303" t="s">
        <v>511</v>
      </c>
      <c r="AW256" s="303" t="s">
        <v>510</v>
      </c>
      <c r="AX256" s="303" t="s">
        <v>511</v>
      </c>
      <c r="AY256" s="303">
        <v>0</v>
      </c>
      <c r="AZ256" s="290">
        <f t="shared" si="26"/>
        <v>0</v>
      </c>
      <c r="BA256" s="303" t="s">
        <v>520</v>
      </c>
      <c r="BB256" s="301" t="s">
        <v>1038</v>
      </c>
      <c r="BC256" s="315">
        <f t="shared" si="21"/>
        <v>0</v>
      </c>
      <c r="BD256" s="316" t="str">
        <f t="shared" si="27"/>
        <v>Desierto</v>
      </c>
    </row>
    <row r="257" spans="1:56" ht="93.75" customHeight="1" x14ac:dyDescent="0.25">
      <c r="A257" s="308">
        <v>255</v>
      </c>
      <c r="B257" s="309" t="s">
        <v>1039</v>
      </c>
      <c r="C257" s="310" t="s">
        <v>1040</v>
      </c>
      <c r="D257" s="310" t="s">
        <v>1041</v>
      </c>
      <c r="E257" s="303" t="s">
        <v>510</v>
      </c>
      <c r="F257" s="303" t="s">
        <v>510</v>
      </c>
      <c r="G257" s="303" t="s">
        <v>510</v>
      </c>
      <c r="H257" s="303" t="s">
        <v>511</v>
      </c>
      <c r="I257" s="303" t="s">
        <v>510</v>
      </c>
      <c r="J257" s="303" t="s">
        <v>511</v>
      </c>
      <c r="K257" s="303">
        <v>40</v>
      </c>
      <c r="L257" s="408">
        <f t="shared" si="22"/>
        <v>40</v>
      </c>
      <c r="M257" s="303" t="s">
        <v>504</v>
      </c>
      <c r="N257" s="303"/>
      <c r="O257" s="311"/>
      <c r="P257" s="311"/>
      <c r="Q257" s="311"/>
      <c r="R257" s="311"/>
      <c r="S257" s="311"/>
      <c r="T257" s="311"/>
      <c r="U257" s="311"/>
      <c r="V257" s="409">
        <f t="shared" si="23"/>
        <v>0</v>
      </c>
      <c r="W257" s="311"/>
      <c r="X257" s="307"/>
      <c r="Y257" s="312"/>
      <c r="Z257" s="312"/>
      <c r="AA257" s="312"/>
      <c r="AB257" s="312"/>
      <c r="AC257" s="312"/>
      <c r="AD257" s="312"/>
      <c r="AE257" s="313"/>
      <c r="AF257" s="410">
        <f t="shared" si="24"/>
        <v>0</v>
      </c>
      <c r="AG257" s="312"/>
      <c r="AH257" s="312"/>
      <c r="AI257" s="303" t="s">
        <v>510</v>
      </c>
      <c r="AJ257" s="303" t="s">
        <v>510</v>
      </c>
      <c r="AK257" s="303" t="s">
        <v>510</v>
      </c>
      <c r="AL257" s="303" t="s">
        <v>511</v>
      </c>
      <c r="AM257" s="303" t="s">
        <v>510</v>
      </c>
      <c r="AN257" s="303" t="s">
        <v>511</v>
      </c>
      <c r="AO257" s="303">
        <v>20</v>
      </c>
      <c r="AP257" s="290">
        <f t="shared" si="25"/>
        <v>20</v>
      </c>
      <c r="AQ257" s="303" t="s">
        <v>504</v>
      </c>
      <c r="AR257" s="301"/>
      <c r="AS257" s="303"/>
      <c r="AT257" s="303"/>
      <c r="AU257" s="303"/>
      <c r="AV257" s="303"/>
      <c r="AW257" s="303"/>
      <c r="AX257" s="303"/>
      <c r="AY257" s="303"/>
      <c r="AZ257" s="290">
        <f t="shared" si="26"/>
        <v>0</v>
      </c>
      <c r="BA257" s="303"/>
      <c r="BB257" s="303"/>
      <c r="BC257" s="315">
        <f t="shared" si="21"/>
        <v>2</v>
      </c>
      <c r="BD257" s="316" t="str">
        <f t="shared" si="27"/>
        <v>Habilitado</v>
      </c>
    </row>
    <row r="258" spans="1:56" ht="64.5" x14ac:dyDescent="0.25">
      <c r="A258" s="308">
        <v>256</v>
      </c>
      <c r="B258" s="309" t="s">
        <v>1042</v>
      </c>
      <c r="C258" s="329" t="s">
        <v>1043</v>
      </c>
      <c r="D258" s="310" t="s">
        <v>1044</v>
      </c>
      <c r="E258" s="303" t="s">
        <v>510</v>
      </c>
      <c r="F258" s="303" t="s">
        <v>510</v>
      </c>
      <c r="G258" s="303" t="s">
        <v>510</v>
      </c>
      <c r="H258" s="303" t="s">
        <v>511</v>
      </c>
      <c r="I258" s="303" t="s">
        <v>510</v>
      </c>
      <c r="J258" s="303" t="s">
        <v>510</v>
      </c>
      <c r="K258" s="303">
        <v>40</v>
      </c>
      <c r="L258" s="408">
        <f t="shared" si="22"/>
        <v>40</v>
      </c>
      <c r="M258" s="303" t="s">
        <v>504</v>
      </c>
      <c r="N258" s="414" t="s">
        <v>980</v>
      </c>
      <c r="O258" s="311"/>
      <c r="P258" s="311"/>
      <c r="Q258" s="311"/>
      <c r="R258" s="311"/>
      <c r="S258" s="311"/>
      <c r="T258" s="311"/>
      <c r="U258" s="311"/>
      <c r="V258" s="409">
        <f t="shared" si="23"/>
        <v>0</v>
      </c>
      <c r="W258" s="311"/>
      <c r="X258" s="320"/>
      <c r="Y258" s="300" t="s">
        <v>510</v>
      </c>
      <c r="Z258" s="300" t="s">
        <v>510</v>
      </c>
      <c r="AA258" s="300" t="s">
        <v>510</v>
      </c>
      <c r="AB258" s="300" t="s">
        <v>511</v>
      </c>
      <c r="AC258" s="300" t="s">
        <v>510</v>
      </c>
      <c r="AD258" s="300" t="s">
        <v>511</v>
      </c>
      <c r="AE258" s="318">
        <v>40</v>
      </c>
      <c r="AF258" s="410">
        <f t="shared" si="24"/>
        <v>40</v>
      </c>
      <c r="AG258" s="300" t="s">
        <v>504</v>
      </c>
      <c r="AH258" s="300"/>
      <c r="AI258" s="303"/>
      <c r="AJ258" s="303"/>
      <c r="AK258" s="303"/>
      <c r="AL258" s="303"/>
      <c r="AM258" s="303"/>
      <c r="AN258" s="303"/>
      <c r="AO258" s="303"/>
      <c r="AP258" s="290">
        <f t="shared" si="25"/>
        <v>0</v>
      </c>
      <c r="AQ258" s="303"/>
      <c r="AR258" s="301"/>
      <c r="AS258" s="303" t="s">
        <v>510</v>
      </c>
      <c r="AT258" s="303" t="s">
        <v>510</v>
      </c>
      <c r="AU258" s="303" t="s">
        <v>510</v>
      </c>
      <c r="AV258" s="303" t="s">
        <v>511</v>
      </c>
      <c r="AW258" s="303" t="s">
        <v>510</v>
      </c>
      <c r="AX258" s="303" t="s">
        <v>511</v>
      </c>
      <c r="AY258" s="303">
        <v>0</v>
      </c>
      <c r="AZ258" s="290">
        <f t="shared" si="26"/>
        <v>0</v>
      </c>
      <c r="BA258" s="303" t="s">
        <v>504</v>
      </c>
      <c r="BB258" s="301"/>
      <c r="BC258" s="315">
        <f t="shared" si="21"/>
        <v>3</v>
      </c>
      <c r="BD258" s="316" t="str">
        <f t="shared" si="27"/>
        <v>Habilitado</v>
      </c>
    </row>
    <row r="259" spans="1:56" ht="51" x14ac:dyDescent="0.25">
      <c r="A259" s="308">
        <v>257</v>
      </c>
      <c r="B259" s="309" t="s">
        <v>1045</v>
      </c>
      <c r="C259" s="329" t="s">
        <v>1043</v>
      </c>
      <c r="D259" s="310" t="s">
        <v>1046</v>
      </c>
      <c r="E259" s="303" t="s">
        <v>510</v>
      </c>
      <c r="F259" s="303" t="s">
        <v>510</v>
      </c>
      <c r="G259" s="303" t="s">
        <v>510</v>
      </c>
      <c r="H259" s="303" t="s">
        <v>511</v>
      </c>
      <c r="I259" s="303" t="s">
        <v>510</v>
      </c>
      <c r="J259" s="303" t="s">
        <v>510</v>
      </c>
      <c r="K259" s="303">
        <v>40</v>
      </c>
      <c r="L259" s="408">
        <f t="shared" si="22"/>
        <v>40</v>
      </c>
      <c r="M259" s="303" t="s">
        <v>504</v>
      </c>
      <c r="N259" s="303"/>
      <c r="O259" s="311"/>
      <c r="P259" s="311"/>
      <c r="Q259" s="311"/>
      <c r="R259" s="311"/>
      <c r="S259" s="311"/>
      <c r="T259" s="311"/>
      <c r="U259" s="311"/>
      <c r="V259" s="409">
        <f t="shared" si="23"/>
        <v>0</v>
      </c>
      <c r="W259" s="311"/>
      <c r="X259" s="320"/>
      <c r="Y259" s="300" t="s">
        <v>510</v>
      </c>
      <c r="Z259" s="300" t="s">
        <v>519</v>
      </c>
      <c r="AA259" s="300" t="s">
        <v>510</v>
      </c>
      <c r="AB259" s="300" t="s">
        <v>511</v>
      </c>
      <c r="AC259" s="300" t="s">
        <v>510</v>
      </c>
      <c r="AD259" s="300" t="s">
        <v>510</v>
      </c>
      <c r="AE259" s="318">
        <v>0</v>
      </c>
      <c r="AF259" s="410">
        <f t="shared" si="24"/>
        <v>0</v>
      </c>
      <c r="AG259" s="300" t="s">
        <v>520</v>
      </c>
      <c r="AH259" s="299" t="s">
        <v>1047</v>
      </c>
      <c r="AI259" s="303"/>
      <c r="AJ259" s="303"/>
      <c r="AK259" s="303"/>
      <c r="AL259" s="303"/>
      <c r="AM259" s="303"/>
      <c r="AN259" s="303"/>
      <c r="AO259" s="303"/>
      <c r="AP259" s="290">
        <f t="shared" si="25"/>
        <v>0</v>
      </c>
      <c r="AQ259" s="303"/>
      <c r="AR259" s="301"/>
      <c r="AS259" s="303" t="s">
        <v>510</v>
      </c>
      <c r="AT259" s="303" t="s">
        <v>510</v>
      </c>
      <c r="AU259" s="303" t="s">
        <v>510</v>
      </c>
      <c r="AV259" s="303" t="s">
        <v>511</v>
      </c>
      <c r="AW259" s="303" t="s">
        <v>510</v>
      </c>
      <c r="AX259" s="303" t="s">
        <v>519</v>
      </c>
      <c r="AY259" s="303">
        <v>0</v>
      </c>
      <c r="AZ259" s="290">
        <f t="shared" si="26"/>
        <v>0</v>
      </c>
      <c r="BA259" s="303" t="s">
        <v>520</v>
      </c>
      <c r="BB259" s="301" t="s">
        <v>1048</v>
      </c>
      <c r="BC259" s="315">
        <f t="shared" ref="BC259:BC322" si="28">COUNTIF(M259,"Habilitado")+COUNTIF(W259,"Habilitado")+COUNTIF(AG259,"Habilitado")+COUNTIF(AQ259,"Habilitado")+COUNTIF(AS259,"Habilitado")+COUNTIF(BA259,"Habilitado")</f>
        <v>1</v>
      </c>
      <c r="BD259" s="316" t="str">
        <f t="shared" si="27"/>
        <v>Habilitado</v>
      </c>
    </row>
    <row r="260" spans="1:56" ht="42.75" customHeight="1" x14ac:dyDescent="0.25">
      <c r="A260" s="324">
        <v>258</v>
      </c>
      <c r="B260" s="331" t="s">
        <v>1049</v>
      </c>
      <c r="C260" s="331" t="s">
        <v>518</v>
      </c>
      <c r="D260" s="331" t="s">
        <v>1050</v>
      </c>
      <c r="E260" s="306" t="s">
        <v>510</v>
      </c>
      <c r="F260" s="306" t="s">
        <v>510</v>
      </c>
      <c r="G260" s="306" t="s">
        <v>510</v>
      </c>
      <c r="H260" s="306" t="s">
        <v>511</v>
      </c>
      <c r="I260" s="303" t="s">
        <v>510</v>
      </c>
      <c r="J260" s="306" t="s">
        <v>510</v>
      </c>
      <c r="K260" s="306">
        <v>40</v>
      </c>
      <c r="L260" s="408">
        <f t="shared" ref="L260:L323" si="29">+K260</f>
        <v>40</v>
      </c>
      <c r="M260" s="303" t="s">
        <v>504</v>
      </c>
      <c r="N260" s="306"/>
      <c r="O260" s="320"/>
      <c r="P260" s="320"/>
      <c r="Q260" s="320"/>
      <c r="R260" s="320"/>
      <c r="S260" s="320"/>
      <c r="T260" s="320"/>
      <c r="U260" s="320"/>
      <c r="V260" s="409">
        <f t="shared" ref="V260:V323" si="30">+U260</f>
        <v>0</v>
      </c>
      <c r="W260" s="320"/>
      <c r="X260" s="320"/>
      <c r="Y260" s="299" t="s">
        <v>510</v>
      </c>
      <c r="Z260" s="299" t="s">
        <v>510</v>
      </c>
      <c r="AA260" s="299" t="s">
        <v>510</v>
      </c>
      <c r="AB260" s="299" t="s">
        <v>511</v>
      </c>
      <c r="AC260" s="300" t="s">
        <v>510</v>
      </c>
      <c r="AD260" s="299" t="s">
        <v>510</v>
      </c>
      <c r="AE260" s="318">
        <v>40</v>
      </c>
      <c r="AF260" s="410">
        <f t="shared" ref="AF260:AF323" si="31">AE260</f>
        <v>40</v>
      </c>
      <c r="AG260" s="299" t="s">
        <v>504</v>
      </c>
      <c r="AH260" s="299"/>
      <c r="AI260" s="306"/>
      <c r="AJ260" s="306"/>
      <c r="AK260" s="306"/>
      <c r="AL260" s="306"/>
      <c r="AM260" s="303"/>
      <c r="AN260" s="306"/>
      <c r="AO260" s="306"/>
      <c r="AP260" s="290">
        <f t="shared" ref="AP260:AP323" si="32">+AO260</f>
        <v>0</v>
      </c>
      <c r="AQ260" s="303"/>
      <c r="AR260" s="306"/>
      <c r="AS260" s="306" t="s">
        <v>510</v>
      </c>
      <c r="AT260" s="306" t="s">
        <v>510</v>
      </c>
      <c r="AU260" s="306" t="s">
        <v>510</v>
      </c>
      <c r="AV260" s="306" t="s">
        <v>511</v>
      </c>
      <c r="AW260" s="303" t="s">
        <v>510</v>
      </c>
      <c r="AX260" s="306" t="s">
        <v>510</v>
      </c>
      <c r="AY260" s="306">
        <v>0</v>
      </c>
      <c r="AZ260" s="290">
        <f t="shared" ref="AZ260:AZ323" si="33">+AY260</f>
        <v>0</v>
      </c>
      <c r="BA260" s="306" t="s">
        <v>504</v>
      </c>
      <c r="BB260" s="389"/>
      <c r="BC260" s="315">
        <f t="shared" si="28"/>
        <v>3</v>
      </c>
      <c r="BD260" s="316" t="str">
        <f t="shared" ref="BD260:BD323" si="34">IF(BC260&gt;=1,"Habilitado","Desierto")</f>
        <v>Habilitado</v>
      </c>
    </row>
    <row r="261" spans="1:56" ht="38.25" x14ac:dyDescent="0.25">
      <c r="A261" s="308">
        <v>259</v>
      </c>
      <c r="B261" s="309" t="s">
        <v>1051</v>
      </c>
      <c r="C261" s="329" t="s">
        <v>1043</v>
      </c>
      <c r="D261" s="310" t="s">
        <v>1046</v>
      </c>
      <c r="E261" s="303" t="s">
        <v>510</v>
      </c>
      <c r="F261" s="303" t="s">
        <v>510</v>
      </c>
      <c r="G261" s="303" t="s">
        <v>510</v>
      </c>
      <c r="H261" s="303" t="s">
        <v>511</v>
      </c>
      <c r="I261" s="303" t="s">
        <v>510</v>
      </c>
      <c r="J261" s="303" t="s">
        <v>510</v>
      </c>
      <c r="K261" s="303">
        <v>40</v>
      </c>
      <c r="L261" s="408">
        <f t="shared" si="29"/>
        <v>40</v>
      </c>
      <c r="M261" s="303" t="s">
        <v>504</v>
      </c>
      <c r="N261" s="303"/>
      <c r="O261" s="311"/>
      <c r="P261" s="311"/>
      <c r="Q261" s="311"/>
      <c r="R261" s="311"/>
      <c r="S261" s="311"/>
      <c r="T261" s="311"/>
      <c r="U261" s="311"/>
      <c r="V261" s="409">
        <f t="shared" si="30"/>
        <v>0</v>
      </c>
      <c r="W261" s="311"/>
      <c r="X261" s="320"/>
      <c r="Y261" s="300" t="s">
        <v>510</v>
      </c>
      <c r="Z261" s="300" t="s">
        <v>510</v>
      </c>
      <c r="AA261" s="300" t="s">
        <v>510</v>
      </c>
      <c r="AB261" s="300" t="s">
        <v>511</v>
      </c>
      <c r="AC261" s="300" t="s">
        <v>510</v>
      </c>
      <c r="AD261" s="300" t="s">
        <v>510</v>
      </c>
      <c r="AE261" s="318">
        <v>40</v>
      </c>
      <c r="AF261" s="410">
        <f t="shared" si="31"/>
        <v>40</v>
      </c>
      <c r="AG261" s="300" t="s">
        <v>504</v>
      </c>
      <c r="AH261" s="300"/>
      <c r="AI261" s="303"/>
      <c r="AJ261" s="303"/>
      <c r="AK261" s="303"/>
      <c r="AL261" s="303"/>
      <c r="AM261" s="303"/>
      <c r="AN261" s="303"/>
      <c r="AO261" s="303"/>
      <c r="AP261" s="290">
        <f t="shared" si="32"/>
        <v>0</v>
      </c>
      <c r="AQ261" s="303"/>
      <c r="AR261" s="303"/>
      <c r="AS261" s="303" t="s">
        <v>510</v>
      </c>
      <c r="AT261" s="303" t="s">
        <v>519</v>
      </c>
      <c r="AU261" s="303" t="s">
        <v>510</v>
      </c>
      <c r="AV261" s="303" t="s">
        <v>511</v>
      </c>
      <c r="AW261" s="303" t="s">
        <v>510</v>
      </c>
      <c r="AX261" s="303" t="s">
        <v>519</v>
      </c>
      <c r="AY261" s="303">
        <v>0</v>
      </c>
      <c r="AZ261" s="290">
        <f t="shared" si="33"/>
        <v>0</v>
      </c>
      <c r="BA261" s="303" t="s">
        <v>520</v>
      </c>
      <c r="BB261" s="301" t="s">
        <v>1052</v>
      </c>
      <c r="BC261" s="315">
        <f t="shared" si="28"/>
        <v>2</v>
      </c>
      <c r="BD261" s="316" t="str">
        <f t="shared" si="34"/>
        <v>Habilitado</v>
      </c>
    </row>
    <row r="262" spans="1:56" ht="38.25" x14ac:dyDescent="0.25">
      <c r="A262" s="308">
        <v>260</v>
      </c>
      <c r="B262" s="309" t="s">
        <v>1053</v>
      </c>
      <c r="C262" s="310" t="s">
        <v>518</v>
      </c>
      <c r="D262" s="310" t="s">
        <v>1054</v>
      </c>
      <c r="E262" s="303" t="s">
        <v>510</v>
      </c>
      <c r="F262" s="303" t="s">
        <v>510</v>
      </c>
      <c r="G262" s="303" t="s">
        <v>510</v>
      </c>
      <c r="H262" s="303" t="s">
        <v>511</v>
      </c>
      <c r="I262" s="303" t="s">
        <v>510</v>
      </c>
      <c r="J262" s="303" t="s">
        <v>511</v>
      </c>
      <c r="K262" s="303">
        <v>40</v>
      </c>
      <c r="L262" s="408">
        <f t="shared" si="29"/>
        <v>40</v>
      </c>
      <c r="M262" s="303" t="s">
        <v>504</v>
      </c>
      <c r="N262" s="301"/>
      <c r="O262" s="311"/>
      <c r="P262" s="311"/>
      <c r="Q262" s="311"/>
      <c r="R262" s="311"/>
      <c r="S262" s="311"/>
      <c r="T262" s="311"/>
      <c r="U262" s="311"/>
      <c r="V262" s="409">
        <f t="shared" si="30"/>
        <v>0</v>
      </c>
      <c r="W262" s="311"/>
      <c r="X262" s="311"/>
      <c r="Y262" s="300"/>
      <c r="Z262" s="300"/>
      <c r="AA262" s="300"/>
      <c r="AB262" s="300"/>
      <c r="AC262" s="300"/>
      <c r="AD262" s="300"/>
      <c r="AE262" s="318"/>
      <c r="AF262" s="410">
        <f t="shared" si="31"/>
        <v>0</v>
      </c>
      <c r="AG262" s="300"/>
      <c r="AH262" s="300"/>
      <c r="AI262" s="303"/>
      <c r="AJ262" s="303"/>
      <c r="AK262" s="303"/>
      <c r="AL262" s="303"/>
      <c r="AM262" s="303"/>
      <c r="AN262" s="303"/>
      <c r="AO262" s="303"/>
      <c r="AP262" s="290">
        <f t="shared" si="32"/>
        <v>0</v>
      </c>
      <c r="AQ262" s="303"/>
      <c r="AR262" s="303"/>
      <c r="AS262" s="303" t="s">
        <v>510</v>
      </c>
      <c r="AT262" s="303" t="s">
        <v>510</v>
      </c>
      <c r="AU262" s="303" t="s">
        <v>519</v>
      </c>
      <c r="AV262" s="303" t="s">
        <v>511</v>
      </c>
      <c r="AW262" s="303" t="s">
        <v>510</v>
      </c>
      <c r="AX262" s="303" t="s">
        <v>511</v>
      </c>
      <c r="AY262" s="303">
        <v>0</v>
      </c>
      <c r="AZ262" s="290">
        <f t="shared" si="33"/>
        <v>0</v>
      </c>
      <c r="BA262" s="303" t="s">
        <v>520</v>
      </c>
      <c r="BB262" s="301" t="s">
        <v>1055</v>
      </c>
      <c r="BC262" s="315">
        <f t="shared" si="28"/>
        <v>1</v>
      </c>
      <c r="BD262" s="316" t="str">
        <f t="shared" si="34"/>
        <v>Habilitado</v>
      </c>
    </row>
    <row r="263" spans="1:56" x14ac:dyDescent="0.25">
      <c r="A263" s="308">
        <v>261</v>
      </c>
      <c r="B263" s="309" t="s">
        <v>1056</v>
      </c>
      <c r="C263" s="310" t="s">
        <v>518</v>
      </c>
      <c r="D263" s="310" t="s">
        <v>333</v>
      </c>
      <c r="E263" s="303" t="s">
        <v>510</v>
      </c>
      <c r="F263" s="303" t="s">
        <v>510</v>
      </c>
      <c r="G263" s="303" t="s">
        <v>510</v>
      </c>
      <c r="H263" s="303" t="s">
        <v>511</v>
      </c>
      <c r="I263" s="303" t="s">
        <v>510</v>
      </c>
      <c r="J263" s="303" t="s">
        <v>511</v>
      </c>
      <c r="K263" s="303">
        <v>40</v>
      </c>
      <c r="L263" s="408">
        <f t="shared" si="29"/>
        <v>40</v>
      </c>
      <c r="M263" s="303" t="s">
        <v>504</v>
      </c>
      <c r="N263" s="303"/>
      <c r="O263" s="311"/>
      <c r="P263" s="311"/>
      <c r="Q263" s="311"/>
      <c r="R263" s="311"/>
      <c r="S263" s="311"/>
      <c r="T263" s="311"/>
      <c r="U263" s="311"/>
      <c r="V263" s="409">
        <f t="shared" si="30"/>
        <v>0</v>
      </c>
      <c r="W263" s="311"/>
      <c r="X263" s="320"/>
      <c r="Y263" s="300" t="s">
        <v>510</v>
      </c>
      <c r="Z263" s="300" t="s">
        <v>510</v>
      </c>
      <c r="AA263" s="300" t="s">
        <v>510</v>
      </c>
      <c r="AB263" s="300" t="s">
        <v>511</v>
      </c>
      <c r="AC263" s="300" t="s">
        <v>510</v>
      </c>
      <c r="AD263" s="300" t="s">
        <v>511</v>
      </c>
      <c r="AE263" s="318">
        <v>40</v>
      </c>
      <c r="AF263" s="410">
        <f t="shared" si="31"/>
        <v>40</v>
      </c>
      <c r="AG263" s="300" t="s">
        <v>504</v>
      </c>
      <c r="AH263" s="300"/>
      <c r="AI263" s="303"/>
      <c r="AJ263" s="303"/>
      <c r="AK263" s="303"/>
      <c r="AL263" s="303"/>
      <c r="AM263" s="303"/>
      <c r="AN263" s="303"/>
      <c r="AO263" s="303"/>
      <c r="AP263" s="290">
        <f t="shared" si="32"/>
        <v>0</v>
      </c>
      <c r="AQ263" s="303"/>
      <c r="AR263" s="303"/>
      <c r="AS263" s="303" t="s">
        <v>510</v>
      </c>
      <c r="AT263" s="303" t="s">
        <v>510</v>
      </c>
      <c r="AU263" s="303" t="s">
        <v>510</v>
      </c>
      <c r="AV263" s="303" t="s">
        <v>511</v>
      </c>
      <c r="AW263" s="303" t="s">
        <v>510</v>
      </c>
      <c r="AX263" s="303" t="s">
        <v>511</v>
      </c>
      <c r="AY263" s="303">
        <v>0</v>
      </c>
      <c r="AZ263" s="290">
        <f t="shared" si="33"/>
        <v>0</v>
      </c>
      <c r="BA263" s="303" t="s">
        <v>504</v>
      </c>
      <c r="BB263" s="301"/>
      <c r="BC263" s="315">
        <f t="shared" si="28"/>
        <v>3</v>
      </c>
      <c r="BD263" s="316" t="str">
        <f t="shared" si="34"/>
        <v>Habilitado</v>
      </c>
    </row>
    <row r="264" spans="1:56" x14ac:dyDescent="0.25">
      <c r="A264" s="308">
        <v>262</v>
      </c>
      <c r="B264" s="309" t="s">
        <v>1057</v>
      </c>
      <c r="C264" s="310" t="s">
        <v>1058</v>
      </c>
      <c r="D264" s="310" t="s">
        <v>636</v>
      </c>
      <c r="E264" s="311"/>
      <c r="F264" s="311"/>
      <c r="G264" s="311"/>
      <c r="H264" s="311"/>
      <c r="I264" s="311"/>
      <c r="J264" s="311"/>
      <c r="K264" s="311"/>
      <c r="L264" s="408">
        <f t="shared" si="29"/>
        <v>0</v>
      </c>
      <c r="M264" s="311"/>
      <c r="N264" s="311"/>
      <c r="O264" s="311"/>
      <c r="P264" s="311"/>
      <c r="Q264" s="311"/>
      <c r="R264" s="311"/>
      <c r="S264" s="311"/>
      <c r="T264" s="311"/>
      <c r="U264" s="311"/>
      <c r="V264" s="409">
        <f t="shared" si="30"/>
        <v>0</v>
      </c>
      <c r="W264" s="311"/>
      <c r="X264" s="311"/>
      <c r="Y264" s="300"/>
      <c r="Z264" s="300"/>
      <c r="AA264" s="300"/>
      <c r="AB264" s="300"/>
      <c r="AC264" s="300"/>
      <c r="AD264" s="300"/>
      <c r="AE264" s="318"/>
      <c r="AF264" s="410">
        <f t="shared" si="31"/>
        <v>0</v>
      </c>
      <c r="AG264" s="300"/>
      <c r="AH264" s="300"/>
      <c r="AI264" s="303"/>
      <c r="AJ264" s="303"/>
      <c r="AK264" s="303"/>
      <c r="AL264" s="303"/>
      <c r="AM264" s="303"/>
      <c r="AN264" s="303"/>
      <c r="AO264" s="303"/>
      <c r="AP264" s="290">
        <f t="shared" si="32"/>
        <v>0</v>
      </c>
      <c r="AQ264" s="303"/>
      <c r="AR264" s="303"/>
      <c r="AS264" s="303" t="s">
        <v>519</v>
      </c>
      <c r="AT264" s="303" t="s">
        <v>519</v>
      </c>
      <c r="AU264" s="303" t="s">
        <v>519</v>
      </c>
      <c r="AV264" s="303" t="s">
        <v>511</v>
      </c>
      <c r="AW264" s="303" t="s">
        <v>510</v>
      </c>
      <c r="AX264" s="303" t="s">
        <v>511</v>
      </c>
      <c r="AY264" s="303">
        <v>0</v>
      </c>
      <c r="AZ264" s="290">
        <f t="shared" si="33"/>
        <v>0</v>
      </c>
      <c r="BA264" s="303" t="s">
        <v>520</v>
      </c>
      <c r="BB264" s="303" t="s">
        <v>1059</v>
      </c>
      <c r="BC264" s="315">
        <f t="shared" si="28"/>
        <v>0</v>
      </c>
      <c r="BD264" s="316" t="str">
        <f t="shared" si="34"/>
        <v>Desierto</v>
      </c>
    </row>
    <row r="265" spans="1:56" ht="25.5" x14ac:dyDescent="0.25">
      <c r="A265" s="308">
        <v>263</v>
      </c>
      <c r="B265" s="309" t="s">
        <v>1060</v>
      </c>
      <c r="C265" s="310" t="s">
        <v>27</v>
      </c>
      <c r="D265" s="310" t="s">
        <v>1061</v>
      </c>
      <c r="E265" s="303" t="s">
        <v>510</v>
      </c>
      <c r="F265" s="303" t="s">
        <v>510</v>
      </c>
      <c r="G265" s="303" t="s">
        <v>510</v>
      </c>
      <c r="H265" s="303" t="s">
        <v>511</v>
      </c>
      <c r="I265" s="303" t="s">
        <v>510</v>
      </c>
      <c r="J265" s="303" t="s">
        <v>511</v>
      </c>
      <c r="K265" s="303">
        <v>40</v>
      </c>
      <c r="L265" s="408">
        <f t="shared" si="29"/>
        <v>40</v>
      </c>
      <c r="M265" s="303" t="s">
        <v>504</v>
      </c>
      <c r="N265" s="303"/>
      <c r="O265" s="311"/>
      <c r="P265" s="311"/>
      <c r="Q265" s="311"/>
      <c r="R265" s="311"/>
      <c r="S265" s="311"/>
      <c r="T265" s="311"/>
      <c r="U265" s="311"/>
      <c r="V265" s="409">
        <f t="shared" si="30"/>
        <v>0</v>
      </c>
      <c r="W265" s="311"/>
      <c r="X265" s="311"/>
      <c r="Y265" s="300"/>
      <c r="Z265" s="300"/>
      <c r="AA265" s="300"/>
      <c r="AB265" s="300"/>
      <c r="AC265" s="300"/>
      <c r="AD265" s="300"/>
      <c r="AE265" s="318"/>
      <c r="AF265" s="410">
        <f t="shared" si="31"/>
        <v>0</v>
      </c>
      <c r="AG265" s="300"/>
      <c r="AH265" s="300"/>
      <c r="AI265" s="303"/>
      <c r="AJ265" s="303"/>
      <c r="AK265" s="303"/>
      <c r="AL265" s="303"/>
      <c r="AM265" s="303"/>
      <c r="AN265" s="303"/>
      <c r="AO265" s="303"/>
      <c r="AP265" s="290">
        <f t="shared" si="32"/>
        <v>0</v>
      </c>
      <c r="AQ265" s="303"/>
      <c r="AR265" s="303"/>
      <c r="AS265" s="303"/>
      <c r="AT265" s="303"/>
      <c r="AU265" s="303"/>
      <c r="AV265" s="303"/>
      <c r="AW265" s="303"/>
      <c r="AX265" s="303"/>
      <c r="AY265" s="303"/>
      <c r="AZ265" s="290">
        <f t="shared" si="33"/>
        <v>0</v>
      </c>
      <c r="BA265" s="303"/>
      <c r="BB265" s="303"/>
      <c r="BC265" s="315">
        <f t="shared" si="28"/>
        <v>1</v>
      </c>
      <c r="BD265" s="316" t="str">
        <f t="shared" si="34"/>
        <v>Habilitado</v>
      </c>
    </row>
    <row r="266" spans="1:56" ht="51" x14ac:dyDescent="0.25">
      <c r="A266" s="308">
        <v>264</v>
      </c>
      <c r="B266" s="309" t="s">
        <v>1062</v>
      </c>
      <c r="C266" s="310" t="s">
        <v>1063</v>
      </c>
      <c r="D266" s="310" t="s">
        <v>443</v>
      </c>
      <c r="E266" s="303" t="s">
        <v>510</v>
      </c>
      <c r="F266" s="303" t="s">
        <v>510</v>
      </c>
      <c r="G266" s="303" t="s">
        <v>510</v>
      </c>
      <c r="H266" s="303" t="s">
        <v>511</v>
      </c>
      <c r="I266" s="303" t="s">
        <v>510</v>
      </c>
      <c r="J266" s="303" t="s">
        <v>511</v>
      </c>
      <c r="K266" s="303">
        <v>40</v>
      </c>
      <c r="L266" s="408">
        <f t="shared" si="29"/>
        <v>40</v>
      </c>
      <c r="M266" s="303" t="s">
        <v>504</v>
      </c>
      <c r="N266" s="303"/>
      <c r="O266" s="311"/>
      <c r="P266" s="311"/>
      <c r="Q266" s="311"/>
      <c r="R266" s="311"/>
      <c r="S266" s="311"/>
      <c r="T266" s="311"/>
      <c r="U266" s="311"/>
      <c r="V266" s="409">
        <f t="shared" si="30"/>
        <v>0</v>
      </c>
      <c r="W266" s="311"/>
      <c r="X266" s="311"/>
      <c r="Y266" s="300"/>
      <c r="Z266" s="300"/>
      <c r="AA266" s="300"/>
      <c r="AB266" s="300"/>
      <c r="AC266" s="300"/>
      <c r="AD266" s="300"/>
      <c r="AE266" s="318"/>
      <c r="AF266" s="410">
        <f t="shared" si="31"/>
        <v>0</v>
      </c>
      <c r="AG266" s="300"/>
      <c r="AH266" s="300"/>
      <c r="AI266" s="303"/>
      <c r="AJ266" s="303"/>
      <c r="AK266" s="303"/>
      <c r="AL266" s="303"/>
      <c r="AM266" s="303"/>
      <c r="AN266" s="303"/>
      <c r="AO266" s="303"/>
      <c r="AP266" s="290">
        <f t="shared" si="32"/>
        <v>0</v>
      </c>
      <c r="AQ266" s="303"/>
      <c r="AR266" s="303"/>
      <c r="AS266" s="303"/>
      <c r="AT266" s="303"/>
      <c r="AU266" s="303"/>
      <c r="AV266" s="303"/>
      <c r="AW266" s="303"/>
      <c r="AX266" s="303"/>
      <c r="AY266" s="303"/>
      <c r="AZ266" s="290">
        <f t="shared" si="33"/>
        <v>0</v>
      </c>
      <c r="BA266" s="303"/>
      <c r="BB266" s="303"/>
      <c r="BC266" s="315">
        <f t="shared" si="28"/>
        <v>1</v>
      </c>
      <c r="BD266" s="316" t="str">
        <f t="shared" si="34"/>
        <v>Habilitado</v>
      </c>
    </row>
    <row r="267" spans="1:56" ht="89.25" x14ac:dyDescent="0.25">
      <c r="A267" s="308">
        <v>265</v>
      </c>
      <c r="B267" s="309" t="s">
        <v>1064</v>
      </c>
      <c r="C267" s="310" t="s">
        <v>518</v>
      </c>
      <c r="D267" s="310" t="s">
        <v>1065</v>
      </c>
      <c r="E267" s="303" t="s">
        <v>510</v>
      </c>
      <c r="F267" s="303" t="s">
        <v>510</v>
      </c>
      <c r="G267" s="303" t="s">
        <v>510</v>
      </c>
      <c r="H267" s="303" t="s">
        <v>511</v>
      </c>
      <c r="I267" s="303" t="s">
        <v>510</v>
      </c>
      <c r="J267" s="303" t="s">
        <v>511</v>
      </c>
      <c r="K267" s="303">
        <v>40</v>
      </c>
      <c r="L267" s="408">
        <f t="shared" si="29"/>
        <v>40</v>
      </c>
      <c r="M267" s="303" t="s">
        <v>504</v>
      </c>
      <c r="N267" s="303"/>
      <c r="O267" s="311"/>
      <c r="P267" s="311"/>
      <c r="Q267" s="311"/>
      <c r="R267" s="311"/>
      <c r="S267" s="311"/>
      <c r="T267" s="311"/>
      <c r="U267" s="311"/>
      <c r="V267" s="409">
        <f t="shared" si="30"/>
        <v>0</v>
      </c>
      <c r="W267" s="311"/>
      <c r="X267" s="311"/>
      <c r="Y267" s="300" t="s">
        <v>510</v>
      </c>
      <c r="Z267" s="300" t="s">
        <v>510</v>
      </c>
      <c r="AA267" s="300" t="s">
        <v>510</v>
      </c>
      <c r="AB267" s="300" t="s">
        <v>511</v>
      </c>
      <c r="AC267" s="300" t="s">
        <v>510</v>
      </c>
      <c r="AD267" s="300" t="s">
        <v>511</v>
      </c>
      <c r="AE267" s="318">
        <v>40</v>
      </c>
      <c r="AF267" s="410">
        <f t="shared" si="31"/>
        <v>40</v>
      </c>
      <c r="AG267" s="300" t="s">
        <v>504</v>
      </c>
      <c r="AH267" s="300"/>
      <c r="AI267" s="303"/>
      <c r="AJ267" s="303"/>
      <c r="AK267" s="303"/>
      <c r="AL267" s="303"/>
      <c r="AM267" s="303"/>
      <c r="AN267" s="303"/>
      <c r="AO267" s="303"/>
      <c r="AP267" s="290">
        <f t="shared" si="32"/>
        <v>0</v>
      </c>
      <c r="AQ267" s="303"/>
      <c r="AR267" s="303"/>
      <c r="AS267" s="303"/>
      <c r="AT267" s="303"/>
      <c r="AU267" s="303"/>
      <c r="AV267" s="303"/>
      <c r="AW267" s="303"/>
      <c r="AX267" s="303"/>
      <c r="AY267" s="303"/>
      <c r="AZ267" s="290">
        <f t="shared" si="33"/>
        <v>0</v>
      </c>
      <c r="BA267" s="303"/>
      <c r="BB267" s="303"/>
      <c r="BC267" s="315">
        <f t="shared" si="28"/>
        <v>2</v>
      </c>
      <c r="BD267" s="316" t="str">
        <f t="shared" si="34"/>
        <v>Habilitado</v>
      </c>
    </row>
    <row r="268" spans="1:56" ht="38.25" x14ac:dyDescent="0.25">
      <c r="A268" s="308">
        <v>266</v>
      </c>
      <c r="B268" s="309" t="s">
        <v>1066</v>
      </c>
      <c r="C268" s="310" t="s">
        <v>1067</v>
      </c>
      <c r="D268" s="310" t="s">
        <v>1068</v>
      </c>
      <c r="E268" s="311"/>
      <c r="F268" s="311"/>
      <c r="G268" s="311"/>
      <c r="H268" s="311"/>
      <c r="I268" s="311"/>
      <c r="J268" s="311"/>
      <c r="K268" s="311"/>
      <c r="L268" s="408">
        <f t="shared" si="29"/>
        <v>0</v>
      </c>
      <c r="M268" s="311"/>
      <c r="N268" s="311"/>
      <c r="O268" s="311"/>
      <c r="P268" s="311"/>
      <c r="Q268" s="311"/>
      <c r="R268" s="311"/>
      <c r="S268" s="311"/>
      <c r="T268" s="311"/>
      <c r="U268" s="311"/>
      <c r="V268" s="409">
        <f t="shared" si="30"/>
        <v>0</v>
      </c>
      <c r="W268" s="311"/>
      <c r="X268" s="311"/>
      <c r="Y268" s="300"/>
      <c r="Z268" s="300"/>
      <c r="AA268" s="300"/>
      <c r="AB268" s="300"/>
      <c r="AC268" s="300"/>
      <c r="AD268" s="300"/>
      <c r="AE268" s="318"/>
      <c r="AF268" s="410">
        <f t="shared" si="31"/>
        <v>0</v>
      </c>
      <c r="AG268" s="300"/>
      <c r="AH268" s="300"/>
      <c r="AI268" s="303"/>
      <c r="AJ268" s="303"/>
      <c r="AK268" s="303"/>
      <c r="AL268" s="303"/>
      <c r="AM268" s="303"/>
      <c r="AN268" s="303"/>
      <c r="AO268" s="303"/>
      <c r="AP268" s="290">
        <f t="shared" si="32"/>
        <v>0</v>
      </c>
      <c r="AQ268" s="303"/>
      <c r="AR268" s="303"/>
      <c r="AS268" s="303"/>
      <c r="AT268" s="303"/>
      <c r="AU268" s="303"/>
      <c r="AV268" s="303"/>
      <c r="AW268" s="303"/>
      <c r="AX268" s="303"/>
      <c r="AY268" s="303"/>
      <c r="AZ268" s="290">
        <f t="shared" si="33"/>
        <v>0</v>
      </c>
      <c r="BA268" s="303"/>
      <c r="BB268" s="303"/>
      <c r="BC268" s="315">
        <f t="shared" si="28"/>
        <v>0</v>
      </c>
      <c r="BD268" s="316" t="str">
        <f t="shared" si="34"/>
        <v>Desierto</v>
      </c>
    </row>
    <row r="269" spans="1:56" ht="102" x14ac:dyDescent="0.25">
      <c r="A269" s="308">
        <v>267</v>
      </c>
      <c r="B269" s="309" t="s">
        <v>1069</v>
      </c>
      <c r="C269" s="310" t="s">
        <v>1070</v>
      </c>
      <c r="D269" s="310" t="s">
        <v>443</v>
      </c>
      <c r="E269" s="311"/>
      <c r="F269" s="311"/>
      <c r="G269" s="311"/>
      <c r="H269" s="311"/>
      <c r="I269" s="311"/>
      <c r="J269" s="311"/>
      <c r="K269" s="311"/>
      <c r="L269" s="408">
        <f t="shared" si="29"/>
        <v>0</v>
      </c>
      <c r="M269" s="311"/>
      <c r="N269" s="311"/>
      <c r="O269" s="311"/>
      <c r="P269" s="311"/>
      <c r="Q269" s="311"/>
      <c r="R269" s="311"/>
      <c r="S269" s="311"/>
      <c r="T269" s="311"/>
      <c r="U269" s="311"/>
      <c r="V269" s="409">
        <f t="shared" si="30"/>
        <v>0</v>
      </c>
      <c r="W269" s="311"/>
      <c r="X269" s="311"/>
      <c r="Y269" s="300"/>
      <c r="Z269" s="300"/>
      <c r="AA269" s="300"/>
      <c r="AB269" s="300"/>
      <c r="AC269" s="300"/>
      <c r="AD269" s="300"/>
      <c r="AE269" s="318"/>
      <c r="AF269" s="410">
        <f t="shared" si="31"/>
        <v>0</v>
      </c>
      <c r="AG269" s="300"/>
      <c r="AH269" s="300"/>
      <c r="AI269" s="303"/>
      <c r="AJ269" s="303"/>
      <c r="AK269" s="303"/>
      <c r="AL269" s="303"/>
      <c r="AM269" s="303"/>
      <c r="AN269" s="303"/>
      <c r="AO269" s="303"/>
      <c r="AP269" s="290">
        <f t="shared" si="32"/>
        <v>0</v>
      </c>
      <c r="AQ269" s="303"/>
      <c r="AR269" s="303"/>
      <c r="AS269" s="303"/>
      <c r="AT269" s="303"/>
      <c r="AU269" s="303"/>
      <c r="AV269" s="303"/>
      <c r="AW269" s="303"/>
      <c r="AX269" s="303"/>
      <c r="AY269" s="303"/>
      <c r="AZ269" s="290">
        <f t="shared" si="33"/>
        <v>0</v>
      </c>
      <c r="BA269" s="303"/>
      <c r="BB269" s="303"/>
      <c r="BC269" s="315">
        <f t="shared" si="28"/>
        <v>0</v>
      </c>
      <c r="BD269" s="316" t="str">
        <f t="shared" si="34"/>
        <v>Desierto</v>
      </c>
    </row>
    <row r="270" spans="1:56" ht="25.5" x14ac:dyDescent="0.25">
      <c r="A270" s="308">
        <v>268</v>
      </c>
      <c r="B270" s="309" t="s">
        <v>1071</v>
      </c>
      <c r="C270" s="310" t="s">
        <v>1072</v>
      </c>
      <c r="D270" s="310" t="s">
        <v>1073</v>
      </c>
      <c r="E270" s="311"/>
      <c r="F270" s="311"/>
      <c r="G270" s="311"/>
      <c r="H270" s="311"/>
      <c r="I270" s="311"/>
      <c r="J270" s="311"/>
      <c r="K270" s="311"/>
      <c r="L270" s="408">
        <f t="shared" si="29"/>
        <v>0</v>
      </c>
      <c r="M270" s="311"/>
      <c r="N270" s="311"/>
      <c r="O270" s="311"/>
      <c r="P270" s="311"/>
      <c r="Q270" s="311"/>
      <c r="R270" s="311"/>
      <c r="S270" s="311"/>
      <c r="T270" s="311"/>
      <c r="U270" s="311"/>
      <c r="V270" s="409">
        <f t="shared" si="30"/>
        <v>0</v>
      </c>
      <c r="W270" s="311"/>
      <c r="X270" s="311"/>
      <c r="Y270" s="300"/>
      <c r="Z270" s="300"/>
      <c r="AA270" s="300"/>
      <c r="AB270" s="300"/>
      <c r="AC270" s="300"/>
      <c r="AD270" s="300"/>
      <c r="AE270" s="318"/>
      <c r="AF270" s="410">
        <f t="shared" si="31"/>
        <v>0</v>
      </c>
      <c r="AG270" s="300"/>
      <c r="AH270" s="300"/>
      <c r="AI270" s="303"/>
      <c r="AJ270" s="303"/>
      <c r="AK270" s="303"/>
      <c r="AL270" s="303"/>
      <c r="AM270" s="303"/>
      <c r="AN270" s="303"/>
      <c r="AO270" s="303"/>
      <c r="AP270" s="290">
        <f t="shared" si="32"/>
        <v>0</v>
      </c>
      <c r="AQ270" s="303"/>
      <c r="AR270" s="303"/>
      <c r="AS270" s="303"/>
      <c r="AT270" s="303"/>
      <c r="AU270" s="303"/>
      <c r="AV270" s="303"/>
      <c r="AW270" s="303"/>
      <c r="AX270" s="303"/>
      <c r="AY270" s="303"/>
      <c r="AZ270" s="290">
        <f t="shared" si="33"/>
        <v>0</v>
      </c>
      <c r="BA270" s="303"/>
      <c r="BB270" s="303"/>
      <c r="BC270" s="315">
        <f t="shared" si="28"/>
        <v>0</v>
      </c>
      <c r="BD270" s="316" t="str">
        <f t="shared" si="34"/>
        <v>Desierto</v>
      </c>
    </row>
    <row r="271" spans="1:56" x14ac:dyDescent="0.25">
      <c r="A271" s="308">
        <v>269</v>
      </c>
      <c r="B271" s="309" t="s">
        <v>1074</v>
      </c>
      <c r="C271" s="310" t="s">
        <v>1075</v>
      </c>
      <c r="D271" s="310" t="s">
        <v>711</v>
      </c>
      <c r="E271" s="311"/>
      <c r="F271" s="311"/>
      <c r="G271" s="311"/>
      <c r="H271" s="311"/>
      <c r="I271" s="311"/>
      <c r="J271" s="311"/>
      <c r="K271" s="311"/>
      <c r="L271" s="408">
        <f t="shared" si="29"/>
        <v>0</v>
      </c>
      <c r="M271" s="311"/>
      <c r="N271" s="311"/>
      <c r="O271" s="311"/>
      <c r="P271" s="311"/>
      <c r="Q271" s="311"/>
      <c r="R271" s="311"/>
      <c r="S271" s="311"/>
      <c r="T271" s="311"/>
      <c r="U271" s="311"/>
      <c r="V271" s="409">
        <f t="shared" si="30"/>
        <v>0</v>
      </c>
      <c r="W271" s="311"/>
      <c r="X271" s="311"/>
      <c r="Y271" s="300"/>
      <c r="Z271" s="300"/>
      <c r="AA271" s="300"/>
      <c r="AB271" s="300"/>
      <c r="AC271" s="300"/>
      <c r="AD271" s="300"/>
      <c r="AE271" s="318"/>
      <c r="AF271" s="410">
        <f t="shared" si="31"/>
        <v>0</v>
      </c>
      <c r="AG271" s="300"/>
      <c r="AH271" s="300"/>
      <c r="AI271" s="303"/>
      <c r="AJ271" s="303"/>
      <c r="AK271" s="303"/>
      <c r="AL271" s="303"/>
      <c r="AM271" s="303"/>
      <c r="AN271" s="303"/>
      <c r="AO271" s="303"/>
      <c r="AP271" s="290">
        <f t="shared" si="32"/>
        <v>0</v>
      </c>
      <c r="AQ271" s="303"/>
      <c r="AR271" s="303"/>
      <c r="AS271" s="303"/>
      <c r="AT271" s="303"/>
      <c r="AU271" s="303"/>
      <c r="AV271" s="303"/>
      <c r="AW271" s="303"/>
      <c r="AX271" s="303"/>
      <c r="AY271" s="303"/>
      <c r="AZ271" s="290">
        <f t="shared" si="33"/>
        <v>0</v>
      </c>
      <c r="BA271" s="303"/>
      <c r="BB271" s="303"/>
      <c r="BC271" s="315">
        <f t="shared" si="28"/>
        <v>0</v>
      </c>
      <c r="BD271" s="316" t="str">
        <f t="shared" si="34"/>
        <v>Desierto</v>
      </c>
    </row>
    <row r="272" spans="1:56" x14ac:dyDescent="0.25">
      <c r="A272" s="308">
        <v>270</v>
      </c>
      <c r="B272" s="309" t="s">
        <v>1076</v>
      </c>
      <c r="C272" s="310" t="s">
        <v>65</v>
      </c>
      <c r="D272" s="310" t="s">
        <v>628</v>
      </c>
      <c r="E272" s="311"/>
      <c r="F272" s="311"/>
      <c r="G272" s="311"/>
      <c r="H272" s="311"/>
      <c r="I272" s="311"/>
      <c r="J272" s="311"/>
      <c r="K272" s="311"/>
      <c r="L272" s="408">
        <f t="shared" si="29"/>
        <v>0</v>
      </c>
      <c r="M272" s="311"/>
      <c r="N272" s="311"/>
      <c r="O272" s="311"/>
      <c r="P272" s="311"/>
      <c r="Q272" s="311"/>
      <c r="R272" s="311"/>
      <c r="S272" s="311"/>
      <c r="T272" s="311"/>
      <c r="U272" s="311"/>
      <c r="V272" s="409">
        <f t="shared" si="30"/>
        <v>0</v>
      </c>
      <c r="W272" s="311"/>
      <c r="X272" s="311"/>
      <c r="Y272" s="300"/>
      <c r="Z272" s="300"/>
      <c r="AA272" s="300"/>
      <c r="AB272" s="300"/>
      <c r="AC272" s="300"/>
      <c r="AD272" s="300"/>
      <c r="AE272" s="318"/>
      <c r="AF272" s="410">
        <f t="shared" si="31"/>
        <v>0</v>
      </c>
      <c r="AG272" s="300"/>
      <c r="AH272" s="300"/>
      <c r="AI272" s="303"/>
      <c r="AJ272" s="303"/>
      <c r="AK272" s="303"/>
      <c r="AL272" s="303"/>
      <c r="AM272" s="303"/>
      <c r="AN272" s="303"/>
      <c r="AO272" s="303"/>
      <c r="AP272" s="290">
        <f t="shared" si="32"/>
        <v>0</v>
      </c>
      <c r="AQ272" s="303"/>
      <c r="AR272" s="303"/>
      <c r="AS272" s="303" t="s">
        <v>510</v>
      </c>
      <c r="AT272" s="303" t="s">
        <v>510</v>
      </c>
      <c r="AU272" s="303" t="s">
        <v>510</v>
      </c>
      <c r="AV272" s="303" t="s">
        <v>511</v>
      </c>
      <c r="AW272" s="303" t="s">
        <v>510</v>
      </c>
      <c r="AX272" s="303" t="s">
        <v>511</v>
      </c>
      <c r="AY272" s="303">
        <v>0</v>
      </c>
      <c r="AZ272" s="290">
        <f t="shared" si="33"/>
        <v>0</v>
      </c>
      <c r="BA272" s="303" t="s">
        <v>504</v>
      </c>
      <c r="BB272" s="303"/>
      <c r="BC272" s="315">
        <f t="shared" si="28"/>
        <v>1</v>
      </c>
      <c r="BD272" s="316" t="str">
        <f t="shared" si="34"/>
        <v>Habilitado</v>
      </c>
    </row>
    <row r="273" spans="1:56" x14ac:dyDescent="0.25">
      <c r="A273" s="308">
        <v>271</v>
      </c>
      <c r="B273" s="309" t="s">
        <v>1077</v>
      </c>
      <c r="C273" s="310" t="s">
        <v>65</v>
      </c>
      <c r="D273" s="310" t="s">
        <v>628</v>
      </c>
      <c r="E273" s="311"/>
      <c r="F273" s="311"/>
      <c r="G273" s="311"/>
      <c r="H273" s="311"/>
      <c r="I273" s="311"/>
      <c r="J273" s="311"/>
      <c r="K273" s="311"/>
      <c r="L273" s="408">
        <f t="shared" si="29"/>
        <v>0</v>
      </c>
      <c r="M273" s="311"/>
      <c r="N273" s="311"/>
      <c r="O273" s="311"/>
      <c r="P273" s="311"/>
      <c r="Q273" s="311"/>
      <c r="R273" s="311"/>
      <c r="S273" s="311"/>
      <c r="T273" s="311"/>
      <c r="U273" s="311"/>
      <c r="V273" s="409">
        <f t="shared" si="30"/>
        <v>0</v>
      </c>
      <c r="W273" s="311"/>
      <c r="X273" s="311"/>
      <c r="Y273" s="300"/>
      <c r="Z273" s="300"/>
      <c r="AA273" s="300"/>
      <c r="AB273" s="300"/>
      <c r="AC273" s="300"/>
      <c r="AD273" s="300"/>
      <c r="AE273" s="318"/>
      <c r="AF273" s="410">
        <f t="shared" si="31"/>
        <v>0</v>
      </c>
      <c r="AG273" s="300"/>
      <c r="AH273" s="300"/>
      <c r="AI273" s="303"/>
      <c r="AJ273" s="303"/>
      <c r="AK273" s="303"/>
      <c r="AL273" s="303"/>
      <c r="AM273" s="303"/>
      <c r="AN273" s="303"/>
      <c r="AO273" s="303"/>
      <c r="AP273" s="290">
        <f t="shared" si="32"/>
        <v>0</v>
      </c>
      <c r="AQ273" s="303"/>
      <c r="AR273" s="303"/>
      <c r="AS273" s="303"/>
      <c r="AT273" s="303"/>
      <c r="AU273" s="303"/>
      <c r="AV273" s="303"/>
      <c r="AW273" s="303"/>
      <c r="AX273" s="303"/>
      <c r="AY273" s="303"/>
      <c r="AZ273" s="290">
        <f t="shared" si="33"/>
        <v>0</v>
      </c>
      <c r="BA273" s="303"/>
      <c r="BB273" s="303"/>
      <c r="BC273" s="315">
        <f t="shared" si="28"/>
        <v>0</v>
      </c>
      <c r="BD273" s="316" t="str">
        <f t="shared" si="34"/>
        <v>Desierto</v>
      </c>
    </row>
    <row r="274" spans="1:56" ht="25.5" x14ac:dyDescent="0.25">
      <c r="A274" s="308">
        <v>272</v>
      </c>
      <c r="B274" s="309" t="s">
        <v>1078</v>
      </c>
      <c r="C274" s="310" t="s">
        <v>864</v>
      </c>
      <c r="D274" s="310" t="s">
        <v>628</v>
      </c>
      <c r="E274" s="311"/>
      <c r="F274" s="311"/>
      <c r="G274" s="311"/>
      <c r="H274" s="311"/>
      <c r="I274" s="311"/>
      <c r="J274" s="311"/>
      <c r="K274" s="311"/>
      <c r="L274" s="408">
        <f t="shared" si="29"/>
        <v>0</v>
      </c>
      <c r="M274" s="311"/>
      <c r="N274" s="311"/>
      <c r="O274" s="311"/>
      <c r="P274" s="311"/>
      <c r="Q274" s="311"/>
      <c r="R274" s="311"/>
      <c r="S274" s="311"/>
      <c r="T274" s="311"/>
      <c r="U274" s="311"/>
      <c r="V274" s="409">
        <f t="shared" si="30"/>
        <v>0</v>
      </c>
      <c r="W274" s="311"/>
      <c r="X274" s="311"/>
      <c r="Y274" s="300" t="s">
        <v>510</v>
      </c>
      <c r="Z274" s="300" t="s">
        <v>510</v>
      </c>
      <c r="AA274" s="300" t="s">
        <v>510</v>
      </c>
      <c r="AB274" s="300" t="s">
        <v>511</v>
      </c>
      <c r="AC274" s="300" t="s">
        <v>510</v>
      </c>
      <c r="AD274" s="300" t="s">
        <v>511</v>
      </c>
      <c r="AE274" s="318">
        <v>40</v>
      </c>
      <c r="AF274" s="410">
        <f t="shared" si="31"/>
        <v>40</v>
      </c>
      <c r="AG274" s="300" t="s">
        <v>504</v>
      </c>
      <c r="AH274" s="300"/>
      <c r="AI274" s="303"/>
      <c r="AJ274" s="303"/>
      <c r="AK274" s="303"/>
      <c r="AL274" s="303"/>
      <c r="AM274" s="303"/>
      <c r="AN274" s="303"/>
      <c r="AO274" s="303"/>
      <c r="AP274" s="290">
        <f t="shared" si="32"/>
        <v>0</v>
      </c>
      <c r="AQ274" s="303"/>
      <c r="AR274" s="303"/>
      <c r="AS274" s="303"/>
      <c r="AT274" s="303"/>
      <c r="AU274" s="303"/>
      <c r="AV274" s="303"/>
      <c r="AW274" s="303"/>
      <c r="AX274" s="303"/>
      <c r="AY274" s="303"/>
      <c r="AZ274" s="290">
        <f t="shared" si="33"/>
        <v>0</v>
      </c>
      <c r="BA274" s="303"/>
      <c r="BB274" s="303"/>
      <c r="BC274" s="315">
        <f t="shared" si="28"/>
        <v>1</v>
      </c>
      <c r="BD274" s="316" t="str">
        <f t="shared" si="34"/>
        <v>Habilitado</v>
      </c>
    </row>
    <row r="275" spans="1:56" ht="25.5" x14ac:dyDescent="0.25">
      <c r="A275" s="324">
        <v>273</v>
      </c>
      <c r="B275" s="331" t="s">
        <v>1079</v>
      </c>
      <c r="C275" s="331" t="s">
        <v>228</v>
      </c>
      <c r="D275" s="331" t="s">
        <v>1080</v>
      </c>
      <c r="E275" s="320"/>
      <c r="F275" s="320"/>
      <c r="G275" s="320"/>
      <c r="H275" s="320"/>
      <c r="I275" s="311"/>
      <c r="J275" s="320"/>
      <c r="K275" s="320"/>
      <c r="L275" s="408">
        <f t="shared" si="29"/>
        <v>0</v>
      </c>
      <c r="M275" s="311"/>
      <c r="N275" s="320"/>
      <c r="O275" s="320"/>
      <c r="P275" s="320"/>
      <c r="Q275" s="320"/>
      <c r="R275" s="320"/>
      <c r="S275" s="320"/>
      <c r="T275" s="320"/>
      <c r="U275" s="320"/>
      <c r="V275" s="409">
        <f t="shared" si="30"/>
        <v>0</v>
      </c>
      <c r="W275" s="320"/>
      <c r="X275" s="320"/>
      <c r="Y275" s="299"/>
      <c r="Z275" s="299"/>
      <c r="AA275" s="299"/>
      <c r="AB275" s="299"/>
      <c r="AC275" s="299"/>
      <c r="AD275" s="299"/>
      <c r="AE275" s="330"/>
      <c r="AF275" s="410">
        <f t="shared" si="31"/>
        <v>0</v>
      </c>
      <c r="AG275" s="299"/>
      <c r="AH275" s="299"/>
      <c r="AI275" s="306"/>
      <c r="AJ275" s="306"/>
      <c r="AK275" s="306"/>
      <c r="AL275" s="306"/>
      <c r="AM275" s="306"/>
      <c r="AN275" s="306"/>
      <c r="AO275" s="306"/>
      <c r="AP275" s="290">
        <f t="shared" si="32"/>
        <v>0</v>
      </c>
      <c r="AQ275" s="306"/>
      <c r="AR275" s="306"/>
      <c r="AS275" s="306"/>
      <c r="AT275" s="306"/>
      <c r="AU275" s="306"/>
      <c r="AV275" s="306"/>
      <c r="AW275" s="306"/>
      <c r="AX275" s="306"/>
      <c r="AY275" s="306"/>
      <c r="AZ275" s="290">
        <f t="shared" si="33"/>
        <v>0</v>
      </c>
      <c r="BA275" s="306"/>
      <c r="BB275" s="306" t="s">
        <v>551</v>
      </c>
      <c r="BC275" s="315">
        <f t="shared" si="28"/>
        <v>0</v>
      </c>
      <c r="BD275" s="316" t="str">
        <f t="shared" si="34"/>
        <v>Desierto</v>
      </c>
    </row>
    <row r="276" spans="1:56" ht="25.5" x14ac:dyDescent="0.25">
      <c r="A276" s="308">
        <v>274</v>
      </c>
      <c r="B276" s="309" t="s">
        <v>1081</v>
      </c>
      <c r="C276" s="310" t="s">
        <v>562</v>
      </c>
      <c r="D276" s="310" t="s">
        <v>685</v>
      </c>
      <c r="E276" s="303" t="s">
        <v>510</v>
      </c>
      <c r="F276" s="303" t="s">
        <v>510</v>
      </c>
      <c r="G276" s="303" t="s">
        <v>510</v>
      </c>
      <c r="H276" s="303" t="s">
        <v>511</v>
      </c>
      <c r="I276" s="303" t="s">
        <v>510</v>
      </c>
      <c r="J276" s="303" t="s">
        <v>511</v>
      </c>
      <c r="K276" s="303">
        <v>40</v>
      </c>
      <c r="L276" s="408">
        <f t="shared" si="29"/>
        <v>40</v>
      </c>
      <c r="M276" s="303" t="s">
        <v>504</v>
      </c>
      <c r="N276" s="303"/>
      <c r="O276" s="311"/>
      <c r="P276" s="311"/>
      <c r="Q276" s="311"/>
      <c r="R276" s="311"/>
      <c r="S276" s="311"/>
      <c r="T276" s="311"/>
      <c r="U276" s="311"/>
      <c r="V276" s="409">
        <f t="shared" si="30"/>
        <v>0</v>
      </c>
      <c r="W276" s="311"/>
      <c r="X276" s="311"/>
      <c r="Y276" s="300"/>
      <c r="Z276" s="300"/>
      <c r="AA276" s="300"/>
      <c r="AB276" s="300"/>
      <c r="AC276" s="300"/>
      <c r="AD276" s="300"/>
      <c r="AE276" s="318"/>
      <c r="AF276" s="410">
        <f t="shared" si="31"/>
        <v>0</v>
      </c>
      <c r="AG276" s="300"/>
      <c r="AH276" s="300"/>
      <c r="AI276" s="303"/>
      <c r="AJ276" s="303"/>
      <c r="AK276" s="303"/>
      <c r="AL276" s="303"/>
      <c r="AM276" s="303"/>
      <c r="AN276" s="303"/>
      <c r="AO276" s="303"/>
      <c r="AP276" s="290">
        <f t="shared" si="32"/>
        <v>0</v>
      </c>
      <c r="AQ276" s="303"/>
      <c r="AR276" s="303"/>
      <c r="AS276" s="303"/>
      <c r="AT276" s="303"/>
      <c r="AU276" s="303"/>
      <c r="AV276" s="303"/>
      <c r="AW276" s="303"/>
      <c r="AX276" s="303"/>
      <c r="AY276" s="303"/>
      <c r="AZ276" s="290">
        <f t="shared" si="33"/>
        <v>0</v>
      </c>
      <c r="BA276" s="303"/>
      <c r="BB276" s="303"/>
      <c r="BC276" s="315">
        <f t="shared" si="28"/>
        <v>1</v>
      </c>
      <c r="BD276" s="316" t="str">
        <f t="shared" si="34"/>
        <v>Habilitado</v>
      </c>
    </row>
    <row r="277" spans="1:56" x14ac:dyDescent="0.25">
      <c r="A277" s="308">
        <v>275</v>
      </c>
      <c r="B277" s="309" t="s">
        <v>1082</v>
      </c>
      <c r="C277" s="310" t="s">
        <v>65</v>
      </c>
      <c r="D277" s="310" t="s">
        <v>628</v>
      </c>
      <c r="E277" s="311"/>
      <c r="F277" s="311"/>
      <c r="G277" s="311"/>
      <c r="H277" s="311"/>
      <c r="I277" s="311"/>
      <c r="J277" s="311"/>
      <c r="K277" s="311"/>
      <c r="L277" s="408">
        <f t="shared" si="29"/>
        <v>0</v>
      </c>
      <c r="M277" s="311"/>
      <c r="N277" s="311"/>
      <c r="O277" s="311"/>
      <c r="P277" s="311"/>
      <c r="Q277" s="311"/>
      <c r="R277" s="311"/>
      <c r="S277" s="311"/>
      <c r="T277" s="311"/>
      <c r="U277" s="311"/>
      <c r="V277" s="409">
        <f t="shared" si="30"/>
        <v>0</v>
      </c>
      <c r="W277" s="311"/>
      <c r="X277" s="311"/>
      <c r="Y277" s="300"/>
      <c r="Z277" s="300"/>
      <c r="AA277" s="300"/>
      <c r="AB277" s="300"/>
      <c r="AC277" s="300"/>
      <c r="AD277" s="300"/>
      <c r="AE277" s="318"/>
      <c r="AF277" s="410">
        <f t="shared" si="31"/>
        <v>0</v>
      </c>
      <c r="AG277" s="300"/>
      <c r="AH277" s="300"/>
      <c r="AI277" s="303"/>
      <c r="AJ277" s="303"/>
      <c r="AK277" s="303"/>
      <c r="AL277" s="303"/>
      <c r="AM277" s="303"/>
      <c r="AN277" s="303"/>
      <c r="AO277" s="303"/>
      <c r="AP277" s="290">
        <f t="shared" si="32"/>
        <v>0</v>
      </c>
      <c r="AQ277" s="303"/>
      <c r="AR277" s="303"/>
      <c r="AS277" s="303"/>
      <c r="AT277" s="303"/>
      <c r="AU277" s="303"/>
      <c r="AV277" s="303"/>
      <c r="AW277" s="303"/>
      <c r="AX277" s="303"/>
      <c r="AY277" s="303"/>
      <c r="AZ277" s="290">
        <f t="shared" si="33"/>
        <v>0</v>
      </c>
      <c r="BA277" s="303"/>
      <c r="BB277" s="303"/>
      <c r="BC277" s="315">
        <f t="shared" si="28"/>
        <v>0</v>
      </c>
      <c r="BD277" s="316" t="str">
        <f t="shared" si="34"/>
        <v>Desierto</v>
      </c>
    </row>
    <row r="278" spans="1:56" x14ac:dyDescent="0.25">
      <c r="A278" s="308">
        <v>276</v>
      </c>
      <c r="B278" s="309" t="s">
        <v>1083</v>
      </c>
      <c r="C278" s="310" t="s">
        <v>392</v>
      </c>
      <c r="D278" s="310" t="s">
        <v>685</v>
      </c>
      <c r="E278" s="311"/>
      <c r="F278" s="311"/>
      <c r="G278" s="311"/>
      <c r="H278" s="311"/>
      <c r="I278" s="311"/>
      <c r="J278" s="311"/>
      <c r="K278" s="311"/>
      <c r="L278" s="408">
        <f t="shared" si="29"/>
        <v>0</v>
      </c>
      <c r="M278" s="311"/>
      <c r="N278" s="311"/>
      <c r="O278" s="311"/>
      <c r="P278" s="311"/>
      <c r="Q278" s="311"/>
      <c r="R278" s="311"/>
      <c r="S278" s="311"/>
      <c r="T278" s="311"/>
      <c r="U278" s="311"/>
      <c r="V278" s="409">
        <f t="shared" si="30"/>
        <v>0</v>
      </c>
      <c r="W278" s="311"/>
      <c r="X278" s="311"/>
      <c r="Y278" s="300"/>
      <c r="Z278" s="300"/>
      <c r="AA278" s="300"/>
      <c r="AB278" s="300"/>
      <c r="AC278" s="300"/>
      <c r="AD278" s="300"/>
      <c r="AE278" s="318"/>
      <c r="AF278" s="410">
        <f t="shared" si="31"/>
        <v>0</v>
      </c>
      <c r="AG278" s="300"/>
      <c r="AH278" s="300"/>
      <c r="AI278" s="303"/>
      <c r="AJ278" s="303"/>
      <c r="AK278" s="303"/>
      <c r="AL278" s="303"/>
      <c r="AM278" s="303"/>
      <c r="AN278" s="303"/>
      <c r="AO278" s="303"/>
      <c r="AP278" s="290">
        <f t="shared" si="32"/>
        <v>0</v>
      </c>
      <c r="AQ278" s="303"/>
      <c r="AR278" s="303"/>
      <c r="AS278" s="303"/>
      <c r="AT278" s="303"/>
      <c r="AU278" s="303"/>
      <c r="AV278" s="303"/>
      <c r="AW278" s="303"/>
      <c r="AX278" s="303"/>
      <c r="AY278" s="303"/>
      <c r="AZ278" s="290">
        <f t="shared" si="33"/>
        <v>0</v>
      </c>
      <c r="BA278" s="303"/>
      <c r="BB278" s="303"/>
      <c r="BC278" s="315">
        <f t="shared" si="28"/>
        <v>0</v>
      </c>
      <c r="BD278" s="316" t="str">
        <f t="shared" si="34"/>
        <v>Desierto</v>
      </c>
    </row>
    <row r="279" spans="1:56" x14ac:dyDescent="0.25">
      <c r="A279" s="324">
        <v>277</v>
      </c>
      <c r="B279" s="331" t="s">
        <v>1084</v>
      </c>
      <c r="C279" s="331" t="s">
        <v>853</v>
      </c>
      <c r="D279" s="331" t="s">
        <v>1085</v>
      </c>
      <c r="E279" s="320"/>
      <c r="F279" s="320"/>
      <c r="G279" s="320"/>
      <c r="H279" s="320"/>
      <c r="I279" s="311"/>
      <c r="J279" s="320"/>
      <c r="K279" s="320"/>
      <c r="L279" s="408">
        <f t="shared" si="29"/>
        <v>0</v>
      </c>
      <c r="M279" s="311"/>
      <c r="N279" s="320"/>
      <c r="O279" s="320"/>
      <c r="P279" s="320"/>
      <c r="Q279" s="320"/>
      <c r="R279" s="320"/>
      <c r="S279" s="320"/>
      <c r="T279" s="320"/>
      <c r="U279" s="320"/>
      <c r="V279" s="409">
        <f t="shared" si="30"/>
        <v>0</v>
      </c>
      <c r="W279" s="320"/>
      <c r="X279" s="320"/>
      <c r="Y279" s="299"/>
      <c r="Z279" s="299"/>
      <c r="AA279" s="299"/>
      <c r="AB279" s="299"/>
      <c r="AC279" s="299"/>
      <c r="AD279" s="299"/>
      <c r="AE279" s="330"/>
      <c r="AF279" s="410">
        <f t="shared" si="31"/>
        <v>0</v>
      </c>
      <c r="AG279" s="299"/>
      <c r="AH279" s="299"/>
      <c r="AI279" s="306"/>
      <c r="AJ279" s="306"/>
      <c r="AK279" s="306"/>
      <c r="AL279" s="306"/>
      <c r="AM279" s="306"/>
      <c r="AN279" s="306"/>
      <c r="AO279" s="306"/>
      <c r="AP279" s="290">
        <f t="shared" si="32"/>
        <v>0</v>
      </c>
      <c r="AQ279" s="306"/>
      <c r="AR279" s="306"/>
      <c r="AS279" s="306"/>
      <c r="AT279" s="306"/>
      <c r="AU279" s="306"/>
      <c r="AV279" s="306"/>
      <c r="AW279" s="306"/>
      <c r="AX279" s="306"/>
      <c r="AY279" s="306"/>
      <c r="AZ279" s="290">
        <f t="shared" si="33"/>
        <v>0</v>
      </c>
      <c r="BA279" s="306"/>
      <c r="BB279" s="306" t="s">
        <v>551</v>
      </c>
      <c r="BC279" s="315">
        <f t="shared" si="28"/>
        <v>0</v>
      </c>
      <c r="BD279" s="316" t="str">
        <f t="shared" si="34"/>
        <v>Desierto</v>
      </c>
    </row>
    <row r="280" spans="1:56" ht="25.5" x14ac:dyDescent="0.25">
      <c r="A280" s="308">
        <v>278</v>
      </c>
      <c r="B280" s="309" t="s">
        <v>1086</v>
      </c>
      <c r="C280" s="310" t="s">
        <v>825</v>
      </c>
      <c r="D280" s="310" t="s">
        <v>462</v>
      </c>
      <c r="E280" s="303" t="s">
        <v>510</v>
      </c>
      <c r="F280" s="303" t="s">
        <v>510</v>
      </c>
      <c r="G280" s="303" t="s">
        <v>510</v>
      </c>
      <c r="H280" s="303" t="s">
        <v>511</v>
      </c>
      <c r="I280" s="303" t="s">
        <v>510</v>
      </c>
      <c r="J280" s="303" t="s">
        <v>511</v>
      </c>
      <c r="K280" s="303">
        <v>40</v>
      </c>
      <c r="L280" s="408">
        <f t="shared" si="29"/>
        <v>40</v>
      </c>
      <c r="M280" s="303" t="s">
        <v>504</v>
      </c>
      <c r="N280" s="303"/>
      <c r="O280" s="311"/>
      <c r="P280" s="311"/>
      <c r="Q280" s="311"/>
      <c r="R280" s="311"/>
      <c r="S280" s="311"/>
      <c r="T280" s="311"/>
      <c r="U280" s="311"/>
      <c r="V280" s="409">
        <f t="shared" si="30"/>
        <v>0</v>
      </c>
      <c r="W280" s="311"/>
      <c r="X280" s="311"/>
      <c r="Y280" s="300" t="s">
        <v>510</v>
      </c>
      <c r="Z280" s="300" t="s">
        <v>510</v>
      </c>
      <c r="AA280" s="300" t="s">
        <v>1087</v>
      </c>
      <c r="AB280" s="300" t="s">
        <v>511</v>
      </c>
      <c r="AC280" s="300" t="s">
        <v>510</v>
      </c>
      <c r="AD280" s="300" t="s">
        <v>511</v>
      </c>
      <c r="AE280" s="318">
        <v>40</v>
      </c>
      <c r="AF280" s="410">
        <f t="shared" si="31"/>
        <v>40</v>
      </c>
      <c r="AG280" s="300" t="s">
        <v>504</v>
      </c>
      <c r="AH280" s="299"/>
      <c r="AI280" s="303" t="s">
        <v>510</v>
      </c>
      <c r="AJ280" s="303" t="s">
        <v>510</v>
      </c>
      <c r="AK280" s="303" t="s">
        <v>510</v>
      </c>
      <c r="AL280" s="303" t="s">
        <v>511</v>
      </c>
      <c r="AM280" s="303" t="s">
        <v>510</v>
      </c>
      <c r="AN280" s="303" t="s">
        <v>511</v>
      </c>
      <c r="AO280" s="303">
        <v>20</v>
      </c>
      <c r="AP280" s="290">
        <f t="shared" si="32"/>
        <v>20</v>
      </c>
      <c r="AQ280" s="303" t="s">
        <v>504</v>
      </c>
      <c r="AR280" s="303"/>
      <c r="AS280" s="303"/>
      <c r="AT280" s="303"/>
      <c r="AU280" s="303"/>
      <c r="AV280" s="303"/>
      <c r="AW280" s="303"/>
      <c r="AX280" s="303"/>
      <c r="AY280" s="303"/>
      <c r="AZ280" s="290">
        <f t="shared" si="33"/>
        <v>0</v>
      </c>
      <c r="BA280" s="303"/>
      <c r="BB280" s="301"/>
      <c r="BC280" s="315">
        <f t="shared" si="28"/>
        <v>3</v>
      </c>
      <c r="BD280" s="316" t="str">
        <f t="shared" si="34"/>
        <v>Habilitado</v>
      </c>
    </row>
    <row r="281" spans="1:56" x14ac:dyDescent="0.25">
      <c r="A281" s="324">
        <v>279</v>
      </c>
      <c r="B281" s="331" t="s">
        <v>1088</v>
      </c>
      <c r="C281" s="331" t="s">
        <v>1089</v>
      </c>
      <c r="D281" s="331" t="s">
        <v>123</v>
      </c>
      <c r="E281" s="306" t="s">
        <v>510</v>
      </c>
      <c r="F281" s="306" t="s">
        <v>510</v>
      </c>
      <c r="G281" s="306" t="s">
        <v>510</v>
      </c>
      <c r="H281" s="306" t="s">
        <v>511</v>
      </c>
      <c r="I281" s="303" t="s">
        <v>510</v>
      </c>
      <c r="J281" s="306" t="s">
        <v>511</v>
      </c>
      <c r="K281" s="306">
        <v>40</v>
      </c>
      <c r="L281" s="408">
        <f t="shared" si="29"/>
        <v>40</v>
      </c>
      <c r="M281" s="303" t="s">
        <v>504</v>
      </c>
      <c r="N281" s="306"/>
      <c r="O281" s="320"/>
      <c r="P281" s="320"/>
      <c r="Q281" s="320"/>
      <c r="R281" s="320"/>
      <c r="S281" s="320"/>
      <c r="T281" s="320"/>
      <c r="U281" s="320"/>
      <c r="V281" s="409">
        <f t="shared" si="30"/>
        <v>0</v>
      </c>
      <c r="W281" s="320"/>
      <c r="X281" s="320"/>
      <c r="Y281" s="299"/>
      <c r="Z281" s="299"/>
      <c r="AA281" s="299"/>
      <c r="AB281" s="299"/>
      <c r="AC281" s="299"/>
      <c r="AD281" s="299"/>
      <c r="AE281" s="330"/>
      <c r="AF281" s="410">
        <f t="shared" si="31"/>
        <v>0</v>
      </c>
      <c r="AG281" s="299"/>
      <c r="AH281" s="299"/>
      <c r="AI281" s="306"/>
      <c r="AJ281" s="306"/>
      <c r="AK281" s="306"/>
      <c r="AL281" s="306"/>
      <c r="AM281" s="306"/>
      <c r="AN281" s="306"/>
      <c r="AO281" s="306"/>
      <c r="AP281" s="290">
        <f t="shared" si="32"/>
        <v>0</v>
      </c>
      <c r="AQ281" s="306"/>
      <c r="AR281" s="306"/>
      <c r="AS281" s="306" t="s">
        <v>510</v>
      </c>
      <c r="AT281" s="306" t="s">
        <v>510</v>
      </c>
      <c r="AU281" s="306" t="s">
        <v>510</v>
      </c>
      <c r="AV281" s="306" t="s">
        <v>511</v>
      </c>
      <c r="AW281" s="303" t="s">
        <v>510</v>
      </c>
      <c r="AX281" s="306" t="s">
        <v>511</v>
      </c>
      <c r="AY281" s="306">
        <v>0</v>
      </c>
      <c r="AZ281" s="290">
        <f t="shared" si="33"/>
        <v>0</v>
      </c>
      <c r="BA281" s="303" t="s">
        <v>504</v>
      </c>
      <c r="BB281" s="306" t="s">
        <v>551</v>
      </c>
      <c r="BC281" s="315">
        <f t="shared" si="28"/>
        <v>2</v>
      </c>
      <c r="BD281" s="316" t="str">
        <f t="shared" si="34"/>
        <v>Habilitado</v>
      </c>
    </row>
    <row r="282" spans="1:56" ht="76.5" x14ac:dyDescent="0.25">
      <c r="A282" s="308">
        <v>280</v>
      </c>
      <c r="B282" s="309" t="s">
        <v>1090</v>
      </c>
      <c r="C282" s="310" t="s">
        <v>518</v>
      </c>
      <c r="D282" s="310" t="s">
        <v>140</v>
      </c>
      <c r="E282" s="303"/>
      <c r="F282" s="303"/>
      <c r="G282" s="303"/>
      <c r="H282" s="303"/>
      <c r="I282" s="303"/>
      <c r="J282" s="303"/>
      <c r="K282" s="303"/>
      <c r="L282" s="408">
        <f t="shared" si="29"/>
        <v>0</v>
      </c>
      <c r="M282" s="311"/>
      <c r="N282" s="303"/>
      <c r="O282" s="311"/>
      <c r="P282" s="311"/>
      <c r="Q282" s="311"/>
      <c r="R282" s="311"/>
      <c r="S282" s="311"/>
      <c r="T282" s="311"/>
      <c r="U282" s="311"/>
      <c r="V282" s="409">
        <f t="shared" si="30"/>
        <v>0</v>
      </c>
      <c r="W282" s="311"/>
      <c r="X282" s="311"/>
      <c r="Y282" s="300"/>
      <c r="Z282" s="300"/>
      <c r="AA282" s="300"/>
      <c r="AB282" s="300"/>
      <c r="AC282" s="300"/>
      <c r="AD282" s="300"/>
      <c r="AE282" s="318"/>
      <c r="AF282" s="410">
        <f t="shared" si="31"/>
        <v>0</v>
      </c>
      <c r="AG282" s="300"/>
      <c r="AH282" s="300"/>
      <c r="AI282" s="303"/>
      <c r="AJ282" s="303"/>
      <c r="AK282" s="303"/>
      <c r="AL282" s="303"/>
      <c r="AM282" s="303"/>
      <c r="AN282" s="303"/>
      <c r="AO282" s="303"/>
      <c r="AP282" s="290">
        <f t="shared" si="32"/>
        <v>0</v>
      </c>
      <c r="AQ282" s="303"/>
      <c r="AR282" s="303"/>
      <c r="AS282" s="303"/>
      <c r="AT282" s="303"/>
      <c r="AU282" s="303"/>
      <c r="AV282" s="303"/>
      <c r="AW282" s="303"/>
      <c r="AX282" s="303"/>
      <c r="AY282" s="303"/>
      <c r="AZ282" s="290">
        <f t="shared" si="33"/>
        <v>0</v>
      </c>
      <c r="BA282" s="303"/>
      <c r="BB282" s="303"/>
      <c r="BC282" s="315">
        <f t="shared" si="28"/>
        <v>0</v>
      </c>
      <c r="BD282" s="316" t="str">
        <f t="shared" si="34"/>
        <v>Desierto</v>
      </c>
    </row>
    <row r="283" spans="1:56" ht="38.25" x14ac:dyDescent="0.25">
      <c r="A283" s="308">
        <v>281</v>
      </c>
      <c r="B283" s="309" t="s">
        <v>1091</v>
      </c>
      <c r="C283" s="310" t="s">
        <v>1092</v>
      </c>
      <c r="D283" s="310" t="s">
        <v>1093</v>
      </c>
      <c r="E283" s="303" t="s">
        <v>510</v>
      </c>
      <c r="F283" s="303" t="s">
        <v>510</v>
      </c>
      <c r="G283" s="303" t="s">
        <v>510</v>
      </c>
      <c r="H283" s="303" t="s">
        <v>511</v>
      </c>
      <c r="I283" s="303" t="s">
        <v>510</v>
      </c>
      <c r="J283" s="303" t="s">
        <v>511</v>
      </c>
      <c r="K283" s="303">
        <v>40</v>
      </c>
      <c r="L283" s="408">
        <f t="shared" si="29"/>
        <v>40</v>
      </c>
      <c r="M283" s="303" t="s">
        <v>504</v>
      </c>
      <c r="N283" s="303"/>
      <c r="O283" s="311"/>
      <c r="P283" s="311"/>
      <c r="Q283" s="311"/>
      <c r="R283" s="311"/>
      <c r="S283" s="311"/>
      <c r="T283" s="311"/>
      <c r="U283" s="311"/>
      <c r="V283" s="409">
        <f t="shared" si="30"/>
        <v>0</v>
      </c>
      <c r="W283" s="311"/>
      <c r="X283" s="307"/>
      <c r="Y283" s="312"/>
      <c r="Z283" s="312"/>
      <c r="AA283" s="312"/>
      <c r="AB283" s="312"/>
      <c r="AC283" s="312"/>
      <c r="AD283" s="312"/>
      <c r="AE283" s="313"/>
      <c r="AF283" s="410">
        <f t="shared" si="31"/>
        <v>0</v>
      </c>
      <c r="AG283" s="312"/>
      <c r="AH283" s="312"/>
      <c r="AI283" s="303"/>
      <c r="AJ283" s="303"/>
      <c r="AK283" s="303"/>
      <c r="AL283" s="303"/>
      <c r="AM283" s="303"/>
      <c r="AN283" s="303"/>
      <c r="AO283" s="303"/>
      <c r="AP283" s="290">
        <f t="shared" si="32"/>
        <v>0</v>
      </c>
      <c r="AQ283" s="303"/>
      <c r="AR283" s="303"/>
      <c r="AS283" s="303"/>
      <c r="AT283" s="303"/>
      <c r="AU283" s="303"/>
      <c r="AV283" s="303"/>
      <c r="AW283" s="303"/>
      <c r="AX283" s="303"/>
      <c r="AY283" s="303"/>
      <c r="AZ283" s="290">
        <f t="shared" si="33"/>
        <v>0</v>
      </c>
      <c r="BA283" s="303"/>
      <c r="BB283" s="303"/>
      <c r="BC283" s="315">
        <f t="shared" si="28"/>
        <v>1</v>
      </c>
      <c r="BD283" s="316" t="str">
        <f t="shared" si="34"/>
        <v>Habilitado</v>
      </c>
    </row>
    <row r="284" spans="1:56" ht="25.5" x14ac:dyDescent="0.25">
      <c r="A284" s="308">
        <v>282</v>
      </c>
      <c r="B284" s="309" t="s">
        <v>1094</v>
      </c>
      <c r="C284" s="310" t="s">
        <v>562</v>
      </c>
      <c r="D284" s="310" t="s">
        <v>685</v>
      </c>
      <c r="E284" s="311"/>
      <c r="F284" s="311"/>
      <c r="G284" s="311"/>
      <c r="H284" s="311"/>
      <c r="I284" s="311"/>
      <c r="J284" s="311"/>
      <c r="K284" s="311"/>
      <c r="L284" s="408">
        <f t="shared" si="29"/>
        <v>0</v>
      </c>
      <c r="M284" s="311"/>
      <c r="N284" s="311"/>
      <c r="O284" s="311"/>
      <c r="P284" s="311"/>
      <c r="Q284" s="311"/>
      <c r="R284" s="311"/>
      <c r="S284" s="311"/>
      <c r="T284" s="311"/>
      <c r="U284" s="311"/>
      <c r="V284" s="409">
        <f t="shared" si="30"/>
        <v>0</v>
      </c>
      <c r="W284" s="311"/>
      <c r="X284" s="311"/>
      <c r="Y284" s="300"/>
      <c r="Z284" s="300"/>
      <c r="AA284" s="300"/>
      <c r="AB284" s="300"/>
      <c r="AC284" s="300"/>
      <c r="AD284" s="300"/>
      <c r="AE284" s="318"/>
      <c r="AF284" s="410">
        <f t="shared" si="31"/>
        <v>0</v>
      </c>
      <c r="AG284" s="300"/>
      <c r="AH284" s="300"/>
      <c r="AI284" s="303"/>
      <c r="AJ284" s="303"/>
      <c r="AK284" s="303"/>
      <c r="AL284" s="303"/>
      <c r="AM284" s="303"/>
      <c r="AN284" s="303"/>
      <c r="AO284" s="303"/>
      <c r="AP284" s="290">
        <f t="shared" si="32"/>
        <v>0</v>
      </c>
      <c r="AQ284" s="303"/>
      <c r="AR284" s="303"/>
      <c r="AS284" s="303"/>
      <c r="AT284" s="303"/>
      <c r="AU284" s="303"/>
      <c r="AV284" s="303"/>
      <c r="AW284" s="303"/>
      <c r="AX284" s="303"/>
      <c r="AY284" s="303"/>
      <c r="AZ284" s="290">
        <f t="shared" si="33"/>
        <v>0</v>
      </c>
      <c r="BA284" s="303"/>
      <c r="BB284" s="303"/>
      <c r="BC284" s="315">
        <f t="shared" si="28"/>
        <v>0</v>
      </c>
      <c r="BD284" s="316" t="str">
        <f t="shared" si="34"/>
        <v>Desierto</v>
      </c>
    </row>
    <row r="285" spans="1:56" ht="38.25" x14ac:dyDescent="0.25">
      <c r="A285" s="308">
        <v>283</v>
      </c>
      <c r="B285" s="328" t="s">
        <v>1095</v>
      </c>
      <c r="C285" s="329" t="s">
        <v>65</v>
      </c>
      <c r="D285" s="411" t="s">
        <v>123</v>
      </c>
      <c r="E285" s="303" t="s">
        <v>510</v>
      </c>
      <c r="F285" s="303" t="s">
        <v>510</v>
      </c>
      <c r="G285" s="303" t="s">
        <v>510</v>
      </c>
      <c r="H285" s="303" t="s">
        <v>511</v>
      </c>
      <c r="I285" s="303" t="s">
        <v>510</v>
      </c>
      <c r="J285" s="303" t="s">
        <v>511</v>
      </c>
      <c r="K285" s="303">
        <v>0</v>
      </c>
      <c r="L285" s="408">
        <f t="shared" si="29"/>
        <v>0</v>
      </c>
      <c r="M285" s="303" t="s">
        <v>504</v>
      </c>
      <c r="N285" s="303"/>
      <c r="O285" s="303" t="s">
        <v>510</v>
      </c>
      <c r="P285" s="303" t="s">
        <v>519</v>
      </c>
      <c r="Q285" s="303" t="s">
        <v>519</v>
      </c>
      <c r="R285" s="303" t="s">
        <v>511</v>
      </c>
      <c r="S285" s="303" t="s">
        <v>519</v>
      </c>
      <c r="T285" s="303" t="s">
        <v>511</v>
      </c>
      <c r="U285" s="303">
        <v>0</v>
      </c>
      <c r="V285" s="409">
        <f t="shared" si="30"/>
        <v>0</v>
      </c>
      <c r="W285" s="303" t="s">
        <v>520</v>
      </c>
      <c r="X285" s="303"/>
      <c r="Y285" s="300"/>
      <c r="Z285" s="300"/>
      <c r="AA285" s="300"/>
      <c r="AB285" s="300"/>
      <c r="AC285" s="300"/>
      <c r="AD285" s="300"/>
      <c r="AE285" s="318"/>
      <c r="AF285" s="410">
        <f t="shared" si="31"/>
        <v>0</v>
      </c>
      <c r="AG285" s="300"/>
      <c r="AH285" s="300"/>
      <c r="AI285" s="303"/>
      <c r="AJ285" s="303"/>
      <c r="AK285" s="303"/>
      <c r="AL285" s="303"/>
      <c r="AM285" s="303"/>
      <c r="AN285" s="303"/>
      <c r="AO285" s="303"/>
      <c r="AP285" s="290">
        <f t="shared" si="32"/>
        <v>0</v>
      </c>
      <c r="AQ285" s="303"/>
      <c r="AR285" s="303"/>
      <c r="AS285" s="303"/>
      <c r="AT285" s="303"/>
      <c r="AU285" s="303"/>
      <c r="AV285" s="303"/>
      <c r="AW285" s="303"/>
      <c r="AX285" s="303"/>
      <c r="AY285" s="303"/>
      <c r="AZ285" s="290">
        <f t="shared" si="33"/>
        <v>0</v>
      </c>
      <c r="BA285" s="303"/>
      <c r="BB285" s="303"/>
      <c r="BC285" s="315">
        <f t="shared" si="28"/>
        <v>1</v>
      </c>
      <c r="BD285" s="316" t="str">
        <f t="shared" si="34"/>
        <v>Habilitado</v>
      </c>
    </row>
    <row r="286" spans="1:56" ht="38.25" x14ac:dyDescent="0.25">
      <c r="A286" s="308">
        <v>284</v>
      </c>
      <c r="B286" s="328" t="s">
        <v>1096</v>
      </c>
      <c r="C286" s="329" t="s">
        <v>65</v>
      </c>
      <c r="D286" s="411" t="s">
        <v>123</v>
      </c>
      <c r="E286" s="303" t="s">
        <v>510</v>
      </c>
      <c r="F286" s="303" t="s">
        <v>510</v>
      </c>
      <c r="G286" s="303" t="s">
        <v>510</v>
      </c>
      <c r="H286" s="303" t="s">
        <v>511</v>
      </c>
      <c r="I286" s="303" t="s">
        <v>510</v>
      </c>
      <c r="J286" s="303" t="s">
        <v>511</v>
      </c>
      <c r="K286" s="303">
        <v>0</v>
      </c>
      <c r="L286" s="408">
        <f t="shared" si="29"/>
        <v>0</v>
      </c>
      <c r="M286" s="303" t="s">
        <v>504</v>
      </c>
      <c r="N286" s="303"/>
      <c r="O286" s="303" t="s">
        <v>510</v>
      </c>
      <c r="P286" s="303" t="s">
        <v>519</v>
      </c>
      <c r="Q286" s="303" t="s">
        <v>519</v>
      </c>
      <c r="R286" s="303" t="s">
        <v>511</v>
      </c>
      <c r="S286" s="303" t="s">
        <v>519</v>
      </c>
      <c r="T286" s="303" t="s">
        <v>511</v>
      </c>
      <c r="U286" s="303">
        <v>0</v>
      </c>
      <c r="V286" s="409">
        <f t="shared" si="30"/>
        <v>0</v>
      </c>
      <c r="W286" s="303" t="s">
        <v>520</v>
      </c>
      <c r="X286" s="303"/>
      <c r="Y286" s="300"/>
      <c r="Z286" s="300"/>
      <c r="AA286" s="300"/>
      <c r="AB286" s="300"/>
      <c r="AC286" s="300"/>
      <c r="AD286" s="300"/>
      <c r="AE286" s="318"/>
      <c r="AF286" s="410">
        <f t="shared" si="31"/>
        <v>0</v>
      </c>
      <c r="AG286" s="300"/>
      <c r="AH286" s="300"/>
      <c r="AI286" s="303"/>
      <c r="AJ286" s="303"/>
      <c r="AK286" s="303"/>
      <c r="AL286" s="303"/>
      <c r="AM286" s="303"/>
      <c r="AN286" s="303"/>
      <c r="AO286" s="303"/>
      <c r="AP286" s="290">
        <f t="shared" si="32"/>
        <v>0</v>
      </c>
      <c r="AQ286" s="303"/>
      <c r="AR286" s="303"/>
      <c r="AS286" s="303" t="s">
        <v>510</v>
      </c>
      <c r="AT286" s="303" t="s">
        <v>510</v>
      </c>
      <c r="AU286" s="303" t="s">
        <v>510</v>
      </c>
      <c r="AV286" s="303" t="s">
        <v>511</v>
      </c>
      <c r="AW286" s="303" t="s">
        <v>510</v>
      </c>
      <c r="AX286" s="303" t="s">
        <v>511</v>
      </c>
      <c r="AY286" s="303">
        <v>0</v>
      </c>
      <c r="AZ286" s="290">
        <f t="shared" si="33"/>
        <v>0</v>
      </c>
      <c r="BA286" s="303" t="s">
        <v>504</v>
      </c>
      <c r="BB286" s="303"/>
      <c r="BC286" s="315">
        <f t="shared" si="28"/>
        <v>2</v>
      </c>
      <c r="BD286" s="316" t="str">
        <f t="shared" si="34"/>
        <v>Habilitado</v>
      </c>
    </row>
    <row r="287" spans="1:56" x14ac:dyDescent="0.25">
      <c r="A287" s="308">
        <v>285</v>
      </c>
      <c r="B287" s="328" t="s">
        <v>1097</v>
      </c>
      <c r="C287" s="329" t="s">
        <v>1098</v>
      </c>
      <c r="D287" s="411" t="s">
        <v>123</v>
      </c>
      <c r="E287" s="303" t="s">
        <v>510</v>
      </c>
      <c r="F287" s="303" t="s">
        <v>510</v>
      </c>
      <c r="G287" s="303" t="s">
        <v>510</v>
      </c>
      <c r="H287" s="303" t="s">
        <v>511</v>
      </c>
      <c r="I287" s="303" t="s">
        <v>510</v>
      </c>
      <c r="J287" s="303" t="s">
        <v>511</v>
      </c>
      <c r="K287" s="303">
        <v>0</v>
      </c>
      <c r="L287" s="408">
        <f t="shared" si="29"/>
        <v>0</v>
      </c>
      <c r="M287" s="303" t="s">
        <v>504</v>
      </c>
      <c r="N287" s="303"/>
      <c r="O287" s="303"/>
      <c r="P287" s="303"/>
      <c r="Q287" s="303"/>
      <c r="R287" s="303"/>
      <c r="S287" s="303"/>
      <c r="T287" s="303"/>
      <c r="U287" s="303"/>
      <c r="V287" s="409">
        <f t="shared" si="30"/>
        <v>0</v>
      </c>
      <c r="W287" s="303"/>
      <c r="X287" s="301"/>
      <c r="Y287" s="300"/>
      <c r="Z287" s="300"/>
      <c r="AA287" s="300"/>
      <c r="AB287" s="300"/>
      <c r="AC287" s="300"/>
      <c r="AD287" s="300"/>
      <c r="AE287" s="318"/>
      <c r="AF287" s="410">
        <f t="shared" si="31"/>
        <v>0</v>
      </c>
      <c r="AG287" s="300"/>
      <c r="AH287" s="300"/>
      <c r="AI287" s="303"/>
      <c r="AJ287" s="303"/>
      <c r="AK287" s="303"/>
      <c r="AL287" s="303"/>
      <c r="AM287" s="303"/>
      <c r="AN287" s="303"/>
      <c r="AO287" s="303"/>
      <c r="AP287" s="290">
        <f t="shared" si="32"/>
        <v>0</v>
      </c>
      <c r="AQ287" s="303"/>
      <c r="AR287" s="303"/>
      <c r="AS287" s="303" t="s">
        <v>510</v>
      </c>
      <c r="AT287" s="303" t="s">
        <v>510</v>
      </c>
      <c r="AU287" s="303" t="s">
        <v>510</v>
      </c>
      <c r="AV287" s="303" t="s">
        <v>511</v>
      </c>
      <c r="AW287" s="303" t="s">
        <v>510</v>
      </c>
      <c r="AX287" s="303" t="s">
        <v>511</v>
      </c>
      <c r="AY287" s="303">
        <v>0</v>
      </c>
      <c r="AZ287" s="290">
        <f t="shared" si="33"/>
        <v>0</v>
      </c>
      <c r="BA287" s="303" t="s">
        <v>504</v>
      </c>
      <c r="BB287" s="303"/>
      <c r="BC287" s="315">
        <f t="shared" si="28"/>
        <v>2</v>
      </c>
      <c r="BD287" s="316" t="str">
        <f t="shared" si="34"/>
        <v>Habilitado</v>
      </c>
    </row>
    <row r="288" spans="1:56" ht="25.5" x14ac:dyDescent="0.25">
      <c r="A288" s="308">
        <v>286</v>
      </c>
      <c r="B288" s="309" t="s">
        <v>1099</v>
      </c>
      <c r="C288" s="310" t="s">
        <v>1100</v>
      </c>
      <c r="D288" s="310" t="s">
        <v>1101</v>
      </c>
      <c r="E288" s="303" t="s">
        <v>510</v>
      </c>
      <c r="F288" s="303" t="s">
        <v>510</v>
      </c>
      <c r="G288" s="303" t="s">
        <v>510</v>
      </c>
      <c r="H288" s="303" t="s">
        <v>511</v>
      </c>
      <c r="I288" s="303" t="s">
        <v>510</v>
      </c>
      <c r="J288" s="303" t="s">
        <v>511</v>
      </c>
      <c r="K288" s="303">
        <v>40</v>
      </c>
      <c r="L288" s="408">
        <f t="shared" si="29"/>
        <v>40</v>
      </c>
      <c r="M288" s="303" t="s">
        <v>504</v>
      </c>
      <c r="N288" s="303"/>
      <c r="O288" s="303"/>
      <c r="P288" s="303"/>
      <c r="Q288" s="303"/>
      <c r="R288" s="303"/>
      <c r="S288" s="303"/>
      <c r="T288" s="303"/>
      <c r="U288" s="303"/>
      <c r="V288" s="409">
        <f t="shared" si="30"/>
        <v>0</v>
      </c>
      <c r="W288" s="303"/>
      <c r="X288" s="303"/>
      <c r="Y288" s="312"/>
      <c r="Z288" s="312"/>
      <c r="AA288" s="312"/>
      <c r="AB288" s="312"/>
      <c r="AC288" s="312"/>
      <c r="AD288" s="312"/>
      <c r="AE288" s="313"/>
      <c r="AF288" s="410">
        <f t="shared" si="31"/>
        <v>0</v>
      </c>
      <c r="AG288" s="312"/>
      <c r="AH288" s="312"/>
      <c r="AI288" s="303"/>
      <c r="AJ288" s="303"/>
      <c r="AK288" s="303"/>
      <c r="AL288" s="303"/>
      <c r="AM288" s="303"/>
      <c r="AN288" s="303"/>
      <c r="AO288" s="303"/>
      <c r="AP288" s="290">
        <f t="shared" si="32"/>
        <v>0</v>
      </c>
      <c r="AQ288" s="303"/>
      <c r="AR288" s="303"/>
      <c r="AS288" s="303"/>
      <c r="AT288" s="303"/>
      <c r="AU288" s="303"/>
      <c r="AV288" s="303"/>
      <c r="AW288" s="303"/>
      <c r="AX288" s="303"/>
      <c r="AY288" s="303"/>
      <c r="AZ288" s="290">
        <f t="shared" si="33"/>
        <v>0</v>
      </c>
      <c r="BA288" s="303"/>
      <c r="BB288" s="303"/>
      <c r="BC288" s="315">
        <f t="shared" si="28"/>
        <v>1</v>
      </c>
      <c r="BD288" s="316" t="str">
        <f t="shared" si="34"/>
        <v>Habilitado</v>
      </c>
    </row>
    <row r="289" spans="1:56" ht="63.75" x14ac:dyDescent="0.25">
      <c r="A289" s="308">
        <v>287</v>
      </c>
      <c r="B289" s="309" t="s">
        <v>1102</v>
      </c>
      <c r="C289" s="310" t="s">
        <v>608</v>
      </c>
      <c r="D289" s="310" t="s">
        <v>1103</v>
      </c>
      <c r="E289" s="303"/>
      <c r="F289" s="303"/>
      <c r="G289" s="303"/>
      <c r="H289" s="303"/>
      <c r="I289" s="303"/>
      <c r="J289" s="303"/>
      <c r="K289" s="303"/>
      <c r="L289" s="408">
        <f t="shared" si="29"/>
        <v>0</v>
      </c>
      <c r="M289" s="311"/>
      <c r="N289" s="303"/>
      <c r="O289" s="303" t="s">
        <v>519</v>
      </c>
      <c r="P289" s="303" t="s">
        <v>519</v>
      </c>
      <c r="Q289" s="303" t="s">
        <v>519</v>
      </c>
      <c r="R289" s="303" t="s">
        <v>511</v>
      </c>
      <c r="S289" s="303" t="s">
        <v>519</v>
      </c>
      <c r="T289" s="303" t="s">
        <v>511</v>
      </c>
      <c r="U289" s="303">
        <v>0</v>
      </c>
      <c r="V289" s="409">
        <f t="shared" si="30"/>
        <v>0</v>
      </c>
      <c r="W289" s="303" t="s">
        <v>520</v>
      </c>
      <c r="X289" s="301" t="s">
        <v>1104</v>
      </c>
      <c r="Y289" s="300"/>
      <c r="Z289" s="300"/>
      <c r="AA289" s="300"/>
      <c r="AB289" s="300"/>
      <c r="AC289" s="300"/>
      <c r="AD289" s="300"/>
      <c r="AE289" s="318"/>
      <c r="AF289" s="410">
        <f t="shared" si="31"/>
        <v>0</v>
      </c>
      <c r="AG289" s="300"/>
      <c r="AH289" s="300"/>
      <c r="AI289" s="303"/>
      <c r="AJ289" s="303"/>
      <c r="AK289" s="303"/>
      <c r="AL289" s="303"/>
      <c r="AM289" s="303"/>
      <c r="AN289" s="303"/>
      <c r="AO289" s="303"/>
      <c r="AP289" s="290">
        <f t="shared" si="32"/>
        <v>0</v>
      </c>
      <c r="AQ289" s="303"/>
      <c r="AR289" s="303"/>
      <c r="AS289" s="303"/>
      <c r="AT289" s="303"/>
      <c r="AU289" s="303"/>
      <c r="AV289" s="303"/>
      <c r="AW289" s="303"/>
      <c r="AX289" s="303"/>
      <c r="AY289" s="303"/>
      <c r="AZ289" s="290">
        <f t="shared" si="33"/>
        <v>0</v>
      </c>
      <c r="BA289" s="303"/>
      <c r="BB289" s="303"/>
      <c r="BC289" s="315">
        <f t="shared" si="28"/>
        <v>0</v>
      </c>
      <c r="BD289" s="316" t="str">
        <f t="shared" si="34"/>
        <v>Desierto</v>
      </c>
    </row>
    <row r="290" spans="1:56" ht="25.5" x14ac:dyDescent="0.25">
      <c r="A290" s="308">
        <v>288</v>
      </c>
      <c r="B290" s="309" t="s">
        <v>1105</v>
      </c>
      <c r="C290" s="310" t="s">
        <v>1106</v>
      </c>
      <c r="D290" s="310" t="s">
        <v>144</v>
      </c>
      <c r="E290" s="303"/>
      <c r="F290" s="303"/>
      <c r="G290" s="303"/>
      <c r="H290" s="303"/>
      <c r="I290" s="303"/>
      <c r="J290" s="303"/>
      <c r="K290" s="303"/>
      <c r="L290" s="408">
        <f t="shared" si="29"/>
        <v>0</v>
      </c>
      <c r="M290" s="311"/>
      <c r="N290" s="303"/>
      <c r="O290" s="303"/>
      <c r="P290" s="303"/>
      <c r="Q290" s="303"/>
      <c r="R290" s="303"/>
      <c r="S290" s="303"/>
      <c r="T290" s="303"/>
      <c r="U290" s="303"/>
      <c r="V290" s="409">
        <f t="shared" si="30"/>
        <v>0</v>
      </c>
      <c r="W290" s="303"/>
      <c r="X290" s="303"/>
      <c r="Y290" s="300"/>
      <c r="Z290" s="300"/>
      <c r="AA290" s="300"/>
      <c r="AB290" s="300"/>
      <c r="AC290" s="300"/>
      <c r="AD290" s="300"/>
      <c r="AE290" s="318"/>
      <c r="AF290" s="410">
        <f t="shared" si="31"/>
        <v>0</v>
      </c>
      <c r="AG290" s="300"/>
      <c r="AH290" s="300"/>
      <c r="AI290" s="303"/>
      <c r="AJ290" s="303"/>
      <c r="AK290" s="303"/>
      <c r="AL290" s="303"/>
      <c r="AM290" s="303"/>
      <c r="AN290" s="303"/>
      <c r="AO290" s="303"/>
      <c r="AP290" s="290">
        <f t="shared" si="32"/>
        <v>0</v>
      </c>
      <c r="AQ290" s="303"/>
      <c r="AR290" s="303"/>
      <c r="AS290" s="303"/>
      <c r="AT290" s="303"/>
      <c r="AU290" s="303"/>
      <c r="AV290" s="303"/>
      <c r="AW290" s="303"/>
      <c r="AX290" s="303"/>
      <c r="AY290" s="303"/>
      <c r="AZ290" s="290">
        <f t="shared" si="33"/>
        <v>0</v>
      </c>
      <c r="BA290" s="303"/>
      <c r="BB290" s="303"/>
      <c r="BC290" s="315">
        <f t="shared" si="28"/>
        <v>0</v>
      </c>
      <c r="BD290" s="316" t="str">
        <f t="shared" si="34"/>
        <v>Desierto</v>
      </c>
    </row>
    <row r="291" spans="1:56" ht="38.25" x14ac:dyDescent="0.25">
      <c r="A291" s="308">
        <v>289</v>
      </c>
      <c r="B291" s="328" t="s">
        <v>1107</v>
      </c>
      <c r="C291" s="329" t="s">
        <v>65</v>
      </c>
      <c r="D291" s="411" t="s">
        <v>123</v>
      </c>
      <c r="E291" s="303" t="s">
        <v>510</v>
      </c>
      <c r="F291" s="303" t="s">
        <v>510</v>
      </c>
      <c r="G291" s="303" t="s">
        <v>510</v>
      </c>
      <c r="H291" s="303" t="s">
        <v>511</v>
      </c>
      <c r="I291" s="303" t="s">
        <v>510</v>
      </c>
      <c r="J291" s="303" t="s">
        <v>511</v>
      </c>
      <c r="K291" s="303">
        <v>40</v>
      </c>
      <c r="L291" s="408">
        <f t="shared" si="29"/>
        <v>40</v>
      </c>
      <c r="M291" s="303" t="s">
        <v>504</v>
      </c>
      <c r="N291" s="301"/>
      <c r="O291" s="303" t="s">
        <v>510</v>
      </c>
      <c r="P291" s="303" t="s">
        <v>510</v>
      </c>
      <c r="Q291" s="303" t="s">
        <v>519</v>
      </c>
      <c r="R291" s="303" t="s">
        <v>511</v>
      </c>
      <c r="S291" s="303" t="s">
        <v>519</v>
      </c>
      <c r="T291" s="303" t="s">
        <v>511</v>
      </c>
      <c r="U291" s="303"/>
      <c r="V291" s="409">
        <f t="shared" si="30"/>
        <v>0</v>
      </c>
      <c r="W291" s="303" t="s">
        <v>520</v>
      </c>
      <c r="X291" s="303" t="s">
        <v>1108</v>
      </c>
      <c r="Y291" s="300"/>
      <c r="Z291" s="300"/>
      <c r="AA291" s="300"/>
      <c r="AB291" s="300"/>
      <c r="AC291" s="300"/>
      <c r="AD291" s="300"/>
      <c r="AE291" s="318"/>
      <c r="AF291" s="410">
        <f t="shared" si="31"/>
        <v>0</v>
      </c>
      <c r="AG291" s="300"/>
      <c r="AH291" s="300"/>
      <c r="AI291" s="303"/>
      <c r="AJ291" s="303"/>
      <c r="AK291" s="303"/>
      <c r="AL291" s="303"/>
      <c r="AM291" s="303"/>
      <c r="AN291" s="303"/>
      <c r="AO291" s="303"/>
      <c r="AP291" s="290">
        <f t="shared" si="32"/>
        <v>0</v>
      </c>
      <c r="AQ291" s="303"/>
      <c r="AR291" s="303"/>
      <c r="AS291" s="303" t="s">
        <v>510</v>
      </c>
      <c r="AT291" s="303" t="s">
        <v>510</v>
      </c>
      <c r="AU291" s="303" t="s">
        <v>510</v>
      </c>
      <c r="AV291" s="303" t="s">
        <v>511</v>
      </c>
      <c r="AW291" s="303" t="s">
        <v>510</v>
      </c>
      <c r="AX291" s="303" t="s">
        <v>511</v>
      </c>
      <c r="AY291" s="303">
        <v>0</v>
      </c>
      <c r="AZ291" s="290">
        <f t="shared" si="33"/>
        <v>0</v>
      </c>
      <c r="BA291" s="303" t="s">
        <v>504</v>
      </c>
      <c r="BB291" s="303"/>
      <c r="BC291" s="315">
        <f t="shared" si="28"/>
        <v>2</v>
      </c>
      <c r="BD291" s="316" t="str">
        <f t="shared" si="34"/>
        <v>Habilitado</v>
      </c>
    </row>
    <row r="292" spans="1:56" ht="25.5" x14ac:dyDescent="0.25">
      <c r="A292" s="308">
        <v>290</v>
      </c>
      <c r="B292" s="328" t="s">
        <v>1109</v>
      </c>
      <c r="C292" s="331" t="s">
        <v>1098</v>
      </c>
      <c r="D292" s="411" t="s">
        <v>123</v>
      </c>
      <c r="E292" s="303" t="s">
        <v>510</v>
      </c>
      <c r="F292" s="303" t="s">
        <v>510</v>
      </c>
      <c r="G292" s="303" t="s">
        <v>510</v>
      </c>
      <c r="H292" s="303" t="s">
        <v>511</v>
      </c>
      <c r="I292" s="303" t="s">
        <v>510</v>
      </c>
      <c r="J292" s="303" t="s">
        <v>511</v>
      </c>
      <c r="K292" s="303">
        <v>40</v>
      </c>
      <c r="L292" s="408">
        <f t="shared" si="29"/>
        <v>40</v>
      </c>
      <c r="M292" s="303" t="s">
        <v>504</v>
      </c>
      <c r="N292" s="303"/>
      <c r="O292" s="303" t="s">
        <v>510</v>
      </c>
      <c r="P292" s="303" t="s">
        <v>510</v>
      </c>
      <c r="Q292" s="303" t="s">
        <v>519</v>
      </c>
      <c r="R292" s="303" t="s">
        <v>511</v>
      </c>
      <c r="S292" s="303" t="s">
        <v>519</v>
      </c>
      <c r="T292" s="303" t="s">
        <v>511</v>
      </c>
      <c r="U292" s="303">
        <v>0</v>
      </c>
      <c r="V292" s="409">
        <f t="shared" si="30"/>
        <v>0</v>
      </c>
      <c r="W292" s="303" t="s">
        <v>520</v>
      </c>
      <c r="X292" s="303"/>
      <c r="Y292" s="300"/>
      <c r="Z292" s="300"/>
      <c r="AA292" s="300"/>
      <c r="AB292" s="300"/>
      <c r="AC292" s="300"/>
      <c r="AD292" s="300"/>
      <c r="AE292" s="318"/>
      <c r="AF292" s="410">
        <f t="shared" si="31"/>
        <v>0</v>
      </c>
      <c r="AG292" s="300"/>
      <c r="AH292" s="300"/>
      <c r="AI292" s="303"/>
      <c r="AJ292" s="303"/>
      <c r="AK292" s="303"/>
      <c r="AL292" s="303"/>
      <c r="AM292" s="303"/>
      <c r="AN292" s="303"/>
      <c r="AO292" s="303"/>
      <c r="AP292" s="290">
        <f t="shared" si="32"/>
        <v>0</v>
      </c>
      <c r="AQ292" s="303"/>
      <c r="AR292" s="303"/>
      <c r="AS292" s="303" t="s">
        <v>510</v>
      </c>
      <c r="AT292" s="303" t="s">
        <v>510</v>
      </c>
      <c r="AU292" s="303" t="s">
        <v>510</v>
      </c>
      <c r="AV292" s="303" t="s">
        <v>511</v>
      </c>
      <c r="AW292" s="303" t="s">
        <v>510</v>
      </c>
      <c r="AX292" s="303" t="s">
        <v>511</v>
      </c>
      <c r="AY292" s="303">
        <v>0</v>
      </c>
      <c r="AZ292" s="290">
        <f t="shared" si="33"/>
        <v>0</v>
      </c>
      <c r="BA292" s="303" t="s">
        <v>504</v>
      </c>
      <c r="BB292" s="303"/>
      <c r="BC292" s="315">
        <f t="shared" si="28"/>
        <v>2</v>
      </c>
      <c r="BD292" s="316" t="str">
        <f t="shared" si="34"/>
        <v>Habilitado</v>
      </c>
    </row>
    <row r="293" spans="1:56" x14ac:dyDescent="0.25">
      <c r="A293" s="308">
        <v>291</v>
      </c>
      <c r="B293" s="328" t="s">
        <v>1110</v>
      </c>
      <c r="C293" s="329" t="s">
        <v>1098</v>
      </c>
      <c r="D293" s="411" t="s">
        <v>123</v>
      </c>
      <c r="E293" s="303" t="s">
        <v>510</v>
      </c>
      <c r="F293" s="303" t="s">
        <v>510</v>
      </c>
      <c r="G293" s="303" t="s">
        <v>519</v>
      </c>
      <c r="H293" s="303" t="s">
        <v>511</v>
      </c>
      <c r="I293" s="303" t="s">
        <v>510</v>
      </c>
      <c r="J293" s="303" t="s">
        <v>511</v>
      </c>
      <c r="K293" s="303">
        <v>40</v>
      </c>
      <c r="L293" s="408">
        <f t="shared" si="29"/>
        <v>40</v>
      </c>
      <c r="M293" s="303" t="s">
        <v>520</v>
      </c>
      <c r="N293" s="303" t="s">
        <v>1111</v>
      </c>
      <c r="O293" s="303" t="s">
        <v>510</v>
      </c>
      <c r="P293" s="303" t="s">
        <v>510</v>
      </c>
      <c r="Q293" s="303" t="s">
        <v>519</v>
      </c>
      <c r="R293" s="303" t="s">
        <v>511</v>
      </c>
      <c r="S293" s="303" t="s">
        <v>519</v>
      </c>
      <c r="T293" s="303" t="s">
        <v>511</v>
      </c>
      <c r="U293" s="303"/>
      <c r="V293" s="409">
        <f t="shared" si="30"/>
        <v>0</v>
      </c>
      <c r="W293" s="303" t="s">
        <v>520</v>
      </c>
      <c r="X293" s="303" t="s">
        <v>1108</v>
      </c>
      <c r="Y293" s="300"/>
      <c r="Z293" s="300"/>
      <c r="AA293" s="300"/>
      <c r="AB293" s="300"/>
      <c r="AC293" s="300"/>
      <c r="AD293" s="300"/>
      <c r="AE293" s="318"/>
      <c r="AF293" s="410">
        <f t="shared" si="31"/>
        <v>0</v>
      </c>
      <c r="AG293" s="300"/>
      <c r="AH293" s="300"/>
      <c r="AI293" s="303"/>
      <c r="AJ293" s="303"/>
      <c r="AK293" s="303"/>
      <c r="AL293" s="303"/>
      <c r="AM293" s="303"/>
      <c r="AN293" s="303"/>
      <c r="AO293" s="303"/>
      <c r="AP293" s="290">
        <f t="shared" si="32"/>
        <v>0</v>
      </c>
      <c r="AQ293" s="303"/>
      <c r="AR293" s="303"/>
      <c r="AS293" s="303" t="s">
        <v>510</v>
      </c>
      <c r="AT293" s="303" t="s">
        <v>510</v>
      </c>
      <c r="AU293" s="303" t="s">
        <v>510</v>
      </c>
      <c r="AV293" s="303" t="s">
        <v>511</v>
      </c>
      <c r="AW293" s="303" t="s">
        <v>510</v>
      </c>
      <c r="AX293" s="303" t="s">
        <v>511</v>
      </c>
      <c r="AY293" s="303">
        <v>0</v>
      </c>
      <c r="AZ293" s="290">
        <f t="shared" si="33"/>
        <v>0</v>
      </c>
      <c r="BA293" s="303" t="s">
        <v>504</v>
      </c>
      <c r="BB293" s="303"/>
      <c r="BC293" s="315">
        <f t="shared" si="28"/>
        <v>1</v>
      </c>
      <c r="BD293" s="316" t="str">
        <f t="shared" si="34"/>
        <v>Habilitado</v>
      </c>
    </row>
    <row r="294" spans="1:56" ht="25.5" x14ac:dyDescent="0.25">
      <c r="A294" s="308">
        <v>292</v>
      </c>
      <c r="B294" s="309" t="s">
        <v>1112</v>
      </c>
      <c r="C294" s="310" t="s">
        <v>1113</v>
      </c>
      <c r="D294" s="310" t="s">
        <v>46</v>
      </c>
      <c r="E294" s="311"/>
      <c r="F294" s="311"/>
      <c r="G294" s="311"/>
      <c r="H294" s="311"/>
      <c r="I294" s="311"/>
      <c r="J294" s="311"/>
      <c r="K294" s="311"/>
      <c r="L294" s="408">
        <f t="shared" si="29"/>
        <v>0</v>
      </c>
      <c r="M294" s="311"/>
      <c r="N294" s="303"/>
      <c r="O294" s="311"/>
      <c r="P294" s="311"/>
      <c r="Q294" s="311"/>
      <c r="R294" s="311"/>
      <c r="S294" s="311"/>
      <c r="T294" s="311"/>
      <c r="U294" s="311"/>
      <c r="V294" s="409">
        <f t="shared" si="30"/>
        <v>0</v>
      </c>
      <c r="W294" s="311"/>
      <c r="X294" s="311"/>
      <c r="Y294" s="300"/>
      <c r="Z294" s="300"/>
      <c r="AA294" s="300"/>
      <c r="AB294" s="300"/>
      <c r="AC294" s="300"/>
      <c r="AD294" s="300"/>
      <c r="AE294" s="318"/>
      <c r="AF294" s="410">
        <f t="shared" si="31"/>
        <v>0</v>
      </c>
      <c r="AG294" s="300"/>
      <c r="AH294" s="300"/>
      <c r="AI294" s="303"/>
      <c r="AJ294" s="303"/>
      <c r="AK294" s="303"/>
      <c r="AL294" s="303"/>
      <c r="AM294" s="303"/>
      <c r="AN294" s="303"/>
      <c r="AO294" s="303"/>
      <c r="AP294" s="290">
        <f t="shared" si="32"/>
        <v>0</v>
      </c>
      <c r="AQ294" s="303"/>
      <c r="AR294" s="303"/>
      <c r="AS294" s="303"/>
      <c r="AT294" s="303"/>
      <c r="AU294" s="303"/>
      <c r="AV294" s="303"/>
      <c r="AW294" s="303"/>
      <c r="AX294" s="303"/>
      <c r="AY294" s="303"/>
      <c r="AZ294" s="290">
        <f t="shared" si="33"/>
        <v>0</v>
      </c>
      <c r="BA294" s="303"/>
      <c r="BB294" s="303"/>
      <c r="BC294" s="315">
        <f t="shared" si="28"/>
        <v>0</v>
      </c>
      <c r="BD294" s="316" t="str">
        <f t="shared" si="34"/>
        <v>Desierto</v>
      </c>
    </row>
    <row r="295" spans="1:56" ht="25.5" x14ac:dyDescent="0.25">
      <c r="A295" s="308">
        <v>293</v>
      </c>
      <c r="B295" s="309" t="s">
        <v>1114</v>
      </c>
      <c r="C295" s="310" t="s">
        <v>1115</v>
      </c>
      <c r="D295" s="310" t="s">
        <v>46</v>
      </c>
      <c r="E295" s="311"/>
      <c r="F295" s="311"/>
      <c r="G295" s="311"/>
      <c r="H295" s="311"/>
      <c r="I295" s="311"/>
      <c r="J295" s="311"/>
      <c r="K295" s="311"/>
      <c r="L295" s="408">
        <f t="shared" si="29"/>
        <v>0</v>
      </c>
      <c r="M295" s="311"/>
      <c r="N295" s="303"/>
      <c r="O295" s="311"/>
      <c r="P295" s="311"/>
      <c r="Q295" s="311"/>
      <c r="R295" s="311"/>
      <c r="S295" s="311"/>
      <c r="T295" s="311"/>
      <c r="U295" s="311"/>
      <c r="V295" s="409">
        <f t="shared" si="30"/>
        <v>0</v>
      </c>
      <c r="W295" s="311"/>
      <c r="X295" s="311"/>
      <c r="Y295" s="300"/>
      <c r="Z295" s="300"/>
      <c r="AA295" s="300"/>
      <c r="AB295" s="300"/>
      <c r="AC295" s="300"/>
      <c r="AD295" s="300"/>
      <c r="AE295" s="318"/>
      <c r="AF295" s="410">
        <f t="shared" si="31"/>
        <v>0</v>
      </c>
      <c r="AG295" s="300"/>
      <c r="AH295" s="300"/>
      <c r="AI295" s="303"/>
      <c r="AJ295" s="303"/>
      <c r="AK295" s="303"/>
      <c r="AL295" s="303"/>
      <c r="AM295" s="303"/>
      <c r="AN295" s="303"/>
      <c r="AO295" s="303"/>
      <c r="AP295" s="290">
        <f t="shared" si="32"/>
        <v>0</v>
      </c>
      <c r="AQ295" s="303"/>
      <c r="AR295" s="303"/>
      <c r="AS295" s="303"/>
      <c r="AT295" s="303"/>
      <c r="AU295" s="303"/>
      <c r="AV295" s="303"/>
      <c r="AW295" s="303"/>
      <c r="AX295" s="303"/>
      <c r="AY295" s="303"/>
      <c r="AZ295" s="290">
        <f t="shared" si="33"/>
        <v>0</v>
      </c>
      <c r="BA295" s="303"/>
      <c r="BB295" s="303"/>
      <c r="BC295" s="315">
        <f t="shared" si="28"/>
        <v>0</v>
      </c>
      <c r="BD295" s="316" t="str">
        <f t="shared" si="34"/>
        <v>Desierto</v>
      </c>
    </row>
    <row r="296" spans="1:56" ht="63.75" x14ac:dyDescent="0.25">
      <c r="A296" s="308">
        <v>294</v>
      </c>
      <c r="B296" s="309" t="s">
        <v>1116</v>
      </c>
      <c r="C296" s="310" t="s">
        <v>1117</v>
      </c>
      <c r="D296" s="310" t="s">
        <v>1118</v>
      </c>
      <c r="E296" s="311"/>
      <c r="F296" s="311"/>
      <c r="G296" s="311"/>
      <c r="H296" s="311"/>
      <c r="I296" s="311"/>
      <c r="J296" s="311"/>
      <c r="K296" s="311"/>
      <c r="L296" s="408">
        <f t="shared" si="29"/>
        <v>0</v>
      </c>
      <c r="M296" s="311"/>
      <c r="N296" s="303"/>
      <c r="O296" s="311"/>
      <c r="P296" s="311"/>
      <c r="Q296" s="311"/>
      <c r="R296" s="311"/>
      <c r="S296" s="311"/>
      <c r="T296" s="311"/>
      <c r="U296" s="311"/>
      <c r="V296" s="409">
        <f t="shared" si="30"/>
        <v>0</v>
      </c>
      <c r="W296" s="311"/>
      <c r="X296" s="320"/>
      <c r="Y296" s="300" t="s">
        <v>510</v>
      </c>
      <c r="Z296" s="300" t="s">
        <v>510</v>
      </c>
      <c r="AA296" s="300" t="s">
        <v>510</v>
      </c>
      <c r="AB296" s="300" t="s">
        <v>511</v>
      </c>
      <c r="AC296" s="300" t="s">
        <v>510</v>
      </c>
      <c r="AD296" s="300" t="s">
        <v>511</v>
      </c>
      <c r="AE296" s="318">
        <v>40</v>
      </c>
      <c r="AF296" s="410">
        <f t="shared" si="31"/>
        <v>40</v>
      </c>
      <c r="AG296" s="300" t="s">
        <v>504</v>
      </c>
      <c r="AH296" s="300"/>
      <c r="AI296" s="303" t="s">
        <v>510</v>
      </c>
      <c r="AJ296" s="303" t="s">
        <v>510</v>
      </c>
      <c r="AK296" s="303" t="s">
        <v>510</v>
      </c>
      <c r="AL296" s="303" t="s">
        <v>511</v>
      </c>
      <c r="AM296" s="303" t="s">
        <v>510</v>
      </c>
      <c r="AN296" s="303" t="s">
        <v>511</v>
      </c>
      <c r="AO296" s="303">
        <v>20</v>
      </c>
      <c r="AP296" s="290">
        <f t="shared" si="32"/>
        <v>20</v>
      </c>
      <c r="AQ296" s="303" t="s">
        <v>504</v>
      </c>
      <c r="AR296" s="303"/>
      <c r="AS296" s="303" t="s">
        <v>510</v>
      </c>
      <c r="AT296" s="303" t="s">
        <v>510</v>
      </c>
      <c r="AU296" s="303" t="s">
        <v>510</v>
      </c>
      <c r="AV296" s="303" t="s">
        <v>511</v>
      </c>
      <c r="AW296" s="303" t="s">
        <v>510</v>
      </c>
      <c r="AX296" s="303" t="s">
        <v>511</v>
      </c>
      <c r="AY296" s="303">
        <v>0</v>
      </c>
      <c r="AZ296" s="290">
        <f t="shared" si="33"/>
        <v>0</v>
      </c>
      <c r="BA296" s="303" t="s">
        <v>504</v>
      </c>
      <c r="BB296" s="301"/>
      <c r="BC296" s="315">
        <f t="shared" si="28"/>
        <v>3</v>
      </c>
      <c r="BD296" s="316" t="str">
        <f t="shared" si="34"/>
        <v>Habilitado</v>
      </c>
    </row>
    <row r="297" spans="1:56" ht="38.25" x14ac:dyDescent="0.25">
      <c r="A297" s="308">
        <v>295</v>
      </c>
      <c r="B297" s="309" t="s">
        <v>1119</v>
      </c>
      <c r="C297" s="310" t="s">
        <v>546</v>
      </c>
      <c r="D297" s="310" t="s">
        <v>71</v>
      </c>
      <c r="E297" s="303" t="s">
        <v>510</v>
      </c>
      <c r="F297" s="303" t="s">
        <v>510</v>
      </c>
      <c r="G297" s="303" t="s">
        <v>510</v>
      </c>
      <c r="H297" s="303" t="s">
        <v>511</v>
      </c>
      <c r="I297" s="303" t="s">
        <v>510</v>
      </c>
      <c r="J297" s="303" t="s">
        <v>511</v>
      </c>
      <c r="K297" s="303">
        <v>40</v>
      </c>
      <c r="L297" s="408">
        <f t="shared" si="29"/>
        <v>40</v>
      </c>
      <c r="M297" s="303" t="s">
        <v>504</v>
      </c>
      <c r="N297" s="303"/>
      <c r="O297" s="311"/>
      <c r="P297" s="311"/>
      <c r="Q297" s="311"/>
      <c r="R297" s="311"/>
      <c r="S297" s="311"/>
      <c r="T297" s="311"/>
      <c r="U297" s="311"/>
      <c r="V297" s="409">
        <f t="shared" si="30"/>
        <v>0</v>
      </c>
      <c r="W297" s="311"/>
      <c r="X297" s="320"/>
      <c r="Y297" s="300" t="s">
        <v>510</v>
      </c>
      <c r="Z297" s="300" t="s">
        <v>510</v>
      </c>
      <c r="AA297" s="300" t="s">
        <v>510</v>
      </c>
      <c r="AB297" s="300" t="s">
        <v>511</v>
      </c>
      <c r="AC297" s="300" t="s">
        <v>510</v>
      </c>
      <c r="AD297" s="300" t="s">
        <v>511</v>
      </c>
      <c r="AE297" s="318">
        <v>40</v>
      </c>
      <c r="AF297" s="410">
        <f t="shared" si="31"/>
        <v>40</v>
      </c>
      <c r="AG297" s="300" t="s">
        <v>504</v>
      </c>
      <c r="AH297" s="300"/>
      <c r="AI297" s="303" t="s">
        <v>510</v>
      </c>
      <c r="AJ297" s="303" t="s">
        <v>510</v>
      </c>
      <c r="AK297" s="303" t="s">
        <v>510</v>
      </c>
      <c r="AL297" s="303" t="s">
        <v>511</v>
      </c>
      <c r="AM297" s="303" t="s">
        <v>510</v>
      </c>
      <c r="AN297" s="303" t="s">
        <v>511</v>
      </c>
      <c r="AO297" s="303">
        <v>20</v>
      </c>
      <c r="AP297" s="290">
        <f t="shared" si="32"/>
        <v>20</v>
      </c>
      <c r="AQ297" s="303" t="s">
        <v>504</v>
      </c>
      <c r="AR297" s="303"/>
      <c r="AS297" s="303" t="s">
        <v>510</v>
      </c>
      <c r="AT297" s="303" t="s">
        <v>510</v>
      </c>
      <c r="AU297" s="303" t="s">
        <v>510</v>
      </c>
      <c r="AV297" s="303" t="s">
        <v>511</v>
      </c>
      <c r="AW297" s="303" t="s">
        <v>510</v>
      </c>
      <c r="AX297" s="303" t="s">
        <v>511</v>
      </c>
      <c r="AY297" s="303">
        <v>0</v>
      </c>
      <c r="AZ297" s="290">
        <f t="shared" si="33"/>
        <v>0</v>
      </c>
      <c r="BA297" s="303" t="s">
        <v>504</v>
      </c>
      <c r="BB297" s="301"/>
      <c r="BC297" s="315">
        <f t="shared" si="28"/>
        <v>4</v>
      </c>
      <c r="BD297" s="316" t="str">
        <f t="shared" si="34"/>
        <v>Habilitado</v>
      </c>
    </row>
    <row r="298" spans="1:56" ht="51" x14ac:dyDescent="0.25">
      <c r="A298" s="308">
        <v>296</v>
      </c>
      <c r="B298" s="309" t="s">
        <v>1120</v>
      </c>
      <c r="C298" s="310" t="s">
        <v>1121</v>
      </c>
      <c r="D298" s="310"/>
      <c r="E298" s="303" t="s">
        <v>510</v>
      </c>
      <c r="F298" s="303" t="s">
        <v>510</v>
      </c>
      <c r="G298" s="303" t="s">
        <v>511</v>
      </c>
      <c r="H298" s="303" t="s">
        <v>511</v>
      </c>
      <c r="I298" s="303" t="s">
        <v>510</v>
      </c>
      <c r="J298" s="303" t="s">
        <v>511</v>
      </c>
      <c r="K298" s="303">
        <v>40</v>
      </c>
      <c r="L298" s="408">
        <f t="shared" si="29"/>
        <v>40</v>
      </c>
      <c r="M298" s="303" t="s">
        <v>504</v>
      </c>
      <c r="N298" s="301" t="s">
        <v>1122</v>
      </c>
      <c r="O298" s="311"/>
      <c r="P298" s="311"/>
      <c r="Q298" s="311"/>
      <c r="R298" s="311"/>
      <c r="S298" s="311"/>
      <c r="T298" s="311"/>
      <c r="U298" s="311"/>
      <c r="V298" s="409">
        <f t="shared" si="30"/>
        <v>0</v>
      </c>
      <c r="W298" s="311"/>
      <c r="X298" s="311"/>
      <c r="Y298" s="300"/>
      <c r="Z298" s="300"/>
      <c r="AA298" s="300"/>
      <c r="AB298" s="300"/>
      <c r="AC298" s="300"/>
      <c r="AD298" s="300"/>
      <c r="AE298" s="318"/>
      <c r="AF298" s="410">
        <f t="shared" si="31"/>
        <v>0</v>
      </c>
      <c r="AG298" s="300"/>
      <c r="AH298" s="300"/>
      <c r="AI298" s="303"/>
      <c r="AJ298" s="303"/>
      <c r="AK298" s="303"/>
      <c r="AL298" s="303"/>
      <c r="AM298" s="303"/>
      <c r="AN298" s="303"/>
      <c r="AO298" s="303"/>
      <c r="AP298" s="290">
        <f t="shared" si="32"/>
        <v>0</v>
      </c>
      <c r="AQ298" s="303"/>
      <c r="AR298" s="303"/>
      <c r="AS298" s="303"/>
      <c r="AT298" s="303"/>
      <c r="AU298" s="303"/>
      <c r="AV298" s="303"/>
      <c r="AW298" s="303"/>
      <c r="AX298" s="303"/>
      <c r="AY298" s="303"/>
      <c r="AZ298" s="290">
        <f t="shared" si="33"/>
        <v>0</v>
      </c>
      <c r="BA298" s="303"/>
      <c r="BB298" s="303"/>
      <c r="BC298" s="315">
        <f t="shared" si="28"/>
        <v>1</v>
      </c>
      <c r="BD298" s="316" t="str">
        <f t="shared" si="34"/>
        <v>Habilitado</v>
      </c>
    </row>
    <row r="299" spans="1:56" ht="63.75" x14ac:dyDescent="0.25">
      <c r="A299" s="308">
        <v>297</v>
      </c>
      <c r="B299" s="309" t="s">
        <v>1123</v>
      </c>
      <c r="C299" s="310" t="s">
        <v>1124</v>
      </c>
      <c r="D299" s="310"/>
      <c r="E299" s="303" t="s">
        <v>510</v>
      </c>
      <c r="F299" s="303" t="s">
        <v>510</v>
      </c>
      <c r="G299" s="303" t="s">
        <v>511</v>
      </c>
      <c r="H299" s="303" t="s">
        <v>511</v>
      </c>
      <c r="I299" s="303" t="s">
        <v>510</v>
      </c>
      <c r="J299" s="303" t="s">
        <v>511</v>
      </c>
      <c r="K299" s="303">
        <v>40</v>
      </c>
      <c r="L299" s="408">
        <f t="shared" si="29"/>
        <v>40</v>
      </c>
      <c r="M299" s="303" t="s">
        <v>504</v>
      </c>
      <c r="N299" s="301" t="s">
        <v>1122</v>
      </c>
      <c r="O299" s="311"/>
      <c r="P299" s="311"/>
      <c r="Q299" s="311"/>
      <c r="R299" s="311"/>
      <c r="S299" s="311"/>
      <c r="T299" s="311"/>
      <c r="U299" s="311"/>
      <c r="V299" s="409">
        <f t="shared" si="30"/>
        <v>0</v>
      </c>
      <c r="W299" s="311"/>
      <c r="X299" s="311"/>
      <c r="Y299" s="300"/>
      <c r="Z299" s="300"/>
      <c r="AA299" s="300"/>
      <c r="AB299" s="300"/>
      <c r="AC299" s="300"/>
      <c r="AD299" s="300"/>
      <c r="AE299" s="318"/>
      <c r="AF299" s="410">
        <f t="shared" si="31"/>
        <v>0</v>
      </c>
      <c r="AG299" s="300"/>
      <c r="AH299" s="300"/>
      <c r="AI299" s="303"/>
      <c r="AJ299" s="303"/>
      <c r="AK299" s="303"/>
      <c r="AL299" s="303"/>
      <c r="AM299" s="303"/>
      <c r="AN299" s="303"/>
      <c r="AO299" s="303"/>
      <c r="AP299" s="290">
        <f t="shared" si="32"/>
        <v>0</v>
      </c>
      <c r="AQ299" s="303"/>
      <c r="AR299" s="303"/>
      <c r="AS299" s="303"/>
      <c r="AT299" s="303"/>
      <c r="AU299" s="303"/>
      <c r="AV299" s="303"/>
      <c r="AW299" s="303"/>
      <c r="AX299" s="303"/>
      <c r="AY299" s="303"/>
      <c r="AZ299" s="290">
        <f t="shared" si="33"/>
        <v>0</v>
      </c>
      <c r="BA299" s="303"/>
      <c r="BB299" s="303"/>
      <c r="BC299" s="315">
        <f t="shared" si="28"/>
        <v>1</v>
      </c>
      <c r="BD299" s="316" t="str">
        <f t="shared" si="34"/>
        <v>Habilitado</v>
      </c>
    </row>
    <row r="300" spans="1:56" ht="63.75" x14ac:dyDescent="0.25">
      <c r="A300" s="308">
        <v>298</v>
      </c>
      <c r="B300" s="309" t="s">
        <v>1125</v>
      </c>
      <c r="C300" s="310" t="s">
        <v>1126</v>
      </c>
      <c r="D300" s="310"/>
      <c r="E300" s="303" t="s">
        <v>510</v>
      </c>
      <c r="F300" s="303" t="s">
        <v>510</v>
      </c>
      <c r="G300" s="303" t="s">
        <v>511</v>
      </c>
      <c r="H300" s="303" t="s">
        <v>511</v>
      </c>
      <c r="I300" s="303" t="s">
        <v>510</v>
      </c>
      <c r="J300" s="303" t="s">
        <v>511</v>
      </c>
      <c r="K300" s="303">
        <v>40</v>
      </c>
      <c r="L300" s="408">
        <f t="shared" si="29"/>
        <v>40</v>
      </c>
      <c r="M300" s="303" t="s">
        <v>504</v>
      </c>
      <c r="N300" s="301" t="s">
        <v>1122</v>
      </c>
      <c r="O300" s="311"/>
      <c r="P300" s="311"/>
      <c r="Q300" s="311"/>
      <c r="R300" s="311"/>
      <c r="S300" s="311"/>
      <c r="T300" s="311"/>
      <c r="U300" s="311"/>
      <c r="V300" s="409">
        <f t="shared" si="30"/>
        <v>0</v>
      </c>
      <c r="W300" s="311"/>
      <c r="X300" s="311"/>
      <c r="Y300" s="300"/>
      <c r="Z300" s="300"/>
      <c r="AA300" s="300"/>
      <c r="AB300" s="300"/>
      <c r="AC300" s="300"/>
      <c r="AD300" s="300"/>
      <c r="AE300" s="318"/>
      <c r="AF300" s="410">
        <f t="shared" si="31"/>
        <v>0</v>
      </c>
      <c r="AG300" s="300"/>
      <c r="AH300" s="300"/>
      <c r="AI300" s="303"/>
      <c r="AJ300" s="303"/>
      <c r="AK300" s="303"/>
      <c r="AL300" s="303"/>
      <c r="AM300" s="303"/>
      <c r="AN300" s="303"/>
      <c r="AO300" s="303"/>
      <c r="AP300" s="290">
        <f t="shared" si="32"/>
        <v>0</v>
      </c>
      <c r="AQ300" s="303"/>
      <c r="AR300" s="303"/>
      <c r="AS300" s="303"/>
      <c r="AT300" s="303"/>
      <c r="AU300" s="303"/>
      <c r="AV300" s="303"/>
      <c r="AW300" s="303"/>
      <c r="AX300" s="303"/>
      <c r="AY300" s="303"/>
      <c r="AZ300" s="290">
        <f t="shared" si="33"/>
        <v>0</v>
      </c>
      <c r="BA300" s="303"/>
      <c r="BB300" s="303"/>
      <c r="BC300" s="315">
        <f t="shared" si="28"/>
        <v>1</v>
      </c>
      <c r="BD300" s="316" t="str">
        <f t="shared" si="34"/>
        <v>Habilitado</v>
      </c>
    </row>
    <row r="301" spans="1:56" ht="38.25" x14ac:dyDescent="0.25">
      <c r="A301" s="308">
        <v>299</v>
      </c>
      <c r="B301" s="309" t="s">
        <v>1127</v>
      </c>
      <c r="C301" s="310" t="s">
        <v>1128</v>
      </c>
      <c r="D301" s="310"/>
      <c r="E301" s="303" t="s">
        <v>510</v>
      </c>
      <c r="F301" s="303" t="s">
        <v>510</v>
      </c>
      <c r="G301" s="303" t="s">
        <v>511</v>
      </c>
      <c r="H301" s="303" t="s">
        <v>511</v>
      </c>
      <c r="I301" s="303" t="s">
        <v>510</v>
      </c>
      <c r="J301" s="303" t="s">
        <v>511</v>
      </c>
      <c r="K301" s="303">
        <v>40</v>
      </c>
      <c r="L301" s="408">
        <f t="shared" si="29"/>
        <v>40</v>
      </c>
      <c r="M301" s="303" t="s">
        <v>504</v>
      </c>
      <c r="N301" s="301" t="s">
        <v>1122</v>
      </c>
      <c r="O301" s="311"/>
      <c r="P301" s="311"/>
      <c r="Q301" s="311"/>
      <c r="R301" s="311"/>
      <c r="S301" s="311"/>
      <c r="T301" s="311"/>
      <c r="U301" s="311"/>
      <c r="V301" s="409">
        <f t="shared" si="30"/>
        <v>0</v>
      </c>
      <c r="W301" s="311"/>
      <c r="X301" s="311"/>
      <c r="Y301" s="300"/>
      <c r="Z301" s="300"/>
      <c r="AA301" s="300"/>
      <c r="AB301" s="300"/>
      <c r="AC301" s="300"/>
      <c r="AD301" s="300"/>
      <c r="AE301" s="318"/>
      <c r="AF301" s="410">
        <f t="shared" si="31"/>
        <v>0</v>
      </c>
      <c r="AG301" s="300"/>
      <c r="AH301" s="300"/>
      <c r="AI301" s="303"/>
      <c r="AJ301" s="303"/>
      <c r="AK301" s="303"/>
      <c r="AL301" s="303"/>
      <c r="AM301" s="303"/>
      <c r="AN301" s="303"/>
      <c r="AO301" s="303"/>
      <c r="AP301" s="290">
        <f t="shared" si="32"/>
        <v>0</v>
      </c>
      <c r="AQ301" s="303"/>
      <c r="AR301" s="303"/>
      <c r="AS301" s="303"/>
      <c r="AT301" s="303"/>
      <c r="AU301" s="303"/>
      <c r="AV301" s="303"/>
      <c r="AW301" s="303"/>
      <c r="AX301" s="303"/>
      <c r="AY301" s="303"/>
      <c r="AZ301" s="290">
        <f t="shared" si="33"/>
        <v>0</v>
      </c>
      <c r="BA301" s="303"/>
      <c r="BB301" s="303"/>
      <c r="BC301" s="315">
        <f t="shared" si="28"/>
        <v>1</v>
      </c>
      <c r="BD301" s="316" t="str">
        <f t="shared" si="34"/>
        <v>Habilitado</v>
      </c>
    </row>
    <row r="302" spans="1:56" ht="25.5" customHeight="1" x14ac:dyDescent="0.25">
      <c r="A302" s="308">
        <v>300</v>
      </c>
      <c r="B302" s="309" t="s">
        <v>1129</v>
      </c>
      <c r="C302" s="310" t="s">
        <v>1130</v>
      </c>
      <c r="D302" s="310" t="s">
        <v>1131</v>
      </c>
      <c r="E302" s="311"/>
      <c r="F302" s="311"/>
      <c r="G302" s="311"/>
      <c r="H302" s="311"/>
      <c r="I302" s="311"/>
      <c r="J302" s="311"/>
      <c r="K302" s="311"/>
      <c r="L302" s="408">
        <f t="shared" si="29"/>
        <v>0</v>
      </c>
      <c r="M302" s="311"/>
      <c r="N302" s="303"/>
      <c r="O302" s="311"/>
      <c r="P302" s="311"/>
      <c r="Q302" s="311"/>
      <c r="R302" s="311"/>
      <c r="S302" s="311"/>
      <c r="T302" s="311"/>
      <c r="U302" s="311"/>
      <c r="V302" s="409">
        <f t="shared" si="30"/>
        <v>0</v>
      </c>
      <c r="W302" s="311"/>
      <c r="X302" s="311"/>
      <c r="Y302" s="300"/>
      <c r="Z302" s="300"/>
      <c r="AA302" s="300"/>
      <c r="AB302" s="300"/>
      <c r="AC302" s="300"/>
      <c r="AD302" s="300"/>
      <c r="AE302" s="318"/>
      <c r="AF302" s="410">
        <f t="shared" si="31"/>
        <v>0</v>
      </c>
      <c r="AG302" s="300"/>
      <c r="AH302" s="300"/>
      <c r="AI302" s="303"/>
      <c r="AJ302" s="303"/>
      <c r="AK302" s="303"/>
      <c r="AL302" s="303"/>
      <c r="AM302" s="303"/>
      <c r="AN302" s="303"/>
      <c r="AO302" s="303"/>
      <c r="AP302" s="290">
        <f t="shared" si="32"/>
        <v>0</v>
      </c>
      <c r="AQ302" s="303"/>
      <c r="AR302" s="303"/>
      <c r="AS302" s="303"/>
      <c r="AT302" s="303"/>
      <c r="AU302" s="303"/>
      <c r="AV302" s="303"/>
      <c r="AW302" s="303"/>
      <c r="AX302" s="303"/>
      <c r="AY302" s="303"/>
      <c r="AZ302" s="290">
        <f t="shared" si="33"/>
        <v>0</v>
      </c>
      <c r="BA302" s="303"/>
      <c r="BB302" s="303"/>
      <c r="BC302" s="315">
        <f t="shared" si="28"/>
        <v>0</v>
      </c>
      <c r="BD302" s="316" t="str">
        <f t="shared" si="34"/>
        <v>Desierto</v>
      </c>
    </row>
    <row r="303" spans="1:56" x14ac:dyDescent="0.25">
      <c r="A303" s="308">
        <v>301</v>
      </c>
      <c r="B303" s="309" t="s">
        <v>1132</v>
      </c>
      <c r="C303" s="329" t="s">
        <v>518</v>
      </c>
      <c r="D303" s="411" t="s">
        <v>1133</v>
      </c>
      <c r="E303" s="311"/>
      <c r="F303" s="311"/>
      <c r="G303" s="311"/>
      <c r="H303" s="311"/>
      <c r="I303" s="311"/>
      <c r="J303" s="311"/>
      <c r="K303" s="311"/>
      <c r="L303" s="408">
        <f t="shared" si="29"/>
        <v>0</v>
      </c>
      <c r="M303" s="311"/>
      <c r="N303" s="303"/>
      <c r="O303" s="311"/>
      <c r="P303" s="311"/>
      <c r="Q303" s="311"/>
      <c r="R303" s="311"/>
      <c r="S303" s="311"/>
      <c r="T303" s="311"/>
      <c r="U303" s="311"/>
      <c r="V303" s="409">
        <f t="shared" si="30"/>
        <v>0</v>
      </c>
      <c r="W303" s="311"/>
      <c r="X303" s="320"/>
      <c r="Y303" s="300" t="s">
        <v>510</v>
      </c>
      <c r="Z303" s="300" t="s">
        <v>510</v>
      </c>
      <c r="AA303" s="300" t="s">
        <v>510</v>
      </c>
      <c r="AB303" s="300" t="s">
        <v>511</v>
      </c>
      <c r="AC303" s="300" t="s">
        <v>510</v>
      </c>
      <c r="AD303" s="300" t="s">
        <v>511</v>
      </c>
      <c r="AE303" s="318">
        <v>40</v>
      </c>
      <c r="AF303" s="410">
        <f t="shared" si="31"/>
        <v>40</v>
      </c>
      <c r="AG303" s="300" t="s">
        <v>504</v>
      </c>
      <c r="AH303" s="300"/>
      <c r="AI303" s="303" t="s">
        <v>510</v>
      </c>
      <c r="AJ303" s="303" t="s">
        <v>510</v>
      </c>
      <c r="AK303" s="303" t="s">
        <v>510</v>
      </c>
      <c r="AL303" s="303" t="s">
        <v>511</v>
      </c>
      <c r="AM303" s="303" t="s">
        <v>510</v>
      </c>
      <c r="AN303" s="303" t="s">
        <v>511</v>
      </c>
      <c r="AO303" s="303">
        <v>20</v>
      </c>
      <c r="AP303" s="290">
        <f t="shared" si="32"/>
        <v>20</v>
      </c>
      <c r="AQ303" s="303" t="s">
        <v>504</v>
      </c>
      <c r="AR303" s="303"/>
      <c r="AS303" s="303"/>
      <c r="AT303" s="303"/>
      <c r="AU303" s="303"/>
      <c r="AV303" s="303"/>
      <c r="AW303" s="303"/>
      <c r="AX303" s="303"/>
      <c r="AY303" s="303"/>
      <c r="AZ303" s="290">
        <f t="shared" si="33"/>
        <v>0</v>
      </c>
      <c r="BA303" s="303"/>
      <c r="BB303" s="301"/>
      <c r="BC303" s="315">
        <f t="shared" si="28"/>
        <v>2</v>
      </c>
      <c r="BD303" s="316" t="str">
        <f t="shared" si="34"/>
        <v>Habilitado</v>
      </c>
    </row>
    <row r="304" spans="1:56" ht="76.5" x14ac:dyDescent="0.25">
      <c r="A304" s="308">
        <v>302</v>
      </c>
      <c r="B304" s="309" t="s">
        <v>1134</v>
      </c>
      <c r="C304" s="310" t="s">
        <v>1135</v>
      </c>
      <c r="D304" s="310" t="s">
        <v>71</v>
      </c>
      <c r="E304" s="303" t="s">
        <v>510</v>
      </c>
      <c r="F304" s="303" t="s">
        <v>510</v>
      </c>
      <c r="G304" s="303" t="s">
        <v>510</v>
      </c>
      <c r="H304" s="303" t="s">
        <v>511</v>
      </c>
      <c r="I304" s="303" t="s">
        <v>510</v>
      </c>
      <c r="J304" s="303" t="s">
        <v>511</v>
      </c>
      <c r="K304" s="303">
        <v>40</v>
      </c>
      <c r="L304" s="408">
        <f t="shared" si="29"/>
        <v>40</v>
      </c>
      <c r="M304" s="303" t="s">
        <v>504</v>
      </c>
      <c r="N304" s="303"/>
      <c r="O304" s="311"/>
      <c r="P304" s="311"/>
      <c r="Q304" s="311"/>
      <c r="R304" s="311"/>
      <c r="S304" s="311"/>
      <c r="T304" s="311"/>
      <c r="U304" s="311"/>
      <c r="V304" s="409">
        <f t="shared" si="30"/>
        <v>0</v>
      </c>
      <c r="W304" s="311"/>
      <c r="X304" s="311"/>
      <c r="Y304" s="300" t="s">
        <v>510</v>
      </c>
      <c r="Z304" s="300" t="s">
        <v>510</v>
      </c>
      <c r="AA304" s="300" t="s">
        <v>1087</v>
      </c>
      <c r="AB304" s="300" t="s">
        <v>511</v>
      </c>
      <c r="AC304" s="300" t="s">
        <v>510</v>
      </c>
      <c r="AD304" s="300" t="s">
        <v>511</v>
      </c>
      <c r="AE304" s="416">
        <v>40</v>
      </c>
      <c r="AF304" s="410">
        <f t="shared" si="31"/>
        <v>40</v>
      </c>
      <c r="AG304" s="300" t="s">
        <v>504</v>
      </c>
      <c r="AH304" s="299" t="s">
        <v>1136</v>
      </c>
      <c r="AI304" s="303"/>
      <c r="AJ304" s="303"/>
      <c r="AK304" s="303"/>
      <c r="AL304" s="303"/>
      <c r="AM304" s="303"/>
      <c r="AN304" s="303"/>
      <c r="AO304" s="303"/>
      <c r="AP304" s="290">
        <f t="shared" si="32"/>
        <v>0</v>
      </c>
      <c r="AQ304" s="303"/>
      <c r="AR304" s="303"/>
      <c r="AS304" s="303" t="s">
        <v>510</v>
      </c>
      <c r="AT304" s="303" t="s">
        <v>510</v>
      </c>
      <c r="AU304" s="303" t="s">
        <v>510</v>
      </c>
      <c r="AV304" s="303" t="s">
        <v>511</v>
      </c>
      <c r="AW304" s="303" t="s">
        <v>510</v>
      </c>
      <c r="AX304" s="303" t="s">
        <v>511</v>
      </c>
      <c r="AY304" s="303">
        <v>0</v>
      </c>
      <c r="AZ304" s="290">
        <f t="shared" si="33"/>
        <v>0</v>
      </c>
      <c r="BA304" s="303" t="s">
        <v>504</v>
      </c>
      <c r="BB304" s="303"/>
      <c r="BC304" s="315">
        <f t="shared" si="28"/>
        <v>3</v>
      </c>
      <c r="BD304" s="316" t="str">
        <f t="shared" si="34"/>
        <v>Habilitado</v>
      </c>
    </row>
    <row r="305" spans="1:56" ht="25.5" x14ac:dyDescent="0.25">
      <c r="A305" s="308">
        <v>303</v>
      </c>
      <c r="B305" s="309" t="s">
        <v>1137</v>
      </c>
      <c r="C305" s="310" t="s">
        <v>562</v>
      </c>
      <c r="D305" s="310" t="s">
        <v>685</v>
      </c>
      <c r="E305" s="303" t="s">
        <v>510</v>
      </c>
      <c r="F305" s="303" t="s">
        <v>510</v>
      </c>
      <c r="G305" s="303" t="s">
        <v>510</v>
      </c>
      <c r="H305" s="303" t="s">
        <v>511</v>
      </c>
      <c r="I305" s="303" t="s">
        <v>510</v>
      </c>
      <c r="J305" s="303" t="s">
        <v>511</v>
      </c>
      <c r="K305" s="303">
        <v>40</v>
      </c>
      <c r="L305" s="408">
        <f t="shared" si="29"/>
        <v>40</v>
      </c>
      <c r="M305" s="303" t="s">
        <v>504</v>
      </c>
      <c r="N305" s="303"/>
      <c r="O305" s="311"/>
      <c r="P305" s="311"/>
      <c r="Q305" s="311"/>
      <c r="R305" s="311"/>
      <c r="S305" s="311"/>
      <c r="T305" s="311"/>
      <c r="U305" s="311"/>
      <c r="V305" s="409">
        <f t="shared" si="30"/>
        <v>0</v>
      </c>
      <c r="W305" s="311"/>
      <c r="X305" s="311"/>
      <c r="Y305" s="300"/>
      <c r="Z305" s="300"/>
      <c r="AA305" s="300"/>
      <c r="AB305" s="300"/>
      <c r="AC305" s="300"/>
      <c r="AD305" s="300"/>
      <c r="AE305" s="318"/>
      <c r="AF305" s="410">
        <f t="shared" si="31"/>
        <v>0</v>
      </c>
      <c r="AG305" s="300"/>
      <c r="AH305" s="300"/>
      <c r="AI305" s="303"/>
      <c r="AJ305" s="303"/>
      <c r="AK305" s="303"/>
      <c r="AL305" s="303"/>
      <c r="AM305" s="303"/>
      <c r="AN305" s="303"/>
      <c r="AO305" s="303"/>
      <c r="AP305" s="290">
        <f t="shared" si="32"/>
        <v>0</v>
      </c>
      <c r="AQ305" s="303"/>
      <c r="AR305" s="303"/>
      <c r="AS305" s="303"/>
      <c r="AT305" s="303"/>
      <c r="AU305" s="303"/>
      <c r="AV305" s="303"/>
      <c r="AW305" s="303"/>
      <c r="AX305" s="303"/>
      <c r="AY305" s="303"/>
      <c r="AZ305" s="290">
        <f t="shared" si="33"/>
        <v>0</v>
      </c>
      <c r="BA305" s="303"/>
      <c r="BB305" s="303"/>
      <c r="BC305" s="315">
        <f t="shared" si="28"/>
        <v>1</v>
      </c>
      <c r="BD305" s="316" t="str">
        <f t="shared" si="34"/>
        <v>Habilitado</v>
      </c>
    </row>
    <row r="306" spans="1:56" ht="25.5" x14ac:dyDescent="0.25">
      <c r="A306" s="324">
        <v>304</v>
      </c>
      <c r="B306" s="331" t="s">
        <v>1138</v>
      </c>
      <c r="C306" s="331" t="s">
        <v>1139</v>
      </c>
      <c r="D306" s="331" t="s">
        <v>1140</v>
      </c>
      <c r="E306" s="320"/>
      <c r="F306" s="320"/>
      <c r="G306" s="320"/>
      <c r="H306" s="320"/>
      <c r="I306" s="311"/>
      <c r="J306" s="320"/>
      <c r="K306" s="320"/>
      <c r="L306" s="408">
        <f t="shared" si="29"/>
        <v>0</v>
      </c>
      <c r="M306" s="311"/>
      <c r="N306" s="320"/>
      <c r="O306" s="320"/>
      <c r="P306" s="320"/>
      <c r="Q306" s="320"/>
      <c r="R306" s="320"/>
      <c r="S306" s="320"/>
      <c r="T306" s="320"/>
      <c r="U306" s="320"/>
      <c r="V306" s="409">
        <f t="shared" si="30"/>
        <v>0</v>
      </c>
      <c r="W306" s="320"/>
      <c r="X306" s="320"/>
      <c r="Y306" s="299"/>
      <c r="Z306" s="299"/>
      <c r="AA306" s="299"/>
      <c r="AB306" s="299"/>
      <c r="AC306" s="299"/>
      <c r="AD306" s="299"/>
      <c r="AE306" s="330"/>
      <c r="AF306" s="410">
        <f t="shared" si="31"/>
        <v>0</v>
      </c>
      <c r="AG306" s="299"/>
      <c r="AH306" s="299"/>
      <c r="AI306" s="306"/>
      <c r="AJ306" s="306"/>
      <c r="AK306" s="306"/>
      <c r="AL306" s="306"/>
      <c r="AM306" s="306"/>
      <c r="AN306" s="306"/>
      <c r="AO306" s="306"/>
      <c r="AP306" s="290">
        <f t="shared" si="32"/>
        <v>0</v>
      </c>
      <c r="AQ306" s="306"/>
      <c r="AR306" s="306"/>
      <c r="AS306" s="306"/>
      <c r="AT306" s="306"/>
      <c r="AU306" s="306"/>
      <c r="AV306" s="306"/>
      <c r="AW306" s="306"/>
      <c r="AX306" s="306"/>
      <c r="AY306" s="306"/>
      <c r="AZ306" s="290">
        <f t="shared" si="33"/>
        <v>0</v>
      </c>
      <c r="BA306" s="306"/>
      <c r="BB306" s="306" t="s">
        <v>551</v>
      </c>
      <c r="BC306" s="315">
        <f t="shared" si="28"/>
        <v>0</v>
      </c>
      <c r="BD306" s="316" t="str">
        <f t="shared" si="34"/>
        <v>Desierto</v>
      </c>
    </row>
    <row r="307" spans="1:56" ht="25.5" x14ac:dyDescent="0.25">
      <c r="A307" s="308">
        <v>305</v>
      </c>
      <c r="B307" s="309" t="s">
        <v>1141</v>
      </c>
      <c r="C307" s="321" t="s">
        <v>845</v>
      </c>
      <c r="D307" s="309" t="s">
        <v>224</v>
      </c>
      <c r="E307" s="311"/>
      <c r="F307" s="311"/>
      <c r="G307" s="311"/>
      <c r="H307" s="311"/>
      <c r="I307" s="311"/>
      <c r="J307" s="311"/>
      <c r="K307" s="311"/>
      <c r="L307" s="408">
        <f t="shared" si="29"/>
        <v>0</v>
      </c>
      <c r="M307" s="311"/>
      <c r="N307" s="311"/>
      <c r="O307" s="311"/>
      <c r="P307" s="311"/>
      <c r="Q307" s="311"/>
      <c r="R307" s="311"/>
      <c r="S307" s="311"/>
      <c r="T307" s="311"/>
      <c r="U307" s="311"/>
      <c r="V307" s="409">
        <f t="shared" si="30"/>
        <v>0</v>
      </c>
      <c r="W307" s="311"/>
      <c r="X307" s="311"/>
      <c r="Y307" s="300"/>
      <c r="Z307" s="300"/>
      <c r="AA307" s="300"/>
      <c r="AB307" s="300"/>
      <c r="AC307" s="300"/>
      <c r="AD307" s="300"/>
      <c r="AE307" s="318"/>
      <c r="AF307" s="410">
        <f t="shared" si="31"/>
        <v>0</v>
      </c>
      <c r="AG307" s="300"/>
      <c r="AH307" s="300"/>
      <c r="AI307" s="303"/>
      <c r="AJ307" s="303"/>
      <c r="AK307" s="303"/>
      <c r="AL307" s="303"/>
      <c r="AM307" s="303"/>
      <c r="AN307" s="303"/>
      <c r="AO307" s="303"/>
      <c r="AP307" s="290">
        <f t="shared" si="32"/>
        <v>0</v>
      </c>
      <c r="AQ307" s="303"/>
      <c r="AR307" s="303"/>
      <c r="AS307" s="303"/>
      <c r="AT307" s="303"/>
      <c r="AU307" s="303"/>
      <c r="AV307" s="303"/>
      <c r="AW307" s="303"/>
      <c r="AX307" s="303"/>
      <c r="AY307" s="303"/>
      <c r="AZ307" s="290">
        <f t="shared" si="33"/>
        <v>0</v>
      </c>
      <c r="BA307" s="303"/>
      <c r="BB307" s="303"/>
      <c r="BC307" s="315">
        <f t="shared" si="28"/>
        <v>0</v>
      </c>
      <c r="BD307" s="316" t="str">
        <f t="shared" si="34"/>
        <v>Desierto</v>
      </c>
    </row>
    <row r="308" spans="1:56" ht="38.25" x14ac:dyDescent="0.25">
      <c r="A308" s="308">
        <v>306</v>
      </c>
      <c r="B308" s="309" t="s">
        <v>1142</v>
      </c>
      <c r="C308" s="310" t="s">
        <v>1143</v>
      </c>
      <c r="D308" s="310" t="s">
        <v>123</v>
      </c>
      <c r="E308" s="311"/>
      <c r="F308" s="311"/>
      <c r="G308" s="311"/>
      <c r="H308" s="311"/>
      <c r="I308" s="311"/>
      <c r="J308" s="311"/>
      <c r="K308" s="311"/>
      <c r="L308" s="408">
        <f t="shared" si="29"/>
        <v>0</v>
      </c>
      <c r="M308" s="311"/>
      <c r="N308" s="320"/>
      <c r="O308" s="311"/>
      <c r="P308" s="311"/>
      <c r="Q308" s="311"/>
      <c r="R308" s="311"/>
      <c r="S308" s="311"/>
      <c r="T308" s="311"/>
      <c r="U308" s="311"/>
      <c r="V308" s="409">
        <f t="shared" si="30"/>
        <v>0</v>
      </c>
      <c r="W308" s="311"/>
      <c r="X308" s="320"/>
      <c r="Y308" s="300" t="s">
        <v>510</v>
      </c>
      <c r="Z308" s="300" t="s">
        <v>510</v>
      </c>
      <c r="AA308" s="300" t="s">
        <v>510</v>
      </c>
      <c r="AB308" s="300" t="s">
        <v>511</v>
      </c>
      <c r="AC308" s="300" t="s">
        <v>510</v>
      </c>
      <c r="AD308" s="300" t="s">
        <v>511</v>
      </c>
      <c r="AE308" s="318">
        <v>40</v>
      </c>
      <c r="AF308" s="410">
        <f t="shared" si="31"/>
        <v>40</v>
      </c>
      <c r="AG308" s="300" t="s">
        <v>504</v>
      </c>
      <c r="AH308" s="300"/>
      <c r="AI308" s="303" t="s">
        <v>510</v>
      </c>
      <c r="AJ308" s="303" t="s">
        <v>510</v>
      </c>
      <c r="AK308" s="303" t="s">
        <v>510</v>
      </c>
      <c r="AL308" s="303" t="s">
        <v>511</v>
      </c>
      <c r="AM308" s="303" t="s">
        <v>510</v>
      </c>
      <c r="AN308" s="303" t="s">
        <v>511</v>
      </c>
      <c r="AO308" s="303">
        <v>20</v>
      </c>
      <c r="AP308" s="290">
        <f t="shared" si="32"/>
        <v>20</v>
      </c>
      <c r="AQ308" s="303" t="s">
        <v>504</v>
      </c>
      <c r="AR308" s="301"/>
      <c r="AS308" s="303"/>
      <c r="AT308" s="303"/>
      <c r="AU308" s="303"/>
      <c r="AV308" s="303"/>
      <c r="AW308" s="303"/>
      <c r="AX308" s="303"/>
      <c r="AY308" s="303"/>
      <c r="AZ308" s="290">
        <f t="shared" si="33"/>
        <v>0</v>
      </c>
      <c r="BA308" s="303"/>
      <c r="BB308" s="301"/>
      <c r="BC308" s="315">
        <f t="shared" si="28"/>
        <v>2</v>
      </c>
      <c r="BD308" s="316" t="str">
        <f t="shared" si="34"/>
        <v>Habilitado</v>
      </c>
    </row>
    <row r="309" spans="1:56" ht="25.5" x14ac:dyDescent="0.25">
      <c r="A309" s="308">
        <v>307</v>
      </c>
      <c r="B309" s="309" t="s">
        <v>1144</v>
      </c>
      <c r="C309" s="310" t="s">
        <v>1145</v>
      </c>
      <c r="D309" s="310" t="s">
        <v>1146</v>
      </c>
      <c r="E309" s="311"/>
      <c r="F309" s="311"/>
      <c r="G309" s="311"/>
      <c r="H309" s="311"/>
      <c r="I309" s="311"/>
      <c r="J309" s="311"/>
      <c r="K309" s="311"/>
      <c r="L309" s="408">
        <f t="shared" si="29"/>
        <v>0</v>
      </c>
      <c r="M309" s="311"/>
      <c r="N309" s="311"/>
      <c r="O309" s="311"/>
      <c r="P309" s="311"/>
      <c r="Q309" s="311"/>
      <c r="R309" s="311"/>
      <c r="S309" s="311"/>
      <c r="T309" s="311"/>
      <c r="U309" s="311"/>
      <c r="V309" s="409">
        <f t="shared" si="30"/>
        <v>0</v>
      </c>
      <c r="W309" s="311"/>
      <c r="X309" s="311"/>
      <c r="Y309" s="300"/>
      <c r="Z309" s="300"/>
      <c r="AA309" s="300"/>
      <c r="AB309" s="300"/>
      <c r="AC309" s="300"/>
      <c r="AD309" s="300"/>
      <c r="AE309" s="318"/>
      <c r="AF309" s="410">
        <f t="shared" si="31"/>
        <v>0</v>
      </c>
      <c r="AG309" s="300"/>
      <c r="AH309" s="300"/>
      <c r="AI309" s="303"/>
      <c r="AJ309" s="303"/>
      <c r="AK309" s="303"/>
      <c r="AL309" s="303"/>
      <c r="AM309" s="303"/>
      <c r="AN309" s="303"/>
      <c r="AO309" s="303"/>
      <c r="AP309" s="290">
        <f t="shared" si="32"/>
        <v>0</v>
      </c>
      <c r="AQ309" s="303"/>
      <c r="AR309" s="303"/>
      <c r="AS309" s="303"/>
      <c r="AT309" s="303"/>
      <c r="AU309" s="303"/>
      <c r="AV309" s="303"/>
      <c r="AW309" s="303"/>
      <c r="AX309" s="303"/>
      <c r="AY309" s="303"/>
      <c r="AZ309" s="290">
        <f t="shared" si="33"/>
        <v>0</v>
      </c>
      <c r="BA309" s="303"/>
      <c r="BB309" s="303"/>
      <c r="BC309" s="315">
        <f t="shared" si="28"/>
        <v>0</v>
      </c>
      <c r="BD309" s="316" t="str">
        <f t="shared" si="34"/>
        <v>Desierto</v>
      </c>
    </row>
    <row r="310" spans="1:56" x14ac:dyDescent="0.25">
      <c r="A310" s="324">
        <v>308</v>
      </c>
      <c r="B310" s="331" t="s">
        <v>1147</v>
      </c>
      <c r="C310" s="331" t="s">
        <v>65</v>
      </c>
      <c r="D310" s="331" t="s">
        <v>224</v>
      </c>
      <c r="E310" s="306" t="s">
        <v>510</v>
      </c>
      <c r="F310" s="306" t="s">
        <v>510</v>
      </c>
      <c r="G310" s="306" t="s">
        <v>510</v>
      </c>
      <c r="H310" s="306" t="s">
        <v>511</v>
      </c>
      <c r="I310" s="303" t="s">
        <v>510</v>
      </c>
      <c r="J310" s="306" t="s">
        <v>511</v>
      </c>
      <c r="K310" s="306">
        <v>0</v>
      </c>
      <c r="L310" s="408">
        <f t="shared" si="29"/>
        <v>0</v>
      </c>
      <c r="M310" s="303" t="s">
        <v>504</v>
      </c>
      <c r="N310" s="306" t="s">
        <v>551</v>
      </c>
      <c r="O310" s="320"/>
      <c r="P310" s="320"/>
      <c r="Q310" s="320"/>
      <c r="R310" s="320"/>
      <c r="S310" s="320"/>
      <c r="T310" s="320"/>
      <c r="U310" s="320"/>
      <c r="V310" s="409">
        <f t="shared" si="30"/>
        <v>0</v>
      </c>
      <c r="W310" s="320"/>
      <c r="X310" s="320"/>
      <c r="Y310" s="299"/>
      <c r="Z310" s="299"/>
      <c r="AA310" s="299"/>
      <c r="AB310" s="299"/>
      <c r="AC310" s="299"/>
      <c r="AD310" s="299"/>
      <c r="AE310" s="330"/>
      <c r="AF310" s="410">
        <f t="shared" si="31"/>
        <v>0</v>
      </c>
      <c r="AG310" s="299"/>
      <c r="AH310" s="299"/>
      <c r="AI310" s="306"/>
      <c r="AJ310" s="306"/>
      <c r="AK310" s="306"/>
      <c r="AL310" s="306"/>
      <c r="AM310" s="306"/>
      <c r="AN310" s="306"/>
      <c r="AO310" s="306"/>
      <c r="AP310" s="290">
        <f t="shared" si="32"/>
        <v>0</v>
      </c>
      <c r="AQ310" s="306"/>
      <c r="AR310" s="306"/>
      <c r="AS310" s="306"/>
      <c r="AT310" s="306"/>
      <c r="AU310" s="306"/>
      <c r="AV310" s="306"/>
      <c r="AW310" s="306"/>
      <c r="AX310" s="306"/>
      <c r="AY310" s="306"/>
      <c r="AZ310" s="290">
        <f t="shared" si="33"/>
        <v>0</v>
      </c>
      <c r="BA310" s="306"/>
      <c r="BB310" s="306" t="s">
        <v>551</v>
      </c>
      <c r="BC310" s="315">
        <f t="shared" si="28"/>
        <v>1</v>
      </c>
      <c r="BD310" s="316" t="str">
        <f t="shared" si="34"/>
        <v>Habilitado</v>
      </c>
    </row>
    <row r="311" spans="1:56" ht="63.75" x14ac:dyDescent="0.25">
      <c r="A311" s="308">
        <v>309</v>
      </c>
      <c r="B311" s="309" t="s">
        <v>1148</v>
      </c>
      <c r="C311" s="310" t="s">
        <v>744</v>
      </c>
      <c r="D311" s="310" t="s">
        <v>46</v>
      </c>
      <c r="E311" s="311"/>
      <c r="F311" s="311"/>
      <c r="G311" s="311"/>
      <c r="H311" s="311"/>
      <c r="I311" s="311"/>
      <c r="J311" s="311"/>
      <c r="K311" s="311"/>
      <c r="L311" s="408">
        <f t="shared" si="29"/>
        <v>0</v>
      </c>
      <c r="M311" s="311"/>
      <c r="N311" s="311"/>
      <c r="O311" s="311"/>
      <c r="P311" s="311"/>
      <c r="Q311" s="311"/>
      <c r="R311" s="311"/>
      <c r="S311" s="311"/>
      <c r="T311" s="311"/>
      <c r="U311" s="311"/>
      <c r="V311" s="409">
        <f t="shared" si="30"/>
        <v>0</v>
      </c>
      <c r="W311" s="311"/>
      <c r="X311" s="311"/>
      <c r="Y311" s="300"/>
      <c r="Z311" s="300"/>
      <c r="AA311" s="300"/>
      <c r="AB311" s="300"/>
      <c r="AC311" s="300"/>
      <c r="AD311" s="300"/>
      <c r="AE311" s="318"/>
      <c r="AF311" s="410">
        <f t="shared" si="31"/>
        <v>0</v>
      </c>
      <c r="AG311" s="300"/>
      <c r="AH311" s="300"/>
      <c r="AI311" s="303"/>
      <c r="AJ311" s="303"/>
      <c r="AK311" s="303"/>
      <c r="AL311" s="303"/>
      <c r="AM311" s="303"/>
      <c r="AN311" s="303"/>
      <c r="AO311" s="303"/>
      <c r="AP311" s="290">
        <f t="shared" si="32"/>
        <v>0</v>
      </c>
      <c r="AQ311" s="303"/>
      <c r="AR311" s="303"/>
      <c r="AS311" s="303"/>
      <c r="AT311" s="303"/>
      <c r="AU311" s="303"/>
      <c r="AV311" s="303"/>
      <c r="AW311" s="303"/>
      <c r="AX311" s="303"/>
      <c r="AY311" s="303"/>
      <c r="AZ311" s="290">
        <f t="shared" si="33"/>
        <v>0</v>
      </c>
      <c r="BA311" s="303"/>
      <c r="BB311" s="303"/>
      <c r="BC311" s="315">
        <f t="shared" si="28"/>
        <v>0</v>
      </c>
      <c r="BD311" s="316" t="str">
        <f t="shared" si="34"/>
        <v>Desierto</v>
      </c>
    </row>
    <row r="312" spans="1:56" ht="38.25" x14ac:dyDescent="0.25">
      <c r="A312" s="308">
        <v>310</v>
      </c>
      <c r="B312" s="309" t="s">
        <v>1149</v>
      </c>
      <c r="C312" s="310" t="s">
        <v>1150</v>
      </c>
      <c r="D312" s="310" t="s">
        <v>1151</v>
      </c>
      <c r="E312" s="311"/>
      <c r="F312" s="311"/>
      <c r="G312" s="311"/>
      <c r="H312" s="311"/>
      <c r="I312" s="311"/>
      <c r="J312" s="311"/>
      <c r="K312" s="311"/>
      <c r="L312" s="408">
        <f t="shared" si="29"/>
        <v>0</v>
      </c>
      <c r="M312" s="311"/>
      <c r="N312" s="311"/>
      <c r="O312" s="311"/>
      <c r="P312" s="311"/>
      <c r="Q312" s="311"/>
      <c r="R312" s="311"/>
      <c r="S312" s="311"/>
      <c r="T312" s="311"/>
      <c r="U312" s="311"/>
      <c r="V312" s="409">
        <f t="shared" si="30"/>
        <v>0</v>
      </c>
      <c r="W312" s="311"/>
      <c r="X312" s="311"/>
      <c r="Y312" s="300"/>
      <c r="Z312" s="300"/>
      <c r="AA312" s="300"/>
      <c r="AB312" s="300"/>
      <c r="AC312" s="300"/>
      <c r="AD312" s="300"/>
      <c r="AE312" s="318"/>
      <c r="AF312" s="410">
        <f t="shared" si="31"/>
        <v>0</v>
      </c>
      <c r="AG312" s="300"/>
      <c r="AH312" s="300"/>
      <c r="AI312" s="303"/>
      <c r="AJ312" s="303"/>
      <c r="AK312" s="303"/>
      <c r="AL312" s="303"/>
      <c r="AM312" s="303"/>
      <c r="AN312" s="303"/>
      <c r="AO312" s="303"/>
      <c r="AP312" s="290">
        <f t="shared" si="32"/>
        <v>0</v>
      </c>
      <c r="AQ312" s="303"/>
      <c r="AR312" s="303"/>
      <c r="AS312" s="303"/>
      <c r="AT312" s="303"/>
      <c r="AU312" s="303"/>
      <c r="AV312" s="303"/>
      <c r="AW312" s="303"/>
      <c r="AX312" s="303"/>
      <c r="AY312" s="303"/>
      <c r="AZ312" s="290">
        <f t="shared" si="33"/>
        <v>0</v>
      </c>
      <c r="BA312" s="303"/>
      <c r="BB312" s="303"/>
      <c r="BC312" s="315">
        <f t="shared" si="28"/>
        <v>0</v>
      </c>
      <c r="BD312" s="316" t="str">
        <f t="shared" si="34"/>
        <v>Desierto</v>
      </c>
    </row>
    <row r="313" spans="1:56" ht="25.5" x14ac:dyDescent="0.25">
      <c r="A313" s="308">
        <v>311</v>
      </c>
      <c r="B313" s="309" t="s">
        <v>1152</v>
      </c>
      <c r="C313" s="310"/>
      <c r="D313" s="310" t="s">
        <v>1151</v>
      </c>
      <c r="E313" s="311"/>
      <c r="F313" s="311"/>
      <c r="G313" s="311"/>
      <c r="H313" s="311"/>
      <c r="I313" s="311"/>
      <c r="J313" s="311"/>
      <c r="K313" s="311"/>
      <c r="L313" s="408">
        <f t="shared" si="29"/>
        <v>0</v>
      </c>
      <c r="M313" s="311"/>
      <c r="N313" s="311"/>
      <c r="O313" s="311"/>
      <c r="P313" s="311"/>
      <c r="Q313" s="311"/>
      <c r="R313" s="311"/>
      <c r="S313" s="311"/>
      <c r="T313" s="311"/>
      <c r="U313" s="311"/>
      <c r="V313" s="409">
        <f t="shared" si="30"/>
        <v>0</v>
      </c>
      <c r="W313" s="311"/>
      <c r="X313" s="311"/>
      <c r="Y313" s="300"/>
      <c r="Z313" s="300"/>
      <c r="AA313" s="300"/>
      <c r="AB313" s="300"/>
      <c r="AC313" s="300"/>
      <c r="AD313" s="300"/>
      <c r="AE313" s="318"/>
      <c r="AF313" s="410">
        <f t="shared" si="31"/>
        <v>0</v>
      </c>
      <c r="AG313" s="300"/>
      <c r="AH313" s="300"/>
      <c r="AI313" s="303"/>
      <c r="AJ313" s="303"/>
      <c r="AK313" s="303"/>
      <c r="AL313" s="303"/>
      <c r="AM313" s="303"/>
      <c r="AN313" s="303"/>
      <c r="AO313" s="303"/>
      <c r="AP313" s="290">
        <f t="shared" si="32"/>
        <v>0</v>
      </c>
      <c r="AQ313" s="303"/>
      <c r="AR313" s="303"/>
      <c r="AS313" s="303"/>
      <c r="AT313" s="303"/>
      <c r="AU313" s="303"/>
      <c r="AV313" s="303"/>
      <c r="AW313" s="303"/>
      <c r="AX313" s="303"/>
      <c r="AY313" s="303"/>
      <c r="AZ313" s="290">
        <f t="shared" si="33"/>
        <v>0</v>
      </c>
      <c r="BA313" s="303"/>
      <c r="BB313" s="303"/>
      <c r="BC313" s="315">
        <f t="shared" si="28"/>
        <v>0</v>
      </c>
      <c r="BD313" s="316" t="str">
        <f t="shared" si="34"/>
        <v>Desierto</v>
      </c>
    </row>
    <row r="314" spans="1:56" ht="25.5" x14ac:dyDescent="0.25">
      <c r="A314" s="308">
        <v>312</v>
      </c>
      <c r="B314" s="309" t="s">
        <v>1153</v>
      </c>
      <c r="C314" s="310" t="s">
        <v>1154</v>
      </c>
      <c r="D314" s="310" t="s">
        <v>1155</v>
      </c>
      <c r="E314" s="311"/>
      <c r="F314" s="311"/>
      <c r="G314" s="311"/>
      <c r="H314" s="311"/>
      <c r="I314" s="311"/>
      <c r="J314" s="311"/>
      <c r="K314" s="311"/>
      <c r="L314" s="408">
        <f t="shared" si="29"/>
        <v>0</v>
      </c>
      <c r="M314" s="311"/>
      <c r="N314" s="311"/>
      <c r="O314" s="311"/>
      <c r="P314" s="311"/>
      <c r="Q314" s="311"/>
      <c r="R314" s="311"/>
      <c r="S314" s="311"/>
      <c r="T314" s="311"/>
      <c r="U314" s="311"/>
      <c r="V314" s="409">
        <f t="shared" si="30"/>
        <v>0</v>
      </c>
      <c r="W314" s="311"/>
      <c r="X314" s="311"/>
      <c r="Y314" s="312"/>
      <c r="Z314" s="312"/>
      <c r="AA314" s="312"/>
      <c r="AB314" s="312"/>
      <c r="AC314" s="312"/>
      <c r="AD314" s="312"/>
      <c r="AE314" s="313"/>
      <c r="AF314" s="410">
        <f t="shared" si="31"/>
        <v>0</v>
      </c>
      <c r="AG314" s="312"/>
      <c r="AH314" s="312"/>
      <c r="AI314" s="303"/>
      <c r="AJ314" s="303"/>
      <c r="AK314" s="303"/>
      <c r="AL314" s="303"/>
      <c r="AM314" s="303"/>
      <c r="AN314" s="303"/>
      <c r="AO314" s="303"/>
      <c r="AP314" s="290">
        <f t="shared" si="32"/>
        <v>0</v>
      </c>
      <c r="AQ314" s="303"/>
      <c r="AR314" s="303"/>
      <c r="AS314" s="303" t="s">
        <v>510</v>
      </c>
      <c r="AT314" s="303" t="s">
        <v>510</v>
      </c>
      <c r="AU314" s="303" t="s">
        <v>510</v>
      </c>
      <c r="AV314" s="303" t="s">
        <v>511</v>
      </c>
      <c r="AW314" s="303" t="s">
        <v>510</v>
      </c>
      <c r="AX314" s="303" t="s">
        <v>511</v>
      </c>
      <c r="AY314" s="303">
        <v>0</v>
      </c>
      <c r="AZ314" s="290">
        <f t="shared" si="33"/>
        <v>0</v>
      </c>
      <c r="BA314" s="303" t="s">
        <v>504</v>
      </c>
      <c r="BB314" s="303"/>
      <c r="BC314" s="315">
        <f t="shared" si="28"/>
        <v>1</v>
      </c>
      <c r="BD314" s="316" t="str">
        <f t="shared" si="34"/>
        <v>Habilitado</v>
      </c>
    </row>
    <row r="315" spans="1:56" ht="38.25" x14ac:dyDescent="0.25">
      <c r="A315" s="308">
        <v>313</v>
      </c>
      <c r="B315" s="309" t="s">
        <v>1156</v>
      </c>
      <c r="C315" s="310" t="s">
        <v>1157</v>
      </c>
      <c r="D315" s="310" t="s">
        <v>1155</v>
      </c>
      <c r="E315" s="311"/>
      <c r="F315" s="311"/>
      <c r="G315" s="311"/>
      <c r="H315" s="311"/>
      <c r="I315" s="311"/>
      <c r="J315" s="311"/>
      <c r="K315" s="311"/>
      <c r="L315" s="408">
        <f t="shared" si="29"/>
        <v>0</v>
      </c>
      <c r="M315" s="311"/>
      <c r="N315" s="311"/>
      <c r="O315" s="311"/>
      <c r="P315" s="311"/>
      <c r="Q315" s="311"/>
      <c r="R315" s="311"/>
      <c r="S315" s="311"/>
      <c r="T315" s="311"/>
      <c r="U315" s="311"/>
      <c r="V315" s="409">
        <f t="shared" si="30"/>
        <v>0</v>
      </c>
      <c r="W315" s="311"/>
      <c r="X315" s="311"/>
      <c r="Y315" s="300"/>
      <c r="Z315" s="300"/>
      <c r="AA315" s="300"/>
      <c r="AB315" s="300"/>
      <c r="AC315" s="300"/>
      <c r="AD315" s="300"/>
      <c r="AE315" s="318"/>
      <c r="AF315" s="410">
        <f t="shared" si="31"/>
        <v>0</v>
      </c>
      <c r="AG315" s="300"/>
      <c r="AH315" s="300"/>
      <c r="AI315" s="303"/>
      <c r="AJ315" s="303"/>
      <c r="AK315" s="303"/>
      <c r="AL315" s="303"/>
      <c r="AM315" s="303"/>
      <c r="AN315" s="303"/>
      <c r="AO315" s="303"/>
      <c r="AP315" s="290">
        <f t="shared" si="32"/>
        <v>0</v>
      </c>
      <c r="AQ315" s="303"/>
      <c r="AR315" s="303"/>
      <c r="AS315" s="303" t="s">
        <v>510</v>
      </c>
      <c r="AT315" s="303" t="s">
        <v>510</v>
      </c>
      <c r="AU315" s="303" t="s">
        <v>510</v>
      </c>
      <c r="AV315" s="303" t="s">
        <v>511</v>
      </c>
      <c r="AW315" s="303" t="s">
        <v>510</v>
      </c>
      <c r="AX315" s="303" t="s">
        <v>511</v>
      </c>
      <c r="AY315" s="303">
        <v>0</v>
      </c>
      <c r="AZ315" s="290">
        <f t="shared" si="33"/>
        <v>0</v>
      </c>
      <c r="BA315" s="303" t="s">
        <v>504</v>
      </c>
      <c r="BB315" s="303"/>
      <c r="BC315" s="315">
        <f t="shared" si="28"/>
        <v>1</v>
      </c>
      <c r="BD315" s="316" t="str">
        <f t="shared" si="34"/>
        <v>Habilitado</v>
      </c>
    </row>
    <row r="316" spans="1:56" ht="38.25" x14ac:dyDescent="0.25">
      <c r="A316" s="308">
        <v>314</v>
      </c>
      <c r="B316" s="309" t="s">
        <v>1158</v>
      </c>
      <c r="C316" s="310" t="s">
        <v>1154</v>
      </c>
      <c r="D316" s="310" t="s">
        <v>1155</v>
      </c>
      <c r="E316" s="311"/>
      <c r="F316" s="311"/>
      <c r="G316" s="311"/>
      <c r="H316" s="311"/>
      <c r="I316" s="311"/>
      <c r="J316" s="311"/>
      <c r="K316" s="311"/>
      <c r="L316" s="408">
        <f t="shared" si="29"/>
        <v>0</v>
      </c>
      <c r="M316" s="311"/>
      <c r="N316" s="311"/>
      <c r="O316" s="311"/>
      <c r="P316" s="311"/>
      <c r="Q316" s="311"/>
      <c r="R316" s="311"/>
      <c r="S316" s="311"/>
      <c r="T316" s="311"/>
      <c r="U316" s="311"/>
      <c r="V316" s="409">
        <f t="shared" si="30"/>
        <v>0</v>
      </c>
      <c r="W316" s="311"/>
      <c r="X316" s="311"/>
      <c r="Y316" s="300"/>
      <c r="Z316" s="300"/>
      <c r="AA316" s="300"/>
      <c r="AB316" s="300"/>
      <c r="AC316" s="300"/>
      <c r="AD316" s="300"/>
      <c r="AE316" s="318"/>
      <c r="AF316" s="410">
        <f t="shared" si="31"/>
        <v>0</v>
      </c>
      <c r="AG316" s="300"/>
      <c r="AH316" s="300"/>
      <c r="AI316" s="303"/>
      <c r="AJ316" s="303"/>
      <c r="AK316" s="303"/>
      <c r="AL316" s="303"/>
      <c r="AM316" s="303"/>
      <c r="AN316" s="303"/>
      <c r="AO316" s="303"/>
      <c r="AP316" s="290">
        <f t="shared" si="32"/>
        <v>0</v>
      </c>
      <c r="AQ316" s="303"/>
      <c r="AR316" s="303"/>
      <c r="AS316" s="303" t="s">
        <v>510</v>
      </c>
      <c r="AT316" s="303" t="s">
        <v>510</v>
      </c>
      <c r="AU316" s="303" t="s">
        <v>510</v>
      </c>
      <c r="AV316" s="303" t="s">
        <v>511</v>
      </c>
      <c r="AW316" s="303" t="s">
        <v>510</v>
      </c>
      <c r="AX316" s="303" t="s">
        <v>511</v>
      </c>
      <c r="AY316" s="303">
        <v>0</v>
      </c>
      <c r="AZ316" s="290">
        <f t="shared" si="33"/>
        <v>0</v>
      </c>
      <c r="BA316" s="303" t="s">
        <v>504</v>
      </c>
      <c r="BB316" s="303"/>
      <c r="BC316" s="315">
        <f t="shared" si="28"/>
        <v>1</v>
      </c>
      <c r="BD316" s="316" t="str">
        <f t="shared" si="34"/>
        <v>Habilitado</v>
      </c>
    </row>
    <row r="317" spans="1:56" x14ac:dyDescent="0.25">
      <c r="A317" s="324">
        <v>315</v>
      </c>
      <c r="B317" s="331" t="s">
        <v>1159</v>
      </c>
      <c r="C317" s="331" t="s">
        <v>65</v>
      </c>
      <c r="D317" s="331" t="s">
        <v>794</v>
      </c>
      <c r="E317" s="306" t="s">
        <v>510</v>
      </c>
      <c r="F317" s="306" t="s">
        <v>510</v>
      </c>
      <c r="G317" s="306" t="s">
        <v>510</v>
      </c>
      <c r="H317" s="306" t="s">
        <v>511</v>
      </c>
      <c r="I317" s="303" t="s">
        <v>510</v>
      </c>
      <c r="J317" s="306" t="s">
        <v>511</v>
      </c>
      <c r="K317" s="306">
        <v>0</v>
      </c>
      <c r="L317" s="408">
        <f t="shared" si="29"/>
        <v>0</v>
      </c>
      <c r="M317" s="303" t="s">
        <v>504</v>
      </c>
      <c r="N317" s="306" t="s">
        <v>551</v>
      </c>
      <c r="O317" s="320"/>
      <c r="P317" s="320"/>
      <c r="Q317" s="320"/>
      <c r="R317" s="320"/>
      <c r="S317" s="320"/>
      <c r="T317" s="320"/>
      <c r="U317" s="320"/>
      <c r="V317" s="409">
        <f t="shared" si="30"/>
        <v>0</v>
      </c>
      <c r="W317" s="320"/>
      <c r="X317" s="320"/>
      <c r="Y317" s="299"/>
      <c r="Z317" s="299"/>
      <c r="AA317" s="299"/>
      <c r="AB317" s="299"/>
      <c r="AC317" s="299"/>
      <c r="AD317" s="299"/>
      <c r="AE317" s="330"/>
      <c r="AF317" s="410">
        <f t="shared" si="31"/>
        <v>0</v>
      </c>
      <c r="AG317" s="299"/>
      <c r="AH317" s="299"/>
      <c r="AI317" s="306"/>
      <c r="AJ317" s="306"/>
      <c r="AK317" s="306"/>
      <c r="AL317" s="306"/>
      <c r="AM317" s="306"/>
      <c r="AN317" s="306"/>
      <c r="AO317" s="306"/>
      <c r="AP317" s="290">
        <f t="shared" si="32"/>
        <v>0</v>
      </c>
      <c r="AQ317" s="306"/>
      <c r="AR317" s="306"/>
      <c r="AS317" s="306" t="s">
        <v>510</v>
      </c>
      <c r="AT317" s="306" t="s">
        <v>510</v>
      </c>
      <c r="AU317" s="306" t="s">
        <v>510</v>
      </c>
      <c r="AV317" s="306" t="s">
        <v>511</v>
      </c>
      <c r="AW317" s="303" t="s">
        <v>510</v>
      </c>
      <c r="AX317" s="306" t="s">
        <v>511</v>
      </c>
      <c r="AY317" s="306">
        <v>0</v>
      </c>
      <c r="AZ317" s="290">
        <f t="shared" si="33"/>
        <v>0</v>
      </c>
      <c r="BA317" s="303" t="s">
        <v>504</v>
      </c>
      <c r="BB317" s="306" t="s">
        <v>551</v>
      </c>
      <c r="BC317" s="315">
        <f t="shared" si="28"/>
        <v>2</v>
      </c>
      <c r="BD317" s="316" t="str">
        <f t="shared" si="34"/>
        <v>Habilitado</v>
      </c>
    </row>
    <row r="318" spans="1:56" x14ac:dyDescent="0.25">
      <c r="A318" s="308">
        <v>316</v>
      </c>
      <c r="B318" s="309" t="s">
        <v>1160</v>
      </c>
      <c r="C318" s="310" t="s">
        <v>1161</v>
      </c>
      <c r="D318" s="310" t="s">
        <v>123</v>
      </c>
      <c r="E318" s="303" t="s">
        <v>510</v>
      </c>
      <c r="F318" s="303" t="s">
        <v>510</v>
      </c>
      <c r="G318" s="303" t="s">
        <v>510</v>
      </c>
      <c r="H318" s="306" t="s">
        <v>511</v>
      </c>
      <c r="I318" s="303" t="s">
        <v>510</v>
      </c>
      <c r="J318" s="306" t="s">
        <v>511</v>
      </c>
      <c r="K318" s="303">
        <v>40</v>
      </c>
      <c r="L318" s="408">
        <f t="shared" si="29"/>
        <v>40</v>
      </c>
      <c r="M318" s="303" t="s">
        <v>504</v>
      </c>
      <c r="N318" s="303"/>
      <c r="O318" s="311"/>
      <c r="P318" s="311"/>
      <c r="Q318" s="311"/>
      <c r="R318" s="311"/>
      <c r="S318" s="311"/>
      <c r="T318" s="311"/>
      <c r="U318" s="311"/>
      <c r="V318" s="409">
        <f t="shared" si="30"/>
        <v>0</v>
      </c>
      <c r="W318" s="311"/>
      <c r="X318" s="311"/>
      <c r="Y318" s="312"/>
      <c r="Z318" s="312"/>
      <c r="AA318" s="312"/>
      <c r="AB318" s="312"/>
      <c r="AC318" s="312"/>
      <c r="AD318" s="312"/>
      <c r="AE318" s="313"/>
      <c r="AF318" s="410">
        <f t="shared" si="31"/>
        <v>0</v>
      </c>
      <c r="AG318" s="312"/>
      <c r="AH318" s="312"/>
      <c r="AI318" s="303"/>
      <c r="AJ318" s="303"/>
      <c r="AK318" s="303"/>
      <c r="AL318" s="303"/>
      <c r="AM318" s="303"/>
      <c r="AN318" s="303"/>
      <c r="AO318" s="303"/>
      <c r="AP318" s="290">
        <f t="shared" si="32"/>
        <v>0</v>
      </c>
      <c r="AQ318" s="303"/>
      <c r="AR318" s="303"/>
      <c r="AS318" s="303" t="s">
        <v>510</v>
      </c>
      <c r="AT318" s="303" t="s">
        <v>510</v>
      </c>
      <c r="AU318" s="303" t="s">
        <v>510</v>
      </c>
      <c r="AV318" s="303" t="s">
        <v>511</v>
      </c>
      <c r="AW318" s="303" t="s">
        <v>510</v>
      </c>
      <c r="AX318" s="303" t="s">
        <v>511</v>
      </c>
      <c r="AY318" s="303">
        <v>0</v>
      </c>
      <c r="AZ318" s="290">
        <f t="shared" si="33"/>
        <v>0</v>
      </c>
      <c r="BA318" s="303" t="s">
        <v>504</v>
      </c>
      <c r="BB318" s="303"/>
      <c r="BC318" s="315">
        <f t="shared" si="28"/>
        <v>2</v>
      </c>
      <c r="BD318" s="316" t="str">
        <f t="shared" si="34"/>
        <v>Habilitado</v>
      </c>
    </row>
    <row r="319" spans="1:56" x14ac:dyDescent="0.25">
      <c r="A319" s="308">
        <v>317</v>
      </c>
      <c r="B319" s="309" t="s">
        <v>1162</v>
      </c>
      <c r="C319" s="310" t="s">
        <v>1163</v>
      </c>
      <c r="D319" s="310" t="s">
        <v>224</v>
      </c>
      <c r="E319" s="303" t="s">
        <v>510</v>
      </c>
      <c r="F319" s="303" t="s">
        <v>510</v>
      </c>
      <c r="G319" s="303" t="s">
        <v>510</v>
      </c>
      <c r="H319" s="306" t="s">
        <v>511</v>
      </c>
      <c r="I319" s="303" t="s">
        <v>510</v>
      </c>
      <c r="J319" s="306" t="s">
        <v>511</v>
      </c>
      <c r="K319" s="303">
        <v>40</v>
      </c>
      <c r="L319" s="408">
        <f t="shared" si="29"/>
        <v>40</v>
      </c>
      <c r="M319" s="303" t="s">
        <v>504</v>
      </c>
      <c r="N319" s="303"/>
      <c r="O319" s="311"/>
      <c r="P319" s="311"/>
      <c r="Q319" s="311"/>
      <c r="R319" s="311"/>
      <c r="S319" s="311"/>
      <c r="T319" s="311"/>
      <c r="U319" s="311"/>
      <c r="V319" s="409">
        <f t="shared" si="30"/>
        <v>0</v>
      </c>
      <c r="W319" s="311"/>
      <c r="X319" s="311"/>
      <c r="Y319" s="312"/>
      <c r="Z319" s="312"/>
      <c r="AA319" s="312"/>
      <c r="AB319" s="312"/>
      <c r="AC319" s="312"/>
      <c r="AD319" s="312"/>
      <c r="AE319" s="313"/>
      <c r="AF319" s="410">
        <f t="shared" si="31"/>
        <v>0</v>
      </c>
      <c r="AG319" s="312"/>
      <c r="AH319" s="312"/>
      <c r="AI319" s="303"/>
      <c r="AJ319" s="303"/>
      <c r="AK319" s="303"/>
      <c r="AL319" s="303"/>
      <c r="AM319" s="303"/>
      <c r="AN319" s="303"/>
      <c r="AO319" s="303"/>
      <c r="AP319" s="290">
        <f t="shared" si="32"/>
        <v>0</v>
      </c>
      <c r="AQ319" s="303"/>
      <c r="AR319" s="303"/>
      <c r="AS319" s="303" t="s">
        <v>510</v>
      </c>
      <c r="AT319" s="303" t="s">
        <v>510</v>
      </c>
      <c r="AU319" s="303" t="s">
        <v>510</v>
      </c>
      <c r="AV319" s="303" t="s">
        <v>511</v>
      </c>
      <c r="AW319" s="303" t="s">
        <v>510</v>
      </c>
      <c r="AX319" s="303" t="s">
        <v>511</v>
      </c>
      <c r="AY319" s="303">
        <v>0</v>
      </c>
      <c r="AZ319" s="290">
        <f t="shared" si="33"/>
        <v>0</v>
      </c>
      <c r="BA319" s="303" t="s">
        <v>504</v>
      </c>
      <c r="BB319" s="303"/>
      <c r="BC319" s="315">
        <f t="shared" si="28"/>
        <v>2</v>
      </c>
      <c r="BD319" s="316" t="str">
        <f t="shared" si="34"/>
        <v>Habilitado</v>
      </c>
    </row>
    <row r="320" spans="1:56" ht="38.25" x14ac:dyDescent="0.25">
      <c r="A320" s="308">
        <v>318</v>
      </c>
      <c r="B320" s="309" t="s">
        <v>1164</v>
      </c>
      <c r="C320" s="310" t="s">
        <v>1165</v>
      </c>
      <c r="D320" s="310" t="s">
        <v>457</v>
      </c>
      <c r="E320" s="311"/>
      <c r="F320" s="311"/>
      <c r="G320" s="311"/>
      <c r="H320" s="311"/>
      <c r="I320" s="311"/>
      <c r="J320" s="311"/>
      <c r="K320" s="311"/>
      <c r="L320" s="408">
        <f t="shared" si="29"/>
        <v>0</v>
      </c>
      <c r="M320" s="311"/>
      <c r="N320" s="320"/>
      <c r="O320" s="311"/>
      <c r="P320" s="311"/>
      <c r="Q320" s="311"/>
      <c r="R320" s="311"/>
      <c r="S320" s="311"/>
      <c r="T320" s="311"/>
      <c r="U320" s="311"/>
      <c r="V320" s="409">
        <f t="shared" si="30"/>
        <v>0</v>
      </c>
      <c r="W320" s="311"/>
      <c r="X320" s="320"/>
      <c r="Y320" s="300" t="s">
        <v>510</v>
      </c>
      <c r="Z320" s="300" t="s">
        <v>510</v>
      </c>
      <c r="AA320" s="300" t="s">
        <v>510</v>
      </c>
      <c r="AB320" s="300" t="s">
        <v>511</v>
      </c>
      <c r="AC320" s="300" t="s">
        <v>510</v>
      </c>
      <c r="AD320" s="300" t="s">
        <v>511</v>
      </c>
      <c r="AE320" s="318">
        <v>40</v>
      </c>
      <c r="AF320" s="410">
        <f t="shared" si="31"/>
        <v>40</v>
      </c>
      <c r="AG320" s="300" t="s">
        <v>504</v>
      </c>
      <c r="AH320" s="300"/>
      <c r="AI320" s="303"/>
      <c r="AJ320" s="303"/>
      <c r="AK320" s="303"/>
      <c r="AL320" s="303"/>
      <c r="AM320" s="303"/>
      <c r="AN320" s="303"/>
      <c r="AO320" s="303"/>
      <c r="AP320" s="290">
        <f t="shared" si="32"/>
        <v>0</v>
      </c>
      <c r="AQ320" s="303"/>
      <c r="AR320" s="301"/>
      <c r="AS320" s="303"/>
      <c r="AT320" s="303"/>
      <c r="AU320" s="303"/>
      <c r="AV320" s="303"/>
      <c r="AW320" s="303"/>
      <c r="AX320" s="303"/>
      <c r="AY320" s="303"/>
      <c r="AZ320" s="290">
        <f t="shared" si="33"/>
        <v>0</v>
      </c>
      <c r="BA320" s="303"/>
      <c r="BB320" s="301"/>
      <c r="BC320" s="315">
        <f t="shared" si="28"/>
        <v>1</v>
      </c>
      <c r="BD320" s="316" t="str">
        <f t="shared" si="34"/>
        <v>Habilitado</v>
      </c>
    </row>
    <row r="321" spans="1:56" x14ac:dyDescent="0.25">
      <c r="A321" s="324">
        <v>319</v>
      </c>
      <c r="B321" s="331" t="s">
        <v>1166</v>
      </c>
      <c r="C321" s="331" t="s">
        <v>1167</v>
      </c>
      <c r="D321" s="331" t="s">
        <v>123</v>
      </c>
      <c r="E321" s="306" t="s">
        <v>510</v>
      </c>
      <c r="F321" s="306" t="s">
        <v>510</v>
      </c>
      <c r="G321" s="306" t="s">
        <v>510</v>
      </c>
      <c r="H321" s="306" t="s">
        <v>511</v>
      </c>
      <c r="I321" s="303" t="s">
        <v>510</v>
      </c>
      <c r="J321" s="306" t="s">
        <v>511</v>
      </c>
      <c r="K321" s="306">
        <v>40</v>
      </c>
      <c r="L321" s="408">
        <f t="shared" si="29"/>
        <v>40</v>
      </c>
      <c r="M321" s="303" t="s">
        <v>504</v>
      </c>
      <c r="N321" s="306" t="s">
        <v>551</v>
      </c>
      <c r="O321" s="320"/>
      <c r="P321" s="320"/>
      <c r="Q321" s="320"/>
      <c r="R321" s="320"/>
      <c r="S321" s="320"/>
      <c r="T321" s="320"/>
      <c r="U321" s="320"/>
      <c r="V321" s="409">
        <f t="shared" si="30"/>
        <v>0</v>
      </c>
      <c r="W321" s="320"/>
      <c r="X321" s="320"/>
      <c r="Y321" s="299"/>
      <c r="Z321" s="299"/>
      <c r="AA321" s="299"/>
      <c r="AB321" s="299"/>
      <c r="AC321" s="299"/>
      <c r="AD321" s="299"/>
      <c r="AE321" s="330"/>
      <c r="AF321" s="410">
        <f t="shared" si="31"/>
        <v>0</v>
      </c>
      <c r="AG321" s="299"/>
      <c r="AH321" s="299"/>
      <c r="AI321" s="306"/>
      <c r="AJ321" s="306"/>
      <c r="AK321" s="306"/>
      <c r="AL321" s="306"/>
      <c r="AM321" s="306"/>
      <c r="AN321" s="306"/>
      <c r="AO321" s="306"/>
      <c r="AP321" s="290">
        <f t="shared" si="32"/>
        <v>0</v>
      </c>
      <c r="AQ321" s="306"/>
      <c r="AR321" s="303"/>
      <c r="AS321" s="306"/>
      <c r="AT321" s="306"/>
      <c r="AU321" s="306"/>
      <c r="AV321" s="306"/>
      <c r="AW321" s="306"/>
      <c r="AX321" s="306"/>
      <c r="AY321" s="306"/>
      <c r="AZ321" s="290">
        <f t="shared" si="33"/>
        <v>0</v>
      </c>
      <c r="BA321" s="306"/>
      <c r="BB321" s="306" t="s">
        <v>551</v>
      </c>
      <c r="BC321" s="315">
        <f t="shared" si="28"/>
        <v>1</v>
      </c>
      <c r="BD321" s="316" t="str">
        <f t="shared" si="34"/>
        <v>Habilitado</v>
      </c>
    </row>
    <row r="322" spans="1:56" ht="25.5" x14ac:dyDescent="0.25">
      <c r="A322" s="324">
        <v>320</v>
      </c>
      <c r="B322" s="331" t="s">
        <v>1168</v>
      </c>
      <c r="C322" s="331" t="s">
        <v>518</v>
      </c>
      <c r="D322" s="331" t="s">
        <v>457</v>
      </c>
      <c r="E322" s="320"/>
      <c r="F322" s="320"/>
      <c r="G322" s="320"/>
      <c r="H322" s="320"/>
      <c r="I322" s="311"/>
      <c r="J322" s="320"/>
      <c r="K322" s="320"/>
      <c r="L322" s="408">
        <f t="shared" si="29"/>
        <v>0</v>
      </c>
      <c r="M322" s="311"/>
      <c r="N322" s="320"/>
      <c r="O322" s="320"/>
      <c r="P322" s="320"/>
      <c r="Q322" s="320"/>
      <c r="R322" s="320"/>
      <c r="S322" s="320"/>
      <c r="T322" s="320"/>
      <c r="U322" s="320"/>
      <c r="V322" s="409">
        <f t="shared" si="30"/>
        <v>0</v>
      </c>
      <c r="W322" s="320"/>
      <c r="X322" s="320"/>
      <c r="Y322" s="299" t="s">
        <v>510</v>
      </c>
      <c r="Z322" s="299" t="s">
        <v>510</v>
      </c>
      <c r="AA322" s="299" t="s">
        <v>519</v>
      </c>
      <c r="AB322" s="299" t="s">
        <v>511</v>
      </c>
      <c r="AC322" s="300" t="s">
        <v>510</v>
      </c>
      <c r="AD322" s="299" t="s">
        <v>511</v>
      </c>
      <c r="AE322" s="330">
        <v>0</v>
      </c>
      <c r="AF322" s="410">
        <f t="shared" si="31"/>
        <v>0</v>
      </c>
      <c r="AG322" s="299" t="s">
        <v>593</v>
      </c>
      <c r="AH322" s="299" t="s">
        <v>1169</v>
      </c>
      <c r="AI322" s="306" t="s">
        <v>510</v>
      </c>
      <c r="AJ322" s="306" t="s">
        <v>510</v>
      </c>
      <c r="AK322" s="306" t="s">
        <v>510</v>
      </c>
      <c r="AL322" s="306" t="s">
        <v>511</v>
      </c>
      <c r="AM322" s="303" t="s">
        <v>510</v>
      </c>
      <c r="AN322" s="306" t="s">
        <v>511</v>
      </c>
      <c r="AO322" s="303">
        <v>20</v>
      </c>
      <c r="AP322" s="290">
        <f t="shared" si="32"/>
        <v>20</v>
      </c>
      <c r="AQ322" s="303" t="s">
        <v>504</v>
      </c>
      <c r="AR322" s="306" t="s">
        <v>551</v>
      </c>
      <c r="AS322" s="306" t="s">
        <v>510</v>
      </c>
      <c r="AT322" s="306" t="s">
        <v>510</v>
      </c>
      <c r="AU322" s="306" t="s">
        <v>510</v>
      </c>
      <c r="AV322" s="306" t="s">
        <v>511</v>
      </c>
      <c r="AW322" s="303" t="s">
        <v>510</v>
      </c>
      <c r="AX322" s="306" t="s">
        <v>511</v>
      </c>
      <c r="AY322" s="303">
        <v>0</v>
      </c>
      <c r="AZ322" s="290">
        <f t="shared" si="33"/>
        <v>0</v>
      </c>
      <c r="BA322" s="306" t="s">
        <v>504</v>
      </c>
      <c r="BB322" s="306"/>
      <c r="BC322" s="315">
        <f t="shared" si="28"/>
        <v>2</v>
      </c>
      <c r="BD322" s="316" t="str">
        <f t="shared" si="34"/>
        <v>Habilitado</v>
      </c>
    </row>
    <row r="323" spans="1:56" ht="25.5" x14ac:dyDescent="0.25">
      <c r="A323" s="308">
        <v>321</v>
      </c>
      <c r="B323" s="309" t="s">
        <v>1170</v>
      </c>
      <c r="C323" s="310" t="s">
        <v>1171</v>
      </c>
      <c r="D323" s="310" t="s">
        <v>1172</v>
      </c>
      <c r="E323" s="311"/>
      <c r="F323" s="311"/>
      <c r="G323" s="311"/>
      <c r="H323" s="311"/>
      <c r="I323" s="311"/>
      <c r="J323" s="311"/>
      <c r="K323" s="311"/>
      <c r="L323" s="408">
        <f t="shared" si="29"/>
        <v>0</v>
      </c>
      <c r="M323" s="311"/>
      <c r="N323" s="311"/>
      <c r="O323" s="311"/>
      <c r="P323" s="311"/>
      <c r="Q323" s="311"/>
      <c r="R323" s="311"/>
      <c r="S323" s="311"/>
      <c r="T323" s="311"/>
      <c r="U323" s="311"/>
      <c r="V323" s="409">
        <f t="shared" si="30"/>
        <v>0</v>
      </c>
      <c r="W323" s="311"/>
      <c r="X323" s="311"/>
      <c r="Y323" s="312"/>
      <c r="Z323" s="312"/>
      <c r="AA323" s="312"/>
      <c r="AB323" s="312"/>
      <c r="AC323" s="312"/>
      <c r="AD323" s="312"/>
      <c r="AE323" s="313"/>
      <c r="AF323" s="410">
        <f t="shared" si="31"/>
        <v>0</v>
      </c>
      <c r="AG323" s="312"/>
      <c r="AH323" s="312"/>
      <c r="AI323" s="303"/>
      <c r="AJ323" s="303"/>
      <c r="AK323" s="303"/>
      <c r="AL323" s="303"/>
      <c r="AM323" s="303"/>
      <c r="AN323" s="303"/>
      <c r="AO323" s="303"/>
      <c r="AP323" s="290">
        <f t="shared" si="32"/>
        <v>0</v>
      </c>
      <c r="AQ323" s="303"/>
      <c r="AR323" s="303"/>
      <c r="AS323" s="303"/>
      <c r="AT323" s="303"/>
      <c r="AU323" s="303"/>
      <c r="AV323" s="303"/>
      <c r="AW323" s="303"/>
      <c r="AX323" s="303"/>
      <c r="AY323" s="303"/>
      <c r="AZ323" s="290">
        <f t="shared" si="33"/>
        <v>0</v>
      </c>
      <c r="BA323" s="303"/>
      <c r="BB323" s="303"/>
      <c r="BC323" s="315">
        <f t="shared" ref="BC323:BC386" si="35">COUNTIF(M323,"Habilitado")+COUNTIF(W323,"Habilitado")+COUNTIF(AG323,"Habilitado")+COUNTIF(AQ323,"Habilitado")+COUNTIF(AS323,"Habilitado")+COUNTIF(BA323,"Habilitado")</f>
        <v>0</v>
      </c>
      <c r="BD323" s="316" t="str">
        <f t="shared" si="34"/>
        <v>Desierto</v>
      </c>
    </row>
    <row r="324" spans="1:56" ht="25.5" x14ac:dyDescent="0.25">
      <c r="A324" s="308">
        <v>322</v>
      </c>
      <c r="B324" s="309" t="s">
        <v>1173</v>
      </c>
      <c r="C324" s="331" t="s">
        <v>1174</v>
      </c>
      <c r="D324" s="411" t="s">
        <v>886</v>
      </c>
      <c r="E324" s="303" t="s">
        <v>510</v>
      </c>
      <c r="F324" s="303" t="s">
        <v>510</v>
      </c>
      <c r="G324" s="303" t="s">
        <v>510</v>
      </c>
      <c r="H324" s="303" t="s">
        <v>511</v>
      </c>
      <c r="I324" s="303" t="s">
        <v>510</v>
      </c>
      <c r="J324" s="303" t="s">
        <v>511</v>
      </c>
      <c r="K324" s="303">
        <v>40</v>
      </c>
      <c r="L324" s="408">
        <f t="shared" ref="L324:L387" si="36">+K324</f>
        <v>40</v>
      </c>
      <c r="M324" s="303" t="s">
        <v>504</v>
      </c>
      <c r="N324" s="301"/>
      <c r="O324" s="311"/>
      <c r="P324" s="311"/>
      <c r="Q324" s="311"/>
      <c r="R324" s="311"/>
      <c r="S324" s="311"/>
      <c r="T324" s="311"/>
      <c r="U324" s="311"/>
      <c r="V324" s="409">
        <f t="shared" ref="V324:V387" si="37">+U324</f>
        <v>0</v>
      </c>
      <c r="W324" s="311"/>
      <c r="X324" s="320"/>
      <c r="Y324" s="312"/>
      <c r="Z324" s="312"/>
      <c r="AA324" s="312"/>
      <c r="AB324" s="312"/>
      <c r="AC324" s="312"/>
      <c r="AD324" s="312"/>
      <c r="AE324" s="313"/>
      <c r="AF324" s="410">
        <f t="shared" ref="AF324:AF387" si="38">AE324</f>
        <v>0</v>
      </c>
      <c r="AG324" s="312"/>
      <c r="AH324" s="317"/>
      <c r="AI324" s="303" t="s">
        <v>510</v>
      </c>
      <c r="AJ324" s="303" t="s">
        <v>510</v>
      </c>
      <c r="AK324" s="303" t="s">
        <v>510</v>
      </c>
      <c r="AL324" s="303" t="s">
        <v>511</v>
      </c>
      <c r="AM324" s="303" t="s">
        <v>510</v>
      </c>
      <c r="AN324" s="303" t="s">
        <v>511</v>
      </c>
      <c r="AO324" s="303">
        <v>20</v>
      </c>
      <c r="AP324" s="290">
        <f t="shared" ref="AP324:AP387" si="39">+AO324</f>
        <v>20</v>
      </c>
      <c r="AQ324" s="303" t="s">
        <v>504</v>
      </c>
      <c r="AR324" s="303"/>
      <c r="AS324" s="303"/>
      <c r="AT324" s="303"/>
      <c r="AU324" s="303"/>
      <c r="AV324" s="303"/>
      <c r="AW324" s="303"/>
      <c r="AX324" s="303"/>
      <c r="AY324" s="303"/>
      <c r="AZ324" s="290">
        <f t="shared" ref="AZ324:AZ387" si="40">+AY324</f>
        <v>0</v>
      </c>
      <c r="BA324" s="303"/>
      <c r="BB324" s="301"/>
      <c r="BC324" s="315">
        <f t="shared" si="35"/>
        <v>2</v>
      </c>
      <c r="BD324" s="316" t="str">
        <f t="shared" ref="BD324:BD387" si="41">IF(BC324&gt;=1,"Habilitado","Desierto")</f>
        <v>Habilitado</v>
      </c>
    </row>
    <row r="325" spans="1:56" ht="25.5" x14ac:dyDescent="0.25">
      <c r="A325" s="308">
        <v>323</v>
      </c>
      <c r="B325" s="309" t="s">
        <v>1175</v>
      </c>
      <c r="C325" s="331" t="s">
        <v>1174</v>
      </c>
      <c r="D325" s="411" t="s">
        <v>886</v>
      </c>
      <c r="E325" s="303" t="s">
        <v>510</v>
      </c>
      <c r="F325" s="303" t="s">
        <v>510</v>
      </c>
      <c r="G325" s="303" t="s">
        <v>510</v>
      </c>
      <c r="H325" s="303" t="s">
        <v>511</v>
      </c>
      <c r="I325" s="303" t="s">
        <v>510</v>
      </c>
      <c r="J325" s="303" t="s">
        <v>511</v>
      </c>
      <c r="K325" s="303">
        <v>40</v>
      </c>
      <c r="L325" s="408">
        <f t="shared" si="36"/>
        <v>40</v>
      </c>
      <c r="M325" s="303" t="s">
        <v>504</v>
      </c>
      <c r="N325" s="301"/>
      <c r="O325" s="311"/>
      <c r="P325" s="311"/>
      <c r="Q325" s="311"/>
      <c r="R325" s="311"/>
      <c r="S325" s="311"/>
      <c r="T325" s="311"/>
      <c r="U325" s="311"/>
      <c r="V325" s="409">
        <f t="shared" si="37"/>
        <v>0</v>
      </c>
      <c r="W325" s="311"/>
      <c r="X325" s="320"/>
      <c r="Y325" s="312"/>
      <c r="Z325" s="312"/>
      <c r="AA325" s="312"/>
      <c r="AB325" s="312"/>
      <c r="AC325" s="312"/>
      <c r="AD325" s="312"/>
      <c r="AE325" s="313"/>
      <c r="AF325" s="410">
        <f t="shared" si="38"/>
        <v>0</v>
      </c>
      <c r="AG325" s="312"/>
      <c r="AH325" s="317"/>
      <c r="AI325" s="303" t="s">
        <v>510</v>
      </c>
      <c r="AJ325" s="303" t="s">
        <v>510</v>
      </c>
      <c r="AK325" s="303" t="s">
        <v>510</v>
      </c>
      <c r="AL325" s="303" t="s">
        <v>511</v>
      </c>
      <c r="AM325" s="303" t="s">
        <v>510</v>
      </c>
      <c r="AN325" s="303" t="s">
        <v>511</v>
      </c>
      <c r="AO325" s="303">
        <v>20</v>
      </c>
      <c r="AP325" s="290">
        <f t="shared" si="39"/>
        <v>20</v>
      </c>
      <c r="AQ325" s="303" t="s">
        <v>504</v>
      </c>
      <c r="AR325" s="303"/>
      <c r="AS325" s="303"/>
      <c r="AT325" s="303"/>
      <c r="AU325" s="303"/>
      <c r="AV325" s="303"/>
      <c r="AW325" s="303"/>
      <c r="AX325" s="303"/>
      <c r="AY325" s="303"/>
      <c r="AZ325" s="290">
        <f t="shared" si="40"/>
        <v>0</v>
      </c>
      <c r="BA325" s="303"/>
      <c r="BB325" s="301"/>
      <c r="BC325" s="315">
        <f t="shared" si="35"/>
        <v>2</v>
      </c>
      <c r="BD325" s="316" t="str">
        <f t="shared" si="41"/>
        <v>Habilitado</v>
      </c>
    </row>
    <row r="326" spans="1:56" x14ac:dyDescent="0.25">
      <c r="A326" s="308">
        <v>324</v>
      </c>
      <c r="B326" s="309" t="s">
        <v>1176</v>
      </c>
      <c r="C326" s="310" t="s">
        <v>1177</v>
      </c>
      <c r="D326" s="310" t="s">
        <v>628</v>
      </c>
      <c r="E326" s="311"/>
      <c r="F326" s="311"/>
      <c r="G326" s="311"/>
      <c r="H326" s="311"/>
      <c r="I326" s="311"/>
      <c r="J326" s="311"/>
      <c r="K326" s="311"/>
      <c r="L326" s="408">
        <f t="shared" si="36"/>
        <v>0</v>
      </c>
      <c r="M326" s="311"/>
      <c r="N326" s="311"/>
      <c r="O326" s="311"/>
      <c r="P326" s="311"/>
      <c r="Q326" s="311"/>
      <c r="R326" s="311"/>
      <c r="S326" s="311"/>
      <c r="T326" s="311"/>
      <c r="U326" s="311"/>
      <c r="V326" s="409">
        <f t="shared" si="37"/>
        <v>0</v>
      </c>
      <c r="W326" s="311"/>
      <c r="X326" s="311"/>
      <c r="Y326" s="300"/>
      <c r="Z326" s="300"/>
      <c r="AA326" s="300"/>
      <c r="AB326" s="300"/>
      <c r="AC326" s="300"/>
      <c r="AD326" s="300"/>
      <c r="AE326" s="318"/>
      <c r="AF326" s="410">
        <f t="shared" si="38"/>
        <v>0</v>
      </c>
      <c r="AG326" s="300"/>
      <c r="AH326" s="300"/>
      <c r="AI326" s="303"/>
      <c r="AJ326" s="303"/>
      <c r="AK326" s="303"/>
      <c r="AL326" s="303"/>
      <c r="AM326" s="303"/>
      <c r="AN326" s="303"/>
      <c r="AO326" s="303"/>
      <c r="AP326" s="290">
        <f t="shared" si="39"/>
        <v>0</v>
      </c>
      <c r="AQ326" s="303"/>
      <c r="AR326" s="303"/>
      <c r="AS326" s="303"/>
      <c r="AT326" s="303"/>
      <c r="AU326" s="303"/>
      <c r="AV326" s="303"/>
      <c r="AW326" s="303"/>
      <c r="AX326" s="303"/>
      <c r="AY326" s="303"/>
      <c r="AZ326" s="290">
        <f t="shared" si="40"/>
        <v>0</v>
      </c>
      <c r="BA326" s="303"/>
      <c r="BB326" s="303"/>
      <c r="BC326" s="315">
        <f t="shared" si="35"/>
        <v>0</v>
      </c>
      <c r="BD326" s="316" t="str">
        <f t="shared" si="41"/>
        <v>Desierto</v>
      </c>
    </row>
    <row r="327" spans="1:56" ht="25.5" x14ac:dyDescent="0.25">
      <c r="A327" s="324">
        <v>325</v>
      </c>
      <c r="B327" s="331" t="s">
        <v>1178</v>
      </c>
      <c r="C327" s="331" t="s">
        <v>866</v>
      </c>
      <c r="D327" s="331" t="s">
        <v>1179</v>
      </c>
      <c r="E327" s="320"/>
      <c r="F327" s="320"/>
      <c r="G327" s="320"/>
      <c r="H327" s="320"/>
      <c r="I327" s="320"/>
      <c r="J327" s="320"/>
      <c r="K327" s="320"/>
      <c r="L327" s="408">
        <f t="shared" si="36"/>
        <v>0</v>
      </c>
      <c r="M327" s="311"/>
      <c r="N327" s="320"/>
      <c r="O327" s="320"/>
      <c r="P327" s="320"/>
      <c r="Q327" s="320"/>
      <c r="R327" s="320"/>
      <c r="S327" s="320"/>
      <c r="T327" s="320"/>
      <c r="U327" s="320"/>
      <c r="V327" s="409">
        <f t="shared" si="37"/>
        <v>0</v>
      </c>
      <c r="W327" s="320"/>
      <c r="X327" s="320"/>
      <c r="Y327" s="299"/>
      <c r="Z327" s="299"/>
      <c r="AA327" s="299"/>
      <c r="AB327" s="299"/>
      <c r="AC327" s="299"/>
      <c r="AD327" s="299"/>
      <c r="AE327" s="330"/>
      <c r="AF327" s="410">
        <f t="shared" si="38"/>
        <v>0</v>
      </c>
      <c r="AG327" s="299"/>
      <c r="AH327" s="299"/>
      <c r="AI327" s="306"/>
      <c r="AJ327" s="306"/>
      <c r="AK327" s="306"/>
      <c r="AL327" s="306"/>
      <c r="AM327" s="306"/>
      <c r="AN327" s="306"/>
      <c r="AO327" s="306"/>
      <c r="AP327" s="290">
        <f t="shared" si="39"/>
        <v>0</v>
      </c>
      <c r="AQ327" s="306"/>
      <c r="AR327" s="306"/>
      <c r="AS327" s="306"/>
      <c r="AT327" s="306"/>
      <c r="AU327" s="306"/>
      <c r="AV327" s="306"/>
      <c r="AW327" s="306"/>
      <c r="AX327" s="306"/>
      <c r="AY327" s="306"/>
      <c r="AZ327" s="290">
        <f t="shared" si="40"/>
        <v>0</v>
      </c>
      <c r="BA327" s="306"/>
      <c r="BB327" s="306" t="s">
        <v>551</v>
      </c>
      <c r="BC327" s="315">
        <f t="shared" si="35"/>
        <v>0</v>
      </c>
      <c r="BD327" s="316" t="str">
        <f t="shared" si="41"/>
        <v>Desierto</v>
      </c>
    </row>
    <row r="328" spans="1:56" ht="25.5" x14ac:dyDescent="0.25">
      <c r="A328" s="308">
        <v>326</v>
      </c>
      <c r="B328" s="309" t="s">
        <v>1180</v>
      </c>
      <c r="C328" s="310" t="s">
        <v>729</v>
      </c>
      <c r="D328" s="310" t="s">
        <v>56</v>
      </c>
      <c r="E328" s="303" t="s">
        <v>510</v>
      </c>
      <c r="F328" s="303" t="s">
        <v>510</v>
      </c>
      <c r="G328" s="303" t="s">
        <v>510</v>
      </c>
      <c r="H328" s="303" t="s">
        <v>511</v>
      </c>
      <c r="I328" s="303" t="s">
        <v>510</v>
      </c>
      <c r="J328" s="303" t="s">
        <v>511</v>
      </c>
      <c r="K328" s="303">
        <v>40</v>
      </c>
      <c r="L328" s="408">
        <f t="shared" si="36"/>
        <v>40</v>
      </c>
      <c r="M328" s="303" t="s">
        <v>504</v>
      </c>
      <c r="N328" s="303"/>
      <c r="O328" s="311"/>
      <c r="P328" s="311"/>
      <c r="Q328" s="311"/>
      <c r="R328" s="311"/>
      <c r="S328" s="311"/>
      <c r="T328" s="311"/>
      <c r="U328" s="311"/>
      <c r="V328" s="409">
        <f t="shared" si="37"/>
        <v>0</v>
      </c>
      <c r="W328" s="311"/>
      <c r="X328" s="311"/>
      <c r="Y328" s="312"/>
      <c r="Z328" s="312"/>
      <c r="AA328" s="312"/>
      <c r="AB328" s="312"/>
      <c r="AC328" s="312"/>
      <c r="AD328" s="312"/>
      <c r="AE328" s="313"/>
      <c r="AF328" s="410">
        <f t="shared" si="38"/>
        <v>0</v>
      </c>
      <c r="AG328" s="312"/>
      <c r="AH328" s="312"/>
      <c r="AI328" s="303"/>
      <c r="AJ328" s="303"/>
      <c r="AK328" s="303"/>
      <c r="AL328" s="303"/>
      <c r="AM328" s="303"/>
      <c r="AN328" s="303"/>
      <c r="AO328" s="303"/>
      <c r="AP328" s="290">
        <f t="shared" si="39"/>
        <v>0</v>
      </c>
      <c r="AQ328" s="303"/>
      <c r="AR328" s="303"/>
      <c r="AS328" s="303"/>
      <c r="AT328" s="303"/>
      <c r="AU328" s="303"/>
      <c r="AV328" s="303"/>
      <c r="AW328" s="303"/>
      <c r="AX328" s="303"/>
      <c r="AY328" s="303"/>
      <c r="AZ328" s="290">
        <f t="shared" si="40"/>
        <v>0</v>
      </c>
      <c r="BA328" s="303"/>
      <c r="BB328" s="303"/>
      <c r="BC328" s="315">
        <f t="shared" si="35"/>
        <v>1</v>
      </c>
      <c r="BD328" s="316" t="str">
        <f t="shared" si="41"/>
        <v>Habilitado</v>
      </c>
    </row>
    <row r="329" spans="1:56" ht="25.5" x14ac:dyDescent="0.25">
      <c r="A329" s="308">
        <v>327</v>
      </c>
      <c r="B329" s="309" t="s">
        <v>1181</v>
      </c>
      <c r="C329" s="310" t="s">
        <v>562</v>
      </c>
      <c r="D329" s="310"/>
      <c r="E329" s="303"/>
      <c r="F329" s="303"/>
      <c r="G329" s="303"/>
      <c r="H329" s="303"/>
      <c r="I329" s="303"/>
      <c r="J329" s="303"/>
      <c r="K329" s="303"/>
      <c r="L329" s="408">
        <f t="shared" si="36"/>
        <v>0</v>
      </c>
      <c r="M329" s="311"/>
      <c r="N329" s="303"/>
      <c r="O329" s="311"/>
      <c r="P329" s="311"/>
      <c r="Q329" s="311"/>
      <c r="R329" s="311"/>
      <c r="S329" s="311"/>
      <c r="T329" s="311"/>
      <c r="U329" s="311"/>
      <c r="V329" s="409">
        <f t="shared" si="37"/>
        <v>0</v>
      </c>
      <c r="W329" s="311"/>
      <c r="X329" s="311"/>
      <c r="Y329" s="300"/>
      <c r="Z329" s="300"/>
      <c r="AA329" s="300"/>
      <c r="AB329" s="300"/>
      <c r="AC329" s="300"/>
      <c r="AD329" s="300"/>
      <c r="AE329" s="318"/>
      <c r="AF329" s="410">
        <f t="shared" si="38"/>
        <v>0</v>
      </c>
      <c r="AG329" s="300"/>
      <c r="AH329" s="300"/>
      <c r="AI329" s="303"/>
      <c r="AJ329" s="303"/>
      <c r="AK329" s="303"/>
      <c r="AL329" s="303"/>
      <c r="AM329" s="303"/>
      <c r="AN329" s="303"/>
      <c r="AO329" s="303"/>
      <c r="AP329" s="290">
        <f t="shared" si="39"/>
        <v>0</v>
      </c>
      <c r="AQ329" s="303"/>
      <c r="AR329" s="303"/>
      <c r="AS329" s="303"/>
      <c r="AT329" s="303"/>
      <c r="AU329" s="303"/>
      <c r="AV329" s="303"/>
      <c r="AW329" s="303"/>
      <c r="AX329" s="303"/>
      <c r="AY329" s="303"/>
      <c r="AZ329" s="290">
        <f t="shared" si="40"/>
        <v>0</v>
      </c>
      <c r="BA329" s="303"/>
      <c r="BB329" s="303"/>
      <c r="BC329" s="315">
        <f t="shared" si="35"/>
        <v>0</v>
      </c>
      <c r="BD329" s="316" t="str">
        <f t="shared" si="41"/>
        <v>Desierto</v>
      </c>
    </row>
    <row r="330" spans="1:56" ht="25.5" x14ac:dyDescent="0.25">
      <c r="A330" s="308">
        <v>328</v>
      </c>
      <c r="B330" s="309" t="s">
        <v>1182</v>
      </c>
      <c r="C330" s="310" t="s">
        <v>1183</v>
      </c>
      <c r="D330" s="310" t="s">
        <v>1184</v>
      </c>
      <c r="E330" s="303"/>
      <c r="F330" s="303"/>
      <c r="G330" s="303"/>
      <c r="H330" s="303"/>
      <c r="I330" s="303"/>
      <c r="J330" s="303"/>
      <c r="K330" s="303"/>
      <c r="L330" s="408">
        <f t="shared" si="36"/>
        <v>0</v>
      </c>
      <c r="M330" s="311"/>
      <c r="N330" s="303"/>
      <c r="O330" s="311"/>
      <c r="P330" s="311"/>
      <c r="Q330" s="311"/>
      <c r="R330" s="311"/>
      <c r="S330" s="311"/>
      <c r="T330" s="311"/>
      <c r="U330" s="311"/>
      <c r="V330" s="409">
        <f t="shared" si="37"/>
        <v>0</v>
      </c>
      <c r="W330" s="311"/>
      <c r="X330" s="311"/>
      <c r="Y330" s="300" t="s">
        <v>510</v>
      </c>
      <c r="Z330" s="300" t="s">
        <v>510</v>
      </c>
      <c r="AA330" s="300" t="s">
        <v>510</v>
      </c>
      <c r="AB330" s="300" t="s">
        <v>511</v>
      </c>
      <c r="AC330" s="300" t="s">
        <v>510</v>
      </c>
      <c r="AD330" s="300" t="s">
        <v>511</v>
      </c>
      <c r="AE330" s="318">
        <v>40</v>
      </c>
      <c r="AF330" s="410">
        <f t="shared" si="38"/>
        <v>40</v>
      </c>
      <c r="AG330" s="300" t="s">
        <v>504</v>
      </c>
      <c r="AH330" s="299"/>
      <c r="AI330" s="303" t="s">
        <v>510</v>
      </c>
      <c r="AJ330" s="303" t="s">
        <v>510</v>
      </c>
      <c r="AK330" s="303" t="s">
        <v>510</v>
      </c>
      <c r="AL330" s="303" t="s">
        <v>511</v>
      </c>
      <c r="AM330" s="303" t="s">
        <v>510</v>
      </c>
      <c r="AN330" s="303" t="s">
        <v>511</v>
      </c>
      <c r="AO330" s="303">
        <v>20</v>
      </c>
      <c r="AP330" s="290">
        <f t="shared" si="39"/>
        <v>20</v>
      </c>
      <c r="AQ330" s="303" t="s">
        <v>504</v>
      </c>
      <c r="AR330" s="303"/>
      <c r="AS330" s="303"/>
      <c r="AT330" s="303"/>
      <c r="AU330" s="303"/>
      <c r="AV330" s="303"/>
      <c r="AW330" s="303"/>
      <c r="AX330" s="303"/>
      <c r="AY330" s="303"/>
      <c r="AZ330" s="290">
        <f t="shared" si="40"/>
        <v>0</v>
      </c>
      <c r="BA330" s="303"/>
      <c r="BB330" s="301"/>
      <c r="BC330" s="315">
        <f t="shared" si="35"/>
        <v>2</v>
      </c>
      <c r="BD330" s="316" t="str">
        <f t="shared" si="41"/>
        <v>Habilitado</v>
      </c>
    </row>
    <row r="331" spans="1:56" ht="25.5" x14ac:dyDescent="0.25">
      <c r="A331" s="308">
        <v>329</v>
      </c>
      <c r="B331" s="309" t="s">
        <v>1185</v>
      </c>
      <c r="C331" s="310" t="s">
        <v>1186</v>
      </c>
      <c r="D331" s="310" t="s">
        <v>1187</v>
      </c>
      <c r="E331" s="303" t="s">
        <v>510</v>
      </c>
      <c r="F331" s="303" t="s">
        <v>510</v>
      </c>
      <c r="G331" s="303" t="s">
        <v>510</v>
      </c>
      <c r="H331" s="303" t="s">
        <v>511</v>
      </c>
      <c r="I331" s="303" t="s">
        <v>510</v>
      </c>
      <c r="J331" s="303" t="s">
        <v>511</v>
      </c>
      <c r="K331" s="303">
        <v>40</v>
      </c>
      <c r="L331" s="408">
        <f t="shared" si="36"/>
        <v>40</v>
      </c>
      <c r="M331" s="303" t="s">
        <v>504</v>
      </c>
      <c r="N331" s="303"/>
      <c r="O331" s="311"/>
      <c r="P331" s="311"/>
      <c r="Q331" s="311"/>
      <c r="R331" s="311"/>
      <c r="S331" s="311"/>
      <c r="T331" s="311"/>
      <c r="U331" s="311"/>
      <c r="V331" s="409">
        <f t="shared" si="37"/>
        <v>0</v>
      </c>
      <c r="W331" s="311"/>
      <c r="X331" s="311"/>
      <c r="Y331" s="300"/>
      <c r="Z331" s="300"/>
      <c r="AA331" s="300"/>
      <c r="AB331" s="300"/>
      <c r="AC331" s="300"/>
      <c r="AD331" s="300"/>
      <c r="AE331" s="318"/>
      <c r="AF331" s="410">
        <f t="shared" si="38"/>
        <v>0</v>
      </c>
      <c r="AG331" s="300"/>
      <c r="AH331" s="300"/>
      <c r="AI331" s="303"/>
      <c r="AJ331" s="303"/>
      <c r="AK331" s="303"/>
      <c r="AL331" s="303"/>
      <c r="AM331" s="303"/>
      <c r="AN331" s="303"/>
      <c r="AO331" s="303"/>
      <c r="AP331" s="290">
        <f t="shared" si="39"/>
        <v>0</v>
      </c>
      <c r="AQ331" s="303"/>
      <c r="AR331" s="303"/>
      <c r="AS331" s="303"/>
      <c r="AT331" s="303"/>
      <c r="AU331" s="303"/>
      <c r="AV331" s="303"/>
      <c r="AW331" s="303"/>
      <c r="AX331" s="303"/>
      <c r="AY331" s="303"/>
      <c r="AZ331" s="290">
        <f t="shared" si="40"/>
        <v>0</v>
      </c>
      <c r="BA331" s="303"/>
      <c r="BB331" s="303"/>
      <c r="BC331" s="315">
        <f t="shared" si="35"/>
        <v>1</v>
      </c>
      <c r="BD331" s="316" t="str">
        <f t="shared" si="41"/>
        <v>Habilitado</v>
      </c>
    </row>
    <row r="332" spans="1:56" ht="38.25" x14ac:dyDescent="0.25">
      <c r="A332" s="308">
        <v>330</v>
      </c>
      <c r="B332" s="309" t="s">
        <v>1188</v>
      </c>
      <c r="C332" s="310" t="s">
        <v>518</v>
      </c>
      <c r="D332" s="310" t="s">
        <v>628</v>
      </c>
      <c r="E332" s="311"/>
      <c r="F332" s="311"/>
      <c r="G332" s="311"/>
      <c r="H332" s="311"/>
      <c r="I332" s="311"/>
      <c r="J332" s="311"/>
      <c r="K332" s="311"/>
      <c r="L332" s="408">
        <f t="shared" si="36"/>
        <v>0</v>
      </c>
      <c r="M332" s="311"/>
      <c r="N332" s="311"/>
      <c r="O332" s="311"/>
      <c r="P332" s="311"/>
      <c r="Q332" s="311"/>
      <c r="R332" s="311"/>
      <c r="S332" s="311"/>
      <c r="T332" s="311"/>
      <c r="U332" s="311"/>
      <c r="V332" s="409">
        <f t="shared" si="37"/>
        <v>0</v>
      </c>
      <c r="W332" s="311"/>
      <c r="X332" s="311"/>
      <c r="Y332" s="300"/>
      <c r="Z332" s="300"/>
      <c r="AA332" s="300"/>
      <c r="AB332" s="300"/>
      <c r="AC332" s="300"/>
      <c r="AD332" s="300"/>
      <c r="AE332" s="318"/>
      <c r="AF332" s="410">
        <f t="shared" si="38"/>
        <v>0</v>
      </c>
      <c r="AG332" s="300"/>
      <c r="AH332" s="300"/>
      <c r="AI332" s="303"/>
      <c r="AJ332" s="303"/>
      <c r="AK332" s="303"/>
      <c r="AL332" s="303"/>
      <c r="AM332" s="303"/>
      <c r="AN332" s="303"/>
      <c r="AO332" s="303"/>
      <c r="AP332" s="290">
        <f t="shared" si="39"/>
        <v>0</v>
      </c>
      <c r="AQ332" s="303"/>
      <c r="AR332" s="303"/>
      <c r="AS332" s="303" t="s">
        <v>510</v>
      </c>
      <c r="AT332" s="303" t="s">
        <v>510</v>
      </c>
      <c r="AU332" s="303" t="s">
        <v>510</v>
      </c>
      <c r="AV332" s="303" t="s">
        <v>511</v>
      </c>
      <c r="AW332" s="303" t="s">
        <v>510</v>
      </c>
      <c r="AX332" s="303" t="s">
        <v>511</v>
      </c>
      <c r="AY332" s="303">
        <v>0</v>
      </c>
      <c r="AZ332" s="290">
        <f t="shared" si="40"/>
        <v>0</v>
      </c>
      <c r="BA332" s="303" t="s">
        <v>504</v>
      </c>
      <c r="BB332" s="303"/>
      <c r="BC332" s="315">
        <f t="shared" si="35"/>
        <v>1</v>
      </c>
      <c r="BD332" s="316" t="str">
        <f t="shared" si="41"/>
        <v>Habilitado</v>
      </c>
    </row>
    <row r="333" spans="1:56" ht="92.25" customHeight="1" x14ac:dyDescent="0.25">
      <c r="A333" s="308">
        <v>331</v>
      </c>
      <c r="B333" s="309" t="s">
        <v>1189</v>
      </c>
      <c r="C333" s="310" t="s">
        <v>518</v>
      </c>
      <c r="D333" s="310" t="s">
        <v>628</v>
      </c>
      <c r="E333" s="311"/>
      <c r="F333" s="311"/>
      <c r="G333" s="311"/>
      <c r="H333" s="311"/>
      <c r="I333" s="311"/>
      <c r="J333" s="311"/>
      <c r="K333" s="311"/>
      <c r="L333" s="408">
        <f t="shared" si="36"/>
        <v>0</v>
      </c>
      <c r="M333" s="311"/>
      <c r="N333" s="311"/>
      <c r="O333" s="311"/>
      <c r="P333" s="311"/>
      <c r="Q333" s="311"/>
      <c r="R333" s="311"/>
      <c r="S333" s="311"/>
      <c r="T333" s="311"/>
      <c r="U333" s="311"/>
      <c r="V333" s="409">
        <f t="shared" si="37"/>
        <v>0</v>
      </c>
      <c r="W333" s="311"/>
      <c r="X333" s="311"/>
      <c r="Y333" s="300" t="s">
        <v>510</v>
      </c>
      <c r="Z333" s="300" t="s">
        <v>519</v>
      </c>
      <c r="AA333" s="300" t="s">
        <v>510</v>
      </c>
      <c r="AB333" s="300" t="s">
        <v>511</v>
      </c>
      <c r="AC333" s="300" t="s">
        <v>510</v>
      </c>
      <c r="AD333" s="300" t="s">
        <v>511</v>
      </c>
      <c r="AE333" s="318">
        <v>40</v>
      </c>
      <c r="AF333" s="410">
        <f t="shared" si="38"/>
        <v>40</v>
      </c>
      <c r="AG333" s="300" t="s">
        <v>593</v>
      </c>
      <c r="AH333" s="299" t="s">
        <v>1190</v>
      </c>
      <c r="AI333" s="303" t="s">
        <v>510</v>
      </c>
      <c r="AJ333" s="303" t="s">
        <v>510</v>
      </c>
      <c r="AK333" s="303" t="s">
        <v>510</v>
      </c>
      <c r="AL333" s="303" t="s">
        <v>511</v>
      </c>
      <c r="AM333" s="303" t="s">
        <v>510</v>
      </c>
      <c r="AN333" s="303" t="s">
        <v>511</v>
      </c>
      <c r="AO333" s="303">
        <v>20</v>
      </c>
      <c r="AP333" s="290">
        <f t="shared" si="39"/>
        <v>20</v>
      </c>
      <c r="AQ333" s="303" t="s">
        <v>504</v>
      </c>
      <c r="AR333" s="301" t="s">
        <v>1191</v>
      </c>
      <c r="AS333" s="303"/>
      <c r="AT333" s="303"/>
      <c r="AU333" s="303"/>
      <c r="AV333" s="303"/>
      <c r="AW333" s="303"/>
      <c r="AX333" s="303"/>
      <c r="AY333" s="303"/>
      <c r="AZ333" s="290">
        <f t="shared" si="40"/>
        <v>0</v>
      </c>
      <c r="BA333" s="303"/>
      <c r="BB333" s="301"/>
      <c r="BC333" s="315">
        <f t="shared" si="35"/>
        <v>1</v>
      </c>
      <c r="BD333" s="316" t="str">
        <f t="shared" si="41"/>
        <v>Habilitado</v>
      </c>
    </row>
    <row r="334" spans="1:56" ht="25.5" x14ac:dyDescent="0.25">
      <c r="A334" s="324">
        <v>332</v>
      </c>
      <c r="B334" s="331" t="s">
        <v>1192</v>
      </c>
      <c r="C334" s="331" t="s">
        <v>65</v>
      </c>
      <c r="D334" s="331" t="s">
        <v>319</v>
      </c>
      <c r="E334" s="306" t="s">
        <v>510</v>
      </c>
      <c r="F334" s="306" t="s">
        <v>510</v>
      </c>
      <c r="G334" s="306" t="s">
        <v>510</v>
      </c>
      <c r="H334" s="306" t="s">
        <v>511</v>
      </c>
      <c r="I334" s="303" t="s">
        <v>510</v>
      </c>
      <c r="J334" s="306" t="s">
        <v>511</v>
      </c>
      <c r="K334" s="306">
        <v>0</v>
      </c>
      <c r="L334" s="408">
        <f t="shared" si="36"/>
        <v>0</v>
      </c>
      <c r="M334" s="303" t="s">
        <v>504</v>
      </c>
      <c r="N334" s="306" t="s">
        <v>551</v>
      </c>
      <c r="O334" s="320"/>
      <c r="P334" s="320"/>
      <c r="Q334" s="320"/>
      <c r="R334" s="320"/>
      <c r="S334" s="320"/>
      <c r="T334" s="320"/>
      <c r="U334" s="320"/>
      <c r="V334" s="409">
        <f t="shared" si="37"/>
        <v>0</v>
      </c>
      <c r="W334" s="320"/>
      <c r="X334" s="320"/>
      <c r="Y334" s="299"/>
      <c r="Z334" s="299"/>
      <c r="AA334" s="299"/>
      <c r="AB334" s="299"/>
      <c r="AC334" s="299"/>
      <c r="AD334" s="299"/>
      <c r="AE334" s="330"/>
      <c r="AF334" s="410">
        <f t="shared" si="38"/>
        <v>0</v>
      </c>
      <c r="AG334" s="299"/>
      <c r="AH334" s="299"/>
      <c r="AI334" s="306"/>
      <c r="AJ334" s="306"/>
      <c r="AK334" s="306"/>
      <c r="AL334" s="306"/>
      <c r="AM334" s="306"/>
      <c r="AN334" s="306"/>
      <c r="AO334" s="306"/>
      <c r="AP334" s="290">
        <f t="shared" si="39"/>
        <v>0</v>
      </c>
      <c r="AQ334" s="306"/>
      <c r="AR334" s="306"/>
      <c r="AS334" s="306" t="s">
        <v>510</v>
      </c>
      <c r="AT334" s="306" t="s">
        <v>510</v>
      </c>
      <c r="AU334" s="306" t="s">
        <v>510</v>
      </c>
      <c r="AV334" s="306" t="s">
        <v>511</v>
      </c>
      <c r="AW334" s="303" t="s">
        <v>510</v>
      </c>
      <c r="AX334" s="306" t="s">
        <v>511</v>
      </c>
      <c r="AY334" s="306">
        <v>0</v>
      </c>
      <c r="AZ334" s="290">
        <f t="shared" si="40"/>
        <v>0</v>
      </c>
      <c r="BA334" s="303" t="s">
        <v>504</v>
      </c>
      <c r="BB334" s="306" t="s">
        <v>551</v>
      </c>
      <c r="BC334" s="315">
        <f t="shared" si="35"/>
        <v>2</v>
      </c>
      <c r="BD334" s="316" t="str">
        <f t="shared" si="41"/>
        <v>Habilitado</v>
      </c>
    </row>
    <row r="335" spans="1:56" ht="25.5" x14ac:dyDescent="0.25">
      <c r="A335" s="308">
        <v>333</v>
      </c>
      <c r="B335" s="309" t="s">
        <v>1193</v>
      </c>
      <c r="C335" s="321" t="s">
        <v>518</v>
      </c>
      <c r="D335" s="309" t="s">
        <v>144</v>
      </c>
      <c r="E335" s="311"/>
      <c r="F335" s="311"/>
      <c r="G335" s="311"/>
      <c r="H335" s="311"/>
      <c r="I335" s="311"/>
      <c r="J335" s="311"/>
      <c r="K335" s="311"/>
      <c r="L335" s="408">
        <f t="shared" si="36"/>
        <v>0</v>
      </c>
      <c r="M335" s="311"/>
      <c r="N335" s="320"/>
      <c r="O335" s="311"/>
      <c r="P335" s="311"/>
      <c r="Q335" s="311"/>
      <c r="R335" s="311"/>
      <c r="S335" s="311"/>
      <c r="T335" s="311"/>
      <c r="U335" s="311"/>
      <c r="V335" s="409">
        <f t="shared" si="37"/>
        <v>0</v>
      </c>
      <c r="W335" s="311"/>
      <c r="X335" s="320"/>
      <c r="Y335" s="312"/>
      <c r="Z335" s="312"/>
      <c r="AA335" s="312"/>
      <c r="AB335" s="312"/>
      <c r="AC335" s="312"/>
      <c r="AD335" s="312"/>
      <c r="AE335" s="313"/>
      <c r="AF335" s="410">
        <f t="shared" si="38"/>
        <v>0</v>
      </c>
      <c r="AG335" s="312"/>
      <c r="AH335" s="317"/>
      <c r="AI335" s="303"/>
      <c r="AJ335" s="303"/>
      <c r="AK335" s="303"/>
      <c r="AL335" s="303"/>
      <c r="AM335" s="303"/>
      <c r="AN335" s="303"/>
      <c r="AO335" s="303"/>
      <c r="AP335" s="290">
        <f t="shared" si="39"/>
        <v>0</v>
      </c>
      <c r="AQ335" s="303"/>
      <c r="AR335" s="301"/>
      <c r="AS335" s="303"/>
      <c r="AT335" s="303"/>
      <c r="AU335" s="303"/>
      <c r="AV335" s="303"/>
      <c r="AW335" s="303"/>
      <c r="AX335" s="303"/>
      <c r="AY335" s="303"/>
      <c r="AZ335" s="290">
        <f t="shared" si="40"/>
        <v>0</v>
      </c>
      <c r="BA335" s="303"/>
      <c r="BB335" s="301"/>
      <c r="BC335" s="315">
        <f t="shared" si="35"/>
        <v>0</v>
      </c>
      <c r="BD335" s="316" t="str">
        <f t="shared" si="41"/>
        <v>Desierto</v>
      </c>
    </row>
    <row r="336" spans="1:56" ht="63.75" x14ac:dyDescent="0.25">
      <c r="A336" s="308">
        <v>334</v>
      </c>
      <c r="B336" s="309" t="s">
        <v>1194</v>
      </c>
      <c r="C336" s="321" t="s">
        <v>518</v>
      </c>
      <c r="D336" s="309" t="s">
        <v>144</v>
      </c>
      <c r="E336" s="311"/>
      <c r="F336" s="311"/>
      <c r="G336" s="311"/>
      <c r="H336" s="311"/>
      <c r="I336" s="311"/>
      <c r="J336" s="311"/>
      <c r="K336" s="311"/>
      <c r="L336" s="408">
        <f t="shared" si="36"/>
        <v>0</v>
      </c>
      <c r="M336" s="311"/>
      <c r="N336" s="320"/>
      <c r="O336" s="311"/>
      <c r="P336" s="311"/>
      <c r="Q336" s="311"/>
      <c r="R336" s="311"/>
      <c r="S336" s="311"/>
      <c r="T336" s="311"/>
      <c r="U336" s="311"/>
      <c r="V336" s="409">
        <f t="shared" si="37"/>
        <v>0</v>
      </c>
      <c r="W336" s="311"/>
      <c r="X336" s="320"/>
      <c r="Y336" s="312"/>
      <c r="Z336" s="312"/>
      <c r="AA336" s="312"/>
      <c r="AB336" s="312"/>
      <c r="AC336" s="312"/>
      <c r="AD336" s="312"/>
      <c r="AE336" s="313"/>
      <c r="AF336" s="410">
        <f t="shared" si="38"/>
        <v>0</v>
      </c>
      <c r="AG336" s="312"/>
      <c r="AH336" s="317"/>
      <c r="AI336" s="303" t="s">
        <v>510</v>
      </c>
      <c r="AJ336" s="303" t="s">
        <v>510</v>
      </c>
      <c r="AK336" s="303" t="s">
        <v>510</v>
      </c>
      <c r="AL336" s="303" t="s">
        <v>511</v>
      </c>
      <c r="AM336" s="303" t="s">
        <v>510</v>
      </c>
      <c r="AN336" s="303" t="s">
        <v>511</v>
      </c>
      <c r="AO336" s="303">
        <v>20</v>
      </c>
      <c r="AP336" s="290">
        <f t="shared" si="39"/>
        <v>20</v>
      </c>
      <c r="AQ336" s="303" t="s">
        <v>504</v>
      </c>
      <c r="AR336" s="301" t="s">
        <v>1195</v>
      </c>
      <c r="AS336" s="303"/>
      <c r="AT336" s="303"/>
      <c r="AU336" s="303"/>
      <c r="AV336" s="303"/>
      <c r="AW336" s="303"/>
      <c r="AX336" s="303"/>
      <c r="AY336" s="303"/>
      <c r="AZ336" s="290">
        <f t="shared" si="40"/>
        <v>0</v>
      </c>
      <c r="BA336" s="303"/>
      <c r="BB336" s="301"/>
      <c r="BC336" s="315">
        <f t="shared" si="35"/>
        <v>1</v>
      </c>
      <c r="BD336" s="316" t="str">
        <f t="shared" si="41"/>
        <v>Habilitado</v>
      </c>
    </row>
    <row r="337" spans="1:56" ht="25.5" x14ac:dyDescent="0.25">
      <c r="A337" s="324">
        <v>335</v>
      </c>
      <c r="B337" s="331" t="s">
        <v>1196</v>
      </c>
      <c r="C337" s="331" t="s">
        <v>1197</v>
      </c>
      <c r="D337" s="331" t="s">
        <v>1198</v>
      </c>
      <c r="E337" s="320"/>
      <c r="F337" s="320"/>
      <c r="G337" s="320"/>
      <c r="H337" s="320"/>
      <c r="I337" s="311"/>
      <c r="J337" s="320"/>
      <c r="K337" s="320"/>
      <c r="L337" s="408">
        <f t="shared" si="36"/>
        <v>0</v>
      </c>
      <c r="M337" s="311"/>
      <c r="N337" s="320"/>
      <c r="O337" s="320"/>
      <c r="P337" s="320"/>
      <c r="Q337" s="320"/>
      <c r="R337" s="320"/>
      <c r="S337" s="320"/>
      <c r="T337" s="320"/>
      <c r="U337" s="320"/>
      <c r="V337" s="409">
        <f t="shared" si="37"/>
        <v>0</v>
      </c>
      <c r="W337" s="320"/>
      <c r="X337" s="320"/>
      <c r="Y337" s="299"/>
      <c r="Z337" s="299"/>
      <c r="AA337" s="299"/>
      <c r="AB337" s="299"/>
      <c r="AC337" s="299"/>
      <c r="AD337" s="299"/>
      <c r="AE337" s="330"/>
      <c r="AF337" s="410">
        <f t="shared" si="38"/>
        <v>0</v>
      </c>
      <c r="AG337" s="299"/>
      <c r="AH337" s="299"/>
      <c r="AI337" s="306"/>
      <c r="AJ337" s="306"/>
      <c r="AK337" s="306"/>
      <c r="AL337" s="306"/>
      <c r="AM337" s="306"/>
      <c r="AN337" s="306"/>
      <c r="AO337" s="306"/>
      <c r="AP337" s="290">
        <f t="shared" si="39"/>
        <v>0</v>
      </c>
      <c r="AQ337" s="306"/>
      <c r="AR337" s="306"/>
      <c r="AS337" s="306"/>
      <c r="AT337" s="306"/>
      <c r="AU337" s="306"/>
      <c r="AV337" s="306"/>
      <c r="AW337" s="306"/>
      <c r="AX337" s="306"/>
      <c r="AY337" s="306"/>
      <c r="AZ337" s="290">
        <f t="shared" si="40"/>
        <v>0</v>
      </c>
      <c r="BA337" s="306"/>
      <c r="BB337" s="306" t="s">
        <v>551</v>
      </c>
      <c r="BC337" s="315">
        <f t="shared" si="35"/>
        <v>0</v>
      </c>
      <c r="BD337" s="316" t="str">
        <f t="shared" si="41"/>
        <v>Desierto</v>
      </c>
    </row>
    <row r="338" spans="1:56" ht="38.25" x14ac:dyDescent="0.25">
      <c r="A338" s="308">
        <v>336</v>
      </c>
      <c r="B338" s="309" t="s">
        <v>1199</v>
      </c>
      <c r="C338" s="310" t="s">
        <v>1200</v>
      </c>
      <c r="D338" s="310" t="s">
        <v>1201</v>
      </c>
      <c r="E338" s="303" t="s">
        <v>510</v>
      </c>
      <c r="F338" s="303" t="s">
        <v>510</v>
      </c>
      <c r="G338" s="303" t="s">
        <v>510</v>
      </c>
      <c r="H338" s="303" t="s">
        <v>511</v>
      </c>
      <c r="I338" s="303" t="s">
        <v>510</v>
      </c>
      <c r="J338" s="303" t="s">
        <v>511</v>
      </c>
      <c r="K338" s="303">
        <v>40</v>
      </c>
      <c r="L338" s="408">
        <f t="shared" si="36"/>
        <v>40</v>
      </c>
      <c r="M338" s="303" t="s">
        <v>504</v>
      </c>
      <c r="N338" s="303"/>
      <c r="O338" s="311"/>
      <c r="P338" s="311"/>
      <c r="Q338" s="311"/>
      <c r="R338" s="311"/>
      <c r="S338" s="311"/>
      <c r="T338" s="311"/>
      <c r="U338" s="311"/>
      <c r="V338" s="409">
        <f t="shared" si="37"/>
        <v>0</v>
      </c>
      <c r="W338" s="311"/>
      <c r="X338" s="311"/>
      <c r="Y338" s="300"/>
      <c r="Z338" s="300"/>
      <c r="AA338" s="300"/>
      <c r="AB338" s="300"/>
      <c r="AC338" s="300"/>
      <c r="AD338" s="300"/>
      <c r="AE338" s="318"/>
      <c r="AF338" s="410">
        <f t="shared" si="38"/>
        <v>0</v>
      </c>
      <c r="AG338" s="300"/>
      <c r="AH338" s="299"/>
      <c r="AI338" s="303"/>
      <c r="AJ338" s="303"/>
      <c r="AK338" s="303"/>
      <c r="AL338" s="303"/>
      <c r="AM338" s="303"/>
      <c r="AN338" s="303"/>
      <c r="AO338" s="303"/>
      <c r="AP338" s="290">
        <f t="shared" si="39"/>
        <v>0</v>
      </c>
      <c r="AQ338" s="303"/>
      <c r="AR338" s="303"/>
      <c r="AS338" s="303" t="s">
        <v>510</v>
      </c>
      <c r="AT338" s="303" t="s">
        <v>510</v>
      </c>
      <c r="AU338" s="303" t="s">
        <v>510</v>
      </c>
      <c r="AV338" s="303" t="s">
        <v>511</v>
      </c>
      <c r="AW338" s="303" t="s">
        <v>510</v>
      </c>
      <c r="AX338" s="303" t="s">
        <v>511</v>
      </c>
      <c r="AY338" s="303">
        <v>0</v>
      </c>
      <c r="AZ338" s="290">
        <f t="shared" si="40"/>
        <v>0</v>
      </c>
      <c r="BA338" s="303" t="s">
        <v>504</v>
      </c>
      <c r="BB338" s="303"/>
      <c r="BC338" s="315">
        <f t="shared" si="35"/>
        <v>2</v>
      </c>
      <c r="BD338" s="316" t="str">
        <f t="shared" si="41"/>
        <v>Habilitado</v>
      </c>
    </row>
    <row r="339" spans="1:56" ht="51" x14ac:dyDescent="0.25">
      <c r="A339" s="308">
        <v>337</v>
      </c>
      <c r="B339" s="309" t="s">
        <v>1202</v>
      </c>
      <c r="C339" s="310" t="s">
        <v>1203</v>
      </c>
      <c r="D339" s="310" t="s">
        <v>344</v>
      </c>
      <c r="E339" s="303" t="s">
        <v>510</v>
      </c>
      <c r="F339" s="303" t="s">
        <v>510</v>
      </c>
      <c r="G339" s="303" t="s">
        <v>510</v>
      </c>
      <c r="H339" s="303" t="s">
        <v>511</v>
      </c>
      <c r="I339" s="303" t="s">
        <v>510</v>
      </c>
      <c r="J339" s="303" t="s">
        <v>511</v>
      </c>
      <c r="K339" s="303">
        <v>40</v>
      </c>
      <c r="L339" s="408">
        <f t="shared" si="36"/>
        <v>40</v>
      </c>
      <c r="M339" s="303" t="s">
        <v>504</v>
      </c>
      <c r="N339" s="303"/>
      <c r="O339" s="311"/>
      <c r="P339" s="311"/>
      <c r="Q339" s="311"/>
      <c r="R339" s="311"/>
      <c r="S339" s="311"/>
      <c r="T339" s="311"/>
      <c r="U339" s="311"/>
      <c r="V339" s="409">
        <f t="shared" si="37"/>
        <v>0</v>
      </c>
      <c r="W339" s="311"/>
      <c r="X339" s="311"/>
      <c r="Y339" s="300"/>
      <c r="Z339" s="300"/>
      <c r="AA339" s="300"/>
      <c r="AB339" s="300"/>
      <c r="AC339" s="300"/>
      <c r="AD339" s="300"/>
      <c r="AE339" s="318"/>
      <c r="AF339" s="410">
        <f t="shared" si="38"/>
        <v>0</v>
      </c>
      <c r="AG339" s="300"/>
      <c r="AH339" s="299"/>
      <c r="AI339" s="303"/>
      <c r="AJ339" s="303"/>
      <c r="AK339" s="303"/>
      <c r="AL339" s="303"/>
      <c r="AM339" s="303"/>
      <c r="AN339" s="303"/>
      <c r="AO339" s="303"/>
      <c r="AP339" s="290">
        <f t="shared" si="39"/>
        <v>0</v>
      </c>
      <c r="AQ339" s="303"/>
      <c r="AR339" s="303"/>
      <c r="AS339" s="303"/>
      <c r="AT339" s="303"/>
      <c r="AU339" s="303"/>
      <c r="AV339" s="303"/>
      <c r="AW339" s="303"/>
      <c r="AX339" s="303"/>
      <c r="AY339" s="303"/>
      <c r="AZ339" s="290">
        <f t="shared" si="40"/>
        <v>0</v>
      </c>
      <c r="BA339" s="303"/>
      <c r="BB339" s="303"/>
      <c r="BC339" s="315">
        <f t="shared" si="35"/>
        <v>1</v>
      </c>
      <c r="BD339" s="316" t="str">
        <f t="shared" si="41"/>
        <v>Habilitado</v>
      </c>
    </row>
    <row r="340" spans="1:56" ht="63.75" x14ac:dyDescent="0.25">
      <c r="A340" s="308">
        <v>338</v>
      </c>
      <c r="B340" s="309" t="s">
        <v>1204</v>
      </c>
      <c r="C340" s="310" t="s">
        <v>518</v>
      </c>
      <c r="D340" s="310" t="s">
        <v>628</v>
      </c>
      <c r="E340" s="311"/>
      <c r="F340" s="311"/>
      <c r="G340" s="311"/>
      <c r="H340" s="311"/>
      <c r="I340" s="311"/>
      <c r="J340" s="311"/>
      <c r="K340" s="311"/>
      <c r="L340" s="408">
        <f t="shared" si="36"/>
        <v>0</v>
      </c>
      <c r="M340" s="311"/>
      <c r="N340" s="311"/>
      <c r="O340" s="311"/>
      <c r="P340" s="311"/>
      <c r="Q340" s="311"/>
      <c r="R340" s="311"/>
      <c r="S340" s="311"/>
      <c r="T340" s="311"/>
      <c r="U340" s="311"/>
      <c r="V340" s="409">
        <f t="shared" si="37"/>
        <v>0</v>
      </c>
      <c r="W340" s="311"/>
      <c r="X340" s="311"/>
      <c r="Y340" s="300" t="s">
        <v>510</v>
      </c>
      <c r="Z340" s="300" t="s">
        <v>519</v>
      </c>
      <c r="AA340" s="300" t="s">
        <v>519</v>
      </c>
      <c r="AB340" s="300" t="s">
        <v>511</v>
      </c>
      <c r="AC340" s="300" t="s">
        <v>510</v>
      </c>
      <c r="AD340" s="300" t="s">
        <v>511</v>
      </c>
      <c r="AE340" s="318">
        <v>0</v>
      </c>
      <c r="AF340" s="410">
        <f t="shared" si="38"/>
        <v>0</v>
      </c>
      <c r="AG340" s="300" t="s">
        <v>593</v>
      </c>
      <c r="AH340" s="299" t="s">
        <v>2851</v>
      </c>
      <c r="AI340" s="303" t="s">
        <v>510</v>
      </c>
      <c r="AJ340" s="303" t="s">
        <v>510</v>
      </c>
      <c r="AK340" s="303" t="s">
        <v>510</v>
      </c>
      <c r="AL340" s="303" t="s">
        <v>511</v>
      </c>
      <c r="AM340" s="303" t="s">
        <v>510</v>
      </c>
      <c r="AN340" s="303" t="s">
        <v>511</v>
      </c>
      <c r="AO340" s="303">
        <v>20</v>
      </c>
      <c r="AP340" s="290">
        <f t="shared" si="39"/>
        <v>20</v>
      </c>
      <c r="AQ340" s="303" t="s">
        <v>504</v>
      </c>
      <c r="AR340" s="303"/>
      <c r="AS340" s="303"/>
      <c r="AT340" s="303"/>
      <c r="AU340" s="303"/>
      <c r="AV340" s="303"/>
      <c r="AW340" s="303"/>
      <c r="AX340" s="303"/>
      <c r="AY340" s="303"/>
      <c r="AZ340" s="290">
        <f t="shared" si="40"/>
        <v>0</v>
      </c>
      <c r="BA340" s="303"/>
      <c r="BB340" s="301"/>
      <c r="BC340" s="315">
        <f t="shared" si="35"/>
        <v>1</v>
      </c>
      <c r="BD340" s="316" t="str">
        <f t="shared" si="41"/>
        <v>Habilitado</v>
      </c>
    </row>
    <row r="341" spans="1:56" ht="25.5" x14ac:dyDescent="0.25">
      <c r="A341" s="308">
        <v>339</v>
      </c>
      <c r="B341" s="309" t="s">
        <v>1205</v>
      </c>
      <c r="C341" s="310" t="s">
        <v>1206</v>
      </c>
      <c r="D341" s="310" t="s">
        <v>1207</v>
      </c>
      <c r="E341" s="311"/>
      <c r="F341" s="311"/>
      <c r="G341" s="311"/>
      <c r="H341" s="311"/>
      <c r="I341" s="311"/>
      <c r="J341" s="311"/>
      <c r="K341" s="311"/>
      <c r="L341" s="408">
        <f t="shared" si="36"/>
        <v>0</v>
      </c>
      <c r="M341" s="311"/>
      <c r="N341" s="320"/>
      <c r="O341" s="311"/>
      <c r="P341" s="311"/>
      <c r="Q341" s="311"/>
      <c r="R341" s="311"/>
      <c r="S341" s="311"/>
      <c r="T341" s="311"/>
      <c r="U341" s="311"/>
      <c r="V341" s="409">
        <f t="shared" si="37"/>
        <v>0</v>
      </c>
      <c r="W341" s="311"/>
      <c r="X341" s="320"/>
      <c r="Y341" s="312"/>
      <c r="Z341" s="312"/>
      <c r="AA341" s="312"/>
      <c r="AB341" s="312"/>
      <c r="AC341" s="312"/>
      <c r="AD341" s="312"/>
      <c r="AE341" s="313"/>
      <c r="AF341" s="410">
        <f t="shared" si="38"/>
        <v>0</v>
      </c>
      <c r="AG341" s="312"/>
      <c r="AH341" s="317"/>
      <c r="AI341" s="303"/>
      <c r="AJ341" s="303"/>
      <c r="AK341" s="303"/>
      <c r="AL341" s="303"/>
      <c r="AM341" s="303"/>
      <c r="AN341" s="303"/>
      <c r="AO341" s="303"/>
      <c r="AP341" s="290">
        <f t="shared" si="39"/>
        <v>0</v>
      </c>
      <c r="AQ341" s="303"/>
      <c r="AR341" s="301"/>
      <c r="AS341" s="303"/>
      <c r="AT341" s="303"/>
      <c r="AU341" s="303"/>
      <c r="AV341" s="303"/>
      <c r="AW341" s="303"/>
      <c r="AX341" s="303"/>
      <c r="AY341" s="303"/>
      <c r="AZ341" s="290">
        <f t="shared" si="40"/>
        <v>0</v>
      </c>
      <c r="BA341" s="303"/>
      <c r="BB341" s="301"/>
      <c r="BC341" s="315">
        <f t="shared" si="35"/>
        <v>0</v>
      </c>
      <c r="BD341" s="316" t="str">
        <f t="shared" si="41"/>
        <v>Desierto</v>
      </c>
    </row>
    <row r="342" spans="1:56" ht="51" x14ac:dyDescent="0.25">
      <c r="A342" s="308">
        <v>340</v>
      </c>
      <c r="B342" s="309" t="s">
        <v>1208</v>
      </c>
      <c r="C342" s="310" t="s">
        <v>1209</v>
      </c>
      <c r="D342" s="310" t="s">
        <v>46</v>
      </c>
      <c r="E342" s="303" t="s">
        <v>510</v>
      </c>
      <c r="F342" s="303" t="s">
        <v>510</v>
      </c>
      <c r="G342" s="303" t="s">
        <v>510</v>
      </c>
      <c r="H342" s="303" t="s">
        <v>511</v>
      </c>
      <c r="I342" s="303" t="s">
        <v>510</v>
      </c>
      <c r="J342" s="303" t="s">
        <v>511</v>
      </c>
      <c r="K342" s="303">
        <v>40</v>
      </c>
      <c r="L342" s="408">
        <f t="shared" si="36"/>
        <v>40</v>
      </c>
      <c r="M342" s="303" t="s">
        <v>504</v>
      </c>
      <c r="N342" s="303"/>
      <c r="O342" s="311"/>
      <c r="P342" s="311"/>
      <c r="Q342" s="311"/>
      <c r="R342" s="311"/>
      <c r="S342" s="311"/>
      <c r="T342" s="311"/>
      <c r="U342" s="311"/>
      <c r="V342" s="409">
        <f t="shared" si="37"/>
        <v>0</v>
      </c>
      <c r="W342" s="311"/>
      <c r="X342" s="311"/>
      <c r="Y342" s="300" t="s">
        <v>510</v>
      </c>
      <c r="Z342" s="300" t="s">
        <v>510</v>
      </c>
      <c r="AA342" s="300" t="s">
        <v>510</v>
      </c>
      <c r="AB342" s="300" t="s">
        <v>511</v>
      </c>
      <c r="AC342" s="300" t="s">
        <v>510</v>
      </c>
      <c r="AD342" s="300" t="s">
        <v>511</v>
      </c>
      <c r="AE342" s="318">
        <v>40</v>
      </c>
      <c r="AF342" s="410">
        <f t="shared" si="38"/>
        <v>40</v>
      </c>
      <c r="AG342" s="300" t="s">
        <v>504</v>
      </c>
      <c r="AH342" s="300"/>
      <c r="AI342" s="303" t="s">
        <v>510</v>
      </c>
      <c r="AJ342" s="303" t="s">
        <v>510</v>
      </c>
      <c r="AK342" s="303" t="s">
        <v>510</v>
      </c>
      <c r="AL342" s="303" t="s">
        <v>511</v>
      </c>
      <c r="AM342" s="303" t="s">
        <v>510</v>
      </c>
      <c r="AN342" s="303" t="s">
        <v>511</v>
      </c>
      <c r="AO342" s="303">
        <v>20</v>
      </c>
      <c r="AP342" s="290">
        <f t="shared" si="39"/>
        <v>20</v>
      </c>
      <c r="AQ342" s="303" t="s">
        <v>504</v>
      </c>
      <c r="AR342" s="303"/>
      <c r="AS342" s="303"/>
      <c r="AT342" s="303"/>
      <c r="AU342" s="303"/>
      <c r="AV342" s="303"/>
      <c r="AW342" s="303"/>
      <c r="AX342" s="303"/>
      <c r="AY342" s="303"/>
      <c r="AZ342" s="290">
        <f t="shared" si="40"/>
        <v>0</v>
      </c>
      <c r="BA342" s="303"/>
      <c r="BB342" s="301"/>
      <c r="BC342" s="315">
        <f t="shared" si="35"/>
        <v>3</v>
      </c>
      <c r="BD342" s="316" t="str">
        <f t="shared" si="41"/>
        <v>Habilitado</v>
      </c>
    </row>
    <row r="343" spans="1:56" x14ac:dyDescent="0.25">
      <c r="A343" s="308">
        <v>341</v>
      </c>
      <c r="B343" s="309" t="s">
        <v>1210</v>
      </c>
      <c r="C343" s="310" t="s">
        <v>392</v>
      </c>
      <c r="D343" s="340" t="s">
        <v>1211</v>
      </c>
      <c r="E343" s="311"/>
      <c r="F343" s="311"/>
      <c r="G343" s="311"/>
      <c r="H343" s="311"/>
      <c r="I343" s="311"/>
      <c r="J343" s="311"/>
      <c r="K343" s="311"/>
      <c r="L343" s="408">
        <f t="shared" si="36"/>
        <v>0</v>
      </c>
      <c r="M343" s="311"/>
      <c r="N343" s="303"/>
      <c r="O343" s="311"/>
      <c r="P343" s="311"/>
      <c r="Q343" s="311"/>
      <c r="R343" s="311"/>
      <c r="S343" s="311"/>
      <c r="T343" s="311"/>
      <c r="U343" s="311"/>
      <c r="V343" s="409">
        <f t="shared" si="37"/>
        <v>0</v>
      </c>
      <c r="W343" s="311"/>
      <c r="X343" s="311"/>
      <c r="Y343" s="300"/>
      <c r="Z343" s="300"/>
      <c r="AA343" s="300"/>
      <c r="AB343" s="300"/>
      <c r="AC343" s="300"/>
      <c r="AD343" s="300"/>
      <c r="AE343" s="318"/>
      <c r="AF343" s="410">
        <f t="shared" si="38"/>
        <v>0</v>
      </c>
      <c r="AG343" s="300"/>
      <c r="AH343" s="300"/>
      <c r="AI343" s="303"/>
      <c r="AJ343" s="303"/>
      <c r="AK343" s="303"/>
      <c r="AL343" s="303"/>
      <c r="AM343" s="303"/>
      <c r="AN343" s="303"/>
      <c r="AO343" s="303"/>
      <c r="AP343" s="290">
        <f t="shared" si="39"/>
        <v>0</v>
      </c>
      <c r="AQ343" s="303"/>
      <c r="AR343" s="303"/>
      <c r="AS343" s="303"/>
      <c r="AT343" s="303"/>
      <c r="AU343" s="303"/>
      <c r="AV343" s="303"/>
      <c r="AW343" s="303"/>
      <c r="AX343" s="303"/>
      <c r="AY343" s="303"/>
      <c r="AZ343" s="290">
        <f t="shared" si="40"/>
        <v>0</v>
      </c>
      <c r="BA343" s="303"/>
      <c r="BB343" s="303"/>
      <c r="BC343" s="315">
        <f t="shared" si="35"/>
        <v>0</v>
      </c>
      <c r="BD343" s="316" t="str">
        <f t="shared" si="41"/>
        <v>Desierto</v>
      </c>
    </row>
    <row r="344" spans="1:56" ht="63.75" x14ac:dyDescent="0.25">
      <c r="A344" s="324">
        <v>342</v>
      </c>
      <c r="B344" s="331" t="s">
        <v>1212</v>
      </c>
      <c r="C344" s="331" t="s">
        <v>407</v>
      </c>
      <c r="D344" s="320" t="s">
        <v>1213</v>
      </c>
      <c r="E344" s="320"/>
      <c r="F344" s="320"/>
      <c r="G344" s="320"/>
      <c r="H344" s="320"/>
      <c r="I344" s="311"/>
      <c r="J344" s="320"/>
      <c r="K344" s="320"/>
      <c r="L344" s="408">
        <f t="shared" si="36"/>
        <v>0</v>
      </c>
      <c r="M344" s="311"/>
      <c r="N344" s="306"/>
      <c r="O344" s="320"/>
      <c r="P344" s="320"/>
      <c r="Q344" s="320"/>
      <c r="R344" s="320"/>
      <c r="S344" s="320"/>
      <c r="T344" s="320"/>
      <c r="U344" s="320"/>
      <c r="V344" s="409">
        <f t="shared" si="37"/>
        <v>0</v>
      </c>
      <c r="W344" s="320"/>
      <c r="X344" s="320"/>
      <c r="Y344" s="299"/>
      <c r="Z344" s="299"/>
      <c r="AA344" s="299"/>
      <c r="AB344" s="299"/>
      <c r="AC344" s="299"/>
      <c r="AD344" s="299"/>
      <c r="AE344" s="330"/>
      <c r="AF344" s="410">
        <f t="shared" si="38"/>
        <v>0</v>
      </c>
      <c r="AG344" s="299"/>
      <c r="AH344" s="299"/>
      <c r="AI344" s="306"/>
      <c r="AJ344" s="306"/>
      <c r="AK344" s="306"/>
      <c r="AL344" s="306"/>
      <c r="AM344" s="306"/>
      <c r="AN344" s="306"/>
      <c r="AO344" s="306"/>
      <c r="AP344" s="290">
        <f t="shared" si="39"/>
        <v>0</v>
      </c>
      <c r="AQ344" s="306"/>
      <c r="AR344" s="306"/>
      <c r="AS344" s="306"/>
      <c r="AT344" s="306"/>
      <c r="AU344" s="306"/>
      <c r="AV344" s="306"/>
      <c r="AW344" s="306"/>
      <c r="AX344" s="306"/>
      <c r="AY344" s="306"/>
      <c r="AZ344" s="290">
        <f t="shared" si="40"/>
        <v>0</v>
      </c>
      <c r="BA344" s="306"/>
      <c r="BB344" s="306" t="s">
        <v>551</v>
      </c>
      <c r="BC344" s="315">
        <f t="shared" si="35"/>
        <v>0</v>
      </c>
      <c r="BD344" s="316" t="str">
        <f t="shared" si="41"/>
        <v>Desierto</v>
      </c>
    </row>
    <row r="345" spans="1:56" ht="38.25" x14ac:dyDescent="0.25">
      <c r="A345" s="308">
        <v>343</v>
      </c>
      <c r="B345" s="309" t="s">
        <v>1214</v>
      </c>
      <c r="C345" s="310" t="s">
        <v>1215</v>
      </c>
      <c r="D345" s="340" t="s">
        <v>411</v>
      </c>
      <c r="E345" s="311"/>
      <c r="F345" s="311"/>
      <c r="G345" s="311"/>
      <c r="H345" s="311"/>
      <c r="I345" s="311"/>
      <c r="J345" s="311"/>
      <c r="K345" s="311"/>
      <c r="L345" s="408">
        <f t="shared" si="36"/>
        <v>0</v>
      </c>
      <c r="M345" s="311"/>
      <c r="N345" s="303"/>
      <c r="O345" s="311"/>
      <c r="P345" s="311"/>
      <c r="Q345" s="311"/>
      <c r="R345" s="311"/>
      <c r="S345" s="311"/>
      <c r="T345" s="311"/>
      <c r="U345" s="311"/>
      <c r="V345" s="409">
        <f t="shared" si="37"/>
        <v>0</v>
      </c>
      <c r="W345" s="311"/>
      <c r="X345" s="311"/>
      <c r="Y345" s="300"/>
      <c r="Z345" s="300"/>
      <c r="AA345" s="300"/>
      <c r="AB345" s="300"/>
      <c r="AC345" s="300"/>
      <c r="AD345" s="300"/>
      <c r="AE345" s="318"/>
      <c r="AF345" s="410">
        <f t="shared" si="38"/>
        <v>0</v>
      </c>
      <c r="AG345" s="300"/>
      <c r="AH345" s="300"/>
      <c r="AI345" s="303"/>
      <c r="AJ345" s="303"/>
      <c r="AK345" s="303"/>
      <c r="AL345" s="303"/>
      <c r="AM345" s="303"/>
      <c r="AN345" s="303"/>
      <c r="AO345" s="303"/>
      <c r="AP345" s="290">
        <f t="shared" si="39"/>
        <v>0</v>
      </c>
      <c r="AQ345" s="303"/>
      <c r="AR345" s="303"/>
      <c r="AS345" s="303"/>
      <c r="AT345" s="303"/>
      <c r="AU345" s="303"/>
      <c r="AV345" s="303"/>
      <c r="AW345" s="303"/>
      <c r="AX345" s="303"/>
      <c r="AY345" s="303"/>
      <c r="AZ345" s="290">
        <f t="shared" si="40"/>
        <v>0</v>
      </c>
      <c r="BA345" s="303"/>
      <c r="BB345" s="303"/>
      <c r="BC345" s="315">
        <f t="shared" si="35"/>
        <v>0</v>
      </c>
      <c r="BD345" s="316" t="str">
        <f t="shared" si="41"/>
        <v>Desierto</v>
      </c>
    </row>
    <row r="346" spans="1:56" ht="25.5" x14ac:dyDescent="0.25">
      <c r="A346" s="308">
        <v>344</v>
      </c>
      <c r="B346" s="309" t="s">
        <v>1216</v>
      </c>
      <c r="C346" s="310" t="s">
        <v>1217</v>
      </c>
      <c r="D346" s="310" t="s">
        <v>1218</v>
      </c>
      <c r="E346" s="303" t="s">
        <v>510</v>
      </c>
      <c r="F346" s="303" t="s">
        <v>510</v>
      </c>
      <c r="G346" s="303" t="s">
        <v>510</v>
      </c>
      <c r="H346" s="303" t="s">
        <v>511</v>
      </c>
      <c r="I346" s="303" t="s">
        <v>510</v>
      </c>
      <c r="J346" s="303" t="s">
        <v>511</v>
      </c>
      <c r="K346" s="303">
        <v>40</v>
      </c>
      <c r="L346" s="408">
        <f t="shared" si="36"/>
        <v>40</v>
      </c>
      <c r="M346" s="303" t="s">
        <v>504</v>
      </c>
      <c r="N346" s="303"/>
      <c r="O346" s="311"/>
      <c r="P346" s="311"/>
      <c r="Q346" s="311"/>
      <c r="R346" s="311"/>
      <c r="S346" s="311"/>
      <c r="T346" s="311"/>
      <c r="U346" s="311"/>
      <c r="V346" s="409">
        <f t="shared" si="37"/>
        <v>0</v>
      </c>
      <c r="W346" s="311"/>
      <c r="X346" s="311"/>
      <c r="Y346" s="300"/>
      <c r="Z346" s="300"/>
      <c r="AA346" s="300"/>
      <c r="AB346" s="300"/>
      <c r="AC346" s="300"/>
      <c r="AD346" s="300"/>
      <c r="AE346" s="318"/>
      <c r="AF346" s="410">
        <f t="shared" si="38"/>
        <v>0</v>
      </c>
      <c r="AG346" s="300"/>
      <c r="AH346" s="300"/>
      <c r="AI346" s="303"/>
      <c r="AJ346" s="303"/>
      <c r="AK346" s="303"/>
      <c r="AL346" s="303"/>
      <c r="AM346" s="303"/>
      <c r="AN346" s="303"/>
      <c r="AO346" s="303"/>
      <c r="AP346" s="290">
        <f t="shared" si="39"/>
        <v>0</v>
      </c>
      <c r="AQ346" s="303"/>
      <c r="AR346" s="303"/>
      <c r="AS346" s="303"/>
      <c r="AT346" s="303"/>
      <c r="AU346" s="303"/>
      <c r="AV346" s="303"/>
      <c r="AW346" s="303"/>
      <c r="AX346" s="303"/>
      <c r="AY346" s="303"/>
      <c r="AZ346" s="290">
        <f t="shared" si="40"/>
        <v>0</v>
      </c>
      <c r="BA346" s="303"/>
      <c r="BB346" s="303"/>
      <c r="BC346" s="315">
        <f t="shared" si="35"/>
        <v>1</v>
      </c>
      <c r="BD346" s="316" t="str">
        <f t="shared" si="41"/>
        <v>Habilitado</v>
      </c>
    </row>
    <row r="347" spans="1:56" ht="38.25" x14ac:dyDescent="0.25">
      <c r="A347" s="308">
        <v>345</v>
      </c>
      <c r="B347" s="309" t="s">
        <v>1219</v>
      </c>
      <c r="C347" s="310" t="s">
        <v>972</v>
      </c>
      <c r="D347" s="310" t="s">
        <v>794</v>
      </c>
      <c r="E347" s="311"/>
      <c r="F347" s="311"/>
      <c r="G347" s="311"/>
      <c r="H347" s="311"/>
      <c r="I347" s="311"/>
      <c r="J347" s="311"/>
      <c r="K347" s="311"/>
      <c r="L347" s="408">
        <f t="shared" si="36"/>
        <v>0</v>
      </c>
      <c r="M347" s="311"/>
      <c r="N347" s="303"/>
      <c r="O347" s="311"/>
      <c r="P347" s="311"/>
      <c r="Q347" s="311"/>
      <c r="R347" s="311"/>
      <c r="S347" s="311"/>
      <c r="T347" s="311"/>
      <c r="U347" s="311"/>
      <c r="V347" s="409">
        <f t="shared" si="37"/>
        <v>0</v>
      </c>
      <c r="W347" s="311"/>
      <c r="X347" s="311"/>
      <c r="Y347" s="300" t="s">
        <v>510</v>
      </c>
      <c r="Z347" s="300" t="s">
        <v>510</v>
      </c>
      <c r="AA347" s="300" t="s">
        <v>510</v>
      </c>
      <c r="AB347" s="300" t="s">
        <v>511</v>
      </c>
      <c r="AC347" s="300" t="s">
        <v>510</v>
      </c>
      <c r="AD347" s="300" t="s">
        <v>511</v>
      </c>
      <c r="AE347" s="318">
        <v>40</v>
      </c>
      <c r="AF347" s="410">
        <f t="shared" si="38"/>
        <v>40</v>
      </c>
      <c r="AG347" s="300" t="s">
        <v>504</v>
      </c>
      <c r="AH347" s="300"/>
      <c r="AI347" s="303" t="s">
        <v>510</v>
      </c>
      <c r="AJ347" s="303" t="s">
        <v>510</v>
      </c>
      <c r="AK347" s="303" t="s">
        <v>510</v>
      </c>
      <c r="AL347" s="303" t="s">
        <v>511</v>
      </c>
      <c r="AM347" s="303" t="s">
        <v>510</v>
      </c>
      <c r="AN347" s="303" t="s">
        <v>511</v>
      </c>
      <c r="AO347" s="303">
        <v>20</v>
      </c>
      <c r="AP347" s="290">
        <f t="shared" si="39"/>
        <v>20</v>
      </c>
      <c r="AQ347" s="303" t="s">
        <v>504</v>
      </c>
      <c r="AR347" s="303"/>
      <c r="AS347" s="303"/>
      <c r="AT347" s="303"/>
      <c r="AU347" s="303"/>
      <c r="AV347" s="303"/>
      <c r="AW347" s="303"/>
      <c r="AX347" s="303"/>
      <c r="AY347" s="303"/>
      <c r="AZ347" s="290">
        <f t="shared" si="40"/>
        <v>0</v>
      </c>
      <c r="BA347" s="303"/>
      <c r="BB347" s="301"/>
      <c r="BC347" s="315">
        <f t="shared" si="35"/>
        <v>2</v>
      </c>
      <c r="BD347" s="316" t="str">
        <f t="shared" si="41"/>
        <v>Habilitado</v>
      </c>
    </row>
    <row r="348" spans="1:56" ht="25.5" x14ac:dyDescent="0.25">
      <c r="A348" s="308">
        <v>346</v>
      </c>
      <c r="B348" s="309" t="s">
        <v>1220</v>
      </c>
      <c r="C348" s="310" t="s">
        <v>1221</v>
      </c>
      <c r="D348" s="310" t="s">
        <v>636</v>
      </c>
      <c r="E348" s="303" t="s">
        <v>510</v>
      </c>
      <c r="F348" s="303" t="s">
        <v>510</v>
      </c>
      <c r="G348" s="303" t="s">
        <v>510</v>
      </c>
      <c r="H348" s="303" t="s">
        <v>511</v>
      </c>
      <c r="I348" s="303" t="s">
        <v>510</v>
      </c>
      <c r="J348" s="303" t="s">
        <v>511</v>
      </c>
      <c r="K348" s="303">
        <v>40</v>
      </c>
      <c r="L348" s="408">
        <f t="shared" si="36"/>
        <v>40</v>
      </c>
      <c r="M348" s="303" t="s">
        <v>504</v>
      </c>
      <c r="N348" s="303"/>
      <c r="O348" s="311"/>
      <c r="P348" s="311"/>
      <c r="Q348" s="311"/>
      <c r="R348" s="311"/>
      <c r="S348" s="311"/>
      <c r="T348" s="311"/>
      <c r="U348" s="311"/>
      <c r="V348" s="409">
        <f t="shared" si="37"/>
        <v>0</v>
      </c>
      <c r="W348" s="311"/>
      <c r="X348" s="311"/>
      <c r="Y348" s="300" t="s">
        <v>510</v>
      </c>
      <c r="Z348" s="300" t="s">
        <v>510</v>
      </c>
      <c r="AA348" s="300" t="s">
        <v>510</v>
      </c>
      <c r="AB348" s="300" t="s">
        <v>511</v>
      </c>
      <c r="AC348" s="300" t="s">
        <v>510</v>
      </c>
      <c r="AD348" s="300" t="s">
        <v>511</v>
      </c>
      <c r="AE348" s="318">
        <v>40</v>
      </c>
      <c r="AF348" s="410">
        <f t="shared" si="38"/>
        <v>40</v>
      </c>
      <c r="AG348" s="300" t="s">
        <v>504</v>
      </c>
      <c r="AH348" s="300"/>
      <c r="AI348" s="303" t="s">
        <v>510</v>
      </c>
      <c r="AJ348" s="303" t="s">
        <v>510</v>
      </c>
      <c r="AK348" s="303" t="s">
        <v>510</v>
      </c>
      <c r="AL348" s="303" t="s">
        <v>511</v>
      </c>
      <c r="AM348" s="303" t="s">
        <v>510</v>
      </c>
      <c r="AN348" s="303" t="s">
        <v>511</v>
      </c>
      <c r="AO348" s="303">
        <v>20</v>
      </c>
      <c r="AP348" s="290">
        <f t="shared" si="39"/>
        <v>20</v>
      </c>
      <c r="AQ348" s="303" t="s">
        <v>504</v>
      </c>
      <c r="AR348" s="303"/>
      <c r="AS348" s="303"/>
      <c r="AT348" s="303"/>
      <c r="AU348" s="303"/>
      <c r="AV348" s="303"/>
      <c r="AW348" s="303"/>
      <c r="AX348" s="303"/>
      <c r="AY348" s="303"/>
      <c r="AZ348" s="290">
        <f t="shared" si="40"/>
        <v>0</v>
      </c>
      <c r="BA348" s="303"/>
      <c r="BB348" s="301"/>
      <c r="BC348" s="315">
        <f t="shared" si="35"/>
        <v>3</v>
      </c>
      <c r="BD348" s="316" t="str">
        <f t="shared" si="41"/>
        <v>Habilitado</v>
      </c>
    </row>
    <row r="349" spans="1:56" ht="25.5" x14ac:dyDescent="0.25">
      <c r="A349" s="308">
        <v>347</v>
      </c>
      <c r="B349" s="309" t="s">
        <v>1222</v>
      </c>
      <c r="C349" s="310" t="s">
        <v>1221</v>
      </c>
      <c r="D349" s="310" t="s">
        <v>794</v>
      </c>
      <c r="E349" s="311"/>
      <c r="F349" s="311"/>
      <c r="G349" s="311"/>
      <c r="H349" s="311"/>
      <c r="I349" s="311"/>
      <c r="J349" s="311"/>
      <c r="K349" s="311"/>
      <c r="L349" s="408">
        <f t="shared" si="36"/>
        <v>0</v>
      </c>
      <c r="M349" s="311"/>
      <c r="N349" s="311"/>
      <c r="O349" s="311"/>
      <c r="P349" s="311"/>
      <c r="Q349" s="311"/>
      <c r="R349" s="311"/>
      <c r="S349" s="311"/>
      <c r="T349" s="311"/>
      <c r="U349" s="311"/>
      <c r="V349" s="409">
        <f t="shared" si="37"/>
        <v>0</v>
      </c>
      <c r="W349" s="311"/>
      <c r="X349" s="311"/>
      <c r="Y349" s="300" t="s">
        <v>510</v>
      </c>
      <c r="Z349" s="300" t="s">
        <v>510</v>
      </c>
      <c r="AA349" s="300" t="s">
        <v>510</v>
      </c>
      <c r="AB349" s="300" t="s">
        <v>511</v>
      </c>
      <c r="AC349" s="300" t="s">
        <v>510</v>
      </c>
      <c r="AD349" s="300" t="s">
        <v>511</v>
      </c>
      <c r="AE349" s="318">
        <v>40</v>
      </c>
      <c r="AF349" s="410">
        <f t="shared" si="38"/>
        <v>40</v>
      </c>
      <c r="AG349" s="300" t="s">
        <v>504</v>
      </c>
      <c r="AH349" s="300"/>
      <c r="AI349" s="303" t="s">
        <v>510</v>
      </c>
      <c r="AJ349" s="303" t="s">
        <v>510</v>
      </c>
      <c r="AK349" s="303" t="s">
        <v>510</v>
      </c>
      <c r="AL349" s="303" t="s">
        <v>511</v>
      </c>
      <c r="AM349" s="303" t="s">
        <v>510</v>
      </c>
      <c r="AN349" s="303" t="s">
        <v>511</v>
      </c>
      <c r="AO349" s="303">
        <v>20</v>
      </c>
      <c r="AP349" s="290">
        <f t="shared" si="39"/>
        <v>20</v>
      </c>
      <c r="AQ349" s="303" t="s">
        <v>504</v>
      </c>
      <c r="AR349" s="303"/>
      <c r="AS349" s="303"/>
      <c r="AT349" s="303"/>
      <c r="AU349" s="303"/>
      <c r="AV349" s="303"/>
      <c r="AW349" s="303"/>
      <c r="AX349" s="303"/>
      <c r="AY349" s="303"/>
      <c r="AZ349" s="290">
        <f t="shared" si="40"/>
        <v>0</v>
      </c>
      <c r="BA349" s="303"/>
      <c r="BB349" s="301"/>
      <c r="BC349" s="315">
        <f t="shared" si="35"/>
        <v>2</v>
      </c>
      <c r="BD349" s="316" t="str">
        <f t="shared" si="41"/>
        <v>Habilitado</v>
      </c>
    </row>
    <row r="350" spans="1:56" ht="63.75" x14ac:dyDescent="0.25">
      <c r="A350" s="308">
        <v>348</v>
      </c>
      <c r="B350" s="309" t="s">
        <v>1223</v>
      </c>
      <c r="C350" s="310" t="s">
        <v>1224</v>
      </c>
      <c r="D350" s="310" t="s">
        <v>898</v>
      </c>
      <c r="E350" s="303" t="s">
        <v>510</v>
      </c>
      <c r="F350" s="303" t="s">
        <v>510</v>
      </c>
      <c r="G350" s="303" t="s">
        <v>510</v>
      </c>
      <c r="H350" s="303" t="s">
        <v>511</v>
      </c>
      <c r="I350" s="303" t="s">
        <v>510</v>
      </c>
      <c r="J350" s="303" t="s">
        <v>511</v>
      </c>
      <c r="K350" s="303">
        <v>40</v>
      </c>
      <c r="L350" s="408">
        <f t="shared" si="36"/>
        <v>40</v>
      </c>
      <c r="M350" s="303" t="s">
        <v>504</v>
      </c>
      <c r="N350" s="303"/>
      <c r="O350" s="311"/>
      <c r="P350" s="311"/>
      <c r="Q350" s="311"/>
      <c r="R350" s="311"/>
      <c r="S350" s="311"/>
      <c r="T350" s="311"/>
      <c r="U350" s="311"/>
      <c r="V350" s="409">
        <f t="shared" si="37"/>
        <v>0</v>
      </c>
      <c r="W350" s="311"/>
      <c r="X350" s="311"/>
      <c r="Y350" s="312"/>
      <c r="Z350" s="312"/>
      <c r="AA350" s="312"/>
      <c r="AB350" s="312"/>
      <c r="AC350" s="312"/>
      <c r="AD350" s="312"/>
      <c r="AE350" s="313"/>
      <c r="AF350" s="410">
        <f t="shared" si="38"/>
        <v>0</v>
      </c>
      <c r="AG350" s="312"/>
      <c r="AH350" s="312"/>
      <c r="AI350" s="303" t="s">
        <v>510</v>
      </c>
      <c r="AJ350" s="303" t="s">
        <v>510</v>
      </c>
      <c r="AK350" s="303" t="s">
        <v>510</v>
      </c>
      <c r="AL350" s="303" t="s">
        <v>511</v>
      </c>
      <c r="AM350" s="303" t="s">
        <v>510</v>
      </c>
      <c r="AN350" s="303" t="s">
        <v>511</v>
      </c>
      <c r="AO350" s="303">
        <v>20</v>
      </c>
      <c r="AP350" s="290">
        <f t="shared" si="39"/>
        <v>20</v>
      </c>
      <c r="AQ350" s="303" t="s">
        <v>504</v>
      </c>
      <c r="AR350" s="301"/>
      <c r="AS350" s="303"/>
      <c r="AT350" s="303"/>
      <c r="AU350" s="303"/>
      <c r="AV350" s="303"/>
      <c r="AW350" s="303"/>
      <c r="AX350" s="303"/>
      <c r="AY350" s="303"/>
      <c r="AZ350" s="290">
        <f t="shared" si="40"/>
        <v>0</v>
      </c>
      <c r="BA350" s="303"/>
      <c r="BB350" s="303"/>
      <c r="BC350" s="315">
        <f t="shared" si="35"/>
        <v>2</v>
      </c>
      <c r="BD350" s="316" t="str">
        <f t="shared" si="41"/>
        <v>Habilitado</v>
      </c>
    </row>
    <row r="351" spans="1:56" ht="25.5" x14ac:dyDescent="0.25">
      <c r="A351" s="308">
        <v>349</v>
      </c>
      <c r="B351" s="309" t="s">
        <v>1225</v>
      </c>
      <c r="C351" s="310" t="s">
        <v>1226</v>
      </c>
      <c r="D351" s="310" t="s">
        <v>1227</v>
      </c>
      <c r="E351" s="311"/>
      <c r="F351" s="311"/>
      <c r="G351" s="311"/>
      <c r="H351" s="311"/>
      <c r="I351" s="311"/>
      <c r="J351" s="311"/>
      <c r="K351" s="311"/>
      <c r="L351" s="408">
        <f t="shared" si="36"/>
        <v>0</v>
      </c>
      <c r="M351" s="311"/>
      <c r="N351" s="320"/>
      <c r="O351" s="311"/>
      <c r="P351" s="311"/>
      <c r="Q351" s="311"/>
      <c r="R351" s="311"/>
      <c r="S351" s="311"/>
      <c r="T351" s="311"/>
      <c r="U351" s="311"/>
      <c r="V351" s="409">
        <f t="shared" si="37"/>
        <v>0</v>
      </c>
      <c r="W351" s="311"/>
      <c r="X351" s="320"/>
      <c r="Y351" s="312"/>
      <c r="Z351" s="312"/>
      <c r="AA351" s="312"/>
      <c r="AB351" s="312"/>
      <c r="AC351" s="312"/>
      <c r="AD351" s="312"/>
      <c r="AE351" s="313"/>
      <c r="AF351" s="410">
        <f t="shared" si="38"/>
        <v>0</v>
      </c>
      <c r="AG351" s="312"/>
      <c r="AH351" s="317"/>
      <c r="AI351" s="303"/>
      <c r="AJ351" s="303"/>
      <c r="AK351" s="303"/>
      <c r="AL351" s="303"/>
      <c r="AM351" s="303"/>
      <c r="AN351" s="303"/>
      <c r="AO351" s="303"/>
      <c r="AP351" s="290">
        <f t="shared" si="39"/>
        <v>0</v>
      </c>
      <c r="AQ351" s="303"/>
      <c r="AR351" s="301"/>
      <c r="AS351" s="303"/>
      <c r="AT351" s="303"/>
      <c r="AU351" s="303"/>
      <c r="AV351" s="303"/>
      <c r="AW351" s="303"/>
      <c r="AX351" s="303"/>
      <c r="AY351" s="303"/>
      <c r="AZ351" s="290">
        <f t="shared" si="40"/>
        <v>0</v>
      </c>
      <c r="BA351" s="303"/>
      <c r="BB351" s="303"/>
      <c r="BC351" s="315">
        <f t="shared" si="35"/>
        <v>0</v>
      </c>
      <c r="BD351" s="316" t="str">
        <f t="shared" si="41"/>
        <v>Desierto</v>
      </c>
    </row>
    <row r="352" spans="1:56" ht="25.5" x14ac:dyDescent="0.25">
      <c r="A352" s="308">
        <v>350</v>
      </c>
      <c r="B352" s="309" t="s">
        <v>1228</v>
      </c>
      <c r="C352" s="310" t="s">
        <v>1229</v>
      </c>
      <c r="D352" s="310" t="s">
        <v>123</v>
      </c>
      <c r="E352" s="303" t="s">
        <v>510</v>
      </c>
      <c r="F352" s="303" t="s">
        <v>510</v>
      </c>
      <c r="G352" s="303" t="s">
        <v>510</v>
      </c>
      <c r="H352" s="303" t="s">
        <v>511</v>
      </c>
      <c r="I352" s="303" t="s">
        <v>510</v>
      </c>
      <c r="J352" s="303" t="s">
        <v>511</v>
      </c>
      <c r="K352" s="303">
        <v>40</v>
      </c>
      <c r="L352" s="408">
        <f t="shared" si="36"/>
        <v>40</v>
      </c>
      <c r="M352" s="303" t="s">
        <v>504</v>
      </c>
      <c r="N352" s="303"/>
      <c r="O352" s="311"/>
      <c r="P352" s="311"/>
      <c r="Q352" s="311"/>
      <c r="R352" s="311"/>
      <c r="S352" s="311"/>
      <c r="T352" s="311"/>
      <c r="U352" s="311"/>
      <c r="V352" s="409">
        <f t="shared" si="37"/>
        <v>0</v>
      </c>
      <c r="W352" s="311"/>
      <c r="X352" s="311"/>
      <c r="Y352" s="300"/>
      <c r="Z352" s="300"/>
      <c r="AA352" s="300"/>
      <c r="AB352" s="300"/>
      <c r="AC352" s="300"/>
      <c r="AD352" s="300"/>
      <c r="AE352" s="318"/>
      <c r="AF352" s="410">
        <f t="shared" si="38"/>
        <v>0</v>
      </c>
      <c r="AG352" s="300"/>
      <c r="AH352" s="300"/>
      <c r="AI352" s="303"/>
      <c r="AJ352" s="303"/>
      <c r="AK352" s="303"/>
      <c r="AL352" s="303"/>
      <c r="AM352" s="303"/>
      <c r="AN352" s="303"/>
      <c r="AO352" s="303"/>
      <c r="AP352" s="290">
        <f t="shared" si="39"/>
        <v>0</v>
      </c>
      <c r="AQ352" s="303"/>
      <c r="AR352" s="303"/>
      <c r="AS352" s="303"/>
      <c r="AT352" s="303"/>
      <c r="AU352" s="303"/>
      <c r="AV352" s="303"/>
      <c r="AW352" s="303"/>
      <c r="AX352" s="303"/>
      <c r="AY352" s="303"/>
      <c r="AZ352" s="290">
        <f t="shared" si="40"/>
        <v>0</v>
      </c>
      <c r="BA352" s="303"/>
      <c r="BB352" s="303"/>
      <c r="BC352" s="315">
        <f t="shared" si="35"/>
        <v>1</v>
      </c>
      <c r="BD352" s="316" t="str">
        <f t="shared" si="41"/>
        <v>Habilitado</v>
      </c>
    </row>
    <row r="353" spans="1:56" ht="25.5" x14ac:dyDescent="0.25">
      <c r="A353" s="308">
        <v>351</v>
      </c>
      <c r="B353" s="309" t="s">
        <v>1230</v>
      </c>
      <c r="C353" s="310" t="s">
        <v>1231</v>
      </c>
      <c r="D353" s="310" t="s">
        <v>424</v>
      </c>
      <c r="E353" s="311"/>
      <c r="F353" s="311"/>
      <c r="G353" s="311"/>
      <c r="H353" s="311"/>
      <c r="I353" s="311"/>
      <c r="J353" s="311"/>
      <c r="K353" s="311"/>
      <c r="L353" s="408">
        <f t="shared" si="36"/>
        <v>0</v>
      </c>
      <c r="M353" s="311"/>
      <c r="N353" s="311"/>
      <c r="O353" s="311"/>
      <c r="P353" s="311"/>
      <c r="Q353" s="311"/>
      <c r="R353" s="311"/>
      <c r="S353" s="311"/>
      <c r="T353" s="311"/>
      <c r="U353" s="311"/>
      <c r="V353" s="409">
        <f t="shared" si="37"/>
        <v>0</v>
      </c>
      <c r="W353" s="311"/>
      <c r="X353" s="311"/>
      <c r="Y353" s="300"/>
      <c r="Z353" s="300"/>
      <c r="AA353" s="300"/>
      <c r="AB353" s="300"/>
      <c r="AC353" s="300"/>
      <c r="AD353" s="300"/>
      <c r="AE353" s="318"/>
      <c r="AF353" s="410">
        <f t="shared" si="38"/>
        <v>0</v>
      </c>
      <c r="AG353" s="300"/>
      <c r="AH353" s="300"/>
      <c r="AI353" s="303"/>
      <c r="AJ353" s="303"/>
      <c r="AK353" s="303"/>
      <c r="AL353" s="303"/>
      <c r="AM353" s="303"/>
      <c r="AN353" s="303"/>
      <c r="AO353" s="303"/>
      <c r="AP353" s="290">
        <f t="shared" si="39"/>
        <v>0</v>
      </c>
      <c r="AQ353" s="303"/>
      <c r="AR353" s="303"/>
      <c r="AS353" s="303"/>
      <c r="AT353" s="303"/>
      <c r="AU353" s="303"/>
      <c r="AV353" s="303"/>
      <c r="AW353" s="303"/>
      <c r="AX353" s="303"/>
      <c r="AY353" s="303"/>
      <c r="AZ353" s="290">
        <f t="shared" si="40"/>
        <v>0</v>
      </c>
      <c r="BA353" s="303"/>
      <c r="BB353" s="303"/>
      <c r="BC353" s="315">
        <f t="shared" si="35"/>
        <v>0</v>
      </c>
      <c r="BD353" s="316" t="str">
        <f t="shared" si="41"/>
        <v>Desierto</v>
      </c>
    </row>
    <row r="354" spans="1:56" ht="38.25" x14ac:dyDescent="0.25">
      <c r="A354" s="308">
        <v>352</v>
      </c>
      <c r="B354" s="309" t="s">
        <v>1232</v>
      </c>
      <c r="C354" s="310" t="s">
        <v>608</v>
      </c>
      <c r="D354" s="310" t="s">
        <v>424</v>
      </c>
      <c r="E354" s="311"/>
      <c r="F354" s="311"/>
      <c r="G354" s="311"/>
      <c r="H354" s="311"/>
      <c r="I354" s="311"/>
      <c r="J354" s="311"/>
      <c r="K354" s="311"/>
      <c r="L354" s="408">
        <f t="shared" si="36"/>
        <v>0</v>
      </c>
      <c r="M354" s="311"/>
      <c r="N354" s="311"/>
      <c r="O354" s="311"/>
      <c r="P354" s="311"/>
      <c r="Q354" s="311"/>
      <c r="R354" s="311"/>
      <c r="S354" s="311"/>
      <c r="T354" s="311"/>
      <c r="U354" s="311"/>
      <c r="V354" s="409">
        <f t="shared" si="37"/>
        <v>0</v>
      </c>
      <c r="W354" s="311"/>
      <c r="X354" s="311"/>
      <c r="Y354" s="300"/>
      <c r="Z354" s="300"/>
      <c r="AA354" s="300"/>
      <c r="AB354" s="300"/>
      <c r="AC354" s="300"/>
      <c r="AD354" s="300"/>
      <c r="AE354" s="318"/>
      <c r="AF354" s="410">
        <f t="shared" si="38"/>
        <v>0</v>
      </c>
      <c r="AG354" s="300"/>
      <c r="AH354" s="300"/>
      <c r="AI354" s="303"/>
      <c r="AJ354" s="303"/>
      <c r="AK354" s="303"/>
      <c r="AL354" s="303"/>
      <c r="AM354" s="303"/>
      <c r="AN354" s="303"/>
      <c r="AO354" s="303"/>
      <c r="AP354" s="290">
        <f t="shared" si="39"/>
        <v>0</v>
      </c>
      <c r="AQ354" s="303"/>
      <c r="AR354" s="303"/>
      <c r="AS354" s="303"/>
      <c r="AT354" s="303"/>
      <c r="AU354" s="303"/>
      <c r="AV354" s="303"/>
      <c r="AW354" s="303"/>
      <c r="AX354" s="303"/>
      <c r="AY354" s="303"/>
      <c r="AZ354" s="290">
        <f t="shared" si="40"/>
        <v>0</v>
      </c>
      <c r="BA354" s="303"/>
      <c r="BB354" s="303"/>
      <c r="BC354" s="315">
        <f t="shared" si="35"/>
        <v>0</v>
      </c>
      <c r="BD354" s="316" t="str">
        <f t="shared" si="41"/>
        <v>Desierto</v>
      </c>
    </row>
    <row r="355" spans="1:56" ht="38.25" x14ac:dyDescent="0.25">
      <c r="A355" s="308">
        <v>353</v>
      </c>
      <c r="B355" s="309" t="s">
        <v>1233</v>
      </c>
      <c r="C355" s="310" t="s">
        <v>608</v>
      </c>
      <c r="D355" s="310" t="s">
        <v>424</v>
      </c>
      <c r="E355" s="311"/>
      <c r="F355" s="311"/>
      <c r="G355" s="311"/>
      <c r="H355" s="311"/>
      <c r="I355" s="311"/>
      <c r="J355" s="311"/>
      <c r="K355" s="311"/>
      <c r="L355" s="408">
        <f t="shared" si="36"/>
        <v>0</v>
      </c>
      <c r="M355" s="311"/>
      <c r="N355" s="311"/>
      <c r="O355" s="311"/>
      <c r="P355" s="311"/>
      <c r="Q355" s="311"/>
      <c r="R355" s="311"/>
      <c r="S355" s="311"/>
      <c r="T355" s="311"/>
      <c r="U355" s="311"/>
      <c r="V355" s="409">
        <f t="shared" si="37"/>
        <v>0</v>
      </c>
      <c r="W355" s="311"/>
      <c r="X355" s="311"/>
      <c r="Y355" s="300"/>
      <c r="Z355" s="300"/>
      <c r="AA355" s="300"/>
      <c r="AB355" s="300"/>
      <c r="AC355" s="300"/>
      <c r="AD355" s="300"/>
      <c r="AE355" s="318"/>
      <c r="AF355" s="410">
        <f t="shared" si="38"/>
        <v>0</v>
      </c>
      <c r="AG355" s="300"/>
      <c r="AH355" s="300"/>
      <c r="AI355" s="303"/>
      <c r="AJ355" s="303"/>
      <c r="AK355" s="303"/>
      <c r="AL355" s="303"/>
      <c r="AM355" s="303"/>
      <c r="AN355" s="303"/>
      <c r="AO355" s="303"/>
      <c r="AP355" s="290">
        <f t="shared" si="39"/>
        <v>0</v>
      </c>
      <c r="AQ355" s="303"/>
      <c r="AR355" s="303"/>
      <c r="AS355" s="303"/>
      <c r="AT355" s="303"/>
      <c r="AU355" s="303"/>
      <c r="AV355" s="303"/>
      <c r="AW355" s="303"/>
      <c r="AX355" s="303"/>
      <c r="AY355" s="303"/>
      <c r="AZ355" s="290">
        <f t="shared" si="40"/>
        <v>0</v>
      </c>
      <c r="BA355" s="303"/>
      <c r="BB355" s="303"/>
      <c r="BC355" s="315">
        <f t="shared" si="35"/>
        <v>0</v>
      </c>
      <c r="BD355" s="316" t="str">
        <f t="shared" si="41"/>
        <v>Desierto</v>
      </c>
    </row>
    <row r="356" spans="1:56" ht="38.25" x14ac:dyDescent="0.25">
      <c r="A356" s="308">
        <v>354</v>
      </c>
      <c r="B356" s="309" t="s">
        <v>1234</v>
      </c>
      <c r="C356" s="310" t="s">
        <v>608</v>
      </c>
      <c r="D356" s="310" t="s">
        <v>424</v>
      </c>
      <c r="E356" s="311"/>
      <c r="F356" s="311"/>
      <c r="G356" s="311"/>
      <c r="H356" s="311"/>
      <c r="I356" s="311"/>
      <c r="J356" s="311"/>
      <c r="K356" s="311"/>
      <c r="L356" s="408">
        <f t="shared" si="36"/>
        <v>0</v>
      </c>
      <c r="M356" s="311"/>
      <c r="N356" s="311"/>
      <c r="O356" s="311"/>
      <c r="P356" s="311"/>
      <c r="Q356" s="311"/>
      <c r="R356" s="311"/>
      <c r="S356" s="311"/>
      <c r="T356" s="311"/>
      <c r="U356" s="311"/>
      <c r="V356" s="409">
        <f t="shared" si="37"/>
        <v>0</v>
      </c>
      <c r="W356" s="311"/>
      <c r="X356" s="311"/>
      <c r="Y356" s="300"/>
      <c r="Z356" s="300"/>
      <c r="AA356" s="300"/>
      <c r="AB356" s="300"/>
      <c r="AC356" s="300"/>
      <c r="AD356" s="300"/>
      <c r="AE356" s="318"/>
      <c r="AF356" s="410">
        <f t="shared" si="38"/>
        <v>0</v>
      </c>
      <c r="AG356" s="300"/>
      <c r="AH356" s="300"/>
      <c r="AI356" s="303"/>
      <c r="AJ356" s="303"/>
      <c r="AK356" s="303"/>
      <c r="AL356" s="303"/>
      <c r="AM356" s="303"/>
      <c r="AN356" s="303"/>
      <c r="AO356" s="303"/>
      <c r="AP356" s="290">
        <f t="shared" si="39"/>
        <v>0</v>
      </c>
      <c r="AQ356" s="303"/>
      <c r="AR356" s="303"/>
      <c r="AS356" s="303"/>
      <c r="AT356" s="303"/>
      <c r="AU356" s="303"/>
      <c r="AV356" s="303"/>
      <c r="AW356" s="303"/>
      <c r="AX356" s="303"/>
      <c r="AY356" s="303"/>
      <c r="AZ356" s="290">
        <f t="shared" si="40"/>
        <v>0</v>
      </c>
      <c r="BA356" s="303"/>
      <c r="BB356" s="303"/>
      <c r="BC356" s="315">
        <f t="shared" si="35"/>
        <v>0</v>
      </c>
      <c r="BD356" s="316" t="str">
        <f t="shared" si="41"/>
        <v>Desierto</v>
      </c>
    </row>
    <row r="357" spans="1:56" ht="38.25" x14ac:dyDescent="0.25">
      <c r="A357" s="308">
        <v>355</v>
      </c>
      <c r="B357" s="309" t="s">
        <v>1235</v>
      </c>
      <c r="C357" s="310" t="s">
        <v>608</v>
      </c>
      <c r="D357" s="310" t="s">
        <v>424</v>
      </c>
      <c r="E357" s="311"/>
      <c r="F357" s="311"/>
      <c r="G357" s="311"/>
      <c r="H357" s="311"/>
      <c r="I357" s="311"/>
      <c r="J357" s="311"/>
      <c r="K357" s="311"/>
      <c r="L357" s="408">
        <f t="shared" si="36"/>
        <v>0</v>
      </c>
      <c r="M357" s="311"/>
      <c r="N357" s="311"/>
      <c r="O357" s="311"/>
      <c r="P357" s="311"/>
      <c r="Q357" s="311"/>
      <c r="R357" s="311"/>
      <c r="S357" s="311"/>
      <c r="T357" s="311"/>
      <c r="U357" s="311"/>
      <c r="V357" s="409">
        <f t="shared" si="37"/>
        <v>0</v>
      </c>
      <c r="W357" s="311"/>
      <c r="X357" s="311"/>
      <c r="Y357" s="300"/>
      <c r="Z357" s="300"/>
      <c r="AA357" s="300"/>
      <c r="AB357" s="300"/>
      <c r="AC357" s="300"/>
      <c r="AD357" s="300"/>
      <c r="AE357" s="318"/>
      <c r="AF357" s="410">
        <f t="shared" si="38"/>
        <v>0</v>
      </c>
      <c r="AG357" s="300"/>
      <c r="AH357" s="300"/>
      <c r="AI357" s="303"/>
      <c r="AJ357" s="303"/>
      <c r="AK357" s="303"/>
      <c r="AL357" s="303"/>
      <c r="AM357" s="303"/>
      <c r="AN357" s="303"/>
      <c r="AO357" s="303"/>
      <c r="AP357" s="290">
        <f t="shared" si="39"/>
        <v>0</v>
      </c>
      <c r="AQ357" s="303"/>
      <c r="AR357" s="303"/>
      <c r="AS357" s="303"/>
      <c r="AT357" s="303"/>
      <c r="AU357" s="303"/>
      <c r="AV357" s="303"/>
      <c r="AW357" s="303"/>
      <c r="AX357" s="303"/>
      <c r="AY357" s="303"/>
      <c r="AZ357" s="290">
        <f t="shared" si="40"/>
        <v>0</v>
      </c>
      <c r="BA357" s="303"/>
      <c r="BB357" s="303"/>
      <c r="BC357" s="315">
        <f t="shared" si="35"/>
        <v>0</v>
      </c>
      <c r="BD357" s="316" t="str">
        <f t="shared" si="41"/>
        <v>Desierto</v>
      </c>
    </row>
    <row r="358" spans="1:56" ht="38.25" x14ac:dyDescent="0.25">
      <c r="A358" s="308">
        <v>356</v>
      </c>
      <c r="B358" s="309" t="s">
        <v>1236</v>
      </c>
      <c r="C358" s="310" t="s">
        <v>608</v>
      </c>
      <c r="D358" s="310" t="s">
        <v>1237</v>
      </c>
      <c r="E358" s="311"/>
      <c r="F358" s="311"/>
      <c r="G358" s="311"/>
      <c r="H358" s="311"/>
      <c r="I358" s="311"/>
      <c r="J358" s="311"/>
      <c r="K358" s="311"/>
      <c r="L358" s="408">
        <f t="shared" si="36"/>
        <v>0</v>
      </c>
      <c r="M358" s="311"/>
      <c r="N358" s="311"/>
      <c r="O358" s="311"/>
      <c r="P358" s="311"/>
      <c r="Q358" s="311"/>
      <c r="R358" s="311"/>
      <c r="S358" s="311"/>
      <c r="T358" s="311"/>
      <c r="U358" s="311"/>
      <c r="V358" s="409">
        <f t="shared" si="37"/>
        <v>0</v>
      </c>
      <c r="W358" s="311"/>
      <c r="X358" s="311"/>
      <c r="Y358" s="300"/>
      <c r="Z358" s="300"/>
      <c r="AA358" s="300"/>
      <c r="AB358" s="300"/>
      <c r="AC358" s="300"/>
      <c r="AD358" s="300"/>
      <c r="AE358" s="318"/>
      <c r="AF358" s="410">
        <f t="shared" si="38"/>
        <v>0</v>
      </c>
      <c r="AG358" s="300"/>
      <c r="AH358" s="300"/>
      <c r="AI358" s="303"/>
      <c r="AJ358" s="303"/>
      <c r="AK358" s="303"/>
      <c r="AL358" s="303"/>
      <c r="AM358" s="303"/>
      <c r="AN358" s="303"/>
      <c r="AO358" s="303"/>
      <c r="AP358" s="290">
        <f t="shared" si="39"/>
        <v>0</v>
      </c>
      <c r="AQ358" s="303"/>
      <c r="AR358" s="303"/>
      <c r="AS358" s="303"/>
      <c r="AT358" s="303"/>
      <c r="AU358" s="303"/>
      <c r="AV358" s="303"/>
      <c r="AW358" s="303"/>
      <c r="AX358" s="303"/>
      <c r="AY358" s="303"/>
      <c r="AZ358" s="290">
        <f t="shared" si="40"/>
        <v>0</v>
      </c>
      <c r="BA358" s="303"/>
      <c r="BB358" s="303"/>
      <c r="BC358" s="315">
        <f t="shared" si="35"/>
        <v>0</v>
      </c>
      <c r="BD358" s="316" t="str">
        <f t="shared" si="41"/>
        <v>Desierto</v>
      </c>
    </row>
    <row r="359" spans="1:56" x14ac:dyDescent="0.25">
      <c r="A359" s="308">
        <v>357</v>
      </c>
      <c r="B359" s="309" t="s">
        <v>1238</v>
      </c>
      <c r="C359" s="310" t="s">
        <v>1239</v>
      </c>
      <c r="D359" s="310" t="s">
        <v>1237</v>
      </c>
      <c r="E359" s="311"/>
      <c r="F359" s="311"/>
      <c r="G359" s="311"/>
      <c r="H359" s="311"/>
      <c r="I359" s="311"/>
      <c r="J359" s="311"/>
      <c r="K359" s="311"/>
      <c r="L359" s="408">
        <f t="shared" si="36"/>
        <v>0</v>
      </c>
      <c r="M359" s="311"/>
      <c r="N359" s="311"/>
      <c r="O359" s="311"/>
      <c r="P359" s="311"/>
      <c r="Q359" s="311"/>
      <c r="R359" s="311"/>
      <c r="S359" s="311"/>
      <c r="T359" s="311"/>
      <c r="U359" s="311"/>
      <c r="V359" s="409">
        <f t="shared" si="37"/>
        <v>0</v>
      </c>
      <c r="W359" s="311"/>
      <c r="X359" s="311"/>
      <c r="Y359" s="300"/>
      <c r="Z359" s="300"/>
      <c r="AA359" s="300"/>
      <c r="AB359" s="300"/>
      <c r="AC359" s="300"/>
      <c r="AD359" s="300"/>
      <c r="AE359" s="318"/>
      <c r="AF359" s="410">
        <f t="shared" si="38"/>
        <v>0</v>
      </c>
      <c r="AG359" s="300"/>
      <c r="AH359" s="300"/>
      <c r="AI359" s="303"/>
      <c r="AJ359" s="303"/>
      <c r="AK359" s="303"/>
      <c r="AL359" s="303"/>
      <c r="AM359" s="303"/>
      <c r="AN359" s="303"/>
      <c r="AO359" s="303"/>
      <c r="AP359" s="290">
        <f t="shared" si="39"/>
        <v>0</v>
      </c>
      <c r="AQ359" s="303"/>
      <c r="AR359" s="303"/>
      <c r="AS359" s="303"/>
      <c r="AT359" s="303"/>
      <c r="AU359" s="303"/>
      <c r="AV359" s="303"/>
      <c r="AW359" s="303"/>
      <c r="AX359" s="303"/>
      <c r="AY359" s="303"/>
      <c r="AZ359" s="290">
        <f t="shared" si="40"/>
        <v>0</v>
      </c>
      <c r="BA359" s="303"/>
      <c r="BB359" s="303"/>
      <c r="BC359" s="315">
        <f t="shared" si="35"/>
        <v>0</v>
      </c>
      <c r="BD359" s="316" t="str">
        <f t="shared" si="41"/>
        <v>Desierto</v>
      </c>
    </row>
    <row r="360" spans="1:56" ht="25.5" x14ac:dyDescent="0.25">
      <c r="A360" s="308">
        <v>358</v>
      </c>
      <c r="B360" s="309" t="s">
        <v>1240</v>
      </c>
      <c r="C360" s="310" t="s">
        <v>27</v>
      </c>
      <c r="D360" s="310" t="s">
        <v>424</v>
      </c>
      <c r="E360" s="311"/>
      <c r="F360" s="311"/>
      <c r="G360" s="311"/>
      <c r="H360" s="311"/>
      <c r="I360" s="311"/>
      <c r="J360" s="311"/>
      <c r="K360" s="311"/>
      <c r="L360" s="408">
        <f t="shared" si="36"/>
        <v>0</v>
      </c>
      <c r="M360" s="311"/>
      <c r="N360" s="311"/>
      <c r="O360" s="311"/>
      <c r="P360" s="311"/>
      <c r="Q360" s="311"/>
      <c r="R360" s="311"/>
      <c r="S360" s="311"/>
      <c r="T360" s="311"/>
      <c r="U360" s="311"/>
      <c r="V360" s="409">
        <f t="shared" si="37"/>
        <v>0</v>
      </c>
      <c r="W360" s="311"/>
      <c r="X360" s="311"/>
      <c r="Y360" s="300"/>
      <c r="Z360" s="300"/>
      <c r="AA360" s="300"/>
      <c r="AB360" s="300"/>
      <c r="AC360" s="300"/>
      <c r="AD360" s="300"/>
      <c r="AE360" s="318"/>
      <c r="AF360" s="410">
        <f t="shared" si="38"/>
        <v>0</v>
      </c>
      <c r="AG360" s="300"/>
      <c r="AH360" s="300"/>
      <c r="AI360" s="303"/>
      <c r="AJ360" s="303"/>
      <c r="AK360" s="303"/>
      <c r="AL360" s="303"/>
      <c r="AM360" s="303"/>
      <c r="AN360" s="303"/>
      <c r="AO360" s="303"/>
      <c r="AP360" s="290">
        <f t="shared" si="39"/>
        <v>0</v>
      </c>
      <c r="AQ360" s="303"/>
      <c r="AR360" s="303"/>
      <c r="AS360" s="303"/>
      <c r="AT360" s="303"/>
      <c r="AU360" s="303"/>
      <c r="AV360" s="303"/>
      <c r="AW360" s="303"/>
      <c r="AX360" s="303"/>
      <c r="AY360" s="303"/>
      <c r="AZ360" s="290">
        <f t="shared" si="40"/>
        <v>0</v>
      </c>
      <c r="BA360" s="303"/>
      <c r="BB360" s="303"/>
      <c r="BC360" s="315">
        <f t="shared" si="35"/>
        <v>0</v>
      </c>
      <c r="BD360" s="316" t="str">
        <f t="shared" si="41"/>
        <v>Desierto</v>
      </c>
    </row>
    <row r="361" spans="1:56" x14ac:dyDescent="0.25">
      <c r="A361" s="308">
        <v>359</v>
      </c>
      <c r="B361" s="309" t="s">
        <v>1241</v>
      </c>
      <c r="C361" s="310" t="s">
        <v>1242</v>
      </c>
      <c r="D361" s="310" t="s">
        <v>1237</v>
      </c>
      <c r="E361" s="311"/>
      <c r="F361" s="311"/>
      <c r="G361" s="311"/>
      <c r="H361" s="311"/>
      <c r="I361" s="311"/>
      <c r="J361" s="311"/>
      <c r="K361" s="311"/>
      <c r="L361" s="408">
        <f t="shared" si="36"/>
        <v>0</v>
      </c>
      <c r="M361" s="311"/>
      <c r="N361" s="311"/>
      <c r="O361" s="311"/>
      <c r="P361" s="311"/>
      <c r="Q361" s="311"/>
      <c r="R361" s="311"/>
      <c r="S361" s="311"/>
      <c r="T361" s="311"/>
      <c r="U361" s="311"/>
      <c r="V361" s="409">
        <f t="shared" si="37"/>
        <v>0</v>
      </c>
      <c r="W361" s="311"/>
      <c r="X361" s="311"/>
      <c r="Y361" s="300"/>
      <c r="Z361" s="300"/>
      <c r="AA361" s="300"/>
      <c r="AB361" s="300"/>
      <c r="AC361" s="300"/>
      <c r="AD361" s="300"/>
      <c r="AE361" s="318"/>
      <c r="AF361" s="410">
        <f t="shared" si="38"/>
        <v>0</v>
      </c>
      <c r="AG361" s="300"/>
      <c r="AH361" s="300"/>
      <c r="AI361" s="303"/>
      <c r="AJ361" s="303"/>
      <c r="AK361" s="303"/>
      <c r="AL361" s="303"/>
      <c r="AM361" s="303"/>
      <c r="AN361" s="303"/>
      <c r="AO361" s="303"/>
      <c r="AP361" s="290">
        <f t="shared" si="39"/>
        <v>0</v>
      </c>
      <c r="AQ361" s="303"/>
      <c r="AR361" s="303"/>
      <c r="AS361" s="303"/>
      <c r="AT361" s="303"/>
      <c r="AU361" s="303"/>
      <c r="AV361" s="303"/>
      <c r="AW361" s="303"/>
      <c r="AX361" s="303"/>
      <c r="AY361" s="303"/>
      <c r="AZ361" s="290">
        <f t="shared" si="40"/>
        <v>0</v>
      </c>
      <c r="BA361" s="303"/>
      <c r="BB361" s="303"/>
      <c r="BC361" s="315">
        <f t="shared" si="35"/>
        <v>0</v>
      </c>
      <c r="BD361" s="316" t="str">
        <f t="shared" si="41"/>
        <v>Desierto</v>
      </c>
    </row>
    <row r="362" spans="1:56" ht="38.25" x14ac:dyDescent="0.25">
      <c r="A362" s="308">
        <v>360</v>
      </c>
      <c r="B362" s="309" t="s">
        <v>1243</v>
      </c>
      <c r="C362" s="310" t="s">
        <v>608</v>
      </c>
      <c r="D362" s="310" t="s">
        <v>424</v>
      </c>
      <c r="E362" s="311"/>
      <c r="F362" s="311"/>
      <c r="G362" s="311"/>
      <c r="H362" s="311"/>
      <c r="I362" s="311"/>
      <c r="J362" s="311"/>
      <c r="K362" s="311"/>
      <c r="L362" s="408">
        <f t="shared" si="36"/>
        <v>0</v>
      </c>
      <c r="M362" s="311"/>
      <c r="N362" s="311"/>
      <c r="O362" s="311"/>
      <c r="P362" s="311"/>
      <c r="Q362" s="311"/>
      <c r="R362" s="311"/>
      <c r="S362" s="311"/>
      <c r="T362" s="311"/>
      <c r="U362" s="311"/>
      <c r="V362" s="409">
        <f t="shared" si="37"/>
        <v>0</v>
      </c>
      <c r="W362" s="311"/>
      <c r="X362" s="311"/>
      <c r="Y362" s="300"/>
      <c r="Z362" s="300"/>
      <c r="AA362" s="300"/>
      <c r="AB362" s="300"/>
      <c r="AC362" s="300"/>
      <c r="AD362" s="300"/>
      <c r="AE362" s="318"/>
      <c r="AF362" s="410">
        <f t="shared" si="38"/>
        <v>0</v>
      </c>
      <c r="AG362" s="300"/>
      <c r="AH362" s="300"/>
      <c r="AI362" s="303"/>
      <c r="AJ362" s="303"/>
      <c r="AK362" s="303"/>
      <c r="AL362" s="303"/>
      <c r="AM362" s="303"/>
      <c r="AN362" s="303"/>
      <c r="AO362" s="303"/>
      <c r="AP362" s="290">
        <f t="shared" si="39"/>
        <v>0</v>
      </c>
      <c r="AQ362" s="303"/>
      <c r="AR362" s="303"/>
      <c r="AS362" s="303"/>
      <c r="AT362" s="303"/>
      <c r="AU362" s="303"/>
      <c r="AV362" s="303"/>
      <c r="AW362" s="303"/>
      <c r="AX362" s="303"/>
      <c r="AY362" s="303"/>
      <c r="AZ362" s="290">
        <f t="shared" si="40"/>
        <v>0</v>
      </c>
      <c r="BA362" s="303"/>
      <c r="BB362" s="303"/>
      <c r="BC362" s="315">
        <f t="shared" si="35"/>
        <v>0</v>
      </c>
      <c r="BD362" s="316" t="str">
        <f t="shared" si="41"/>
        <v>Desierto</v>
      </c>
    </row>
    <row r="363" spans="1:56" ht="25.5" x14ac:dyDescent="0.25">
      <c r="A363" s="308">
        <v>361</v>
      </c>
      <c r="B363" s="309" t="s">
        <v>1244</v>
      </c>
      <c r="C363" s="310" t="s">
        <v>518</v>
      </c>
      <c r="D363" s="310" t="s">
        <v>1245</v>
      </c>
      <c r="E363" s="311"/>
      <c r="F363" s="311"/>
      <c r="G363" s="311"/>
      <c r="H363" s="311"/>
      <c r="I363" s="311"/>
      <c r="J363" s="311"/>
      <c r="K363" s="311"/>
      <c r="L363" s="408">
        <f t="shared" si="36"/>
        <v>0</v>
      </c>
      <c r="M363" s="311"/>
      <c r="N363" s="311"/>
      <c r="O363" s="311"/>
      <c r="P363" s="311"/>
      <c r="Q363" s="311"/>
      <c r="R363" s="311"/>
      <c r="S363" s="311"/>
      <c r="T363" s="311"/>
      <c r="U363" s="311"/>
      <c r="V363" s="409">
        <f t="shared" si="37"/>
        <v>0</v>
      </c>
      <c r="W363" s="311"/>
      <c r="X363" s="311"/>
      <c r="Y363" s="300"/>
      <c r="Z363" s="300"/>
      <c r="AA363" s="300"/>
      <c r="AB363" s="300"/>
      <c r="AC363" s="300"/>
      <c r="AD363" s="300"/>
      <c r="AE363" s="318"/>
      <c r="AF363" s="410">
        <f t="shared" si="38"/>
        <v>0</v>
      </c>
      <c r="AG363" s="300"/>
      <c r="AH363" s="300"/>
      <c r="AI363" s="303"/>
      <c r="AJ363" s="303"/>
      <c r="AK363" s="303"/>
      <c r="AL363" s="303"/>
      <c r="AM363" s="303"/>
      <c r="AN363" s="303"/>
      <c r="AO363" s="303"/>
      <c r="AP363" s="290">
        <f t="shared" si="39"/>
        <v>0</v>
      </c>
      <c r="AQ363" s="303"/>
      <c r="AR363" s="303"/>
      <c r="AS363" s="303"/>
      <c r="AT363" s="303"/>
      <c r="AU363" s="303"/>
      <c r="AV363" s="303"/>
      <c r="AW363" s="303"/>
      <c r="AX363" s="303"/>
      <c r="AY363" s="303"/>
      <c r="AZ363" s="290">
        <f t="shared" si="40"/>
        <v>0</v>
      </c>
      <c r="BA363" s="303"/>
      <c r="BB363" s="303"/>
      <c r="BC363" s="315">
        <f t="shared" si="35"/>
        <v>0</v>
      </c>
      <c r="BD363" s="316" t="str">
        <f t="shared" si="41"/>
        <v>Desierto</v>
      </c>
    </row>
    <row r="364" spans="1:56" ht="38.25" x14ac:dyDescent="0.25">
      <c r="A364" s="308">
        <v>362</v>
      </c>
      <c r="B364" s="309" t="s">
        <v>1246</v>
      </c>
      <c r="C364" s="310" t="s">
        <v>608</v>
      </c>
      <c r="D364" s="310" t="s">
        <v>424</v>
      </c>
      <c r="E364" s="311"/>
      <c r="F364" s="311"/>
      <c r="G364" s="311"/>
      <c r="H364" s="311"/>
      <c r="I364" s="311"/>
      <c r="J364" s="311"/>
      <c r="K364" s="311"/>
      <c r="L364" s="408">
        <f t="shared" si="36"/>
        <v>0</v>
      </c>
      <c r="M364" s="311"/>
      <c r="N364" s="311"/>
      <c r="O364" s="311"/>
      <c r="P364" s="311"/>
      <c r="Q364" s="311"/>
      <c r="R364" s="311"/>
      <c r="S364" s="311"/>
      <c r="T364" s="311"/>
      <c r="U364" s="311"/>
      <c r="V364" s="409">
        <f t="shared" si="37"/>
        <v>0</v>
      </c>
      <c r="W364" s="311"/>
      <c r="X364" s="311"/>
      <c r="Y364" s="300"/>
      <c r="Z364" s="300"/>
      <c r="AA364" s="300"/>
      <c r="AB364" s="300"/>
      <c r="AC364" s="300"/>
      <c r="AD364" s="300"/>
      <c r="AE364" s="318"/>
      <c r="AF364" s="410">
        <f t="shared" si="38"/>
        <v>0</v>
      </c>
      <c r="AG364" s="300"/>
      <c r="AH364" s="300"/>
      <c r="AI364" s="303"/>
      <c r="AJ364" s="303"/>
      <c r="AK364" s="303"/>
      <c r="AL364" s="303"/>
      <c r="AM364" s="303"/>
      <c r="AN364" s="303"/>
      <c r="AO364" s="303"/>
      <c r="AP364" s="290">
        <f t="shared" si="39"/>
        <v>0</v>
      </c>
      <c r="AQ364" s="303"/>
      <c r="AR364" s="303"/>
      <c r="AS364" s="303"/>
      <c r="AT364" s="303"/>
      <c r="AU364" s="303"/>
      <c r="AV364" s="303"/>
      <c r="AW364" s="303"/>
      <c r="AX364" s="303"/>
      <c r="AY364" s="303"/>
      <c r="AZ364" s="290">
        <f t="shared" si="40"/>
        <v>0</v>
      </c>
      <c r="BA364" s="303"/>
      <c r="BB364" s="301"/>
      <c r="BC364" s="315">
        <f t="shared" si="35"/>
        <v>0</v>
      </c>
      <c r="BD364" s="316" t="str">
        <f t="shared" si="41"/>
        <v>Desierto</v>
      </c>
    </row>
    <row r="365" spans="1:56" x14ac:dyDescent="0.25">
      <c r="A365" s="308">
        <v>363</v>
      </c>
      <c r="B365" s="309" t="s">
        <v>1247</v>
      </c>
      <c r="C365" s="310" t="s">
        <v>27</v>
      </c>
      <c r="D365" s="310" t="s">
        <v>1237</v>
      </c>
      <c r="E365" s="311"/>
      <c r="F365" s="311"/>
      <c r="G365" s="311"/>
      <c r="H365" s="311"/>
      <c r="I365" s="311"/>
      <c r="J365" s="311"/>
      <c r="K365" s="311"/>
      <c r="L365" s="408">
        <f t="shared" si="36"/>
        <v>0</v>
      </c>
      <c r="M365" s="311"/>
      <c r="N365" s="311"/>
      <c r="O365" s="311"/>
      <c r="P365" s="311"/>
      <c r="Q365" s="311"/>
      <c r="R365" s="311"/>
      <c r="S365" s="311"/>
      <c r="T365" s="311"/>
      <c r="U365" s="311"/>
      <c r="V365" s="409">
        <f t="shared" si="37"/>
        <v>0</v>
      </c>
      <c r="W365" s="311"/>
      <c r="X365" s="311"/>
      <c r="Y365" s="300"/>
      <c r="Z365" s="300"/>
      <c r="AA365" s="300"/>
      <c r="AB365" s="300"/>
      <c r="AC365" s="300"/>
      <c r="AD365" s="300"/>
      <c r="AE365" s="318"/>
      <c r="AF365" s="410">
        <f t="shared" si="38"/>
        <v>0</v>
      </c>
      <c r="AG365" s="300"/>
      <c r="AH365" s="300"/>
      <c r="AI365" s="303"/>
      <c r="AJ365" s="303"/>
      <c r="AK365" s="303"/>
      <c r="AL365" s="303"/>
      <c r="AM365" s="303"/>
      <c r="AN365" s="303"/>
      <c r="AO365" s="303"/>
      <c r="AP365" s="290">
        <f t="shared" si="39"/>
        <v>0</v>
      </c>
      <c r="AQ365" s="303"/>
      <c r="AR365" s="303"/>
      <c r="AS365" s="303"/>
      <c r="AT365" s="303"/>
      <c r="AU365" s="303"/>
      <c r="AV365" s="303"/>
      <c r="AW365" s="303"/>
      <c r="AX365" s="303"/>
      <c r="AY365" s="303"/>
      <c r="AZ365" s="290">
        <f t="shared" si="40"/>
        <v>0</v>
      </c>
      <c r="BA365" s="303"/>
      <c r="BB365" s="301"/>
      <c r="BC365" s="315">
        <f t="shared" si="35"/>
        <v>0</v>
      </c>
      <c r="BD365" s="316" t="str">
        <f t="shared" si="41"/>
        <v>Desierto</v>
      </c>
    </row>
    <row r="366" spans="1:56" ht="102" customHeight="1" x14ac:dyDescent="0.25">
      <c r="A366" s="308">
        <v>364</v>
      </c>
      <c r="B366" s="309" t="s">
        <v>1248</v>
      </c>
      <c r="C366" s="331" t="s">
        <v>1249</v>
      </c>
      <c r="D366" s="411" t="s">
        <v>1250</v>
      </c>
      <c r="E366" s="303" t="s">
        <v>510</v>
      </c>
      <c r="F366" s="303" t="s">
        <v>510</v>
      </c>
      <c r="G366" s="303" t="s">
        <v>510</v>
      </c>
      <c r="H366" s="303" t="s">
        <v>511</v>
      </c>
      <c r="I366" s="303" t="s">
        <v>510</v>
      </c>
      <c r="J366" s="303" t="s">
        <v>511</v>
      </c>
      <c r="K366" s="303">
        <v>0</v>
      </c>
      <c r="L366" s="408">
        <f t="shared" si="36"/>
        <v>0</v>
      </c>
      <c r="M366" s="303" t="s">
        <v>504</v>
      </c>
      <c r="N366" s="303"/>
      <c r="O366" s="311"/>
      <c r="P366" s="311"/>
      <c r="Q366" s="311"/>
      <c r="R366" s="311"/>
      <c r="S366" s="311"/>
      <c r="T366" s="311"/>
      <c r="U366" s="311"/>
      <c r="V366" s="409">
        <f t="shared" si="37"/>
        <v>0</v>
      </c>
      <c r="W366" s="311"/>
      <c r="X366" s="320"/>
      <c r="Y366" s="300" t="s">
        <v>510</v>
      </c>
      <c r="Z366" s="300" t="s">
        <v>510</v>
      </c>
      <c r="AA366" s="300" t="s">
        <v>510</v>
      </c>
      <c r="AB366" s="300" t="s">
        <v>511</v>
      </c>
      <c r="AC366" s="300" t="s">
        <v>510</v>
      </c>
      <c r="AD366" s="300" t="s">
        <v>511</v>
      </c>
      <c r="AE366" s="318">
        <v>40</v>
      </c>
      <c r="AF366" s="410">
        <f t="shared" si="38"/>
        <v>40</v>
      </c>
      <c r="AG366" s="300" t="s">
        <v>504</v>
      </c>
      <c r="AH366" s="300"/>
      <c r="AI366" s="303" t="s">
        <v>510</v>
      </c>
      <c r="AJ366" s="303" t="s">
        <v>510</v>
      </c>
      <c r="AK366" s="303" t="s">
        <v>510</v>
      </c>
      <c r="AL366" s="303" t="s">
        <v>511</v>
      </c>
      <c r="AM366" s="303" t="s">
        <v>510</v>
      </c>
      <c r="AN366" s="303" t="s">
        <v>511</v>
      </c>
      <c r="AO366" s="303">
        <v>20</v>
      </c>
      <c r="AP366" s="290">
        <f t="shared" si="39"/>
        <v>20</v>
      </c>
      <c r="AQ366" s="303" t="s">
        <v>504</v>
      </c>
      <c r="AR366" s="301" t="s">
        <v>1251</v>
      </c>
      <c r="AS366" s="303"/>
      <c r="AT366" s="303"/>
      <c r="AU366" s="303"/>
      <c r="AV366" s="303"/>
      <c r="AW366" s="303"/>
      <c r="AX366" s="303"/>
      <c r="AY366" s="303"/>
      <c r="AZ366" s="290">
        <f t="shared" si="40"/>
        <v>0</v>
      </c>
      <c r="BA366" s="303"/>
      <c r="BB366" s="301"/>
      <c r="BC366" s="315">
        <f t="shared" si="35"/>
        <v>3</v>
      </c>
      <c r="BD366" s="316" t="str">
        <f t="shared" si="41"/>
        <v>Habilitado</v>
      </c>
    </row>
    <row r="367" spans="1:56" ht="60.75" customHeight="1" x14ac:dyDescent="0.25">
      <c r="A367" s="308">
        <v>365</v>
      </c>
      <c r="B367" s="309" t="s">
        <v>1252</v>
      </c>
      <c r="C367" s="331" t="s">
        <v>1253</v>
      </c>
      <c r="D367" s="309" t="s">
        <v>46</v>
      </c>
      <c r="E367" s="311"/>
      <c r="F367" s="311"/>
      <c r="G367" s="311"/>
      <c r="H367" s="311"/>
      <c r="I367" s="311"/>
      <c r="J367" s="311"/>
      <c r="K367" s="311"/>
      <c r="L367" s="408">
        <f t="shared" si="36"/>
        <v>0</v>
      </c>
      <c r="M367" s="311"/>
      <c r="N367" s="303"/>
      <c r="O367" s="311"/>
      <c r="P367" s="311"/>
      <c r="Q367" s="311"/>
      <c r="R367" s="311"/>
      <c r="S367" s="311"/>
      <c r="T367" s="311"/>
      <c r="U367" s="311"/>
      <c r="V367" s="409">
        <f t="shared" si="37"/>
        <v>0</v>
      </c>
      <c r="W367" s="311"/>
      <c r="X367" s="320"/>
      <c r="Y367" s="312"/>
      <c r="Z367" s="312"/>
      <c r="AA367" s="312"/>
      <c r="AB367" s="312"/>
      <c r="AC367" s="312"/>
      <c r="AD367" s="312"/>
      <c r="AE367" s="313"/>
      <c r="AF367" s="410">
        <f t="shared" si="38"/>
        <v>0</v>
      </c>
      <c r="AG367" s="312"/>
      <c r="AH367" s="339"/>
      <c r="AI367" s="303" t="s">
        <v>510</v>
      </c>
      <c r="AJ367" s="303" t="s">
        <v>510</v>
      </c>
      <c r="AK367" s="303" t="s">
        <v>510</v>
      </c>
      <c r="AL367" s="303" t="s">
        <v>511</v>
      </c>
      <c r="AM367" s="303" t="s">
        <v>510</v>
      </c>
      <c r="AN367" s="303" t="s">
        <v>511</v>
      </c>
      <c r="AO367" s="303">
        <v>20</v>
      </c>
      <c r="AP367" s="290">
        <f t="shared" si="39"/>
        <v>20</v>
      </c>
      <c r="AQ367" s="303" t="s">
        <v>504</v>
      </c>
      <c r="AR367" s="302"/>
      <c r="AS367" s="303"/>
      <c r="AT367" s="303"/>
      <c r="AU367" s="303"/>
      <c r="AV367" s="303"/>
      <c r="AW367" s="303"/>
      <c r="AX367" s="303"/>
      <c r="AY367" s="303"/>
      <c r="AZ367" s="290">
        <f t="shared" si="40"/>
        <v>0</v>
      </c>
      <c r="BA367" s="303"/>
      <c r="BB367" s="301"/>
      <c r="BC367" s="315">
        <f t="shared" si="35"/>
        <v>1</v>
      </c>
      <c r="BD367" s="316" t="str">
        <f t="shared" si="41"/>
        <v>Habilitado</v>
      </c>
    </row>
    <row r="368" spans="1:56" ht="51" x14ac:dyDescent="0.25">
      <c r="A368" s="308">
        <v>366</v>
      </c>
      <c r="B368" s="309" t="s">
        <v>1254</v>
      </c>
      <c r="C368" s="331" t="s">
        <v>1255</v>
      </c>
      <c r="D368" s="310" t="s">
        <v>847</v>
      </c>
      <c r="E368" s="311"/>
      <c r="F368" s="311"/>
      <c r="G368" s="311"/>
      <c r="H368" s="311"/>
      <c r="I368" s="311"/>
      <c r="J368" s="311"/>
      <c r="K368" s="311"/>
      <c r="L368" s="408">
        <f t="shared" si="36"/>
        <v>0</v>
      </c>
      <c r="M368" s="311"/>
      <c r="N368" s="303"/>
      <c r="O368" s="311"/>
      <c r="P368" s="311"/>
      <c r="Q368" s="311"/>
      <c r="R368" s="311"/>
      <c r="S368" s="311"/>
      <c r="T368" s="311"/>
      <c r="U368" s="311"/>
      <c r="V368" s="409">
        <f t="shared" si="37"/>
        <v>0</v>
      </c>
      <c r="W368" s="311"/>
      <c r="X368" s="320"/>
      <c r="Y368" s="312"/>
      <c r="Z368" s="312"/>
      <c r="AA368" s="312"/>
      <c r="AB368" s="312"/>
      <c r="AC368" s="312"/>
      <c r="AD368" s="312"/>
      <c r="AE368" s="313"/>
      <c r="AF368" s="410">
        <f t="shared" si="38"/>
        <v>0</v>
      </c>
      <c r="AG368" s="312"/>
      <c r="AH368" s="339"/>
      <c r="AI368" s="303"/>
      <c r="AJ368" s="303"/>
      <c r="AK368" s="303"/>
      <c r="AL368" s="303"/>
      <c r="AM368" s="303"/>
      <c r="AN368" s="303"/>
      <c r="AO368" s="303"/>
      <c r="AP368" s="290">
        <f t="shared" si="39"/>
        <v>0</v>
      </c>
      <c r="AQ368" s="303"/>
      <c r="AR368" s="301"/>
      <c r="AS368" s="303"/>
      <c r="AT368" s="303"/>
      <c r="AU368" s="303"/>
      <c r="AV368" s="303"/>
      <c r="AW368" s="303"/>
      <c r="AX368" s="303"/>
      <c r="AY368" s="303"/>
      <c r="AZ368" s="290">
        <f t="shared" si="40"/>
        <v>0</v>
      </c>
      <c r="BA368" s="303"/>
      <c r="BB368" s="301"/>
      <c r="BC368" s="315">
        <f t="shared" si="35"/>
        <v>0</v>
      </c>
      <c r="BD368" s="316" t="str">
        <f t="shared" si="41"/>
        <v>Desierto</v>
      </c>
    </row>
    <row r="369" spans="1:59" ht="75.75" customHeight="1" x14ac:dyDescent="0.25">
      <c r="A369" s="308">
        <v>367</v>
      </c>
      <c r="B369" s="309" t="s">
        <v>1256</v>
      </c>
      <c r="C369" s="331" t="s">
        <v>1257</v>
      </c>
      <c r="D369" s="309" t="s">
        <v>46</v>
      </c>
      <c r="E369" s="311"/>
      <c r="F369" s="311"/>
      <c r="G369" s="311"/>
      <c r="H369" s="311"/>
      <c r="I369" s="311"/>
      <c r="J369" s="311"/>
      <c r="K369" s="311"/>
      <c r="L369" s="408">
        <f t="shared" si="36"/>
        <v>0</v>
      </c>
      <c r="M369" s="311"/>
      <c r="N369" s="303"/>
      <c r="O369" s="311"/>
      <c r="P369" s="311"/>
      <c r="Q369" s="311"/>
      <c r="R369" s="311"/>
      <c r="S369" s="311"/>
      <c r="T369" s="311"/>
      <c r="U369" s="311"/>
      <c r="V369" s="409">
        <f t="shared" si="37"/>
        <v>0</v>
      </c>
      <c r="W369" s="311"/>
      <c r="X369" s="320"/>
      <c r="Y369" s="312"/>
      <c r="Z369" s="312"/>
      <c r="AA369" s="312"/>
      <c r="AB369" s="312"/>
      <c r="AC369" s="312"/>
      <c r="AD369" s="312"/>
      <c r="AE369" s="313"/>
      <c r="AF369" s="410">
        <f t="shared" si="38"/>
        <v>0</v>
      </c>
      <c r="AG369" s="312"/>
      <c r="AH369" s="339"/>
      <c r="AI369" s="303" t="s">
        <v>510</v>
      </c>
      <c r="AJ369" s="303" t="s">
        <v>519</v>
      </c>
      <c r="AK369" s="303" t="s">
        <v>510</v>
      </c>
      <c r="AL369" s="303" t="s">
        <v>511</v>
      </c>
      <c r="AM369" s="303" t="s">
        <v>510</v>
      </c>
      <c r="AN369" s="303" t="s">
        <v>511</v>
      </c>
      <c r="AO369" s="303">
        <v>0</v>
      </c>
      <c r="AP369" s="290">
        <f t="shared" si="39"/>
        <v>0</v>
      </c>
      <c r="AQ369" s="303" t="s">
        <v>520</v>
      </c>
      <c r="AR369" s="302" t="s">
        <v>1258</v>
      </c>
      <c r="AS369" s="303"/>
      <c r="AT369" s="303"/>
      <c r="AU369" s="303"/>
      <c r="AV369" s="303"/>
      <c r="AW369" s="303"/>
      <c r="AX369" s="303"/>
      <c r="AY369" s="303"/>
      <c r="AZ369" s="290">
        <f t="shared" si="40"/>
        <v>0</v>
      </c>
      <c r="BA369" s="303"/>
      <c r="BB369" s="301"/>
      <c r="BC369" s="315">
        <f t="shared" si="35"/>
        <v>0</v>
      </c>
      <c r="BD369" s="316" t="str">
        <f t="shared" si="41"/>
        <v>Desierto</v>
      </c>
    </row>
    <row r="370" spans="1:59" ht="38.25" x14ac:dyDescent="0.25">
      <c r="A370" s="308">
        <v>368</v>
      </c>
      <c r="B370" s="309" t="s">
        <v>1259</v>
      </c>
      <c r="C370" s="331" t="s">
        <v>1260</v>
      </c>
      <c r="D370" s="309" t="s">
        <v>46</v>
      </c>
      <c r="E370" s="311"/>
      <c r="F370" s="311"/>
      <c r="G370" s="311"/>
      <c r="H370" s="311"/>
      <c r="I370" s="311"/>
      <c r="J370" s="311"/>
      <c r="K370" s="311"/>
      <c r="L370" s="408">
        <f t="shared" si="36"/>
        <v>0</v>
      </c>
      <c r="M370" s="311"/>
      <c r="N370" s="303"/>
      <c r="O370" s="311"/>
      <c r="P370" s="311"/>
      <c r="Q370" s="311"/>
      <c r="R370" s="311"/>
      <c r="S370" s="311"/>
      <c r="T370" s="311"/>
      <c r="U370" s="311"/>
      <c r="V370" s="409">
        <f t="shared" si="37"/>
        <v>0</v>
      </c>
      <c r="W370" s="311"/>
      <c r="X370" s="320"/>
      <c r="Y370" s="312"/>
      <c r="Z370" s="312"/>
      <c r="AA370" s="312"/>
      <c r="AB370" s="312"/>
      <c r="AC370" s="312"/>
      <c r="AD370" s="312"/>
      <c r="AE370" s="313"/>
      <c r="AF370" s="410">
        <f t="shared" si="38"/>
        <v>0</v>
      </c>
      <c r="AG370" s="312"/>
      <c r="AH370" s="339"/>
      <c r="AI370" s="303" t="s">
        <v>510</v>
      </c>
      <c r="AJ370" s="303" t="s">
        <v>510</v>
      </c>
      <c r="AK370" s="303" t="s">
        <v>510</v>
      </c>
      <c r="AL370" s="303" t="s">
        <v>511</v>
      </c>
      <c r="AM370" s="303" t="s">
        <v>510</v>
      </c>
      <c r="AN370" s="303" t="s">
        <v>511</v>
      </c>
      <c r="AO370" s="303">
        <v>20</v>
      </c>
      <c r="AP370" s="290">
        <f t="shared" si="39"/>
        <v>20</v>
      </c>
      <c r="AQ370" s="303" t="s">
        <v>504</v>
      </c>
      <c r="AR370" s="301"/>
      <c r="AS370" s="303"/>
      <c r="AT370" s="303"/>
      <c r="AU370" s="303"/>
      <c r="AV370" s="303"/>
      <c r="AW370" s="303"/>
      <c r="AX370" s="303"/>
      <c r="AY370" s="303"/>
      <c r="AZ370" s="290">
        <f t="shared" si="40"/>
        <v>0</v>
      </c>
      <c r="BA370" s="303"/>
      <c r="BB370" s="301"/>
      <c r="BC370" s="315">
        <f t="shared" si="35"/>
        <v>1</v>
      </c>
      <c r="BD370" s="316" t="str">
        <f t="shared" si="41"/>
        <v>Habilitado</v>
      </c>
    </row>
    <row r="371" spans="1:59" ht="38.25" x14ac:dyDescent="0.25">
      <c r="A371" s="308">
        <v>369</v>
      </c>
      <c r="B371" s="309" t="s">
        <v>1261</v>
      </c>
      <c r="C371" s="331" t="s">
        <v>1262</v>
      </c>
      <c r="D371" s="309" t="s">
        <v>46</v>
      </c>
      <c r="E371" s="311"/>
      <c r="F371" s="311"/>
      <c r="G371" s="311"/>
      <c r="H371" s="311"/>
      <c r="I371" s="311"/>
      <c r="J371" s="311"/>
      <c r="K371" s="311"/>
      <c r="L371" s="408">
        <f t="shared" si="36"/>
        <v>0</v>
      </c>
      <c r="M371" s="311"/>
      <c r="N371" s="303"/>
      <c r="O371" s="311"/>
      <c r="P371" s="311"/>
      <c r="Q371" s="311"/>
      <c r="R371" s="311"/>
      <c r="S371" s="311"/>
      <c r="T371" s="311"/>
      <c r="U371" s="311"/>
      <c r="V371" s="409">
        <f t="shared" si="37"/>
        <v>0</v>
      </c>
      <c r="W371" s="311"/>
      <c r="X371" s="320"/>
      <c r="Y371" s="312"/>
      <c r="Z371" s="312"/>
      <c r="AA371" s="312"/>
      <c r="AB371" s="312"/>
      <c r="AC371" s="312"/>
      <c r="AD371" s="312"/>
      <c r="AE371" s="313"/>
      <c r="AF371" s="410">
        <f t="shared" si="38"/>
        <v>0</v>
      </c>
      <c r="AG371" s="312"/>
      <c r="AH371" s="339"/>
      <c r="AI371" s="303" t="s">
        <v>510</v>
      </c>
      <c r="AJ371" s="303" t="s">
        <v>510</v>
      </c>
      <c r="AK371" s="303" t="s">
        <v>510</v>
      </c>
      <c r="AL371" s="303" t="s">
        <v>511</v>
      </c>
      <c r="AM371" s="303" t="s">
        <v>510</v>
      </c>
      <c r="AN371" s="303" t="s">
        <v>511</v>
      </c>
      <c r="AO371" s="303">
        <v>20</v>
      </c>
      <c r="AP371" s="290">
        <f t="shared" si="39"/>
        <v>20</v>
      </c>
      <c r="AQ371" s="303" t="s">
        <v>504</v>
      </c>
      <c r="AR371" s="301"/>
      <c r="AS371" s="303"/>
      <c r="AT371" s="303"/>
      <c r="AU371" s="303"/>
      <c r="AV371" s="303"/>
      <c r="AW371" s="303"/>
      <c r="AX371" s="303"/>
      <c r="AY371" s="303"/>
      <c r="AZ371" s="290">
        <f t="shared" si="40"/>
        <v>0</v>
      </c>
      <c r="BA371" s="303"/>
      <c r="BB371" s="301"/>
      <c r="BC371" s="315">
        <f t="shared" si="35"/>
        <v>1</v>
      </c>
      <c r="BD371" s="316" t="str">
        <f t="shared" si="41"/>
        <v>Habilitado</v>
      </c>
    </row>
    <row r="372" spans="1:59" ht="65.25" customHeight="1" x14ac:dyDescent="0.25">
      <c r="A372" s="308">
        <v>370</v>
      </c>
      <c r="B372" s="309" t="s">
        <v>1263</v>
      </c>
      <c r="C372" s="331" t="s">
        <v>1264</v>
      </c>
      <c r="D372" s="309" t="s">
        <v>46</v>
      </c>
      <c r="E372" s="311"/>
      <c r="F372" s="311"/>
      <c r="G372" s="311"/>
      <c r="H372" s="311"/>
      <c r="I372" s="311"/>
      <c r="J372" s="311"/>
      <c r="K372" s="311"/>
      <c r="L372" s="408">
        <f t="shared" si="36"/>
        <v>0</v>
      </c>
      <c r="M372" s="311"/>
      <c r="N372" s="303"/>
      <c r="O372" s="311"/>
      <c r="P372" s="311"/>
      <c r="Q372" s="311"/>
      <c r="R372" s="311"/>
      <c r="S372" s="311"/>
      <c r="T372" s="311"/>
      <c r="U372" s="311"/>
      <c r="V372" s="409">
        <f t="shared" si="37"/>
        <v>0</v>
      </c>
      <c r="W372" s="311"/>
      <c r="X372" s="320"/>
      <c r="Y372" s="312"/>
      <c r="Z372" s="312"/>
      <c r="AA372" s="312"/>
      <c r="AB372" s="312"/>
      <c r="AC372" s="312"/>
      <c r="AD372" s="312"/>
      <c r="AE372" s="313"/>
      <c r="AF372" s="410">
        <f t="shared" si="38"/>
        <v>0</v>
      </c>
      <c r="AG372" s="312"/>
      <c r="AH372" s="339"/>
      <c r="AI372" s="303" t="s">
        <v>510</v>
      </c>
      <c r="AJ372" s="303" t="s">
        <v>510</v>
      </c>
      <c r="AK372" s="303" t="s">
        <v>510</v>
      </c>
      <c r="AL372" s="303" t="s">
        <v>511</v>
      </c>
      <c r="AM372" s="303" t="s">
        <v>510</v>
      </c>
      <c r="AN372" s="303" t="s">
        <v>511</v>
      </c>
      <c r="AO372" s="303">
        <v>20</v>
      </c>
      <c r="AP372" s="290">
        <f t="shared" si="39"/>
        <v>20</v>
      </c>
      <c r="AQ372" s="303" t="s">
        <v>504</v>
      </c>
      <c r="AR372" s="301" t="s">
        <v>912</v>
      </c>
      <c r="AS372" s="303"/>
      <c r="AT372" s="303"/>
      <c r="AU372" s="303"/>
      <c r="AV372" s="303"/>
      <c r="AW372" s="303"/>
      <c r="AX372" s="303"/>
      <c r="AY372" s="303"/>
      <c r="AZ372" s="290">
        <f t="shared" si="40"/>
        <v>0</v>
      </c>
      <c r="BA372" s="303"/>
      <c r="BB372" s="301"/>
      <c r="BC372" s="315">
        <f t="shared" si="35"/>
        <v>1</v>
      </c>
      <c r="BD372" s="316" t="str">
        <f t="shared" si="41"/>
        <v>Habilitado</v>
      </c>
    </row>
    <row r="373" spans="1:59" ht="38.25" x14ac:dyDescent="0.25">
      <c r="A373" s="308">
        <v>371</v>
      </c>
      <c r="B373" s="309" t="s">
        <v>1265</v>
      </c>
      <c r="C373" s="331" t="s">
        <v>1266</v>
      </c>
      <c r="D373" s="309" t="s">
        <v>46</v>
      </c>
      <c r="E373" s="311"/>
      <c r="F373" s="311"/>
      <c r="G373" s="311"/>
      <c r="H373" s="311"/>
      <c r="I373" s="311"/>
      <c r="J373" s="311"/>
      <c r="K373" s="311"/>
      <c r="L373" s="408">
        <f t="shared" si="36"/>
        <v>0</v>
      </c>
      <c r="M373" s="311"/>
      <c r="N373" s="303"/>
      <c r="O373" s="311"/>
      <c r="P373" s="311"/>
      <c r="Q373" s="311"/>
      <c r="R373" s="311"/>
      <c r="S373" s="311"/>
      <c r="T373" s="311"/>
      <c r="U373" s="311"/>
      <c r="V373" s="409">
        <f t="shared" si="37"/>
        <v>0</v>
      </c>
      <c r="W373" s="311"/>
      <c r="X373" s="320"/>
      <c r="Y373" s="312"/>
      <c r="Z373" s="312"/>
      <c r="AA373" s="312"/>
      <c r="AB373" s="312"/>
      <c r="AC373" s="312"/>
      <c r="AD373" s="312"/>
      <c r="AE373" s="313"/>
      <c r="AF373" s="410">
        <f t="shared" si="38"/>
        <v>0</v>
      </c>
      <c r="AG373" s="312"/>
      <c r="AH373" s="339"/>
      <c r="AI373" s="303" t="s">
        <v>510</v>
      </c>
      <c r="AJ373" s="303" t="s">
        <v>510</v>
      </c>
      <c r="AK373" s="303" t="s">
        <v>510</v>
      </c>
      <c r="AL373" s="303" t="s">
        <v>511</v>
      </c>
      <c r="AM373" s="303" t="s">
        <v>510</v>
      </c>
      <c r="AN373" s="303" t="s">
        <v>511</v>
      </c>
      <c r="AO373" s="303">
        <v>20</v>
      </c>
      <c r="AP373" s="290">
        <f t="shared" si="39"/>
        <v>20</v>
      </c>
      <c r="AQ373" s="303" t="s">
        <v>504</v>
      </c>
      <c r="AR373" s="301"/>
      <c r="AS373" s="303"/>
      <c r="AT373" s="303"/>
      <c r="AU373" s="303"/>
      <c r="AV373" s="303"/>
      <c r="AW373" s="303"/>
      <c r="AX373" s="303"/>
      <c r="AY373" s="303"/>
      <c r="AZ373" s="290">
        <f t="shared" si="40"/>
        <v>0</v>
      </c>
      <c r="BA373" s="303"/>
      <c r="BB373" s="303"/>
      <c r="BC373" s="315">
        <f t="shared" si="35"/>
        <v>1</v>
      </c>
      <c r="BD373" s="316" t="str">
        <f t="shared" si="41"/>
        <v>Habilitado</v>
      </c>
    </row>
    <row r="374" spans="1:59" s="267" customFormat="1" ht="67.5" customHeight="1" x14ac:dyDescent="0.25">
      <c r="A374" s="308">
        <v>372</v>
      </c>
      <c r="B374" s="309" t="s">
        <v>1267</v>
      </c>
      <c r="C374" s="331" t="s">
        <v>1268</v>
      </c>
      <c r="D374" s="309" t="s">
        <v>46</v>
      </c>
      <c r="E374" s="311"/>
      <c r="F374" s="311"/>
      <c r="G374" s="311"/>
      <c r="H374" s="311"/>
      <c r="I374" s="311"/>
      <c r="J374" s="311"/>
      <c r="K374" s="311"/>
      <c r="L374" s="408">
        <f t="shared" si="36"/>
        <v>0</v>
      </c>
      <c r="M374" s="311"/>
      <c r="N374" s="303"/>
      <c r="O374" s="311"/>
      <c r="P374" s="311"/>
      <c r="Q374" s="311"/>
      <c r="R374" s="311"/>
      <c r="S374" s="311"/>
      <c r="T374" s="311"/>
      <c r="U374" s="311"/>
      <c r="V374" s="409">
        <f t="shared" si="37"/>
        <v>0</v>
      </c>
      <c r="W374" s="311"/>
      <c r="X374" s="320"/>
      <c r="Y374" s="312"/>
      <c r="Z374" s="312"/>
      <c r="AA374" s="312"/>
      <c r="AB374" s="312"/>
      <c r="AC374" s="312"/>
      <c r="AD374" s="312"/>
      <c r="AE374" s="313"/>
      <c r="AF374" s="410">
        <f t="shared" si="38"/>
        <v>0</v>
      </c>
      <c r="AG374" s="312"/>
      <c r="AH374" s="317"/>
      <c r="AI374" s="303" t="s">
        <v>510</v>
      </c>
      <c r="AJ374" s="303" t="s">
        <v>510</v>
      </c>
      <c r="AK374" s="303" t="s">
        <v>510</v>
      </c>
      <c r="AL374" s="303" t="s">
        <v>511</v>
      </c>
      <c r="AM374" s="303" t="s">
        <v>510</v>
      </c>
      <c r="AN374" s="303" t="s">
        <v>511</v>
      </c>
      <c r="AO374" s="303">
        <v>20</v>
      </c>
      <c r="AP374" s="290">
        <f t="shared" si="39"/>
        <v>20</v>
      </c>
      <c r="AQ374" s="303" t="s">
        <v>504</v>
      </c>
      <c r="AR374" s="301" t="s">
        <v>912</v>
      </c>
      <c r="AS374" s="303"/>
      <c r="AT374" s="303"/>
      <c r="AU374" s="303"/>
      <c r="AV374" s="303"/>
      <c r="AW374" s="303"/>
      <c r="AX374" s="303"/>
      <c r="AY374" s="303"/>
      <c r="AZ374" s="290">
        <f t="shared" si="40"/>
        <v>0</v>
      </c>
      <c r="BA374" s="303"/>
      <c r="BB374" s="303"/>
      <c r="BC374" s="315">
        <f t="shared" si="35"/>
        <v>1</v>
      </c>
      <c r="BD374" s="316" t="str">
        <f t="shared" si="41"/>
        <v>Habilitado</v>
      </c>
      <c r="BE374" s="27"/>
      <c r="BF374" s="27"/>
      <c r="BG374" s="27"/>
    </row>
    <row r="375" spans="1:59" ht="73.5" customHeight="1" x14ac:dyDescent="0.25">
      <c r="A375" s="308">
        <v>373</v>
      </c>
      <c r="B375" s="309" t="s">
        <v>1269</v>
      </c>
      <c r="C375" s="310"/>
      <c r="D375" s="310" t="s">
        <v>140</v>
      </c>
      <c r="E375" s="303" t="s">
        <v>510</v>
      </c>
      <c r="F375" s="303" t="s">
        <v>510</v>
      </c>
      <c r="G375" s="303" t="s">
        <v>510</v>
      </c>
      <c r="H375" s="303" t="s">
        <v>511</v>
      </c>
      <c r="I375" s="303" t="s">
        <v>510</v>
      </c>
      <c r="J375" s="303" t="s">
        <v>511</v>
      </c>
      <c r="K375" s="303">
        <v>40</v>
      </c>
      <c r="L375" s="408">
        <f t="shared" si="36"/>
        <v>40</v>
      </c>
      <c r="M375" s="303" t="s">
        <v>504</v>
      </c>
      <c r="N375" s="303"/>
      <c r="O375" s="311"/>
      <c r="P375" s="311"/>
      <c r="Q375" s="311"/>
      <c r="R375" s="311"/>
      <c r="S375" s="311"/>
      <c r="T375" s="311"/>
      <c r="U375" s="311"/>
      <c r="V375" s="409">
        <f t="shared" si="37"/>
        <v>0</v>
      </c>
      <c r="W375" s="311"/>
      <c r="X375" s="311"/>
      <c r="Y375" s="312"/>
      <c r="Z375" s="312"/>
      <c r="AA375" s="312"/>
      <c r="AB375" s="312"/>
      <c r="AC375" s="312"/>
      <c r="AD375" s="312"/>
      <c r="AE375" s="313"/>
      <c r="AF375" s="410">
        <f t="shared" si="38"/>
        <v>0</v>
      </c>
      <c r="AG375" s="312"/>
      <c r="AH375" s="312"/>
      <c r="AI375" s="303"/>
      <c r="AJ375" s="303"/>
      <c r="AK375" s="303"/>
      <c r="AL375" s="303"/>
      <c r="AM375" s="303"/>
      <c r="AN375" s="303"/>
      <c r="AO375" s="303"/>
      <c r="AP375" s="290">
        <f t="shared" si="39"/>
        <v>0</v>
      </c>
      <c r="AQ375" s="303"/>
      <c r="AR375" s="303"/>
      <c r="AS375" s="303"/>
      <c r="AT375" s="303"/>
      <c r="AU375" s="303"/>
      <c r="AV375" s="303"/>
      <c r="AW375" s="303"/>
      <c r="AX375" s="303"/>
      <c r="AY375" s="303"/>
      <c r="AZ375" s="290">
        <f t="shared" si="40"/>
        <v>0</v>
      </c>
      <c r="BA375" s="303"/>
      <c r="BB375" s="303"/>
      <c r="BC375" s="315">
        <f t="shared" si="35"/>
        <v>1</v>
      </c>
      <c r="BD375" s="316" t="str">
        <f t="shared" si="41"/>
        <v>Habilitado</v>
      </c>
    </row>
    <row r="376" spans="1:59" ht="25.5" x14ac:dyDescent="0.25">
      <c r="A376" s="308">
        <v>374</v>
      </c>
      <c r="B376" s="309" t="s">
        <v>1270</v>
      </c>
      <c r="C376" s="310" t="s">
        <v>729</v>
      </c>
      <c r="D376" s="310" t="s">
        <v>1271</v>
      </c>
      <c r="E376" s="303" t="s">
        <v>510</v>
      </c>
      <c r="F376" s="303" t="s">
        <v>510</v>
      </c>
      <c r="G376" s="303" t="s">
        <v>510</v>
      </c>
      <c r="H376" s="303" t="s">
        <v>511</v>
      </c>
      <c r="I376" s="303" t="s">
        <v>510</v>
      </c>
      <c r="J376" s="303" t="s">
        <v>511</v>
      </c>
      <c r="K376" s="303">
        <v>0</v>
      </c>
      <c r="L376" s="408">
        <f t="shared" si="36"/>
        <v>0</v>
      </c>
      <c r="M376" s="303" t="s">
        <v>504</v>
      </c>
      <c r="N376" s="303"/>
      <c r="O376" s="311"/>
      <c r="P376" s="311"/>
      <c r="Q376" s="311"/>
      <c r="R376" s="311"/>
      <c r="S376" s="311"/>
      <c r="T376" s="311"/>
      <c r="U376" s="311"/>
      <c r="V376" s="409">
        <f t="shared" si="37"/>
        <v>0</v>
      </c>
      <c r="W376" s="311"/>
      <c r="X376" s="311"/>
      <c r="Y376" s="312"/>
      <c r="Z376" s="312"/>
      <c r="AA376" s="312"/>
      <c r="AB376" s="312"/>
      <c r="AC376" s="312"/>
      <c r="AD376" s="312"/>
      <c r="AE376" s="313"/>
      <c r="AF376" s="410">
        <f t="shared" si="38"/>
        <v>0</v>
      </c>
      <c r="AG376" s="312"/>
      <c r="AH376" s="312"/>
      <c r="AI376" s="303"/>
      <c r="AJ376" s="303"/>
      <c r="AK376" s="303"/>
      <c r="AL376" s="303"/>
      <c r="AM376" s="303"/>
      <c r="AN376" s="303"/>
      <c r="AO376" s="303"/>
      <c r="AP376" s="290">
        <f t="shared" si="39"/>
        <v>0</v>
      </c>
      <c r="AQ376" s="303"/>
      <c r="AR376" s="303"/>
      <c r="AS376" s="303" t="s">
        <v>510</v>
      </c>
      <c r="AT376" s="303" t="s">
        <v>510</v>
      </c>
      <c r="AU376" s="303" t="s">
        <v>510</v>
      </c>
      <c r="AV376" s="303" t="s">
        <v>511</v>
      </c>
      <c r="AW376" s="303" t="s">
        <v>510</v>
      </c>
      <c r="AX376" s="303" t="s">
        <v>511</v>
      </c>
      <c r="AY376" s="303">
        <v>0</v>
      </c>
      <c r="AZ376" s="290">
        <f t="shared" si="40"/>
        <v>0</v>
      </c>
      <c r="BA376" s="303" t="s">
        <v>504</v>
      </c>
      <c r="BB376" s="303"/>
      <c r="BC376" s="315">
        <f t="shared" si="35"/>
        <v>2</v>
      </c>
      <c r="BD376" s="316" t="str">
        <f t="shared" si="41"/>
        <v>Habilitado</v>
      </c>
    </row>
    <row r="377" spans="1:59" ht="25.5" x14ac:dyDescent="0.25">
      <c r="A377" s="308">
        <v>375</v>
      </c>
      <c r="B377" s="309" t="s">
        <v>1272</v>
      </c>
      <c r="C377" s="310" t="s">
        <v>866</v>
      </c>
      <c r="D377" s="310" t="s">
        <v>1273</v>
      </c>
      <c r="E377" s="311"/>
      <c r="F377" s="311"/>
      <c r="G377" s="311"/>
      <c r="H377" s="311"/>
      <c r="I377" s="311"/>
      <c r="J377" s="311"/>
      <c r="K377" s="311"/>
      <c r="L377" s="408">
        <f t="shared" si="36"/>
        <v>0</v>
      </c>
      <c r="M377" s="311"/>
      <c r="N377" s="303"/>
      <c r="O377" s="311"/>
      <c r="P377" s="311"/>
      <c r="Q377" s="311"/>
      <c r="R377" s="311"/>
      <c r="S377" s="311"/>
      <c r="T377" s="311"/>
      <c r="U377" s="311"/>
      <c r="V377" s="409">
        <f t="shared" si="37"/>
        <v>0</v>
      </c>
      <c r="W377" s="311"/>
      <c r="X377" s="311"/>
      <c r="Y377" s="312"/>
      <c r="Z377" s="312"/>
      <c r="AA377" s="312"/>
      <c r="AB377" s="312"/>
      <c r="AC377" s="312"/>
      <c r="AD377" s="312"/>
      <c r="AE377" s="313"/>
      <c r="AF377" s="410">
        <f t="shared" si="38"/>
        <v>0</v>
      </c>
      <c r="AG377" s="312"/>
      <c r="AH377" s="312"/>
      <c r="AI377" s="303"/>
      <c r="AJ377" s="303"/>
      <c r="AK377" s="303"/>
      <c r="AL377" s="303"/>
      <c r="AM377" s="303"/>
      <c r="AN377" s="303"/>
      <c r="AO377" s="303"/>
      <c r="AP377" s="290">
        <f t="shared" si="39"/>
        <v>0</v>
      </c>
      <c r="AQ377" s="303"/>
      <c r="AR377" s="303"/>
      <c r="AS377" s="303"/>
      <c r="AT377" s="303"/>
      <c r="AU377" s="303"/>
      <c r="AV377" s="303"/>
      <c r="AW377" s="303"/>
      <c r="AX377" s="303"/>
      <c r="AY377" s="303"/>
      <c r="AZ377" s="290">
        <f t="shared" si="40"/>
        <v>0</v>
      </c>
      <c r="BA377" s="303"/>
      <c r="BB377" s="303"/>
      <c r="BC377" s="315">
        <f t="shared" si="35"/>
        <v>0</v>
      </c>
      <c r="BD377" s="316" t="str">
        <f t="shared" si="41"/>
        <v>Desierto</v>
      </c>
    </row>
    <row r="378" spans="1:59" x14ac:dyDescent="0.25">
      <c r="A378" s="308">
        <v>376</v>
      </c>
      <c r="B378" s="309" t="s">
        <v>1274</v>
      </c>
      <c r="C378" s="310" t="s">
        <v>1275</v>
      </c>
      <c r="D378" s="310" t="s">
        <v>144</v>
      </c>
      <c r="E378" s="311"/>
      <c r="F378" s="311"/>
      <c r="G378" s="311"/>
      <c r="H378" s="311"/>
      <c r="I378" s="311"/>
      <c r="J378" s="311"/>
      <c r="K378" s="311"/>
      <c r="L378" s="408">
        <f t="shared" si="36"/>
        <v>0</v>
      </c>
      <c r="M378" s="311"/>
      <c r="N378" s="303"/>
      <c r="O378" s="311"/>
      <c r="P378" s="311"/>
      <c r="Q378" s="311"/>
      <c r="R378" s="311"/>
      <c r="S378" s="311"/>
      <c r="T378" s="311"/>
      <c r="U378" s="311"/>
      <c r="V378" s="409">
        <f t="shared" si="37"/>
        <v>0</v>
      </c>
      <c r="W378" s="311"/>
      <c r="X378" s="311"/>
      <c r="Y378" s="312"/>
      <c r="Z378" s="312"/>
      <c r="AA378" s="312"/>
      <c r="AB378" s="312"/>
      <c r="AC378" s="312"/>
      <c r="AD378" s="312"/>
      <c r="AE378" s="313"/>
      <c r="AF378" s="410">
        <f t="shared" si="38"/>
        <v>0</v>
      </c>
      <c r="AG378" s="312"/>
      <c r="AH378" s="312"/>
      <c r="AI378" s="303"/>
      <c r="AJ378" s="303"/>
      <c r="AK378" s="303"/>
      <c r="AL378" s="303"/>
      <c r="AM378" s="303"/>
      <c r="AN378" s="303"/>
      <c r="AO378" s="303"/>
      <c r="AP378" s="290">
        <f t="shared" si="39"/>
        <v>0</v>
      </c>
      <c r="AQ378" s="303"/>
      <c r="AR378" s="303"/>
      <c r="AS378" s="303"/>
      <c r="AT378" s="303"/>
      <c r="AU378" s="303"/>
      <c r="AV378" s="303"/>
      <c r="AW378" s="303"/>
      <c r="AX378" s="303"/>
      <c r="AY378" s="303"/>
      <c r="AZ378" s="290">
        <f t="shared" si="40"/>
        <v>0</v>
      </c>
      <c r="BA378" s="303"/>
      <c r="BB378" s="303"/>
      <c r="BC378" s="315">
        <f t="shared" si="35"/>
        <v>0</v>
      </c>
      <c r="BD378" s="316" t="str">
        <f t="shared" si="41"/>
        <v>Desierto</v>
      </c>
    </row>
    <row r="379" spans="1:59" ht="25.5" x14ac:dyDescent="0.25">
      <c r="A379" s="308">
        <v>377</v>
      </c>
      <c r="B379" s="309" t="s">
        <v>720</v>
      </c>
      <c r="C379" s="310" t="s">
        <v>374</v>
      </c>
      <c r="D379" s="310" t="s">
        <v>437</v>
      </c>
      <c r="E379" s="303" t="s">
        <v>510</v>
      </c>
      <c r="F379" s="303" t="s">
        <v>510</v>
      </c>
      <c r="G379" s="303" t="s">
        <v>510</v>
      </c>
      <c r="H379" s="303" t="s">
        <v>511</v>
      </c>
      <c r="I379" s="303" t="s">
        <v>510</v>
      </c>
      <c r="J379" s="303" t="s">
        <v>511</v>
      </c>
      <c r="K379" s="303">
        <v>40</v>
      </c>
      <c r="L379" s="408">
        <f t="shared" si="36"/>
        <v>40</v>
      </c>
      <c r="M379" s="303" t="s">
        <v>504</v>
      </c>
      <c r="N379" s="303"/>
      <c r="O379" s="311"/>
      <c r="P379" s="311"/>
      <c r="Q379" s="311"/>
      <c r="R379" s="311"/>
      <c r="S379" s="311"/>
      <c r="T379" s="311"/>
      <c r="U379" s="311"/>
      <c r="V379" s="409">
        <f t="shared" si="37"/>
        <v>0</v>
      </c>
      <c r="W379" s="311"/>
      <c r="X379" s="311"/>
      <c r="Y379" s="312"/>
      <c r="Z379" s="312"/>
      <c r="AA379" s="312"/>
      <c r="AB379" s="312"/>
      <c r="AC379" s="312"/>
      <c r="AD379" s="312"/>
      <c r="AE379" s="313"/>
      <c r="AF379" s="410">
        <f t="shared" si="38"/>
        <v>0</v>
      </c>
      <c r="AG379" s="312"/>
      <c r="AH379" s="312"/>
      <c r="AI379" s="303"/>
      <c r="AJ379" s="303"/>
      <c r="AK379" s="303"/>
      <c r="AL379" s="303"/>
      <c r="AM379" s="303"/>
      <c r="AN379" s="303"/>
      <c r="AO379" s="303"/>
      <c r="AP379" s="290">
        <f t="shared" si="39"/>
        <v>0</v>
      </c>
      <c r="AQ379" s="303"/>
      <c r="AR379" s="303"/>
      <c r="AS379" s="303"/>
      <c r="AT379" s="303"/>
      <c r="AU379" s="303"/>
      <c r="AV379" s="303"/>
      <c r="AW379" s="303"/>
      <c r="AX379" s="303"/>
      <c r="AY379" s="303"/>
      <c r="AZ379" s="290">
        <f t="shared" si="40"/>
        <v>0</v>
      </c>
      <c r="BA379" s="303"/>
      <c r="BB379" s="303"/>
      <c r="BC379" s="315">
        <f t="shared" si="35"/>
        <v>1</v>
      </c>
      <c r="BD379" s="316" t="str">
        <f t="shared" si="41"/>
        <v>Habilitado</v>
      </c>
    </row>
    <row r="380" spans="1:59" ht="51" x14ac:dyDescent="0.25">
      <c r="A380" s="308">
        <v>378</v>
      </c>
      <c r="B380" s="309" t="s">
        <v>1276</v>
      </c>
      <c r="C380" s="310" t="s">
        <v>374</v>
      </c>
      <c r="D380" s="310" t="s">
        <v>1277</v>
      </c>
      <c r="E380" s="303" t="s">
        <v>510</v>
      </c>
      <c r="F380" s="303" t="s">
        <v>510</v>
      </c>
      <c r="G380" s="303" t="s">
        <v>511</v>
      </c>
      <c r="H380" s="303" t="s">
        <v>511</v>
      </c>
      <c r="I380" s="303" t="s">
        <v>510</v>
      </c>
      <c r="J380" s="303" t="s">
        <v>511</v>
      </c>
      <c r="K380" s="303">
        <v>40</v>
      </c>
      <c r="L380" s="408">
        <f t="shared" si="36"/>
        <v>40</v>
      </c>
      <c r="M380" s="303" t="s">
        <v>504</v>
      </c>
      <c r="N380" s="301" t="s">
        <v>1122</v>
      </c>
      <c r="O380" s="311"/>
      <c r="P380" s="311"/>
      <c r="Q380" s="311"/>
      <c r="R380" s="311"/>
      <c r="S380" s="311"/>
      <c r="T380" s="311"/>
      <c r="U380" s="311"/>
      <c r="V380" s="409">
        <f t="shared" si="37"/>
        <v>0</v>
      </c>
      <c r="W380" s="311"/>
      <c r="X380" s="311"/>
      <c r="Y380" s="312"/>
      <c r="Z380" s="312"/>
      <c r="AA380" s="312"/>
      <c r="AB380" s="312"/>
      <c r="AC380" s="312"/>
      <c r="AD380" s="312"/>
      <c r="AE380" s="313"/>
      <c r="AF380" s="410">
        <f t="shared" si="38"/>
        <v>0</v>
      </c>
      <c r="AG380" s="312"/>
      <c r="AH380" s="312"/>
      <c r="AI380" s="303"/>
      <c r="AJ380" s="303"/>
      <c r="AK380" s="303"/>
      <c r="AL380" s="303"/>
      <c r="AM380" s="303"/>
      <c r="AN380" s="303"/>
      <c r="AO380" s="303"/>
      <c r="AP380" s="290">
        <f t="shared" si="39"/>
        <v>0</v>
      </c>
      <c r="AQ380" s="303"/>
      <c r="AR380" s="303"/>
      <c r="AS380" s="303"/>
      <c r="AT380" s="303"/>
      <c r="AU380" s="303"/>
      <c r="AV380" s="303"/>
      <c r="AW380" s="303"/>
      <c r="AX380" s="303"/>
      <c r="AY380" s="303"/>
      <c r="AZ380" s="290">
        <f t="shared" si="40"/>
        <v>0</v>
      </c>
      <c r="BA380" s="303"/>
      <c r="BB380" s="303"/>
      <c r="BC380" s="315">
        <f t="shared" si="35"/>
        <v>1</v>
      </c>
      <c r="BD380" s="316" t="str">
        <f t="shared" si="41"/>
        <v>Habilitado</v>
      </c>
    </row>
    <row r="381" spans="1:59" ht="51" x14ac:dyDescent="0.25">
      <c r="A381" s="308">
        <v>379</v>
      </c>
      <c r="B381" s="309" t="s">
        <v>1278</v>
      </c>
      <c r="C381" s="310" t="s">
        <v>374</v>
      </c>
      <c r="D381" s="310" t="s">
        <v>1279</v>
      </c>
      <c r="E381" s="303" t="s">
        <v>510</v>
      </c>
      <c r="F381" s="303" t="s">
        <v>510</v>
      </c>
      <c r="G381" s="303" t="s">
        <v>511</v>
      </c>
      <c r="H381" s="303" t="s">
        <v>511</v>
      </c>
      <c r="I381" s="303" t="s">
        <v>510</v>
      </c>
      <c r="J381" s="303" t="s">
        <v>511</v>
      </c>
      <c r="K381" s="303">
        <v>40</v>
      </c>
      <c r="L381" s="408">
        <f t="shared" si="36"/>
        <v>40</v>
      </c>
      <c r="M381" s="303" t="s">
        <v>504</v>
      </c>
      <c r="N381" s="301" t="s">
        <v>1122</v>
      </c>
      <c r="O381" s="311"/>
      <c r="P381" s="311"/>
      <c r="Q381" s="311"/>
      <c r="R381" s="311"/>
      <c r="S381" s="311"/>
      <c r="T381" s="311"/>
      <c r="U381" s="311"/>
      <c r="V381" s="409">
        <f t="shared" si="37"/>
        <v>0</v>
      </c>
      <c r="W381" s="311"/>
      <c r="X381" s="311"/>
      <c r="Y381" s="312"/>
      <c r="Z381" s="312"/>
      <c r="AA381" s="312"/>
      <c r="AB381" s="312"/>
      <c r="AC381" s="312"/>
      <c r="AD381" s="312"/>
      <c r="AE381" s="313"/>
      <c r="AF381" s="410">
        <f t="shared" si="38"/>
        <v>0</v>
      </c>
      <c r="AG381" s="312"/>
      <c r="AH381" s="312"/>
      <c r="AI381" s="303"/>
      <c r="AJ381" s="303"/>
      <c r="AK381" s="303"/>
      <c r="AL381" s="303"/>
      <c r="AM381" s="303"/>
      <c r="AN381" s="303"/>
      <c r="AO381" s="303"/>
      <c r="AP381" s="290">
        <f t="shared" si="39"/>
        <v>0</v>
      </c>
      <c r="AQ381" s="303"/>
      <c r="AR381" s="303"/>
      <c r="AS381" s="303"/>
      <c r="AT381" s="303"/>
      <c r="AU381" s="303"/>
      <c r="AV381" s="303"/>
      <c r="AW381" s="303"/>
      <c r="AX381" s="303"/>
      <c r="AY381" s="303"/>
      <c r="AZ381" s="290">
        <f t="shared" si="40"/>
        <v>0</v>
      </c>
      <c r="BA381" s="303"/>
      <c r="BB381" s="303"/>
      <c r="BC381" s="315">
        <f t="shared" si="35"/>
        <v>1</v>
      </c>
      <c r="BD381" s="316" t="str">
        <f t="shared" si="41"/>
        <v>Habilitado</v>
      </c>
    </row>
    <row r="382" spans="1:59" ht="38.25" x14ac:dyDescent="0.25">
      <c r="A382" s="308">
        <v>380</v>
      </c>
      <c r="B382" s="309" t="s">
        <v>1280</v>
      </c>
      <c r="C382" s="310" t="s">
        <v>1281</v>
      </c>
      <c r="D382" s="310" t="s">
        <v>1282</v>
      </c>
      <c r="E382" s="303" t="s">
        <v>510</v>
      </c>
      <c r="F382" s="303" t="s">
        <v>510</v>
      </c>
      <c r="G382" s="303" t="s">
        <v>510</v>
      </c>
      <c r="H382" s="303" t="s">
        <v>511</v>
      </c>
      <c r="I382" s="303" t="s">
        <v>510</v>
      </c>
      <c r="J382" s="303" t="s">
        <v>511</v>
      </c>
      <c r="K382" s="303">
        <v>40</v>
      </c>
      <c r="L382" s="408">
        <f t="shared" si="36"/>
        <v>40</v>
      </c>
      <c r="M382" s="303" t="s">
        <v>504</v>
      </c>
      <c r="N382" s="303"/>
      <c r="O382" s="311"/>
      <c r="P382" s="311"/>
      <c r="Q382" s="311"/>
      <c r="R382" s="311"/>
      <c r="S382" s="311"/>
      <c r="T382" s="311"/>
      <c r="U382" s="311"/>
      <c r="V382" s="409">
        <f t="shared" si="37"/>
        <v>0</v>
      </c>
      <c r="W382" s="311"/>
      <c r="X382" s="311"/>
      <c r="Y382" s="312"/>
      <c r="Z382" s="312"/>
      <c r="AA382" s="312"/>
      <c r="AB382" s="312"/>
      <c r="AC382" s="312"/>
      <c r="AD382" s="312"/>
      <c r="AE382" s="313"/>
      <c r="AF382" s="410">
        <f t="shared" si="38"/>
        <v>0</v>
      </c>
      <c r="AG382" s="312"/>
      <c r="AH382" s="312"/>
      <c r="AI382" s="303"/>
      <c r="AJ382" s="303"/>
      <c r="AK382" s="303"/>
      <c r="AL382" s="303"/>
      <c r="AM382" s="303"/>
      <c r="AN382" s="303"/>
      <c r="AO382" s="303"/>
      <c r="AP382" s="290">
        <f t="shared" si="39"/>
        <v>0</v>
      </c>
      <c r="AQ382" s="303"/>
      <c r="AR382" s="303"/>
      <c r="AS382" s="303"/>
      <c r="AT382" s="303"/>
      <c r="AU382" s="303"/>
      <c r="AV382" s="303"/>
      <c r="AW382" s="303"/>
      <c r="AX382" s="303"/>
      <c r="AY382" s="303"/>
      <c r="AZ382" s="290">
        <f t="shared" si="40"/>
        <v>0</v>
      </c>
      <c r="BA382" s="303"/>
      <c r="BB382" s="303"/>
      <c r="BC382" s="315">
        <f t="shared" si="35"/>
        <v>1</v>
      </c>
      <c r="BD382" s="316" t="str">
        <f t="shared" si="41"/>
        <v>Habilitado</v>
      </c>
    </row>
    <row r="383" spans="1:59" ht="38.25" x14ac:dyDescent="0.25">
      <c r="A383" s="308">
        <v>381</v>
      </c>
      <c r="B383" s="309" t="s">
        <v>1283</v>
      </c>
      <c r="C383" s="310" t="s">
        <v>374</v>
      </c>
      <c r="D383" s="310" t="s">
        <v>833</v>
      </c>
      <c r="E383" s="303"/>
      <c r="F383" s="303"/>
      <c r="G383" s="303"/>
      <c r="H383" s="303"/>
      <c r="I383" s="303"/>
      <c r="J383" s="303"/>
      <c r="K383" s="303"/>
      <c r="L383" s="408">
        <f t="shared" si="36"/>
        <v>0</v>
      </c>
      <c r="M383" s="311"/>
      <c r="N383" s="303"/>
      <c r="O383" s="311"/>
      <c r="P383" s="311"/>
      <c r="Q383" s="311"/>
      <c r="R383" s="311"/>
      <c r="S383" s="311"/>
      <c r="T383" s="311"/>
      <c r="U383" s="311"/>
      <c r="V383" s="409">
        <f t="shared" si="37"/>
        <v>0</v>
      </c>
      <c r="W383" s="311"/>
      <c r="X383" s="311"/>
      <c r="Y383" s="312"/>
      <c r="Z383" s="312"/>
      <c r="AA383" s="312"/>
      <c r="AB383" s="312"/>
      <c r="AC383" s="312"/>
      <c r="AD383" s="312"/>
      <c r="AE383" s="313"/>
      <c r="AF383" s="410">
        <f t="shared" si="38"/>
        <v>0</v>
      </c>
      <c r="AG383" s="312"/>
      <c r="AH383" s="312"/>
      <c r="AI383" s="303"/>
      <c r="AJ383" s="303"/>
      <c r="AK383" s="303"/>
      <c r="AL383" s="303"/>
      <c r="AM383" s="303"/>
      <c r="AN383" s="303"/>
      <c r="AO383" s="303"/>
      <c r="AP383" s="290">
        <f t="shared" si="39"/>
        <v>0</v>
      </c>
      <c r="AQ383" s="303"/>
      <c r="AR383" s="303"/>
      <c r="AS383" s="303"/>
      <c r="AT383" s="303"/>
      <c r="AU383" s="303"/>
      <c r="AV383" s="303"/>
      <c r="AW383" s="303"/>
      <c r="AX383" s="303"/>
      <c r="AY383" s="303"/>
      <c r="AZ383" s="290">
        <f t="shared" si="40"/>
        <v>0</v>
      </c>
      <c r="BA383" s="303"/>
      <c r="BB383" s="303"/>
      <c r="BC383" s="315">
        <f t="shared" si="35"/>
        <v>0</v>
      </c>
      <c r="BD383" s="316" t="str">
        <f t="shared" si="41"/>
        <v>Desierto</v>
      </c>
    </row>
    <row r="384" spans="1:59" ht="38.25" x14ac:dyDescent="0.25">
      <c r="A384" s="308">
        <v>382</v>
      </c>
      <c r="B384" s="309" t="s">
        <v>1284</v>
      </c>
      <c r="C384" s="310" t="s">
        <v>374</v>
      </c>
      <c r="D384" s="310" t="s">
        <v>833</v>
      </c>
      <c r="E384" s="303" t="s">
        <v>510</v>
      </c>
      <c r="F384" s="303" t="s">
        <v>510</v>
      </c>
      <c r="G384" s="303" t="s">
        <v>511</v>
      </c>
      <c r="H384" s="303" t="s">
        <v>511</v>
      </c>
      <c r="I384" s="303" t="s">
        <v>510</v>
      </c>
      <c r="J384" s="303" t="s">
        <v>511</v>
      </c>
      <c r="K384" s="303">
        <v>40</v>
      </c>
      <c r="L384" s="408">
        <f t="shared" si="36"/>
        <v>40</v>
      </c>
      <c r="M384" s="303" t="s">
        <v>504</v>
      </c>
      <c r="N384" s="301" t="s">
        <v>1122</v>
      </c>
      <c r="O384" s="311"/>
      <c r="P384" s="311"/>
      <c r="Q384" s="311"/>
      <c r="R384" s="311"/>
      <c r="S384" s="311"/>
      <c r="T384" s="311"/>
      <c r="U384" s="311"/>
      <c r="V384" s="409">
        <f t="shared" si="37"/>
        <v>0</v>
      </c>
      <c r="W384" s="311"/>
      <c r="X384" s="311"/>
      <c r="Y384" s="312"/>
      <c r="Z384" s="312"/>
      <c r="AA384" s="312"/>
      <c r="AB384" s="312"/>
      <c r="AC384" s="312"/>
      <c r="AD384" s="312"/>
      <c r="AE384" s="313"/>
      <c r="AF384" s="410">
        <f t="shared" si="38"/>
        <v>0</v>
      </c>
      <c r="AG384" s="312"/>
      <c r="AH384" s="312"/>
      <c r="AI384" s="303"/>
      <c r="AJ384" s="303"/>
      <c r="AK384" s="303"/>
      <c r="AL384" s="303"/>
      <c r="AM384" s="303"/>
      <c r="AN384" s="303"/>
      <c r="AO384" s="303"/>
      <c r="AP384" s="290">
        <f t="shared" si="39"/>
        <v>0</v>
      </c>
      <c r="AQ384" s="303"/>
      <c r="AR384" s="303"/>
      <c r="AS384" s="303"/>
      <c r="AT384" s="303"/>
      <c r="AU384" s="303"/>
      <c r="AV384" s="303"/>
      <c r="AW384" s="303"/>
      <c r="AX384" s="303"/>
      <c r="AY384" s="303"/>
      <c r="AZ384" s="290">
        <f t="shared" si="40"/>
        <v>0</v>
      </c>
      <c r="BA384" s="303"/>
      <c r="BB384" s="303"/>
      <c r="BC384" s="315">
        <f t="shared" si="35"/>
        <v>1</v>
      </c>
      <c r="BD384" s="316" t="str">
        <f t="shared" si="41"/>
        <v>Habilitado</v>
      </c>
    </row>
    <row r="385" spans="1:56" ht="38.25" x14ac:dyDescent="0.25">
      <c r="A385" s="308">
        <v>383</v>
      </c>
      <c r="B385" s="309" t="s">
        <v>1285</v>
      </c>
      <c r="C385" s="310" t="s">
        <v>374</v>
      </c>
      <c r="D385" s="310" t="s">
        <v>833</v>
      </c>
      <c r="E385" s="303" t="s">
        <v>510</v>
      </c>
      <c r="F385" s="303" t="s">
        <v>519</v>
      </c>
      <c r="G385" s="303" t="s">
        <v>511</v>
      </c>
      <c r="H385" s="303" t="s">
        <v>511</v>
      </c>
      <c r="I385" s="303" t="s">
        <v>510</v>
      </c>
      <c r="J385" s="303" t="s">
        <v>511</v>
      </c>
      <c r="K385" s="303">
        <v>40</v>
      </c>
      <c r="L385" s="408">
        <f t="shared" si="36"/>
        <v>40</v>
      </c>
      <c r="M385" s="303" t="s">
        <v>520</v>
      </c>
      <c r="N385" s="303" t="s">
        <v>1286</v>
      </c>
      <c r="O385" s="311"/>
      <c r="P385" s="311"/>
      <c r="Q385" s="311"/>
      <c r="R385" s="311"/>
      <c r="S385" s="311"/>
      <c r="T385" s="311"/>
      <c r="U385" s="311"/>
      <c r="V385" s="409">
        <f t="shared" si="37"/>
        <v>0</v>
      </c>
      <c r="W385" s="311"/>
      <c r="X385" s="311"/>
      <c r="Y385" s="312"/>
      <c r="Z385" s="312"/>
      <c r="AA385" s="312"/>
      <c r="AB385" s="312"/>
      <c r="AC385" s="312"/>
      <c r="AD385" s="312"/>
      <c r="AE385" s="313"/>
      <c r="AF385" s="410">
        <f t="shared" si="38"/>
        <v>0</v>
      </c>
      <c r="AG385" s="312"/>
      <c r="AH385" s="312"/>
      <c r="AI385" s="303"/>
      <c r="AJ385" s="303"/>
      <c r="AK385" s="303"/>
      <c r="AL385" s="303"/>
      <c r="AM385" s="303"/>
      <c r="AN385" s="303"/>
      <c r="AO385" s="303"/>
      <c r="AP385" s="290">
        <f t="shared" si="39"/>
        <v>0</v>
      </c>
      <c r="AQ385" s="303"/>
      <c r="AR385" s="303"/>
      <c r="AS385" s="303"/>
      <c r="AT385" s="303"/>
      <c r="AU385" s="303"/>
      <c r="AV385" s="303"/>
      <c r="AW385" s="303"/>
      <c r="AX385" s="303"/>
      <c r="AY385" s="303"/>
      <c r="AZ385" s="290">
        <f t="shared" si="40"/>
        <v>0</v>
      </c>
      <c r="BA385" s="303"/>
      <c r="BB385" s="303"/>
      <c r="BC385" s="315">
        <f t="shared" si="35"/>
        <v>0</v>
      </c>
      <c r="BD385" s="316" t="str">
        <f t="shared" si="41"/>
        <v>Desierto</v>
      </c>
    </row>
    <row r="386" spans="1:56" ht="38.25" x14ac:dyDescent="0.25">
      <c r="A386" s="308">
        <v>384</v>
      </c>
      <c r="B386" s="309" t="s">
        <v>1287</v>
      </c>
      <c r="C386" s="310" t="s">
        <v>1281</v>
      </c>
      <c r="D386" s="310" t="s">
        <v>1282</v>
      </c>
      <c r="E386" s="303" t="s">
        <v>510</v>
      </c>
      <c r="F386" s="303" t="s">
        <v>510</v>
      </c>
      <c r="G386" s="303" t="s">
        <v>510</v>
      </c>
      <c r="H386" s="303" t="s">
        <v>511</v>
      </c>
      <c r="I386" s="303" t="s">
        <v>510</v>
      </c>
      <c r="J386" s="303" t="s">
        <v>511</v>
      </c>
      <c r="K386" s="303">
        <v>40</v>
      </c>
      <c r="L386" s="408">
        <f t="shared" si="36"/>
        <v>40</v>
      </c>
      <c r="M386" s="303" t="s">
        <v>504</v>
      </c>
      <c r="N386" s="303"/>
      <c r="O386" s="311"/>
      <c r="P386" s="311"/>
      <c r="Q386" s="311"/>
      <c r="R386" s="311"/>
      <c r="S386" s="311"/>
      <c r="T386" s="311"/>
      <c r="U386" s="311"/>
      <c r="V386" s="409">
        <f t="shared" si="37"/>
        <v>0</v>
      </c>
      <c r="W386" s="311"/>
      <c r="X386" s="311"/>
      <c r="Y386" s="312"/>
      <c r="Z386" s="312"/>
      <c r="AA386" s="312"/>
      <c r="AB386" s="312"/>
      <c r="AC386" s="312"/>
      <c r="AD386" s="312"/>
      <c r="AE386" s="313"/>
      <c r="AF386" s="410">
        <f t="shared" si="38"/>
        <v>0</v>
      </c>
      <c r="AG386" s="312"/>
      <c r="AH386" s="312"/>
      <c r="AI386" s="303"/>
      <c r="AJ386" s="303"/>
      <c r="AK386" s="303"/>
      <c r="AL386" s="303"/>
      <c r="AM386" s="303"/>
      <c r="AN386" s="303"/>
      <c r="AO386" s="303"/>
      <c r="AP386" s="290">
        <f t="shared" si="39"/>
        <v>0</v>
      </c>
      <c r="AQ386" s="303"/>
      <c r="AR386" s="303"/>
      <c r="AS386" s="303"/>
      <c r="AT386" s="303"/>
      <c r="AU386" s="303"/>
      <c r="AV386" s="303"/>
      <c r="AW386" s="303"/>
      <c r="AX386" s="303"/>
      <c r="AY386" s="303"/>
      <c r="AZ386" s="290">
        <f t="shared" si="40"/>
        <v>0</v>
      </c>
      <c r="BA386" s="303"/>
      <c r="BB386" s="303"/>
      <c r="BC386" s="315">
        <f t="shared" si="35"/>
        <v>1</v>
      </c>
      <c r="BD386" s="316" t="str">
        <f t="shared" si="41"/>
        <v>Habilitado</v>
      </c>
    </row>
    <row r="387" spans="1:56" ht="38.25" x14ac:dyDescent="0.25">
      <c r="A387" s="308">
        <v>385</v>
      </c>
      <c r="B387" s="309" t="s">
        <v>1288</v>
      </c>
      <c r="C387" s="310" t="s">
        <v>1281</v>
      </c>
      <c r="D387" s="310" t="s">
        <v>1289</v>
      </c>
      <c r="E387" s="303" t="s">
        <v>510</v>
      </c>
      <c r="F387" s="303" t="s">
        <v>510</v>
      </c>
      <c r="G387" s="303" t="s">
        <v>510</v>
      </c>
      <c r="H387" s="303" t="s">
        <v>511</v>
      </c>
      <c r="I387" s="303" t="s">
        <v>510</v>
      </c>
      <c r="J387" s="303" t="s">
        <v>511</v>
      </c>
      <c r="K387" s="303">
        <v>40</v>
      </c>
      <c r="L387" s="408">
        <f t="shared" si="36"/>
        <v>40</v>
      </c>
      <c r="M387" s="303" t="s">
        <v>504</v>
      </c>
      <c r="N387" s="303"/>
      <c r="O387" s="311"/>
      <c r="P387" s="311"/>
      <c r="Q387" s="311"/>
      <c r="R387" s="311"/>
      <c r="S387" s="311"/>
      <c r="T387" s="311"/>
      <c r="U387" s="311"/>
      <c r="V387" s="409">
        <f t="shared" si="37"/>
        <v>0</v>
      </c>
      <c r="W387" s="311"/>
      <c r="X387" s="311"/>
      <c r="Y387" s="312"/>
      <c r="Z387" s="312"/>
      <c r="AA387" s="312"/>
      <c r="AB387" s="312"/>
      <c r="AC387" s="312"/>
      <c r="AD387" s="312"/>
      <c r="AE387" s="313"/>
      <c r="AF387" s="410">
        <f t="shared" si="38"/>
        <v>0</v>
      </c>
      <c r="AG387" s="312"/>
      <c r="AH387" s="312"/>
      <c r="AI387" s="303"/>
      <c r="AJ387" s="303"/>
      <c r="AK387" s="303"/>
      <c r="AL387" s="303"/>
      <c r="AM387" s="303"/>
      <c r="AN387" s="303"/>
      <c r="AO387" s="303"/>
      <c r="AP387" s="290">
        <f t="shared" si="39"/>
        <v>0</v>
      </c>
      <c r="AQ387" s="303"/>
      <c r="AR387" s="303"/>
      <c r="AS387" s="303"/>
      <c r="AT387" s="303"/>
      <c r="AU387" s="303"/>
      <c r="AV387" s="303"/>
      <c r="AW387" s="303"/>
      <c r="AX387" s="303"/>
      <c r="AY387" s="303"/>
      <c r="AZ387" s="290">
        <f t="shared" si="40"/>
        <v>0</v>
      </c>
      <c r="BA387" s="303"/>
      <c r="BB387" s="303"/>
      <c r="BC387" s="315">
        <f t="shared" ref="BC387:BC450" si="42">COUNTIF(M387,"Habilitado")+COUNTIF(W387,"Habilitado")+COUNTIF(AG387,"Habilitado")+COUNTIF(AQ387,"Habilitado")+COUNTIF(AS387,"Habilitado")+COUNTIF(BA387,"Habilitado")</f>
        <v>1</v>
      </c>
      <c r="BD387" s="316" t="str">
        <f t="shared" si="41"/>
        <v>Habilitado</v>
      </c>
    </row>
    <row r="388" spans="1:56" ht="38.25" x14ac:dyDescent="0.25">
      <c r="A388" s="308">
        <v>386</v>
      </c>
      <c r="B388" s="309" t="s">
        <v>1290</v>
      </c>
      <c r="C388" s="310" t="s">
        <v>1291</v>
      </c>
      <c r="D388" s="310" t="s">
        <v>833</v>
      </c>
      <c r="E388" s="303" t="s">
        <v>510</v>
      </c>
      <c r="F388" s="303" t="s">
        <v>510</v>
      </c>
      <c r="G388" s="303" t="s">
        <v>511</v>
      </c>
      <c r="H388" s="303" t="s">
        <v>511</v>
      </c>
      <c r="I388" s="303" t="s">
        <v>510</v>
      </c>
      <c r="J388" s="303" t="s">
        <v>511</v>
      </c>
      <c r="K388" s="303">
        <v>40</v>
      </c>
      <c r="L388" s="408">
        <f t="shared" ref="L388:L451" si="43">+K388</f>
        <v>40</v>
      </c>
      <c r="M388" s="303" t="s">
        <v>504</v>
      </c>
      <c r="N388" s="301" t="s">
        <v>1122</v>
      </c>
      <c r="O388" s="311"/>
      <c r="P388" s="311"/>
      <c r="Q388" s="311"/>
      <c r="R388" s="311"/>
      <c r="S388" s="311"/>
      <c r="T388" s="311"/>
      <c r="U388" s="311"/>
      <c r="V388" s="409">
        <f t="shared" ref="V388:V451" si="44">+U388</f>
        <v>0</v>
      </c>
      <c r="W388" s="311"/>
      <c r="X388" s="311"/>
      <c r="Y388" s="312"/>
      <c r="Z388" s="312"/>
      <c r="AA388" s="312"/>
      <c r="AB388" s="312"/>
      <c r="AC388" s="312"/>
      <c r="AD388" s="312"/>
      <c r="AE388" s="313"/>
      <c r="AF388" s="410">
        <f t="shared" ref="AF388:AF451" si="45">AE388</f>
        <v>0</v>
      </c>
      <c r="AG388" s="312"/>
      <c r="AH388" s="312"/>
      <c r="AI388" s="303"/>
      <c r="AJ388" s="303"/>
      <c r="AK388" s="303"/>
      <c r="AL388" s="303"/>
      <c r="AM388" s="303"/>
      <c r="AN388" s="303"/>
      <c r="AO388" s="303"/>
      <c r="AP388" s="290">
        <f t="shared" ref="AP388:AP451" si="46">+AO388</f>
        <v>0</v>
      </c>
      <c r="AQ388" s="303"/>
      <c r="AR388" s="303"/>
      <c r="AS388" s="303"/>
      <c r="AT388" s="303"/>
      <c r="AU388" s="303"/>
      <c r="AV388" s="303"/>
      <c r="AW388" s="303"/>
      <c r="AX388" s="303"/>
      <c r="AY388" s="303"/>
      <c r="AZ388" s="290">
        <f t="shared" ref="AZ388:AZ451" si="47">+AY388</f>
        <v>0</v>
      </c>
      <c r="BA388" s="303"/>
      <c r="BB388" s="303"/>
      <c r="BC388" s="315">
        <f t="shared" si="42"/>
        <v>1</v>
      </c>
      <c r="BD388" s="316" t="str">
        <f t="shared" ref="BD388:BD451" si="48">IF(BC388&gt;=1,"Habilitado","Desierto")</f>
        <v>Habilitado</v>
      </c>
    </row>
    <row r="389" spans="1:56" ht="38.25" x14ac:dyDescent="0.25">
      <c r="A389" s="308">
        <v>387</v>
      </c>
      <c r="B389" s="309" t="s">
        <v>1292</v>
      </c>
      <c r="C389" s="310" t="s">
        <v>374</v>
      </c>
      <c r="D389" s="310" t="s">
        <v>833</v>
      </c>
      <c r="E389" s="303" t="s">
        <v>510</v>
      </c>
      <c r="F389" s="303" t="s">
        <v>510</v>
      </c>
      <c r="G389" s="303" t="s">
        <v>511</v>
      </c>
      <c r="H389" s="303" t="s">
        <v>511</v>
      </c>
      <c r="I389" s="303" t="s">
        <v>510</v>
      </c>
      <c r="J389" s="303" t="s">
        <v>511</v>
      </c>
      <c r="K389" s="303">
        <v>40</v>
      </c>
      <c r="L389" s="408">
        <f t="shared" si="43"/>
        <v>40</v>
      </c>
      <c r="M389" s="303" t="s">
        <v>504</v>
      </c>
      <c r="N389" s="301" t="s">
        <v>1122</v>
      </c>
      <c r="O389" s="311"/>
      <c r="P389" s="311"/>
      <c r="Q389" s="311"/>
      <c r="R389" s="311"/>
      <c r="S389" s="311"/>
      <c r="T389" s="311"/>
      <c r="U389" s="311"/>
      <c r="V389" s="409">
        <f t="shared" si="44"/>
        <v>0</v>
      </c>
      <c r="W389" s="311"/>
      <c r="X389" s="311"/>
      <c r="Y389" s="312"/>
      <c r="Z389" s="312"/>
      <c r="AA389" s="312"/>
      <c r="AB389" s="312"/>
      <c r="AC389" s="312"/>
      <c r="AD389" s="312"/>
      <c r="AE389" s="313"/>
      <c r="AF389" s="410">
        <f t="shared" si="45"/>
        <v>0</v>
      </c>
      <c r="AG389" s="312"/>
      <c r="AH389" s="312"/>
      <c r="AI389" s="303"/>
      <c r="AJ389" s="303"/>
      <c r="AK389" s="303"/>
      <c r="AL389" s="303"/>
      <c r="AM389" s="303"/>
      <c r="AN389" s="303"/>
      <c r="AO389" s="303"/>
      <c r="AP389" s="290">
        <f t="shared" si="46"/>
        <v>0</v>
      </c>
      <c r="AQ389" s="303"/>
      <c r="AR389" s="303"/>
      <c r="AS389" s="303"/>
      <c r="AT389" s="303"/>
      <c r="AU389" s="303"/>
      <c r="AV389" s="303"/>
      <c r="AW389" s="303"/>
      <c r="AX389" s="303"/>
      <c r="AY389" s="303"/>
      <c r="AZ389" s="290">
        <f t="shared" si="47"/>
        <v>0</v>
      </c>
      <c r="BA389" s="303"/>
      <c r="BB389" s="303"/>
      <c r="BC389" s="315">
        <f t="shared" si="42"/>
        <v>1</v>
      </c>
      <c r="BD389" s="316" t="str">
        <f t="shared" si="48"/>
        <v>Habilitado</v>
      </c>
    </row>
    <row r="390" spans="1:56" ht="38.25" x14ac:dyDescent="0.25">
      <c r="A390" s="308">
        <v>388</v>
      </c>
      <c r="B390" s="309" t="s">
        <v>1293</v>
      </c>
      <c r="C390" s="310" t="s">
        <v>374</v>
      </c>
      <c r="D390" s="310" t="s">
        <v>833</v>
      </c>
      <c r="E390" s="303" t="s">
        <v>510</v>
      </c>
      <c r="F390" s="303" t="s">
        <v>510</v>
      </c>
      <c r="G390" s="303" t="s">
        <v>511</v>
      </c>
      <c r="H390" s="303" t="s">
        <v>511</v>
      </c>
      <c r="I390" s="303" t="s">
        <v>510</v>
      </c>
      <c r="J390" s="303" t="s">
        <v>511</v>
      </c>
      <c r="K390" s="303">
        <v>40</v>
      </c>
      <c r="L390" s="408">
        <f t="shared" si="43"/>
        <v>40</v>
      </c>
      <c r="M390" s="303" t="s">
        <v>504</v>
      </c>
      <c r="N390" s="301" t="s">
        <v>1122</v>
      </c>
      <c r="O390" s="311"/>
      <c r="P390" s="311"/>
      <c r="Q390" s="311"/>
      <c r="R390" s="311"/>
      <c r="S390" s="311"/>
      <c r="T390" s="311"/>
      <c r="U390" s="311"/>
      <c r="V390" s="409">
        <f t="shared" si="44"/>
        <v>0</v>
      </c>
      <c r="W390" s="311"/>
      <c r="X390" s="311"/>
      <c r="Y390" s="312"/>
      <c r="Z390" s="312"/>
      <c r="AA390" s="312"/>
      <c r="AB390" s="312"/>
      <c r="AC390" s="312"/>
      <c r="AD390" s="312"/>
      <c r="AE390" s="313"/>
      <c r="AF390" s="410">
        <f t="shared" si="45"/>
        <v>0</v>
      </c>
      <c r="AG390" s="312"/>
      <c r="AH390" s="312"/>
      <c r="AI390" s="303"/>
      <c r="AJ390" s="303"/>
      <c r="AK390" s="303"/>
      <c r="AL390" s="303"/>
      <c r="AM390" s="303"/>
      <c r="AN390" s="303"/>
      <c r="AO390" s="303"/>
      <c r="AP390" s="290">
        <f t="shared" si="46"/>
        <v>0</v>
      </c>
      <c r="AQ390" s="303"/>
      <c r="AR390" s="303"/>
      <c r="AS390" s="303"/>
      <c r="AT390" s="303"/>
      <c r="AU390" s="303"/>
      <c r="AV390" s="303"/>
      <c r="AW390" s="303"/>
      <c r="AX390" s="303"/>
      <c r="AY390" s="303"/>
      <c r="AZ390" s="290">
        <f t="shared" si="47"/>
        <v>0</v>
      </c>
      <c r="BA390" s="303"/>
      <c r="BB390" s="303"/>
      <c r="BC390" s="315">
        <f t="shared" si="42"/>
        <v>1</v>
      </c>
      <c r="BD390" s="316" t="str">
        <f t="shared" si="48"/>
        <v>Habilitado</v>
      </c>
    </row>
    <row r="391" spans="1:56" ht="38.25" x14ac:dyDescent="0.25">
      <c r="A391" s="308">
        <v>389</v>
      </c>
      <c r="B391" s="309" t="s">
        <v>1294</v>
      </c>
      <c r="C391" s="310" t="s">
        <v>374</v>
      </c>
      <c r="D391" s="310" t="s">
        <v>833</v>
      </c>
      <c r="E391" s="303" t="s">
        <v>510</v>
      </c>
      <c r="F391" s="303" t="s">
        <v>510</v>
      </c>
      <c r="G391" s="303" t="s">
        <v>511</v>
      </c>
      <c r="H391" s="303" t="s">
        <v>511</v>
      </c>
      <c r="I391" s="303" t="s">
        <v>510</v>
      </c>
      <c r="J391" s="303" t="s">
        <v>511</v>
      </c>
      <c r="K391" s="303">
        <v>40</v>
      </c>
      <c r="L391" s="408">
        <f t="shared" si="43"/>
        <v>40</v>
      </c>
      <c r="M391" s="303" t="s">
        <v>504</v>
      </c>
      <c r="N391" s="301" t="s">
        <v>1122</v>
      </c>
      <c r="O391" s="311"/>
      <c r="P391" s="311"/>
      <c r="Q391" s="311"/>
      <c r="R391" s="311"/>
      <c r="S391" s="311"/>
      <c r="T391" s="311"/>
      <c r="U391" s="311"/>
      <c r="V391" s="409">
        <f t="shared" si="44"/>
        <v>0</v>
      </c>
      <c r="W391" s="311"/>
      <c r="X391" s="311"/>
      <c r="Y391" s="312"/>
      <c r="Z391" s="312"/>
      <c r="AA391" s="312"/>
      <c r="AB391" s="312"/>
      <c r="AC391" s="312"/>
      <c r="AD391" s="312"/>
      <c r="AE391" s="313"/>
      <c r="AF391" s="410">
        <f t="shared" si="45"/>
        <v>0</v>
      </c>
      <c r="AG391" s="312"/>
      <c r="AH391" s="312"/>
      <c r="AI391" s="303"/>
      <c r="AJ391" s="303"/>
      <c r="AK391" s="303"/>
      <c r="AL391" s="303"/>
      <c r="AM391" s="303"/>
      <c r="AN391" s="303"/>
      <c r="AO391" s="303"/>
      <c r="AP391" s="290">
        <f t="shared" si="46"/>
        <v>0</v>
      </c>
      <c r="AQ391" s="303"/>
      <c r="AR391" s="303"/>
      <c r="AS391" s="303"/>
      <c r="AT391" s="303"/>
      <c r="AU391" s="303"/>
      <c r="AV391" s="303"/>
      <c r="AW391" s="303"/>
      <c r="AX391" s="303"/>
      <c r="AY391" s="303"/>
      <c r="AZ391" s="290">
        <f t="shared" si="47"/>
        <v>0</v>
      </c>
      <c r="BA391" s="303"/>
      <c r="BB391" s="303"/>
      <c r="BC391" s="315">
        <f t="shared" si="42"/>
        <v>1</v>
      </c>
      <c r="BD391" s="316" t="str">
        <f t="shared" si="48"/>
        <v>Habilitado</v>
      </c>
    </row>
    <row r="392" spans="1:56" x14ac:dyDescent="0.25">
      <c r="A392" s="308">
        <v>390</v>
      </c>
      <c r="B392" s="309" t="s">
        <v>1295</v>
      </c>
      <c r="C392" s="310" t="s">
        <v>392</v>
      </c>
      <c r="D392" s="310" t="s">
        <v>144</v>
      </c>
      <c r="E392" s="311"/>
      <c r="F392" s="311"/>
      <c r="G392" s="311"/>
      <c r="H392" s="311"/>
      <c r="I392" s="311"/>
      <c r="J392" s="311"/>
      <c r="K392" s="311"/>
      <c r="L392" s="408">
        <f t="shared" si="43"/>
        <v>0</v>
      </c>
      <c r="M392" s="311"/>
      <c r="N392" s="303"/>
      <c r="O392" s="311"/>
      <c r="P392" s="311"/>
      <c r="Q392" s="311"/>
      <c r="R392" s="311"/>
      <c r="S392" s="311"/>
      <c r="T392" s="311"/>
      <c r="U392" s="311"/>
      <c r="V392" s="409">
        <f t="shared" si="44"/>
        <v>0</v>
      </c>
      <c r="W392" s="311"/>
      <c r="X392" s="311"/>
      <c r="Y392" s="312"/>
      <c r="Z392" s="312"/>
      <c r="AA392" s="312"/>
      <c r="AB392" s="312"/>
      <c r="AC392" s="312"/>
      <c r="AD392" s="312"/>
      <c r="AE392" s="313"/>
      <c r="AF392" s="410">
        <f t="shared" si="45"/>
        <v>0</v>
      </c>
      <c r="AG392" s="312"/>
      <c r="AH392" s="312"/>
      <c r="AI392" s="303"/>
      <c r="AJ392" s="303"/>
      <c r="AK392" s="303"/>
      <c r="AL392" s="303"/>
      <c r="AM392" s="303"/>
      <c r="AN392" s="303"/>
      <c r="AO392" s="303"/>
      <c r="AP392" s="290">
        <f t="shared" si="46"/>
        <v>0</v>
      </c>
      <c r="AQ392" s="303"/>
      <c r="AR392" s="303"/>
      <c r="AS392" s="303"/>
      <c r="AT392" s="303"/>
      <c r="AU392" s="303"/>
      <c r="AV392" s="303"/>
      <c r="AW392" s="303"/>
      <c r="AX392" s="303"/>
      <c r="AY392" s="303"/>
      <c r="AZ392" s="290">
        <f t="shared" si="47"/>
        <v>0</v>
      </c>
      <c r="BA392" s="303"/>
      <c r="BB392" s="303"/>
      <c r="BC392" s="315">
        <f t="shared" si="42"/>
        <v>0</v>
      </c>
      <c r="BD392" s="316" t="str">
        <f t="shared" si="48"/>
        <v>Desierto</v>
      </c>
    </row>
    <row r="393" spans="1:56" ht="38.25" x14ac:dyDescent="0.25">
      <c r="A393" s="308">
        <v>391</v>
      </c>
      <c r="B393" s="309" t="s">
        <v>1296</v>
      </c>
      <c r="C393" s="310" t="s">
        <v>392</v>
      </c>
      <c r="D393" s="310" t="s">
        <v>144</v>
      </c>
      <c r="E393" s="311"/>
      <c r="F393" s="311"/>
      <c r="G393" s="311"/>
      <c r="H393" s="311"/>
      <c r="I393" s="311"/>
      <c r="J393" s="311"/>
      <c r="K393" s="311"/>
      <c r="L393" s="408">
        <f t="shared" si="43"/>
        <v>0</v>
      </c>
      <c r="M393" s="311"/>
      <c r="N393" s="303"/>
      <c r="O393" s="311"/>
      <c r="P393" s="311"/>
      <c r="Q393" s="311"/>
      <c r="R393" s="311"/>
      <c r="S393" s="311"/>
      <c r="T393" s="311"/>
      <c r="U393" s="311"/>
      <c r="V393" s="409">
        <f t="shared" si="44"/>
        <v>0</v>
      </c>
      <c r="W393" s="311"/>
      <c r="X393" s="311"/>
      <c r="Y393" s="312"/>
      <c r="Z393" s="312"/>
      <c r="AA393" s="312"/>
      <c r="AB393" s="312"/>
      <c r="AC393" s="312"/>
      <c r="AD393" s="312"/>
      <c r="AE393" s="313"/>
      <c r="AF393" s="410">
        <f t="shared" si="45"/>
        <v>0</v>
      </c>
      <c r="AG393" s="312"/>
      <c r="AH393" s="312"/>
      <c r="AI393" s="303"/>
      <c r="AJ393" s="303"/>
      <c r="AK393" s="303"/>
      <c r="AL393" s="303"/>
      <c r="AM393" s="303"/>
      <c r="AN393" s="303"/>
      <c r="AO393" s="303"/>
      <c r="AP393" s="290">
        <f t="shared" si="46"/>
        <v>0</v>
      </c>
      <c r="AQ393" s="303"/>
      <c r="AR393" s="303"/>
      <c r="AS393" s="303" t="s">
        <v>510</v>
      </c>
      <c r="AT393" s="303" t="s">
        <v>510</v>
      </c>
      <c r="AU393" s="303" t="s">
        <v>510</v>
      </c>
      <c r="AV393" s="303" t="s">
        <v>511</v>
      </c>
      <c r="AW393" s="303" t="s">
        <v>510</v>
      </c>
      <c r="AX393" s="303" t="s">
        <v>511</v>
      </c>
      <c r="AY393" s="303">
        <v>0</v>
      </c>
      <c r="AZ393" s="290">
        <f t="shared" si="47"/>
        <v>0</v>
      </c>
      <c r="BA393" s="303" t="s">
        <v>504</v>
      </c>
      <c r="BB393" s="303"/>
      <c r="BC393" s="315">
        <f t="shared" si="42"/>
        <v>1</v>
      </c>
      <c r="BD393" s="316" t="str">
        <f t="shared" si="48"/>
        <v>Habilitado</v>
      </c>
    </row>
    <row r="394" spans="1:56" ht="25.5" x14ac:dyDescent="0.25">
      <c r="A394" s="308">
        <v>392</v>
      </c>
      <c r="B394" s="309" t="s">
        <v>1297</v>
      </c>
      <c r="C394" s="310" t="s">
        <v>191</v>
      </c>
      <c r="D394" s="310" t="s">
        <v>833</v>
      </c>
      <c r="E394" s="303" t="s">
        <v>510</v>
      </c>
      <c r="F394" s="303" t="s">
        <v>510</v>
      </c>
      <c r="G394" s="303" t="s">
        <v>511</v>
      </c>
      <c r="H394" s="303" t="s">
        <v>511</v>
      </c>
      <c r="I394" s="303" t="s">
        <v>510</v>
      </c>
      <c r="J394" s="303" t="s">
        <v>511</v>
      </c>
      <c r="K394" s="303">
        <v>40</v>
      </c>
      <c r="L394" s="408">
        <f t="shared" si="43"/>
        <v>40</v>
      </c>
      <c r="M394" s="303" t="s">
        <v>504</v>
      </c>
      <c r="N394" s="303"/>
      <c r="O394" s="311"/>
      <c r="P394" s="311"/>
      <c r="Q394" s="311"/>
      <c r="R394" s="311"/>
      <c r="S394" s="311"/>
      <c r="T394" s="311"/>
      <c r="U394" s="311"/>
      <c r="V394" s="409">
        <f t="shared" si="44"/>
        <v>0</v>
      </c>
      <c r="W394" s="311"/>
      <c r="X394" s="311"/>
      <c r="Y394" s="312"/>
      <c r="Z394" s="312"/>
      <c r="AA394" s="312"/>
      <c r="AB394" s="312"/>
      <c r="AC394" s="312"/>
      <c r="AD394" s="312"/>
      <c r="AE394" s="313"/>
      <c r="AF394" s="410">
        <f t="shared" si="45"/>
        <v>0</v>
      </c>
      <c r="AG394" s="312"/>
      <c r="AH394" s="312"/>
      <c r="AI394" s="303"/>
      <c r="AJ394" s="303"/>
      <c r="AK394" s="303"/>
      <c r="AL394" s="303"/>
      <c r="AM394" s="303"/>
      <c r="AN394" s="303"/>
      <c r="AO394" s="303"/>
      <c r="AP394" s="290">
        <f t="shared" si="46"/>
        <v>0</v>
      </c>
      <c r="AQ394" s="303"/>
      <c r="AR394" s="303"/>
      <c r="AS394" s="303"/>
      <c r="AT394" s="303"/>
      <c r="AU394" s="303"/>
      <c r="AV394" s="303"/>
      <c r="AW394" s="303"/>
      <c r="AX394" s="303"/>
      <c r="AY394" s="303"/>
      <c r="AZ394" s="290">
        <f t="shared" si="47"/>
        <v>0</v>
      </c>
      <c r="BA394" s="303"/>
      <c r="BB394" s="301"/>
      <c r="BC394" s="315">
        <f t="shared" si="42"/>
        <v>1</v>
      </c>
      <c r="BD394" s="316" t="str">
        <f t="shared" si="48"/>
        <v>Habilitado</v>
      </c>
    </row>
    <row r="395" spans="1:56" ht="25.5" x14ac:dyDescent="0.25">
      <c r="A395" s="308">
        <v>393</v>
      </c>
      <c r="B395" s="309" t="s">
        <v>1298</v>
      </c>
      <c r="C395" s="310" t="s">
        <v>191</v>
      </c>
      <c r="D395" s="310" t="s">
        <v>833</v>
      </c>
      <c r="E395" s="303" t="s">
        <v>510</v>
      </c>
      <c r="F395" s="303" t="s">
        <v>510</v>
      </c>
      <c r="G395" s="303" t="s">
        <v>510</v>
      </c>
      <c r="H395" s="303" t="s">
        <v>511</v>
      </c>
      <c r="I395" s="303" t="s">
        <v>510</v>
      </c>
      <c r="J395" s="303" t="s">
        <v>511</v>
      </c>
      <c r="K395" s="303">
        <v>40</v>
      </c>
      <c r="L395" s="408">
        <f t="shared" si="43"/>
        <v>40</v>
      </c>
      <c r="M395" s="303" t="s">
        <v>504</v>
      </c>
      <c r="N395" s="303"/>
      <c r="O395" s="311"/>
      <c r="P395" s="311"/>
      <c r="Q395" s="311"/>
      <c r="R395" s="311"/>
      <c r="S395" s="311"/>
      <c r="T395" s="311"/>
      <c r="U395" s="311"/>
      <c r="V395" s="409">
        <f t="shared" si="44"/>
        <v>0</v>
      </c>
      <c r="W395" s="311"/>
      <c r="X395" s="311"/>
      <c r="Y395" s="312"/>
      <c r="Z395" s="312"/>
      <c r="AA395" s="312"/>
      <c r="AB395" s="312"/>
      <c r="AC395" s="312"/>
      <c r="AD395" s="312"/>
      <c r="AE395" s="313"/>
      <c r="AF395" s="410">
        <f t="shared" si="45"/>
        <v>0</v>
      </c>
      <c r="AG395" s="312"/>
      <c r="AH395" s="312"/>
      <c r="AI395" s="303"/>
      <c r="AJ395" s="303"/>
      <c r="AK395" s="303"/>
      <c r="AL395" s="303"/>
      <c r="AM395" s="303"/>
      <c r="AN395" s="303"/>
      <c r="AO395" s="303"/>
      <c r="AP395" s="290">
        <f t="shared" si="46"/>
        <v>0</v>
      </c>
      <c r="AQ395" s="303"/>
      <c r="AR395" s="303"/>
      <c r="AS395" s="303"/>
      <c r="AT395" s="303"/>
      <c r="AU395" s="303"/>
      <c r="AV395" s="303"/>
      <c r="AW395" s="303"/>
      <c r="AX395" s="303"/>
      <c r="AY395" s="303"/>
      <c r="AZ395" s="290">
        <f t="shared" si="47"/>
        <v>0</v>
      </c>
      <c r="BA395" s="303"/>
      <c r="BB395" s="301" t="s">
        <v>1299</v>
      </c>
      <c r="BC395" s="315">
        <f t="shared" si="42"/>
        <v>1</v>
      </c>
      <c r="BD395" s="316" t="str">
        <f t="shared" si="48"/>
        <v>Habilitado</v>
      </c>
    </row>
    <row r="396" spans="1:56" ht="25.5" x14ac:dyDescent="0.25">
      <c r="A396" s="308">
        <v>394</v>
      </c>
      <c r="B396" s="309" t="s">
        <v>1300</v>
      </c>
      <c r="C396" s="310" t="s">
        <v>1301</v>
      </c>
      <c r="D396" s="310" t="s">
        <v>794</v>
      </c>
      <c r="E396" s="311"/>
      <c r="F396" s="311"/>
      <c r="G396" s="311"/>
      <c r="H396" s="311"/>
      <c r="I396" s="311"/>
      <c r="J396" s="311"/>
      <c r="K396" s="311"/>
      <c r="L396" s="408">
        <f t="shared" si="43"/>
        <v>0</v>
      </c>
      <c r="M396" s="311"/>
      <c r="N396" s="303"/>
      <c r="O396" s="311"/>
      <c r="P396" s="311"/>
      <c r="Q396" s="311"/>
      <c r="R396" s="311"/>
      <c r="S396" s="311"/>
      <c r="T396" s="311"/>
      <c r="U396" s="311"/>
      <c r="V396" s="409">
        <f t="shared" si="44"/>
        <v>0</v>
      </c>
      <c r="W396" s="311"/>
      <c r="X396" s="320"/>
      <c r="Y396" s="312"/>
      <c r="Z396" s="312"/>
      <c r="AA396" s="312"/>
      <c r="AB396" s="312"/>
      <c r="AC396" s="312"/>
      <c r="AD396" s="312"/>
      <c r="AE396" s="313"/>
      <c r="AF396" s="410">
        <f t="shared" si="45"/>
        <v>0</v>
      </c>
      <c r="AG396" s="312"/>
      <c r="AH396" s="317"/>
      <c r="AI396" s="303"/>
      <c r="AJ396" s="303"/>
      <c r="AK396" s="303"/>
      <c r="AL396" s="303"/>
      <c r="AM396" s="303"/>
      <c r="AN396" s="303"/>
      <c r="AO396" s="303"/>
      <c r="AP396" s="290">
        <f t="shared" si="46"/>
        <v>0</v>
      </c>
      <c r="AQ396" s="303"/>
      <c r="AR396" s="301"/>
      <c r="AS396" s="303"/>
      <c r="AT396" s="303"/>
      <c r="AU396" s="303"/>
      <c r="AV396" s="303"/>
      <c r="AW396" s="303"/>
      <c r="AX396" s="303"/>
      <c r="AY396" s="303"/>
      <c r="AZ396" s="290">
        <f t="shared" si="47"/>
        <v>0</v>
      </c>
      <c r="BA396" s="303"/>
      <c r="BB396" s="301"/>
      <c r="BC396" s="315">
        <f t="shared" si="42"/>
        <v>0</v>
      </c>
      <c r="BD396" s="316" t="str">
        <f t="shared" si="48"/>
        <v>Desierto</v>
      </c>
    </row>
    <row r="397" spans="1:56" ht="114.75" x14ac:dyDescent="0.25">
      <c r="A397" s="308">
        <v>395</v>
      </c>
      <c r="B397" s="309" t="s">
        <v>1302</v>
      </c>
      <c r="C397" s="310" t="s">
        <v>851</v>
      </c>
      <c r="D397" s="310" t="s">
        <v>457</v>
      </c>
      <c r="E397" s="303" t="s">
        <v>510</v>
      </c>
      <c r="F397" s="303" t="s">
        <v>510</v>
      </c>
      <c r="G397" s="303" t="s">
        <v>510</v>
      </c>
      <c r="H397" s="303" t="s">
        <v>511</v>
      </c>
      <c r="I397" s="303" t="s">
        <v>510</v>
      </c>
      <c r="J397" s="303" t="s">
        <v>511</v>
      </c>
      <c r="K397" s="303">
        <v>40</v>
      </c>
      <c r="L397" s="408">
        <f t="shared" si="43"/>
        <v>40</v>
      </c>
      <c r="M397" s="303" t="s">
        <v>504</v>
      </c>
      <c r="N397" s="303"/>
      <c r="O397" s="311"/>
      <c r="P397" s="311"/>
      <c r="Q397" s="311"/>
      <c r="R397" s="311"/>
      <c r="S397" s="311"/>
      <c r="T397" s="311"/>
      <c r="U397" s="311"/>
      <c r="V397" s="409">
        <f t="shared" si="44"/>
        <v>0</v>
      </c>
      <c r="W397" s="311"/>
      <c r="X397" s="320"/>
      <c r="Y397" s="300" t="s">
        <v>510</v>
      </c>
      <c r="Z397" s="300" t="s">
        <v>510</v>
      </c>
      <c r="AA397" s="300" t="s">
        <v>510</v>
      </c>
      <c r="AB397" s="300" t="s">
        <v>511</v>
      </c>
      <c r="AC397" s="300" t="s">
        <v>510</v>
      </c>
      <c r="AD397" s="300" t="s">
        <v>511</v>
      </c>
      <c r="AE397" s="318">
        <v>40</v>
      </c>
      <c r="AF397" s="410">
        <f t="shared" si="45"/>
        <v>40</v>
      </c>
      <c r="AG397" s="300" t="s">
        <v>504</v>
      </c>
      <c r="AH397" s="299" t="s">
        <v>1303</v>
      </c>
      <c r="AI397" s="303" t="s">
        <v>510</v>
      </c>
      <c r="AJ397" s="303" t="s">
        <v>510</v>
      </c>
      <c r="AK397" s="303" t="s">
        <v>510</v>
      </c>
      <c r="AL397" s="303" t="s">
        <v>511</v>
      </c>
      <c r="AM397" s="303" t="s">
        <v>510</v>
      </c>
      <c r="AN397" s="303" t="s">
        <v>511</v>
      </c>
      <c r="AO397" s="303">
        <v>20</v>
      </c>
      <c r="AP397" s="290">
        <f t="shared" si="46"/>
        <v>20</v>
      </c>
      <c r="AQ397" s="303" t="s">
        <v>504</v>
      </c>
      <c r="AR397" s="303"/>
      <c r="AS397" s="303" t="s">
        <v>510</v>
      </c>
      <c r="AT397" s="303" t="s">
        <v>510</v>
      </c>
      <c r="AU397" s="303" t="s">
        <v>510</v>
      </c>
      <c r="AV397" s="303" t="s">
        <v>511</v>
      </c>
      <c r="AW397" s="303" t="s">
        <v>510</v>
      </c>
      <c r="AX397" s="303" t="s">
        <v>511</v>
      </c>
      <c r="AY397" s="303">
        <v>0</v>
      </c>
      <c r="AZ397" s="290">
        <f t="shared" si="47"/>
        <v>0</v>
      </c>
      <c r="BA397" s="303" t="s">
        <v>504</v>
      </c>
      <c r="BB397" s="301"/>
      <c r="BC397" s="315">
        <f t="shared" si="42"/>
        <v>4</v>
      </c>
      <c r="BD397" s="316" t="str">
        <f t="shared" si="48"/>
        <v>Habilitado</v>
      </c>
    </row>
    <row r="398" spans="1:56" ht="51" x14ac:dyDescent="0.25">
      <c r="A398" s="308">
        <v>396</v>
      </c>
      <c r="B398" s="309" t="s">
        <v>1304</v>
      </c>
      <c r="C398" s="310" t="s">
        <v>1305</v>
      </c>
      <c r="D398" s="310" t="s">
        <v>123</v>
      </c>
      <c r="E398" s="303" t="s">
        <v>510</v>
      </c>
      <c r="F398" s="303" t="s">
        <v>510</v>
      </c>
      <c r="G398" s="303" t="s">
        <v>510</v>
      </c>
      <c r="H398" s="303" t="s">
        <v>511</v>
      </c>
      <c r="I398" s="303" t="s">
        <v>510</v>
      </c>
      <c r="J398" s="303" t="s">
        <v>511</v>
      </c>
      <c r="K398" s="303">
        <v>40</v>
      </c>
      <c r="L398" s="408">
        <f t="shared" si="43"/>
        <v>40</v>
      </c>
      <c r="M398" s="303" t="s">
        <v>504</v>
      </c>
      <c r="N398" s="303"/>
      <c r="O398" s="311"/>
      <c r="P398" s="311"/>
      <c r="Q398" s="311"/>
      <c r="R398" s="311"/>
      <c r="S398" s="311"/>
      <c r="T398" s="311"/>
      <c r="U398" s="311"/>
      <c r="V398" s="409">
        <f t="shared" si="44"/>
        <v>0</v>
      </c>
      <c r="W398" s="311"/>
      <c r="X398" s="311"/>
      <c r="Y398" s="300" t="s">
        <v>510</v>
      </c>
      <c r="Z398" s="300" t="s">
        <v>510</v>
      </c>
      <c r="AA398" s="300" t="s">
        <v>510</v>
      </c>
      <c r="AB398" s="300" t="s">
        <v>511</v>
      </c>
      <c r="AC398" s="300" t="s">
        <v>510</v>
      </c>
      <c r="AD398" s="300" t="s">
        <v>511</v>
      </c>
      <c r="AE398" s="318">
        <v>40</v>
      </c>
      <c r="AF398" s="410">
        <f t="shared" si="45"/>
        <v>40</v>
      </c>
      <c r="AG398" s="300" t="s">
        <v>504</v>
      </c>
      <c r="AH398" s="300"/>
      <c r="AI398" s="303" t="s">
        <v>510</v>
      </c>
      <c r="AJ398" s="303" t="s">
        <v>510</v>
      </c>
      <c r="AK398" s="303" t="s">
        <v>510</v>
      </c>
      <c r="AL398" s="303" t="s">
        <v>511</v>
      </c>
      <c r="AM398" s="303" t="s">
        <v>510</v>
      </c>
      <c r="AN398" s="303" t="s">
        <v>511</v>
      </c>
      <c r="AO398" s="303">
        <v>20</v>
      </c>
      <c r="AP398" s="290">
        <f t="shared" si="46"/>
        <v>20</v>
      </c>
      <c r="AQ398" s="303" t="s">
        <v>504</v>
      </c>
      <c r="AR398" s="303"/>
      <c r="AS398" s="303"/>
      <c r="AT398" s="303"/>
      <c r="AU398" s="303"/>
      <c r="AV398" s="303"/>
      <c r="AW398" s="303"/>
      <c r="AX398" s="303"/>
      <c r="AY398" s="303"/>
      <c r="AZ398" s="290">
        <f t="shared" si="47"/>
        <v>0</v>
      </c>
      <c r="BA398" s="303"/>
      <c r="BB398" s="301"/>
      <c r="BC398" s="315">
        <f t="shared" si="42"/>
        <v>3</v>
      </c>
      <c r="BD398" s="316" t="str">
        <f t="shared" si="48"/>
        <v>Habilitado</v>
      </c>
    </row>
    <row r="399" spans="1:56" ht="25.5" x14ac:dyDescent="0.25">
      <c r="A399" s="308">
        <v>397</v>
      </c>
      <c r="B399" s="309" t="s">
        <v>1306</v>
      </c>
      <c r="C399" s="310" t="s">
        <v>1307</v>
      </c>
      <c r="D399" s="310" t="s">
        <v>742</v>
      </c>
      <c r="E399" s="311"/>
      <c r="F399" s="311"/>
      <c r="G399" s="311"/>
      <c r="H399" s="311"/>
      <c r="I399" s="311"/>
      <c r="J399" s="311"/>
      <c r="K399" s="311"/>
      <c r="L399" s="408">
        <f t="shared" si="43"/>
        <v>0</v>
      </c>
      <c r="M399" s="311"/>
      <c r="N399" s="320"/>
      <c r="O399" s="311"/>
      <c r="P399" s="311"/>
      <c r="Q399" s="311"/>
      <c r="R399" s="311"/>
      <c r="S399" s="311"/>
      <c r="T399" s="311"/>
      <c r="U399" s="311"/>
      <c r="V399" s="409">
        <f t="shared" si="44"/>
        <v>0</v>
      </c>
      <c r="W399" s="311"/>
      <c r="X399" s="311"/>
      <c r="Y399" s="300"/>
      <c r="Z399" s="300"/>
      <c r="AA399" s="300"/>
      <c r="AB399" s="300"/>
      <c r="AC399" s="300"/>
      <c r="AD399" s="300"/>
      <c r="AE399" s="318"/>
      <c r="AF399" s="410">
        <f t="shared" si="45"/>
        <v>0</v>
      </c>
      <c r="AG399" s="300"/>
      <c r="AH399" s="300"/>
      <c r="AI399" s="303" t="s">
        <v>510</v>
      </c>
      <c r="AJ399" s="303" t="s">
        <v>510</v>
      </c>
      <c r="AK399" s="303" t="s">
        <v>510</v>
      </c>
      <c r="AL399" s="303" t="s">
        <v>511</v>
      </c>
      <c r="AM399" s="303" t="s">
        <v>510</v>
      </c>
      <c r="AN399" s="303" t="s">
        <v>511</v>
      </c>
      <c r="AO399" s="303">
        <v>20</v>
      </c>
      <c r="AP399" s="290">
        <f t="shared" si="46"/>
        <v>20</v>
      </c>
      <c r="AQ399" s="303" t="s">
        <v>504</v>
      </c>
      <c r="AR399" s="303"/>
      <c r="AS399" s="303"/>
      <c r="AT399" s="303"/>
      <c r="AU399" s="303"/>
      <c r="AV399" s="303"/>
      <c r="AW399" s="303"/>
      <c r="AX399" s="303"/>
      <c r="AY399" s="303"/>
      <c r="AZ399" s="290">
        <f t="shared" si="47"/>
        <v>0</v>
      </c>
      <c r="BA399" s="303"/>
      <c r="BB399" s="301"/>
      <c r="BC399" s="315">
        <f t="shared" si="42"/>
        <v>1</v>
      </c>
      <c r="BD399" s="316" t="str">
        <f t="shared" si="48"/>
        <v>Habilitado</v>
      </c>
    </row>
    <row r="400" spans="1:56" ht="114.75" x14ac:dyDescent="0.25">
      <c r="A400" s="308">
        <v>398</v>
      </c>
      <c r="B400" s="309" t="s">
        <v>1308</v>
      </c>
      <c r="C400" s="310" t="s">
        <v>972</v>
      </c>
      <c r="D400" s="310" t="s">
        <v>457</v>
      </c>
      <c r="E400" s="303" t="s">
        <v>510</v>
      </c>
      <c r="F400" s="303" t="s">
        <v>510</v>
      </c>
      <c r="G400" s="303" t="s">
        <v>510</v>
      </c>
      <c r="H400" s="303" t="s">
        <v>511</v>
      </c>
      <c r="I400" s="303" t="s">
        <v>510</v>
      </c>
      <c r="J400" s="303" t="s">
        <v>511</v>
      </c>
      <c r="K400" s="303">
        <v>40</v>
      </c>
      <c r="L400" s="408">
        <f t="shared" si="43"/>
        <v>40</v>
      </c>
      <c r="M400" s="303" t="s">
        <v>504</v>
      </c>
      <c r="N400" s="303"/>
      <c r="O400" s="311"/>
      <c r="P400" s="311"/>
      <c r="Q400" s="311"/>
      <c r="R400" s="311"/>
      <c r="S400" s="311"/>
      <c r="T400" s="311"/>
      <c r="U400" s="311"/>
      <c r="V400" s="409">
        <f t="shared" si="44"/>
        <v>0</v>
      </c>
      <c r="W400" s="311"/>
      <c r="X400" s="311"/>
      <c r="Y400" s="300" t="s">
        <v>510</v>
      </c>
      <c r="Z400" s="300" t="s">
        <v>510</v>
      </c>
      <c r="AA400" s="300" t="s">
        <v>510</v>
      </c>
      <c r="AB400" s="300" t="s">
        <v>511</v>
      </c>
      <c r="AC400" s="300" t="s">
        <v>510</v>
      </c>
      <c r="AD400" s="300" t="s">
        <v>511</v>
      </c>
      <c r="AE400" s="318">
        <v>40</v>
      </c>
      <c r="AF400" s="410">
        <f t="shared" si="45"/>
        <v>40</v>
      </c>
      <c r="AG400" s="300" t="s">
        <v>504</v>
      </c>
      <c r="AH400" s="299" t="s">
        <v>1309</v>
      </c>
      <c r="AI400" s="303" t="s">
        <v>510</v>
      </c>
      <c r="AJ400" s="303" t="s">
        <v>510</v>
      </c>
      <c r="AK400" s="303" t="s">
        <v>510</v>
      </c>
      <c r="AL400" s="303" t="s">
        <v>511</v>
      </c>
      <c r="AM400" s="303" t="s">
        <v>510</v>
      </c>
      <c r="AN400" s="303" t="s">
        <v>511</v>
      </c>
      <c r="AO400" s="303">
        <v>20</v>
      </c>
      <c r="AP400" s="290">
        <f t="shared" si="46"/>
        <v>20</v>
      </c>
      <c r="AQ400" s="303" t="s">
        <v>504</v>
      </c>
      <c r="AR400" s="303"/>
      <c r="AS400" s="303"/>
      <c r="AT400" s="303"/>
      <c r="AU400" s="303"/>
      <c r="AV400" s="303"/>
      <c r="AW400" s="303"/>
      <c r="AX400" s="303"/>
      <c r="AY400" s="303"/>
      <c r="AZ400" s="290">
        <f t="shared" si="47"/>
        <v>0</v>
      </c>
      <c r="BA400" s="303"/>
      <c r="BB400" s="303"/>
      <c r="BC400" s="315">
        <f t="shared" si="42"/>
        <v>3</v>
      </c>
      <c r="BD400" s="316" t="str">
        <f t="shared" si="48"/>
        <v>Habilitado</v>
      </c>
    </row>
    <row r="401" spans="1:56" ht="63.75" x14ac:dyDescent="0.25">
      <c r="A401" s="308">
        <v>399</v>
      </c>
      <c r="B401" s="309" t="s">
        <v>1310</v>
      </c>
      <c r="C401" s="310" t="s">
        <v>518</v>
      </c>
      <c r="D401" s="310" t="s">
        <v>742</v>
      </c>
      <c r="E401" s="303" t="s">
        <v>510</v>
      </c>
      <c r="F401" s="303" t="s">
        <v>510</v>
      </c>
      <c r="G401" s="303" t="s">
        <v>510</v>
      </c>
      <c r="H401" s="303" t="s">
        <v>511</v>
      </c>
      <c r="I401" s="303" t="s">
        <v>510</v>
      </c>
      <c r="J401" s="303" t="s">
        <v>511</v>
      </c>
      <c r="K401" s="303">
        <v>40</v>
      </c>
      <c r="L401" s="408">
        <f t="shared" si="43"/>
        <v>40</v>
      </c>
      <c r="M401" s="303" t="s">
        <v>504</v>
      </c>
      <c r="N401" s="303"/>
      <c r="O401" s="311"/>
      <c r="P401" s="311"/>
      <c r="Q401" s="311"/>
      <c r="R401" s="311"/>
      <c r="S401" s="311"/>
      <c r="T401" s="311"/>
      <c r="U401" s="311"/>
      <c r="V401" s="409">
        <f t="shared" si="44"/>
        <v>0</v>
      </c>
      <c r="W401" s="311"/>
      <c r="X401" s="311"/>
      <c r="Y401" s="300" t="s">
        <v>510</v>
      </c>
      <c r="Z401" s="300" t="s">
        <v>510</v>
      </c>
      <c r="AA401" s="300" t="s">
        <v>510</v>
      </c>
      <c r="AB401" s="300" t="s">
        <v>511</v>
      </c>
      <c r="AC401" s="300" t="s">
        <v>510</v>
      </c>
      <c r="AD401" s="300" t="s">
        <v>511</v>
      </c>
      <c r="AE401" s="318">
        <v>40</v>
      </c>
      <c r="AF401" s="410">
        <f t="shared" si="45"/>
        <v>40</v>
      </c>
      <c r="AG401" s="300" t="s">
        <v>504</v>
      </c>
      <c r="AH401" s="300"/>
      <c r="AI401" s="303" t="s">
        <v>510</v>
      </c>
      <c r="AJ401" s="303" t="s">
        <v>510</v>
      </c>
      <c r="AK401" s="303" t="s">
        <v>510</v>
      </c>
      <c r="AL401" s="303" t="s">
        <v>511</v>
      </c>
      <c r="AM401" s="303" t="s">
        <v>510</v>
      </c>
      <c r="AN401" s="303" t="s">
        <v>511</v>
      </c>
      <c r="AO401" s="303">
        <v>20</v>
      </c>
      <c r="AP401" s="290">
        <f t="shared" si="46"/>
        <v>20</v>
      </c>
      <c r="AQ401" s="303" t="s">
        <v>504</v>
      </c>
      <c r="AR401" s="303"/>
      <c r="AS401" s="303"/>
      <c r="AT401" s="303"/>
      <c r="AU401" s="303"/>
      <c r="AV401" s="303"/>
      <c r="AW401" s="303"/>
      <c r="AX401" s="303"/>
      <c r="AY401" s="303"/>
      <c r="AZ401" s="290">
        <f t="shared" si="47"/>
        <v>0</v>
      </c>
      <c r="BA401" s="303"/>
      <c r="BB401" s="303"/>
      <c r="BC401" s="315">
        <f t="shared" si="42"/>
        <v>3</v>
      </c>
      <c r="BD401" s="316" t="str">
        <f t="shared" si="48"/>
        <v>Habilitado</v>
      </c>
    </row>
    <row r="402" spans="1:56" x14ac:dyDescent="0.25">
      <c r="A402" s="308">
        <v>400</v>
      </c>
      <c r="B402" s="309" t="s">
        <v>1311</v>
      </c>
      <c r="C402" s="310" t="s">
        <v>862</v>
      </c>
      <c r="D402" s="310" t="s">
        <v>123</v>
      </c>
      <c r="E402" s="311"/>
      <c r="F402" s="311"/>
      <c r="G402" s="311"/>
      <c r="H402" s="311"/>
      <c r="I402" s="311"/>
      <c r="J402" s="311"/>
      <c r="K402" s="311"/>
      <c r="L402" s="408">
        <f t="shared" si="43"/>
        <v>0</v>
      </c>
      <c r="M402" s="311"/>
      <c r="N402" s="303"/>
      <c r="O402" s="311"/>
      <c r="P402" s="311"/>
      <c r="Q402" s="311"/>
      <c r="R402" s="311"/>
      <c r="S402" s="311"/>
      <c r="T402" s="311"/>
      <c r="U402" s="311"/>
      <c r="V402" s="409">
        <f t="shared" si="44"/>
        <v>0</v>
      </c>
      <c r="W402" s="311"/>
      <c r="X402" s="311"/>
      <c r="Y402" s="300"/>
      <c r="Z402" s="300"/>
      <c r="AA402" s="300"/>
      <c r="AB402" s="300"/>
      <c r="AC402" s="300"/>
      <c r="AD402" s="300"/>
      <c r="AE402" s="318"/>
      <c r="AF402" s="410">
        <f t="shared" si="45"/>
        <v>0</v>
      </c>
      <c r="AG402" s="300"/>
      <c r="AH402" s="300"/>
      <c r="AI402" s="303" t="s">
        <v>519</v>
      </c>
      <c r="AJ402" s="303" t="s">
        <v>519</v>
      </c>
      <c r="AK402" s="303" t="s">
        <v>510</v>
      </c>
      <c r="AL402" s="303" t="s">
        <v>511</v>
      </c>
      <c r="AM402" s="303" t="s">
        <v>510</v>
      </c>
      <c r="AN402" s="303" t="s">
        <v>511</v>
      </c>
      <c r="AO402" s="303">
        <v>0</v>
      </c>
      <c r="AP402" s="290">
        <f t="shared" si="46"/>
        <v>0</v>
      </c>
      <c r="AQ402" s="303" t="s">
        <v>520</v>
      </c>
      <c r="AR402" s="303"/>
      <c r="AS402" s="303"/>
      <c r="AT402" s="303"/>
      <c r="AU402" s="303"/>
      <c r="AV402" s="303"/>
      <c r="AW402" s="303"/>
      <c r="AX402" s="303"/>
      <c r="AY402" s="303"/>
      <c r="AZ402" s="290">
        <f t="shared" si="47"/>
        <v>0</v>
      </c>
      <c r="BA402" s="303"/>
      <c r="BB402" s="303"/>
      <c r="BC402" s="315">
        <f t="shared" si="42"/>
        <v>0</v>
      </c>
      <c r="BD402" s="316" t="str">
        <f t="shared" si="48"/>
        <v>Desierto</v>
      </c>
    </row>
    <row r="403" spans="1:56" ht="38.25" x14ac:dyDescent="0.25">
      <c r="A403" s="308">
        <v>401</v>
      </c>
      <c r="B403" s="309" t="s">
        <v>1312</v>
      </c>
      <c r="C403" s="310" t="s">
        <v>1313</v>
      </c>
      <c r="D403" s="310"/>
      <c r="E403" s="303" t="s">
        <v>510</v>
      </c>
      <c r="F403" s="303" t="s">
        <v>510</v>
      </c>
      <c r="G403" s="303" t="s">
        <v>510</v>
      </c>
      <c r="H403" s="303" t="s">
        <v>511</v>
      </c>
      <c r="I403" s="303" t="s">
        <v>510</v>
      </c>
      <c r="J403" s="303" t="s">
        <v>511</v>
      </c>
      <c r="K403" s="303">
        <v>40</v>
      </c>
      <c r="L403" s="408">
        <f t="shared" si="43"/>
        <v>40</v>
      </c>
      <c r="M403" s="303" t="s">
        <v>504</v>
      </c>
      <c r="N403" s="301" t="s">
        <v>1122</v>
      </c>
      <c r="O403" s="311"/>
      <c r="P403" s="311"/>
      <c r="Q403" s="311"/>
      <c r="R403" s="311"/>
      <c r="S403" s="311"/>
      <c r="T403" s="311"/>
      <c r="U403" s="311"/>
      <c r="V403" s="409">
        <f t="shared" si="44"/>
        <v>0</v>
      </c>
      <c r="W403" s="311"/>
      <c r="X403" s="311"/>
      <c r="Y403" s="300"/>
      <c r="Z403" s="300"/>
      <c r="AA403" s="300"/>
      <c r="AB403" s="300"/>
      <c r="AC403" s="300"/>
      <c r="AD403" s="300"/>
      <c r="AE403" s="318"/>
      <c r="AF403" s="410">
        <f t="shared" si="45"/>
        <v>0</v>
      </c>
      <c r="AG403" s="300"/>
      <c r="AH403" s="300"/>
      <c r="AI403" s="303"/>
      <c r="AJ403" s="303"/>
      <c r="AK403" s="303"/>
      <c r="AL403" s="303"/>
      <c r="AM403" s="303"/>
      <c r="AN403" s="303"/>
      <c r="AO403" s="303"/>
      <c r="AP403" s="290">
        <f t="shared" si="46"/>
        <v>0</v>
      </c>
      <c r="AQ403" s="303"/>
      <c r="AR403" s="303"/>
      <c r="AS403" s="303"/>
      <c r="AT403" s="303"/>
      <c r="AU403" s="303"/>
      <c r="AV403" s="303"/>
      <c r="AW403" s="303"/>
      <c r="AX403" s="303"/>
      <c r="AY403" s="303"/>
      <c r="AZ403" s="290">
        <f t="shared" si="47"/>
        <v>0</v>
      </c>
      <c r="BA403" s="303"/>
      <c r="BB403" s="303"/>
      <c r="BC403" s="315">
        <f t="shared" si="42"/>
        <v>1</v>
      </c>
      <c r="BD403" s="316" t="str">
        <f t="shared" si="48"/>
        <v>Habilitado</v>
      </c>
    </row>
    <row r="404" spans="1:56" ht="38.25" x14ac:dyDescent="0.25">
      <c r="A404" s="308">
        <v>402</v>
      </c>
      <c r="B404" s="309" t="s">
        <v>1314</v>
      </c>
      <c r="C404" s="310" t="s">
        <v>1315</v>
      </c>
      <c r="D404" s="310" t="s">
        <v>1316</v>
      </c>
      <c r="E404" s="311"/>
      <c r="F404" s="311"/>
      <c r="G404" s="311"/>
      <c r="H404" s="311"/>
      <c r="I404" s="311"/>
      <c r="J404" s="311"/>
      <c r="K404" s="311"/>
      <c r="L404" s="408">
        <f t="shared" si="43"/>
        <v>0</v>
      </c>
      <c r="M404" s="311"/>
      <c r="N404" s="303"/>
      <c r="O404" s="311"/>
      <c r="P404" s="311"/>
      <c r="Q404" s="311"/>
      <c r="R404" s="311"/>
      <c r="S404" s="311"/>
      <c r="T404" s="311"/>
      <c r="U404" s="311"/>
      <c r="V404" s="409">
        <f t="shared" si="44"/>
        <v>0</v>
      </c>
      <c r="W404" s="311"/>
      <c r="X404" s="311"/>
      <c r="Y404" s="300"/>
      <c r="Z404" s="300"/>
      <c r="AA404" s="300"/>
      <c r="AB404" s="300"/>
      <c r="AC404" s="300"/>
      <c r="AD404" s="300"/>
      <c r="AE404" s="318"/>
      <c r="AF404" s="410">
        <f t="shared" si="45"/>
        <v>0</v>
      </c>
      <c r="AG404" s="300"/>
      <c r="AH404" s="300"/>
      <c r="AI404" s="303"/>
      <c r="AJ404" s="303"/>
      <c r="AK404" s="303"/>
      <c r="AL404" s="303"/>
      <c r="AM404" s="303"/>
      <c r="AN404" s="303"/>
      <c r="AO404" s="303"/>
      <c r="AP404" s="290">
        <f t="shared" si="46"/>
        <v>0</v>
      </c>
      <c r="AQ404" s="303"/>
      <c r="AR404" s="303"/>
      <c r="AS404" s="303"/>
      <c r="AT404" s="303"/>
      <c r="AU404" s="303"/>
      <c r="AV404" s="303"/>
      <c r="AW404" s="303"/>
      <c r="AX404" s="303"/>
      <c r="AY404" s="303"/>
      <c r="AZ404" s="290">
        <f t="shared" si="47"/>
        <v>0</v>
      </c>
      <c r="BA404" s="303"/>
      <c r="BB404" s="303"/>
      <c r="BC404" s="315">
        <f t="shared" si="42"/>
        <v>0</v>
      </c>
      <c r="BD404" s="316" t="str">
        <f t="shared" si="48"/>
        <v>Desierto</v>
      </c>
    </row>
    <row r="405" spans="1:56" ht="25.5" x14ac:dyDescent="0.25">
      <c r="A405" s="308">
        <v>403</v>
      </c>
      <c r="B405" s="309" t="s">
        <v>1317</v>
      </c>
      <c r="C405" s="310" t="s">
        <v>129</v>
      </c>
      <c r="D405" s="310" t="s">
        <v>1318</v>
      </c>
      <c r="E405" s="311"/>
      <c r="F405" s="311"/>
      <c r="G405" s="311"/>
      <c r="H405" s="311"/>
      <c r="I405" s="311"/>
      <c r="J405" s="311"/>
      <c r="K405" s="311"/>
      <c r="L405" s="408">
        <f t="shared" si="43"/>
        <v>0</v>
      </c>
      <c r="M405" s="311"/>
      <c r="N405" s="303"/>
      <c r="O405" s="311"/>
      <c r="P405" s="311"/>
      <c r="Q405" s="311"/>
      <c r="R405" s="311"/>
      <c r="S405" s="311"/>
      <c r="T405" s="311"/>
      <c r="U405" s="311"/>
      <c r="V405" s="409">
        <f t="shared" si="44"/>
        <v>0</v>
      </c>
      <c r="W405" s="311"/>
      <c r="X405" s="311"/>
      <c r="Y405" s="300"/>
      <c r="Z405" s="300"/>
      <c r="AA405" s="300"/>
      <c r="AB405" s="300"/>
      <c r="AC405" s="300"/>
      <c r="AD405" s="300"/>
      <c r="AE405" s="318"/>
      <c r="AF405" s="410">
        <f t="shared" si="45"/>
        <v>0</v>
      </c>
      <c r="AG405" s="300"/>
      <c r="AH405" s="300"/>
      <c r="AI405" s="303"/>
      <c r="AJ405" s="303"/>
      <c r="AK405" s="303"/>
      <c r="AL405" s="303"/>
      <c r="AM405" s="303"/>
      <c r="AN405" s="303"/>
      <c r="AO405" s="303"/>
      <c r="AP405" s="290">
        <f t="shared" si="46"/>
        <v>0</v>
      </c>
      <c r="AQ405" s="303"/>
      <c r="AR405" s="303"/>
      <c r="AS405" s="303"/>
      <c r="AT405" s="303"/>
      <c r="AU405" s="303"/>
      <c r="AV405" s="303"/>
      <c r="AW405" s="303"/>
      <c r="AX405" s="303"/>
      <c r="AY405" s="303"/>
      <c r="AZ405" s="290">
        <f t="shared" si="47"/>
        <v>0</v>
      </c>
      <c r="BA405" s="303"/>
      <c r="BB405" s="303"/>
      <c r="BC405" s="315">
        <f t="shared" si="42"/>
        <v>0</v>
      </c>
      <c r="BD405" s="316" t="str">
        <f t="shared" si="48"/>
        <v>Desierto</v>
      </c>
    </row>
    <row r="406" spans="1:56" x14ac:dyDescent="0.25">
      <c r="A406" s="308">
        <v>404</v>
      </c>
      <c r="B406" s="309" t="s">
        <v>1319</v>
      </c>
      <c r="C406" s="310" t="s">
        <v>65</v>
      </c>
      <c r="D406" s="310" t="s">
        <v>312</v>
      </c>
      <c r="E406" s="303" t="s">
        <v>510</v>
      </c>
      <c r="F406" s="303" t="s">
        <v>510</v>
      </c>
      <c r="G406" s="303" t="s">
        <v>510</v>
      </c>
      <c r="H406" s="303" t="s">
        <v>511</v>
      </c>
      <c r="I406" s="303" t="s">
        <v>510</v>
      </c>
      <c r="J406" s="303" t="s">
        <v>511</v>
      </c>
      <c r="K406" s="303">
        <v>0</v>
      </c>
      <c r="L406" s="408">
        <f t="shared" si="43"/>
        <v>0</v>
      </c>
      <c r="M406" s="303" t="s">
        <v>504</v>
      </c>
      <c r="N406" s="303"/>
      <c r="O406" s="311"/>
      <c r="P406" s="311"/>
      <c r="Q406" s="311"/>
      <c r="R406" s="311"/>
      <c r="S406" s="311"/>
      <c r="T406" s="311"/>
      <c r="U406" s="311"/>
      <c r="V406" s="409">
        <f t="shared" si="44"/>
        <v>0</v>
      </c>
      <c r="W406" s="311"/>
      <c r="X406" s="311"/>
      <c r="Y406" s="300"/>
      <c r="Z406" s="300"/>
      <c r="AA406" s="300"/>
      <c r="AB406" s="300"/>
      <c r="AC406" s="300"/>
      <c r="AD406" s="300"/>
      <c r="AE406" s="318"/>
      <c r="AF406" s="410">
        <f t="shared" si="45"/>
        <v>0</v>
      </c>
      <c r="AG406" s="300"/>
      <c r="AH406" s="300"/>
      <c r="AI406" s="303"/>
      <c r="AJ406" s="303"/>
      <c r="AK406" s="303"/>
      <c r="AL406" s="303"/>
      <c r="AM406" s="303"/>
      <c r="AN406" s="303"/>
      <c r="AO406" s="303"/>
      <c r="AP406" s="290">
        <f t="shared" si="46"/>
        <v>0</v>
      </c>
      <c r="AQ406" s="303"/>
      <c r="AR406" s="303"/>
      <c r="AS406" s="303" t="s">
        <v>510</v>
      </c>
      <c r="AT406" s="303" t="s">
        <v>510</v>
      </c>
      <c r="AU406" s="303" t="s">
        <v>510</v>
      </c>
      <c r="AV406" s="303" t="s">
        <v>511</v>
      </c>
      <c r="AW406" s="303" t="s">
        <v>510</v>
      </c>
      <c r="AX406" s="303" t="s">
        <v>511</v>
      </c>
      <c r="AY406" s="303">
        <v>0</v>
      </c>
      <c r="AZ406" s="290">
        <f t="shared" si="47"/>
        <v>0</v>
      </c>
      <c r="BA406" s="303" t="s">
        <v>504</v>
      </c>
      <c r="BB406" s="303"/>
      <c r="BC406" s="315">
        <f t="shared" si="42"/>
        <v>2</v>
      </c>
      <c r="BD406" s="316" t="str">
        <f t="shared" si="48"/>
        <v>Habilitado</v>
      </c>
    </row>
    <row r="407" spans="1:56" ht="51" x14ac:dyDescent="0.25">
      <c r="A407" s="308">
        <v>405</v>
      </c>
      <c r="B407" s="309" t="s">
        <v>1320</v>
      </c>
      <c r="C407" s="310" t="s">
        <v>269</v>
      </c>
      <c r="D407" s="310" t="s">
        <v>1321</v>
      </c>
      <c r="E407" s="303" t="s">
        <v>510</v>
      </c>
      <c r="F407" s="303" t="s">
        <v>510</v>
      </c>
      <c r="G407" s="303" t="s">
        <v>510</v>
      </c>
      <c r="H407" s="303" t="s">
        <v>511</v>
      </c>
      <c r="I407" s="303" t="s">
        <v>510</v>
      </c>
      <c r="J407" s="303" t="s">
        <v>511</v>
      </c>
      <c r="K407" s="303">
        <v>40</v>
      </c>
      <c r="L407" s="408">
        <f t="shared" si="43"/>
        <v>40</v>
      </c>
      <c r="M407" s="303" t="s">
        <v>504</v>
      </c>
      <c r="N407" s="301"/>
      <c r="O407" s="311"/>
      <c r="P407" s="311"/>
      <c r="Q407" s="311"/>
      <c r="R407" s="311"/>
      <c r="S407" s="311"/>
      <c r="T407" s="311"/>
      <c r="U407" s="311"/>
      <c r="V407" s="409">
        <f t="shared" si="44"/>
        <v>0</v>
      </c>
      <c r="W407" s="311"/>
      <c r="X407" s="311"/>
      <c r="Y407" s="300"/>
      <c r="Z407" s="300"/>
      <c r="AA407" s="300"/>
      <c r="AB407" s="300"/>
      <c r="AC407" s="300"/>
      <c r="AD407" s="300"/>
      <c r="AE407" s="318"/>
      <c r="AF407" s="410">
        <f t="shared" si="45"/>
        <v>0</v>
      </c>
      <c r="AG407" s="300"/>
      <c r="AH407" s="300"/>
      <c r="AI407" s="303"/>
      <c r="AJ407" s="303"/>
      <c r="AK407" s="303"/>
      <c r="AL407" s="303"/>
      <c r="AM407" s="303"/>
      <c r="AN407" s="303"/>
      <c r="AO407" s="303"/>
      <c r="AP407" s="290">
        <f t="shared" si="46"/>
        <v>0</v>
      </c>
      <c r="AQ407" s="303"/>
      <c r="AR407" s="303"/>
      <c r="AS407" s="303"/>
      <c r="AT407" s="303"/>
      <c r="AU407" s="303"/>
      <c r="AV407" s="303"/>
      <c r="AW407" s="303"/>
      <c r="AX407" s="303"/>
      <c r="AY407" s="303"/>
      <c r="AZ407" s="290">
        <f t="shared" si="47"/>
        <v>0</v>
      </c>
      <c r="BA407" s="303"/>
      <c r="BB407" s="301"/>
      <c r="BC407" s="315">
        <f t="shared" si="42"/>
        <v>1</v>
      </c>
      <c r="BD407" s="316" t="str">
        <f t="shared" si="48"/>
        <v>Habilitado</v>
      </c>
    </row>
    <row r="408" spans="1:56" ht="25.5" x14ac:dyDescent="0.25">
      <c r="A408" s="308">
        <v>406</v>
      </c>
      <c r="B408" s="309" t="s">
        <v>1322</v>
      </c>
      <c r="C408" s="310" t="s">
        <v>532</v>
      </c>
      <c r="D408" s="310" t="s">
        <v>628</v>
      </c>
      <c r="E408" s="311"/>
      <c r="F408" s="311"/>
      <c r="G408" s="311"/>
      <c r="H408" s="311"/>
      <c r="I408" s="311"/>
      <c r="J408" s="311"/>
      <c r="K408" s="311"/>
      <c r="L408" s="408">
        <f t="shared" si="43"/>
        <v>0</v>
      </c>
      <c r="M408" s="311"/>
      <c r="N408" s="311"/>
      <c r="O408" s="311"/>
      <c r="P408" s="311"/>
      <c r="Q408" s="311"/>
      <c r="R408" s="311"/>
      <c r="S408" s="311"/>
      <c r="T408" s="311"/>
      <c r="U408" s="311"/>
      <c r="V408" s="409">
        <f t="shared" si="44"/>
        <v>0</v>
      </c>
      <c r="W408" s="311"/>
      <c r="X408" s="311"/>
      <c r="Y408" s="312"/>
      <c r="Z408" s="312"/>
      <c r="AA408" s="312"/>
      <c r="AB408" s="312"/>
      <c r="AC408" s="312"/>
      <c r="AD408" s="312"/>
      <c r="AE408" s="313"/>
      <c r="AF408" s="410">
        <f t="shared" si="45"/>
        <v>0</v>
      </c>
      <c r="AG408" s="312"/>
      <c r="AH408" s="312"/>
      <c r="AI408" s="303"/>
      <c r="AJ408" s="303"/>
      <c r="AK408" s="303"/>
      <c r="AL408" s="303"/>
      <c r="AM408" s="303"/>
      <c r="AN408" s="303"/>
      <c r="AO408" s="303"/>
      <c r="AP408" s="290">
        <f t="shared" si="46"/>
        <v>0</v>
      </c>
      <c r="AQ408" s="303"/>
      <c r="AR408" s="303"/>
      <c r="AS408" s="303" t="s">
        <v>510</v>
      </c>
      <c r="AT408" s="303" t="s">
        <v>510</v>
      </c>
      <c r="AU408" s="303" t="s">
        <v>510</v>
      </c>
      <c r="AV408" s="303" t="s">
        <v>511</v>
      </c>
      <c r="AW408" s="303" t="s">
        <v>510</v>
      </c>
      <c r="AX408" s="303" t="s">
        <v>511</v>
      </c>
      <c r="AY408" s="303">
        <v>0</v>
      </c>
      <c r="AZ408" s="290">
        <f t="shared" si="47"/>
        <v>0</v>
      </c>
      <c r="BA408" s="303" t="s">
        <v>504</v>
      </c>
      <c r="BB408" s="303"/>
      <c r="BC408" s="315">
        <f t="shared" si="42"/>
        <v>1</v>
      </c>
      <c r="BD408" s="316" t="str">
        <f t="shared" si="48"/>
        <v>Habilitado</v>
      </c>
    </row>
    <row r="409" spans="1:56" ht="38.25" x14ac:dyDescent="0.25">
      <c r="A409" s="308">
        <v>407</v>
      </c>
      <c r="B409" s="309" t="s">
        <v>1323</v>
      </c>
      <c r="C409" s="329" t="s">
        <v>518</v>
      </c>
      <c r="D409" s="310" t="s">
        <v>144</v>
      </c>
      <c r="E409" s="311"/>
      <c r="F409" s="311"/>
      <c r="G409" s="311"/>
      <c r="H409" s="311"/>
      <c r="I409" s="311"/>
      <c r="J409" s="311"/>
      <c r="K409" s="311"/>
      <c r="L409" s="408">
        <f t="shared" si="43"/>
        <v>0</v>
      </c>
      <c r="M409" s="311"/>
      <c r="N409" s="311"/>
      <c r="O409" s="311"/>
      <c r="P409" s="311"/>
      <c r="Q409" s="311"/>
      <c r="R409" s="311"/>
      <c r="S409" s="311"/>
      <c r="T409" s="311"/>
      <c r="U409" s="311"/>
      <c r="V409" s="409">
        <f t="shared" si="44"/>
        <v>0</v>
      </c>
      <c r="W409" s="311"/>
      <c r="X409" s="311"/>
      <c r="Y409" s="300" t="s">
        <v>510</v>
      </c>
      <c r="Z409" s="300" t="s">
        <v>510</v>
      </c>
      <c r="AA409" s="300" t="s">
        <v>510</v>
      </c>
      <c r="AB409" s="300" t="s">
        <v>511</v>
      </c>
      <c r="AC409" s="300" t="s">
        <v>510</v>
      </c>
      <c r="AD409" s="300" t="s">
        <v>511</v>
      </c>
      <c r="AE409" s="318">
        <v>40</v>
      </c>
      <c r="AF409" s="410">
        <f t="shared" si="45"/>
        <v>40</v>
      </c>
      <c r="AG409" s="300" t="s">
        <v>504</v>
      </c>
      <c r="AH409" s="299"/>
      <c r="AI409" s="303" t="s">
        <v>510</v>
      </c>
      <c r="AJ409" s="303" t="s">
        <v>510</v>
      </c>
      <c r="AK409" s="303" t="s">
        <v>510</v>
      </c>
      <c r="AL409" s="303" t="s">
        <v>511</v>
      </c>
      <c r="AM409" s="303" t="s">
        <v>510</v>
      </c>
      <c r="AN409" s="303" t="s">
        <v>511</v>
      </c>
      <c r="AO409" s="303">
        <v>20</v>
      </c>
      <c r="AP409" s="290">
        <f t="shared" si="46"/>
        <v>20</v>
      </c>
      <c r="AQ409" s="303" t="s">
        <v>504</v>
      </c>
      <c r="AR409" s="301" t="s">
        <v>525</v>
      </c>
      <c r="AS409" s="303"/>
      <c r="AT409" s="303"/>
      <c r="AU409" s="303"/>
      <c r="AV409" s="303"/>
      <c r="AW409" s="303"/>
      <c r="AX409" s="303"/>
      <c r="AY409" s="303"/>
      <c r="AZ409" s="290">
        <f t="shared" si="47"/>
        <v>0</v>
      </c>
      <c r="BA409" s="303"/>
      <c r="BB409" s="306" t="s">
        <v>551</v>
      </c>
      <c r="BC409" s="315">
        <f t="shared" si="42"/>
        <v>2</v>
      </c>
      <c r="BD409" s="316" t="str">
        <f t="shared" si="48"/>
        <v>Habilitado</v>
      </c>
    </row>
    <row r="410" spans="1:56" ht="38.25" x14ac:dyDescent="0.25">
      <c r="A410" s="308">
        <v>408</v>
      </c>
      <c r="B410" s="309" t="s">
        <v>1324</v>
      </c>
      <c r="C410" s="310" t="s">
        <v>1325</v>
      </c>
      <c r="D410" s="310" t="s">
        <v>685</v>
      </c>
      <c r="E410" s="311"/>
      <c r="F410" s="311"/>
      <c r="G410" s="311"/>
      <c r="H410" s="311"/>
      <c r="I410" s="311"/>
      <c r="J410" s="311"/>
      <c r="K410" s="311"/>
      <c r="L410" s="408">
        <f t="shared" si="43"/>
        <v>0</v>
      </c>
      <c r="M410" s="311"/>
      <c r="N410" s="311"/>
      <c r="O410" s="311"/>
      <c r="P410" s="311"/>
      <c r="Q410" s="311"/>
      <c r="R410" s="311"/>
      <c r="S410" s="311"/>
      <c r="T410" s="311"/>
      <c r="U410" s="311"/>
      <c r="V410" s="409">
        <f t="shared" si="44"/>
        <v>0</v>
      </c>
      <c r="W410" s="311"/>
      <c r="X410" s="311"/>
      <c r="Y410" s="300"/>
      <c r="Z410" s="300"/>
      <c r="AA410" s="300"/>
      <c r="AB410" s="300"/>
      <c r="AC410" s="300"/>
      <c r="AD410" s="300"/>
      <c r="AE410" s="318"/>
      <c r="AF410" s="410">
        <f t="shared" si="45"/>
        <v>0</v>
      </c>
      <c r="AG410" s="300"/>
      <c r="AH410" s="300"/>
      <c r="AI410" s="303"/>
      <c r="AJ410" s="303"/>
      <c r="AK410" s="303"/>
      <c r="AL410" s="303"/>
      <c r="AM410" s="303"/>
      <c r="AN410" s="303"/>
      <c r="AO410" s="303"/>
      <c r="AP410" s="290">
        <f t="shared" si="46"/>
        <v>0</v>
      </c>
      <c r="AQ410" s="303"/>
      <c r="AR410" s="303"/>
      <c r="AS410" s="303"/>
      <c r="AT410" s="303"/>
      <c r="AU410" s="303"/>
      <c r="AV410" s="303"/>
      <c r="AW410" s="303"/>
      <c r="AX410" s="303"/>
      <c r="AY410" s="303"/>
      <c r="AZ410" s="290">
        <f t="shared" si="47"/>
        <v>0</v>
      </c>
      <c r="BA410" s="303"/>
      <c r="BB410" s="301"/>
      <c r="BC410" s="315">
        <f t="shared" si="42"/>
        <v>0</v>
      </c>
      <c r="BD410" s="316" t="str">
        <f t="shared" si="48"/>
        <v>Desierto</v>
      </c>
    </row>
    <row r="411" spans="1:56" ht="51" x14ac:dyDescent="0.25">
      <c r="A411" s="324">
        <v>409</v>
      </c>
      <c r="B411" s="331" t="s">
        <v>1326</v>
      </c>
      <c r="C411" s="331" t="s">
        <v>518</v>
      </c>
      <c r="D411" s="331" t="s">
        <v>457</v>
      </c>
      <c r="E411" s="320"/>
      <c r="F411" s="320"/>
      <c r="G411" s="320"/>
      <c r="H411" s="320"/>
      <c r="I411" s="311"/>
      <c r="J411" s="320"/>
      <c r="K411" s="320"/>
      <c r="L411" s="408">
        <f t="shared" si="43"/>
        <v>0</v>
      </c>
      <c r="M411" s="311"/>
      <c r="N411" s="320"/>
      <c r="O411" s="320"/>
      <c r="P411" s="320"/>
      <c r="Q411" s="320"/>
      <c r="R411" s="320"/>
      <c r="S411" s="320"/>
      <c r="T411" s="320"/>
      <c r="U411" s="320"/>
      <c r="V411" s="409">
        <f t="shared" si="44"/>
        <v>0</v>
      </c>
      <c r="W411" s="320"/>
      <c r="X411" s="320"/>
      <c r="Y411" s="299"/>
      <c r="Z411" s="299"/>
      <c r="AA411" s="299"/>
      <c r="AB411" s="299"/>
      <c r="AC411" s="299"/>
      <c r="AD411" s="299"/>
      <c r="AE411" s="330"/>
      <c r="AF411" s="410">
        <f t="shared" si="45"/>
        <v>0</v>
      </c>
      <c r="AG411" s="299"/>
      <c r="AH411" s="299"/>
      <c r="AI411" s="306"/>
      <c r="AJ411" s="306"/>
      <c r="AK411" s="306"/>
      <c r="AL411" s="306"/>
      <c r="AM411" s="306"/>
      <c r="AN411" s="306"/>
      <c r="AO411" s="306"/>
      <c r="AP411" s="290">
        <f t="shared" si="46"/>
        <v>0</v>
      </c>
      <c r="AQ411" s="306"/>
      <c r="AR411" s="306"/>
      <c r="AS411" s="306"/>
      <c r="AT411" s="306"/>
      <c r="AU411" s="306"/>
      <c r="AV411" s="306"/>
      <c r="AW411" s="306"/>
      <c r="AX411" s="306"/>
      <c r="AY411" s="306"/>
      <c r="AZ411" s="290">
        <f t="shared" si="47"/>
        <v>0</v>
      </c>
      <c r="BA411" s="306"/>
      <c r="BB411" s="301" t="s">
        <v>1327</v>
      </c>
      <c r="BC411" s="315">
        <f t="shared" si="42"/>
        <v>0</v>
      </c>
      <c r="BD411" s="316" t="str">
        <f t="shared" si="48"/>
        <v>Desierto</v>
      </c>
    </row>
    <row r="412" spans="1:56" ht="52.5" customHeight="1" x14ac:dyDescent="0.25">
      <c r="A412" s="308">
        <v>410</v>
      </c>
      <c r="B412" s="309" t="s">
        <v>1328</v>
      </c>
      <c r="C412" s="310" t="s">
        <v>518</v>
      </c>
      <c r="D412" s="310" t="s">
        <v>742</v>
      </c>
      <c r="E412" s="303" t="s">
        <v>510</v>
      </c>
      <c r="F412" s="303" t="s">
        <v>510</v>
      </c>
      <c r="G412" s="303" t="s">
        <v>510</v>
      </c>
      <c r="H412" s="303" t="s">
        <v>511</v>
      </c>
      <c r="I412" s="303" t="s">
        <v>510</v>
      </c>
      <c r="J412" s="303" t="s">
        <v>511</v>
      </c>
      <c r="K412" s="303">
        <v>40</v>
      </c>
      <c r="L412" s="408">
        <f t="shared" si="43"/>
        <v>40</v>
      </c>
      <c r="M412" s="303" t="s">
        <v>504</v>
      </c>
      <c r="N412" s="303"/>
      <c r="O412" s="311"/>
      <c r="P412" s="311"/>
      <c r="Q412" s="311"/>
      <c r="R412" s="311"/>
      <c r="S412" s="311"/>
      <c r="T412" s="311"/>
      <c r="U412" s="311"/>
      <c r="V412" s="409">
        <f t="shared" si="44"/>
        <v>0</v>
      </c>
      <c r="W412" s="311"/>
      <c r="X412" s="311"/>
      <c r="Y412" s="300" t="s">
        <v>510</v>
      </c>
      <c r="Z412" s="300" t="s">
        <v>510</v>
      </c>
      <c r="AA412" s="300" t="s">
        <v>510</v>
      </c>
      <c r="AB412" s="300" t="s">
        <v>511</v>
      </c>
      <c r="AC412" s="300" t="s">
        <v>510</v>
      </c>
      <c r="AD412" s="300" t="s">
        <v>511</v>
      </c>
      <c r="AE412" s="318">
        <v>40</v>
      </c>
      <c r="AF412" s="410">
        <f t="shared" si="45"/>
        <v>40</v>
      </c>
      <c r="AG412" s="300" t="s">
        <v>504</v>
      </c>
      <c r="AH412" s="299"/>
      <c r="AI412" s="303" t="s">
        <v>510</v>
      </c>
      <c r="AJ412" s="303" t="s">
        <v>510</v>
      </c>
      <c r="AK412" s="303" t="s">
        <v>510</v>
      </c>
      <c r="AL412" s="303" t="s">
        <v>511</v>
      </c>
      <c r="AM412" s="303" t="s">
        <v>510</v>
      </c>
      <c r="AN412" s="303" t="s">
        <v>511</v>
      </c>
      <c r="AO412" s="303">
        <v>20</v>
      </c>
      <c r="AP412" s="290">
        <f t="shared" si="46"/>
        <v>20</v>
      </c>
      <c r="AQ412" s="303" t="s">
        <v>504</v>
      </c>
      <c r="AR412" s="303"/>
      <c r="AS412" s="303"/>
      <c r="AT412" s="303"/>
      <c r="AU412" s="303"/>
      <c r="AV412" s="303"/>
      <c r="AW412" s="303"/>
      <c r="AX412" s="303"/>
      <c r="AY412" s="303"/>
      <c r="AZ412" s="290">
        <f t="shared" si="47"/>
        <v>0</v>
      </c>
      <c r="BA412" s="303"/>
      <c r="BB412" s="303"/>
      <c r="BC412" s="315">
        <f t="shared" si="42"/>
        <v>3</v>
      </c>
      <c r="BD412" s="316" t="str">
        <f t="shared" si="48"/>
        <v>Habilitado</v>
      </c>
    </row>
    <row r="413" spans="1:56" x14ac:dyDescent="0.25">
      <c r="A413" s="308">
        <v>411</v>
      </c>
      <c r="B413" s="309" t="s">
        <v>1329</v>
      </c>
      <c r="C413" s="310" t="s">
        <v>65</v>
      </c>
      <c r="D413" s="310" t="s">
        <v>1330</v>
      </c>
      <c r="E413" s="311"/>
      <c r="F413" s="311"/>
      <c r="G413" s="311"/>
      <c r="H413" s="311"/>
      <c r="I413" s="311"/>
      <c r="J413" s="311"/>
      <c r="K413" s="311"/>
      <c r="L413" s="408">
        <f t="shared" si="43"/>
        <v>0</v>
      </c>
      <c r="M413" s="311"/>
      <c r="N413" s="311"/>
      <c r="O413" s="311"/>
      <c r="P413" s="311"/>
      <c r="Q413" s="311"/>
      <c r="R413" s="311"/>
      <c r="S413" s="311"/>
      <c r="T413" s="311"/>
      <c r="U413" s="311"/>
      <c r="V413" s="409">
        <f t="shared" si="44"/>
        <v>0</v>
      </c>
      <c r="W413" s="311"/>
      <c r="X413" s="311"/>
      <c r="Y413" s="300"/>
      <c r="Z413" s="300"/>
      <c r="AA413" s="300"/>
      <c r="AB413" s="300"/>
      <c r="AC413" s="300"/>
      <c r="AD413" s="300"/>
      <c r="AE413" s="318"/>
      <c r="AF413" s="410">
        <f t="shared" si="45"/>
        <v>0</v>
      </c>
      <c r="AG413" s="300"/>
      <c r="AH413" s="300"/>
      <c r="AI413" s="303"/>
      <c r="AJ413" s="303"/>
      <c r="AK413" s="303"/>
      <c r="AL413" s="303"/>
      <c r="AM413" s="303"/>
      <c r="AN413" s="303"/>
      <c r="AO413" s="303"/>
      <c r="AP413" s="290">
        <f t="shared" si="46"/>
        <v>0</v>
      </c>
      <c r="AQ413" s="303"/>
      <c r="AR413" s="303"/>
      <c r="AS413" s="303" t="s">
        <v>510</v>
      </c>
      <c r="AT413" s="303" t="s">
        <v>510</v>
      </c>
      <c r="AU413" s="303" t="s">
        <v>510</v>
      </c>
      <c r="AV413" s="303" t="s">
        <v>511</v>
      </c>
      <c r="AW413" s="303" t="s">
        <v>510</v>
      </c>
      <c r="AX413" s="303" t="s">
        <v>511</v>
      </c>
      <c r="AY413" s="303">
        <v>0</v>
      </c>
      <c r="AZ413" s="290">
        <f t="shared" si="47"/>
        <v>0</v>
      </c>
      <c r="BA413" s="303" t="s">
        <v>504</v>
      </c>
      <c r="BB413" s="301"/>
      <c r="BC413" s="315">
        <f t="shared" si="42"/>
        <v>1</v>
      </c>
      <c r="BD413" s="316" t="str">
        <f t="shared" si="48"/>
        <v>Habilitado</v>
      </c>
    </row>
    <row r="414" spans="1:56" x14ac:dyDescent="0.25">
      <c r="A414" s="308">
        <v>412</v>
      </c>
      <c r="B414" s="309" t="s">
        <v>1331</v>
      </c>
      <c r="C414" s="310" t="s">
        <v>65</v>
      </c>
      <c r="D414" s="310" t="s">
        <v>157</v>
      </c>
      <c r="E414" s="306" t="s">
        <v>510</v>
      </c>
      <c r="F414" s="306" t="s">
        <v>510</v>
      </c>
      <c r="G414" s="306" t="s">
        <v>510</v>
      </c>
      <c r="H414" s="306" t="s">
        <v>511</v>
      </c>
      <c r="I414" s="303" t="s">
        <v>510</v>
      </c>
      <c r="J414" s="306" t="s">
        <v>511</v>
      </c>
      <c r="K414" s="306">
        <v>40</v>
      </c>
      <c r="L414" s="408">
        <f t="shared" si="43"/>
        <v>40</v>
      </c>
      <c r="M414" s="303" t="s">
        <v>504</v>
      </c>
      <c r="N414" s="303"/>
      <c r="O414" s="311"/>
      <c r="P414" s="311"/>
      <c r="Q414" s="311"/>
      <c r="R414" s="311"/>
      <c r="S414" s="311"/>
      <c r="T414" s="311"/>
      <c r="U414" s="311"/>
      <c r="V414" s="409">
        <f t="shared" si="44"/>
        <v>0</v>
      </c>
      <c r="W414" s="311"/>
      <c r="X414" s="311"/>
      <c r="Y414" s="300"/>
      <c r="Z414" s="300"/>
      <c r="AA414" s="300"/>
      <c r="AB414" s="300"/>
      <c r="AC414" s="300"/>
      <c r="AD414" s="300"/>
      <c r="AE414" s="318"/>
      <c r="AF414" s="410">
        <f t="shared" si="45"/>
        <v>0</v>
      </c>
      <c r="AG414" s="300"/>
      <c r="AH414" s="300"/>
      <c r="AI414" s="303"/>
      <c r="AJ414" s="303"/>
      <c r="AK414" s="303"/>
      <c r="AL414" s="303"/>
      <c r="AM414" s="303"/>
      <c r="AN414" s="303"/>
      <c r="AO414" s="303"/>
      <c r="AP414" s="290">
        <f t="shared" si="46"/>
        <v>0</v>
      </c>
      <c r="AQ414" s="303"/>
      <c r="AR414" s="303"/>
      <c r="AS414" s="303"/>
      <c r="AT414" s="303"/>
      <c r="AU414" s="303"/>
      <c r="AV414" s="303"/>
      <c r="AW414" s="303"/>
      <c r="AX414" s="303"/>
      <c r="AY414" s="303"/>
      <c r="AZ414" s="290">
        <f t="shared" si="47"/>
        <v>0</v>
      </c>
      <c r="BA414" s="303"/>
      <c r="BB414" s="306" t="s">
        <v>551</v>
      </c>
      <c r="BC414" s="315">
        <f t="shared" si="42"/>
        <v>1</v>
      </c>
      <c r="BD414" s="316" t="str">
        <f t="shared" si="48"/>
        <v>Habilitado</v>
      </c>
    </row>
    <row r="415" spans="1:56" ht="38.25" x14ac:dyDescent="0.25">
      <c r="A415" s="308">
        <v>413</v>
      </c>
      <c r="B415" s="309" t="s">
        <v>1332</v>
      </c>
      <c r="C415" s="310" t="s">
        <v>1333</v>
      </c>
      <c r="D415" s="310" t="s">
        <v>1334</v>
      </c>
      <c r="E415" s="311"/>
      <c r="F415" s="311"/>
      <c r="G415" s="311"/>
      <c r="H415" s="311"/>
      <c r="I415" s="311"/>
      <c r="J415" s="311"/>
      <c r="K415" s="311"/>
      <c r="L415" s="408">
        <f t="shared" si="43"/>
        <v>0</v>
      </c>
      <c r="M415" s="311"/>
      <c r="N415" s="311"/>
      <c r="O415" s="311"/>
      <c r="P415" s="311"/>
      <c r="Q415" s="311"/>
      <c r="R415" s="311"/>
      <c r="S415" s="311"/>
      <c r="T415" s="311"/>
      <c r="U415" s="311"/>
      <c r="V415" s="409">
        <f t="shared" si="44"/>
        <v>0</v>
      </c>
      <c r="W415" s="311"/>
      <c r="X415" s="311"/>
      <c r="Y415" s="312"/>
      <c r="Z415" s="312"/>
      <c r="AA415" s="312"/>
      <c r="AB415" s="312"/>
      <c r="AC415" s="312"/>
      <c r="AD415" s="312"/>
      <c r="AE415" s="313"/>
      <c r="AF415" s="410">
        <f t="shared" si="45"/>
        <v>0</v>
      </c>
      <c r="AG415" s="312"/>
      <c r="AH415" s="317"/>
      <c r="AI415" s="303"/>
      <c r="AJ415" s="303"/>
      <c r="AK415" s="303"/>
      <c r="AL415" s="303"/>
      <c r="AM415" s="303"/>
      <c r="AN415" s="303"/>
      <c r="AO415" s="303"/>
      <c r="AP415" s="290">
        <f t="shared" si="46"/>
        <v>0</v>
      </c>
      <c r="AQ415" s="303"/>
      <c r="AR415" s="301"/>
      <c r="AS415" s="303"/>
      <c r="AT415" s="303"/>
      <c r="AU415" s="303"/>
      <c r="AV415" s="303"/>
      <c r="AW415" s="303"/>
      <c r="AX415" s="303"/>
      <c r="AY415" s="303"/>
      <c r="AZ415" s="290">
        <f t="shared" si="47"/>
        <v>0</v>
      </c>
      <c r="BA415" s="303"/>
      <c r="BB415" s="306" t="s">
        <v>551</v>
      </c>
      <c r="BC415" s="315">
        <f t="shared" si="42"/>
        <v>0</v>
      </c>
      <c r="BD415" s="316" t="str">
        <f t="shared" si="48"/>
        <v>Desierto</v>
      </c>
    </row>
    <row r="416" spans="1:56" ht="25.5" x14ac:dyDescent="0.25">
      <c r="A416" s="324">
        <v>414</v>
      </c>
      <c r="B416" s="331" t="s">
        <v>1335</v>
      </c>
      <c r="C416" s="331" t="s">
        <v>1098</v>
      </c>
      <c r="D416" s="331" t="s">
        <v>123</v>
      </c>
      <c r="E416" s="306" t="s">
        <v>510</v>
      </c>
      <c r="F416" s="306" t="s">
        <v>510</v>
      </c>
      <c r="G416" s="306" t="s">
        <v>510</v>
      </c>
      <c r="H416" s="306" t="s">
        <v>511</v>
      </c>
      <c r="I416" s="303" t="s">
        <v>510</v>
      </c>
      <c r="J416" s="306" t="s">
        <v>511</v>
      </c>
      <c r="K416" s="306">
        <v>40</v>
      </c>
      <c r="L416" s="408">
        <f t="shared" si="43"/>
        <v>40</v>
      </c>
      <c r="M416" s="303" t="s">
        <v>504</v>
      </c>
      <c r="N416" s="306" t="s">
        <v>551</v>
      </c>
      <c r="O416" s="320"/>
      <c r="P416" s="320"/>
      <c r="Q416" s="320"/>
      <c r="R416" s="320"/>
      <c r="S416" s="320"/>
      <c r="T416" s="320"/>
      <c r="U416" s="320"/>
      <c r="V416" s="409">
        <f t="shared" si="44"/>
        <v>0</v>
      </c>
      <c r="W416" s="320"/>
      <c r="X416" s="320"/>
      <c r="Y416" s="299"/>
      <c r="Z416" s="299"/>
      <c r="AA416" s="299"/>
      <c r="AB416" s="299"/>
      <c r="AC416" s="299"/>
      <c r="AD416" s="299"/>
      <c r="AE416" s="330"/>
      <c r="AF416" s="410">
        <f t="shared" si="45"/>
        <v>0</v>
      </c>
      <c r="AG416" s="299"/>
      <c r="AH416" s="299"/>
      <c r="AI416" s="306"/>
      <c r="AJ416" s="306"/>
      <c r="AK416" s="306"/>
      <c r="AL416" s="306"/>
      <c r="AM416" s="306"/>
      <c r="AN416" s="306"/>
      <c r="AO416" s="306"/>
      <c r="AP416" s="290">
        <f t="shared" si="46"/>
        <v>0</v>
      </c>
      <c r="AQ416" s="306"/>
      <c r="AR416" s="306"/>
      <c r="AS416" s="306" t="s">
        <v>510</v>
      </c>
      <c r="AT416" s="306" t="s">
        <v>510</v>
      </c>
      <c r="AU416" s="306" t="s">
        <v>510</v>
      </c>
      <c r="AV416" s="306" t="s">
        <v>511</v>
      </c>
      <c r="AW416" s="303" t="s">
        <v>510</v>
      </c>
      <c r="AX416" s="306" t="s">
        <v>511</v>
      </c>
      <c r="AY416" s="306">
        <v>0</v>
      </c>
      <c r="AZ416" s="290">
        <f t="shared" si="47"/>
        <v>0</v>
      </c>
      <c r="BA416" s="303" t="s">
        <v>504</v>
      </c>
      <c r="BB416" s="303"/>
      <c r="BC416" s="315">
        <f t="shared" si="42"/>
        <v>2</v>
      </c>
      <c r="BD416" s="316" t="str">
        <f t="shared" si="48"/>
        <v>Habilitado</v>
      </c>
    </row>
    <row r="417" spans="1:56" ht="25.5" x14ac:dyDescent="0.25">
      <c r="A417" s="324">
        <v>415</v>
      </c>
      <c r="B417" s="331" t="s">
        <v>1336</v>
      </c>
      <c r="C417" s="331" t="s">
        <v>1337</v>
      </c>
      <c r="D417" s="331" t="s">
        <v>1338</v>
      </c>
      <c r="E417" s="306" t="s">
        <v>510</v>
      </c>
      <c r="F417" s="306" t="s">
        <v>510</v>
      </c>
      <c r="G417" s="306" t="s">
        <v>510</v>
      </c>
      <c r="H417" s="306" t="s">
        <v>511</v>
      </c>
      <c r="I417" s="303" t="s">
        <v>510</v>
      </c>
      <c r="J417" s="306" t="s">
        <v>511</v>
      </c>
      <c r="K417" s="306">
        <v>40</v>
      </c>
      <c r="L417" s="408">
        <f t="shared" si="43"/>
        <v>40</v>
      </c>
      <c r="M417" s="303" t="s">
        <v>504</v>
      </c>
      <c r="N417" s="306" t="s">
        <v>551</v>
      </c>
      <c r="O417" s="320"/>
      <c r="P417" s="320"/>
      <c r="Q417" s="320"/>
      <c r="R417" s="320"/>
      <c r="S417" s="320"/>
      <c r="T417" s="320"/>
      <c r="U417" s="320"/>
      <c r="V417" s="409">
        <f t="shared" si="44"/>
        <v>0</v>
      </c>
      <c r="W417" s="320"/>
      <c r="X417" s="320"/>
      <c r="Y417" s="299" t="s">
        <v>510</v>
      </c>
      <c r="Z417" s="299" t="s">
        <v>510</v>
      </c>
      <c r="AA417" s="299" t="s">
        <v>510</v>
      </c>
      <c r="AB417" s="300" t="s">
        <v>511</v>
      </c>
      <c r="AC417" s="299" t="s">
        <v>510</v>
      </c>
      <c r="AD417" s="299" t="s">
        <v>511</v>
      </c>
      <c r="AE417" s="318">
        <v>40</v>
      </c>
      <c r="AF417" s="410">
        <f t="shared" si="45"/>
        <v>40</v>
      </c>
      <c r="AG417" s="299" t="s">
        <v>504</v>
      </c>
      <c r="AH417" s="299"/>
      <c r="AI417" s="306" t="s">
        <v>510</v>
      </c>
      <c r="AJ417" s="306" t="s">
        <v>519</v>
      </c>
      <c r="AK417" s="306" t="s">
        <v>510</v>
      </c>
      <c r="AL417" s="306" t="s">
        <v>511</v>
      </c>
      <c r="AM417" s="303" t="s">
        <v>510</v>
      </c>
      <c r="AN417" s="306" t="s">
        <v>511</v>
      </c>
      <c r="AO417" s="303">
        <v>0</v>
      </c>
      <c r="AP417" s="290">
        <f t="shared" si="46"/>
        <v>0</v>
      </c>
      <c r="AQ417" s="306" t="s">
        <v>593</v>
      </c>
      <c r="AR417" s="306" t="s">
        <v>1339</v>
      </c>
      <c r="AS417" s="306"/>
      <c r="AT417" s="306"/>
      <c r="AU417" s="306"/>
      <c r="AV417" s="306"/>
      <c r="AW417" s="306"/>
      <c r="AX417" s="306"/>
      <c r="AY417" s="306"/>
      <c r="AZ417" s="290">
        <f t="shared" si="47"/>
        <v>0</v>
      </c>
      <c r="BA417" s="306"/>
      <c r="BB417" s="303"/>
      <c r="BC417" s="315">
        <f t="shared" si="42"/>
        <v>2</v>
      </c>
      <c r="BD417" s="316" t="str">
        <f t="shared" si="48"/>
        <v>Habilitado</v>
      </c>
    </row>
    <row r="418" spans="1:56" x14ac:dyDescent="0.25">
      <c r="A418" s="308">
        <v>416</v>
      </c>
      <c r="B418" s="309" t="s">
        <v>1340</v>
      </c>
      <c r="C418" s="310" t="s">
        <v>392</v>
      </c>
      <c r="D418" s="310" t="s">
        <v>123</v>
      </c>
      <c r="E418" s="303" t="s">
        <v>510</v>
      </c>
      <c r="F418" s="303" t="s">
        <v>510</v>
      </c>
      <c r="G418" s="303" t="s">
        <v>510</v>
      </c>
      <c r="H418" s="306" t="s">
        <v>511</v>
      </c>
      <c r="I418" s="303" t="s">
        <v>510</v>
      </c>
      <c r="J418" s="306" t="s">
        <v>511</v>
      </c>
      <c r="K418" s="303">
        <v>40</v>
      </c>
      <c r="L418" s="408">
        <f t="shared" si="43"/>
        <v>40</v>
      </c>
      <c r="M418" s="303" t="s">
        <v>504</v>
      </c>
      <c r="N418" s="303"/>
      <c r="O418" s="311"/>
      <c r="P418" s="311"/>
      <c r="Q418" s="311"/>
      <c r="R418" s="311"/>
      <c r="S418" s="311"/>
      <c r="T418" s="311"/>
      <c r="U418" s="311"/>
      <c r="V418" s="409">
        <f t="shared" si="44"/>
        <v>0</v>
      </c>
      <c r="W418" s="311"/>
      <c r="X418" s="311"/>
      <c r="Y418" s="312"/>
      <c r="Z418" s="312"/>
      <c r="AA418" s="312"/>
      <c r="AB418" s="312"/>
      <c r="AC418" s="312"/>
      <c r="AD418" s="312"/>
      <c r="AE418" s="313"/>
      <c r="AF418" s="410">
        <f t="shared" si="45"/>
        <v>0</v>
      </c>
      <c r="AG418" s="312"/>
      <c r="AH418" s="312"/>
      <c r="AI418" s="303"/>
      <c r="AJ418" s="303"/>
      <c r="AK418" s="303"/>
      <c r="AL418" s="303"/>
      <c r="AM418" s="303"/>
      <c r="AN418" s="303"/>
      <c r="AO418" s="303"/>
      <c r="AP418" s="290">
        <f t="shared" si="46"/>
        <v>0</v>
      </c>
      <c r="AQ418" s="303"/>
      <c r="AR418" s="303"/>
      <c r="AS418" s="303" t="s">
        <v>510</v>
      </c>
      <c r="AT418" s="303" t="s">
        <v>510</v>
      </c>
      <c r="AU418" s="303" t="s">
        <v>510</v>
      </c>
      <c r="AV418" s="303" t="s">
        <v>511</v>
      </c>
      <c r="AW418" s="303" t="s">
        <v>510</v>
      </c>
      <c r="AX418" s="303" t="s">
        <v>511</v>
      </c>
      <c r="AY418" s="303">
        <v>0</v>
      </c>
      <c r="AZ418" s="290">
        <f t="shared" si="47"/>
        <v>0</v>
      </c>
      <c r="BA418" s="303" t="s">
        <v>504</v>
      </c>
      <c r="BB418" s="303"/>
      <c r="BC418" s="315">
        <f t="shared" si="42"/>
        <v>2</v>
      </c>
      <c r="BD418" s="316" t="str">
        <f t="shared" si="48"/>
        <v>Habilitado</v>
      </c>
    </row>
    <row r="419" spans="1:56" ht="25.5" x14ac:dyDescent="0.25">
      <c r="A419" s="308">
        <v>417</v>
      </c>
      <c r="B419" s="309" t="s">
        <v>1341</v>
      </c>
      <c r="C419" s="310" t="s">
        <v>1342</v>
      </c>
      <c r="D419" s="310" t="s">
        <v>1343</v>
      </c>
      <c r="E419" s="306" t="s">
        <v>510</v>
      </c>
      <c r="F419" s="306" t="s">
        <v>510</v>
      </c>
      <c r="G419" s="306" t="s">
        <v>510</v>
      </c>
      <c r="H419" s="306" t="s">
        <v>511</v>
      </c>
      <c r="I419" s="303" t="s">
        <v>510</v>
      </c>
      <c r="J419" s="306" t="s">
        <v>511</v>
      </c>
      <c r="K419" s="306">
        <v>40</v>
      </c>
      <c r="L419" s="408">
        <f t="shared" si="43"/>
        <v>40</v>
      </c>
      <c r="M419" s="303" t="s">
        <v>504</v>
      </c>
      <c r="N419" s="303"/>
      <c r="O419" s="311"/>
      <c r="P419" s="311"/>
      <c r="Q419" s="311"/>
      <c r="R419" s="311"/>
      <c r="S419" s="311"/>
      <c r="T419" s="311"/>
      <c r="U419" s="311"/>
      <c r="V419" s="409">
        <f t="shared" si="44"/>
        <v>0</v>
      </c>
      <c r="W419" s="311"/>
      <c r="X419" s="311"/>
      <c r="Y419" s="300"/>
      <c r="Z419" s="300"/>
      <c r="AA419" s="300"/>
      <c r="AB419" s="300"/>
      <c r="AC419" s="300"/>
      <c r="AD419" s="300"/>
      <c r="AE419" s="318"/>
      <c r="AF419" s="410">
        <f t="shared" si="45"/>
        <v>0</v>
      </c>
      <c r="AG419" s="300"/>
      <c r="AH419" s="300"/>
      <c r="AI419" s="303"/>
      <c r="AJ419" s="303"/>
      <c r="AK419" s="303"/>
      <c r="AL419" s="303"/>
      <c r="AM419" s="303"/>
      <c r="AN419" s="303"/>
      <c r="AO419" s="303"/>
      <c r="AP419" s="290">
        <f t="shared" si="46"/>
        <v>0</v>
      </c>
      <c r="AQ419" s="303"/>
      <c r="AR419" s="303"/>
      <c r="AS419" s="303"/>
      <c r="AT419" s="303"/>
      <c r="AU419" s="303"/>
      <c r="AV419" s="303"/>
      <c r="AW419" s="303"/>
      <c r="AX419" s="303"/>
      <c r="AY419" s="303"/>
      <c r="AZ419" s="290">
        <f t="shared" si="47"/>
        <v>0</v>
      </c>
      <c r="BA419" s="303"/>
      <c r="BB419" s="303"/>
      <c r="BC419" s="315">
        <f t="shared" si="42"/>
        <v>1</v>
      </c>
      <c r="BD419" s="316" t="str">
        <f t="shared" si="48"/>
        <v>Habilitado</v>
      </c>
    </row>
    <row r="420" spans="1:56" ht="38.25" x14ac:dyDescent="0.25">
      <c r="A420" s="308">
        <v>418</v>
      </c>
      <c r="B420" s="309" t="s">
        <v>1344</v>
      </c>
      <c r="C420" s="310" t="s">
        <v>1345</v>
      </c>
      <c r="D420" s="310" t="s">
        <v>1343</v>
      </c>
      <c r="E420" s="311"/>
      <c r="F420" s="311"/>
      <c r="G420" s="311"/>
      <c r="H420" s="311"/>
      <c r="I420" s="311"/>
      <c r="J420" s="311"/>
      <c r="K420" s="311"/>
      <c r="L420" s="408">
        <f t="shared" si="43"/>
        <v>0</v>
      </c>
      <c r="M420" s="311"/>
      <c r="N420" s="303"/>
      <c r="O420" s="311"/>
      <c r="P420" s="311"/>
      <c r="Q420" s="311"/>
      <c r="R420" s="311"/>
      <c r="S420" s="311"/>
      <c r="T420" s="311"/>
      <c r="U420" s="311"/>
      <c r="V420" s="409">
        <f t="shared" si="44"/>
        <v>0</v>
      </c>
      <c r="W420" s="311"/>
      <c r="X420" s="311"/>
      <c r="Y420" s="300"/>
      <c r="Z420" s="300"/>
      <c r="AA420" s="300"/>
      <c r="AB420" s="300"/>
      <c r="AC420" s="300"/>
      <c r="AD420" s="300"/>
      <c r="AE420" s="318"/>
      <c r="AF420" s="410">
        <f t="shared" si="45"/>
        <v>0</v>
      </c>
      <c r="AG420" s="300"/>
      <c r="AH420" s="300"/>
      <c r="AI420" s="303"/>
      <c r="AJ420" s="303"/>
      <c r="AK420" s="303"/>
      <c r="AL420" s="303"/>
      <c r="AM420" s="303"/>
      <c r="AN420" s="303"/>
      <c r="AO420" s="303"/>
      <c r="AP420" s="290">
        <f t="shared" si="46"/>
        <v>0</v>
      </c>
      <c r="AQ420" s="303"/>
      <c r="AR420" s="303"/>
      <c r="AS420" s="303"/>
      <c r="AT420" s="303"/>
      <c r="AU420" s="303"/>
      <c r="AV420" s="303"/>
      <c r="AW420" s="303"/>
      <c r="AX420" s="303"/>
      <c r="AY420" s="303"/>
      <c r="AZ420" s="290">
        <f t="shared" si="47"/>
        <v>0</v>
      </c>
      <c r="BA420" s="303"/>
      <c r="BB420" s="303"/>
      <c r="BC420" s="315">
        <f t="shared" si="42"/>
        <v>0</v>
      </c>
      <c r="BD420" s="316" t="str">
        <f t="shared" si="48"/>
        <v>Desierto</v>
      </c>
    </row>
    <row r="421" spans="1:56" x14ac:dyDescent="0.25">
      <c r="A421" s="308">
        <v>419</v>
      </c>
      <c r="B421" s="309" t="s">
        <v>1346</v>
      </c>
      <c r="C421" s="310" t="s">
        <v>1347</v>
      </c>
      <c r="D421" s="310" t="s">
        <v>144</v>
      </c>
      <c r="E421" s="311"/>
      <c r="F421" s="311"/>
      <c r="G421" s="311"/>
      <c r="H421" s="311"/>
      <c r="I421" s="311"/>
      <c r="J421" s="311"/>
      <c r="K421" s="311"/>
      <c r="L421" s="408">
        <f t="shared" si="43"/>
        <v>0</v>
      </c>
      <c r="M421" s="311"/>
      <c r="N421" s="303"/>
      <c r="O421" s="311"/>
      <c r="P421" s="311"/>
      <c r="Q421" s="311"/>
      <c r="R421" s="311"/>
      <c r="S421" s="311"/>
      <c r="T421" s="311"/>
      <c r="U421" s="311"/>
      <c r="V421" s="409">
        <f t="shared" si="44"/>
        <v>0</v>
      </c>
      <c r="W421" s="311"/>
      <c r="X421" s="311"/>
      <c r="Y421" s="300"/>
      <c r="Z421" s="300"/>
      <c r="AA421" s="300"/>
      <c r="AB421" s="300"/>
      <c r="AC421" s="300"/>
      <c r="AD421" s="300"/>
      <c r="AE421" s="318"/>
      <c r="AF421" s="410">
        <f t="shared" si="45"/>
        <v>0</v>
      </c>
      <c r="AG421" s="300"/>
      <c r="AH421" s="300"/>
      <c r="AI421" s="303"/>
      <c r="AJ421" s="303"/>
      <c r="AK421" s="303"/>
      <c r="AL421" s="303"/>
      <c r="AM421" s="303"/>
      <c r="AN421" s="303"/>
      <c r="AO421" s="303"/>
      <c r="AP421" s="290">
        <f t="shared" si="46"/>
        <v>0</v>
      </c>
      <c r="AQ421" s="303"/>
      <c r="AR421" s="303"/>
      <c r="AS421" s="303" t="s">
        <v>510</v>
      </c>
      <c r="AT421" s="303" t="s">
        <v>510</v>
      </c>
      <c r="AU421" s="303" t="s">
        <v>510</v>
      </c>
      <c r="AV421" s="303" t="s">
        <v>511</v>
      </c>
      <c r="AW421" s="303" t="s">
        <v>510</v>
      </c>
      <c r="AX421" s="303" t="s">
        <v>511</v>
      </c>
      <c r="AY421" s="303">
        <v>0</v>
      </c>
      <c r="AZ421" s="290">
        <f t="shared" si="47"/>
        <v>0</v>
      </c>
      <c r="BA421" s="303" t="s">
        <v>504</v>
      </c>
      <c r="BB421" s="301"/>
      <c r="BC421" s="315">
        <f t="shared" si="42"/>
        <v>1</v>
      </c>
      <c r="BD421" s="316" t="str">
        <f t="shared" si="48"/>
        <v>Habilitado</v>
      </c>
    </row>
    <row r="422" spans="1:56" ht="25.5" x14ac:dyDescent="0.25">
      <c r="A422" s="308">
        <v>420</v>
      </c>
      <c r="B422" s="309" t="s">
        <v>1348</v>
      </c>
      <c r="C422" s="310" t="s">
        <v>1349</v>
      </c>
      <c r="D422" s="310" t="s">
        <v>144</v>
      </c>
      <c r="E422" s="311"/>
      <c r="F422" s="311"/>
      <c r="G422" s="311"/>
      <c r="H422" s="311"/>
      <c r="I422" s="311"/>
      <c r="J422" s="311"/>
      <c r="K422" s="311"/>
      <c r="L422" s="408">
        <f t="shared" si="43"/>
        <v>0</v>
      </c>
      <c r="M422" s="311"/>
      <c r="N422" s="303"/>
      <c r="O422" s="311"/>
      <c r="P422" s="311"/>
      <c r="Q422" s="311"/>
      <c r="R422" s="311"/>
      <c r="S422" s="311"/>
      <c r="T422" s="311"/>
      <c r="U422" s="311"/>
      <c r="V422" s="409">
        <f t="shared" si="44"/>
        <v>0</v>
      </c>
      <c r="W422" s="311"/>
      <c r="X422" s="311"/>
      <c r="Y422" s="312"/>
      <c r="Z422" s="312"/>
      <c r="AA422" s="312"/>
      <c r="AB422" s="312"/>
      <c r="AC422" s="312"/>
      <c r="AD422" s="312"/>
      <c r="AE422" s="313"/>
      <c r="AF422" s="410">
        <f t="shared" si="45"/>
        <v>0</v>
      </c>
      <c r="AG422" s="312"/>
      <c r="AH422" s="312"/>
      <c r="AI422" s="303"/>
      <c r="AJ422" s="303"/>
      <c r="AK422" s="303"/>
      <c r="AL422" s="303"/>
      <c r="AM422" s="303"/>
      <c r="AN422" s="303"/>
      <c r="AO422" s="303"/>
      <c r="AP422" s="290">
        <f t="shared" si="46"/>
        <v>0</v>
      </c>
      <c r="AQ422" s="303"/>
      <c r="AR422" s="303"/>
      <c r="AS422" s="303" t="s">
        <v>510</v>
      </c>
      <c r="AT422" s="303" t="s">
        <v>510</v>
      </c>
      <c r="AU422" s="303" t="s">
        <v>510</v>
      </c>
      <c r="AV422" s="303" t="s">
        <v>511</v>
      </c>
      <c r="AW422" s="303" t="s">
        <v>510</v>
      </c>
      <c r="AX422" s="303" t="s">
        <v>511</v>
      </c>
      <c r="AY422" s="303">
        <v>0</v>
      </c>
      <c r="AZ422" s="290">
        <f t="shared" si="47"/>
        <v>0</v>
      </c>
      <c r="BA422" s="303" t="s">
        <v>504</v>
      </c>
      <c r="BB422" s="301"/>
      <c r="BC422" s="315">
        <f t="shared" si="42"/>
        <v>1</v>
      </c>
      <c r="BD422" s="316" t="str">
        <f t="shared" si="48"/>
        <v>Habilitado</v>
      </c>
    </row>
    <row r="423" spans="1:56" ht="38.25" x14ac:dyDescent="0.25">
      <c r="A423" s="308">
        <v>421</v>
      </c>
      <c r="B423" s="309" t="s">
        <v>1350</v>
      </c>
      <c r="C423" s="310" t="s">
        <v>1351</v>
      </c>
      <c r="D423" s="310" t="s">
        <v>123</v>
      </c>
      <c r="E423" s="303" t="s">
        <v>510</v>
      </c>
      <c r="F423" s="303" t="s">
        <v>510</v>
      </c>
      <c r="G423" s="303" t="s">
        <v>510</v>
      </c>
      <c r="H423" s="303" t="s">
        <v>511</v>
      </c>
      <c r="I423" s="303" t="s">
        <v>510</v>
      </c>
      <c r="J423" s="303" t="s">
        <v>511</v>
      </c>
      <c r="K423" s="303">
        <v>40</v>
      </c>
      <c r="L423" s="408">
        <f t="shared" si="43"/>
        <v>40</v>
      </c>
      <c r="M423" s="303" t="s">
        <v>504</v>
      </c>
      <c r="N423" s="303"/>
      <c r="O423" s="311"/>
      <c r="P423" s="311"/>
      <c r="Q423" s="311"/>
      <c r="R423" s="311"/>
      <c r="S423" s="311"/>
      <c r="T423" s="311"/>
      <c r="U423" s="311"/>
      <c r="V423" s="409">
        <f t="shared" si="44"/>
        <v>0</v>
      </c>
      <c r="W423" s="311"/>
      <c r="X423" s="311"/>
      <c r="Y423" s="312"/>
      <c r="Z423" s="312"/>
      <c r="AA423" s="312"/>
      <c r="AB423" s="312"/>
      <c r="AC423" s="312"/>
      <c r="AD423" s="312"/>
      <c r="AE423" s="313"/>
      <c r="AF423" s="410">
        <f t="shared" si="45"/>
        <v>0</v>
      </c>
      <c r="AG423" s="312"/>
      <c r="AH423" s="312"/>
      <c r="AI423" s="303" t="s">
        <v>510</v>
      </c>
      <c r="AJ423" s="303" t="s">
        <v>510</v>
      </c>
      <c r="AK423" s="303" t="s">
        <v>510</v>
      </c>
      <c r="AL423" s="303" t="s">
        <v>511</v>
      </c>
      <c r="AM423" s="303" t="s">
        <v>510</v>
      </c>
      <c r="AN423" s="303" t="s">
        <v>511</v>
      </c>
      <c r="AO423" s="303">
        <v>20</v>
      </c>
      <c r="AP423" s="290">
        <f t="shared" si="46"/>
        <v>20</v>
      </c>
      <c r="AQ423" s="303" t="s">
        <v>504</v>
      </c>
      <c r="AR423" s="303"/>
      <c r="AS423" s="303"/>
      <c r="AT423" s="303"/>
      <c r="AU423" s="303"/>
      <c r="AV423" s="303"/>
      <c r="AW423" s="303"/>
      <c r="AX423" s="303"/>
      <c r="AY423" s="303"/>
      <c r="AZ423" s="290">
        <f t="shared" si="47"/>
        <v>0</v>
      </c>
      <c r="BA423" s="303"/>
      <c r="BB423" s="301"/>
      <c r="BC423" s="315">
        <f t="shared" si="42"/>
        <v>2</v>
      </c>
      <c r="BD423" s="316" t="str">
        <f t="shared" si="48"/>
        <v>Habilitado</v>
      </c>
    </row>
    <row r="424" spans="1:56" ht="51" x14ac:dyDescent="0.25">
      <c r="A424" s="308">
        <v>422</v>
      </c>
      <c r="B424" s="309" t="s">
        <v>1352</v>
      </c>
      <c r="C424" s="310" t="s">
        <v>1353</v>
      </c>
      <c r="D424" s="310" t="s">
        <v>56</v>
      </c>
      <c r="E424" s="311"/>
      <c r="F424" s="311"/>
      <c r="G424" s="311"/>
      <c r="H424" s="311"/>
      <c r="I424" s="311"/>
      <c r="J424" s="311"/>
      <c r="K424" s="311"/>
      <c r="L424" s="408">
        <f t="shared" si="43"/>
        <v>0</v>
      </c>
      <c r="M424" s="311"/>
      <c r="N424" s="311"/>
      <c r="O424" s="311"/>
      <c r="P424" s="311"/>
      <c r="Q424" s="311"/>
      <c r="R424" s="311"/>
      <c r="S424" s="311"/>
      <c r="T424" s="311"/>
      <c r="U424" s="311"/>
      <c r="V424" s="409">
        <f t="shared" si="44"/>
        <v>0</v>
      </c>
      <c r="W424" s="311"/>
      <c r="X424" s="311"/>
      <c r="Y424" s="312"/>
      <c r="Z424" s="312"/>
      <c r="AA424" s="312"/>
      <c r="AB424" s="312"/>
      <c r="AC424" s="312"/>
      <c r="AD424" s="312"/>
      <c r="AE424" s="313"/>
      <c r="AF424" s="410">
        <f t="shared" si="45"/>
        <v>0</v>
      </c>
      <c r="AG424" s="312"/>
      <c r="AH424" s="317"/>
      <c r="AI424" s="303"/>
      <c r="AJ424" s="303"/>
      <c r="AK424" s="303"/>
      <c r="AL424" s="303"/>
      <c r="AM424" s="303"/>
      <c r="AN424" s="303"/>
      <c r="AO424" s="303"/>
      <c r="AP424" s="290">
        <f t="shared" si="46"/>
        <v>0</v>
      </c>
      <c r="AQ424" s="303"/>
      <c r="AR424" s="301"/>
      <c r="AS424" s="303"/>
      <c r="AT424" s="303"/>
      <c r="AU424" s="303"/>
      <c r="AV424" s="303"/>
      <c r="AW424" s="303"/>
      <c r="AX424" s="303"/>
      <c r="AY424" s="303"/>
      <c r="AZ424" s="290">
        <f t="shared" si="47"/>
        <v>0</v>
      </c>
      <c r="BA424" s="303"/>
      <c r="BB424" s="301" t="s">
        <v>1354</v>
      </c>
      <c r="BC424" s="315">
        <f t="shared" si="42"/>
        <v>0</v>
      </c>
      <c r="BD424" s="316" t="str">
        <f t="shared" si="48"/>
        <v>Desierto</v>
      </c>
    </row>
    <row r="425" spans="1:56" x14ac:dyDescent="0.25">
      <c r="A425" s="308">
        <v>423</v>
      </c>
      <c r="B425" s="309" t="s">
        <v>1355</v>
      </c>
      <c r="C425" s="310" t="s">
        <v>518</v>
      </c>
      <c r="D425" s="310" t="s">
        <v>123</v>
      </c>
      <c r="E425" s="311"/>
      <c r="F425" s="311"/>
      <c r="G425" s="311"/>
      <c r="H425" s="311"/>
      <c r="I425" s="311"/>
      <c r="J425" s="311"/>
      <c r="K425" s="311"/>
      <c r="L425" s="408">
        <f t="shared" si="43"/>
        <v>0</v>
      </c>
      <c r="M425" s="311"/>
      <c r="N425" s="320"/>
      <c r="O425" s="311"/>
      <c r="P425" s="311"/>
      <c r="Q425" s="311"/>
      <c r="R425" s="311"/>
      <c r="S425" s="311"/>
      <c r="T425" s="311"/>
      <c r="U425" s="311"/>
      <c r="V425" s="409">
        <f t="shared" si="44"/>
        <v>0</v>
      </c>
      <c r="W425" s="311"/>
      <c r="X425" s="311"/>
      <c r="Y425" s="312"/>
      <c r="Z425" s="312"/>
      <c r="AA425" s="312"/>
      <c r="AB425" s="312"/>
      <c r="AC425" s="312"/>
      <c r="AD425" s="312"/>
      <c r="AE425" s="313"/>
      <c r="AF425" s="410">
        <f t="shared" si="45"/>
        <v>0</v>
      </c>
      <c r="AG425" s="312"/>
      <c r="AH425" s="317"/>
      <c r="AI425" s="303"/>
      <c r="AJ425" s="303"/>
      <c r="AK425" s="303"/>
      <c r="AL425" s="303"/>
      <c r="AM425" s="303"/>
      <c r="AN425" s="303"/>
      <c r="AO425" s="303"/>
      <c r="AP425" s="290">
        <f t="shared" si="46"/>
        <v>0</v>
      </c>
      <c r="AQ425" s="303"/>
      <c r="AR425" s="301"/>
      <c r="AS425" s="303"/>
      <c r="AT425" s="303"/>
      <c r="AU425" s="303"/>
      <c r="AV425" s="303"/>
      <c r="AW425" s="303"/>
      <c r="AX425" s="303"/>
      <c r="AY425" s="303"/>
      <c r="AZ425" s="290">
        <f t="shared" si="47"/>
        <v>0</v>
      </c>
      <c r="BA425" s="303"/>
      <c r="BB425" s="303"/>
      <c r="BC425" s="315">
        <f t="shared" si="42"/>
        <v>0</v>
      </c>
      <c r="BD425" s="316" t="str">
        <f t="shared" si="48"/>
        <v>Desierto</v>
      </c>
    </row>
    <row r="426" spans="1:56" x14ac:dyDescent="0.25">
      <c r="A426" s="308">
        <v>424</v>
      </c>
      <c r="B426" s="328" t="s">
        <v>1356</v>
      </c>
      <c r="C426" s="329" t="s">
        <v>65</v>
      </c>
      <c r="D426" s="411" t="s">
        <v>299</v>
      </c>
      <c r="E426" s="311"/>
      <c r="F426" s="311"/>
      <c r="G426" s="311"/>
      <c r="H426" s="311"/>
      <c r="I426" s="311"/>
      <c r="J426" s="311"/>
      <c r="K426" s="311"/>
      <c r="L426" s="408">
        <f t="shared" si="43"/>
        <v>0</v>
      </c>
      <c r="M426" s="311"/>
      <c r="N426" s="320"/>
      <c r="O426" s="311"/>
      <c r="P426" s="311"/>
      <c r="Q426" s="311"/>
      <c r="R426" s="311"/>
      <c r="S426" s="311"/>
      <c r="T426" s="311"/>
      <c r="U426" s="311"/>
      <c r="V426" s="409">
        <f t="shared" si="44"/>
        <v>0</v>
      </c>
      <c r="W426" s="311"/>
      <c r="X426" s="311"/>
      <c r="Y426" s="300"/>
      <c r="Z426" s="300"/>
      <c r="AA426" s="300"/>
      <c r="AB426" s="300"/>
      <c r="AC426" s="300"/>
      <c r="AD426" s="300"/>
      <c r="AE426" s="318"/>
      <c r="AF426" s="410">
        <f t="shared" si="45"/>
        <v>0</v>
      </c>
      <c r="AG426" s="300"/>
      <c r="AH426" s="300"/>
      <c r="AI426" s="303"/>
      <c r="AJ426" s="303"/>
      <c r="AK426" s="303"/>
      <c r="AL426" s="303"/>
      <c r="AM426" s="303"/>
      <c r="AN426" s="303"/>
      <c r="AO426" s="303"/>
      <c r="AP426" s="290">
        <f t="shared" si="46"/>
        <v>0</v>
      </c>
      <c r="AQ426" s="303"/>
      <c r="AR426" s="303"/>
      <c r="AS426" s="303" t="s">
        <v>510</v>
      </c>
      <c r="AT426" s="303" t="s">
        <v>510</v>
      </c>
      <c r="AU426" s="303" t="s">
        <v>510</v>
      </c>
      <c r="AV426" s="303" t="s">
        <v>511</v>
      </c>
      <c r="AW426" s="303" t="s">
        <v>510</v>
      </c>
      <c r="AX426" s="303" t="s">
        <v>511</v>
      </c>
      <c r="AY426" s="303">
        <v>0</v>
      </c>
      <c r="AZ426" s="290">
        <f t="shared" si="47"/>
        <v>0</v>
      </c>
      <c r="BA426" s="303" t="s">
        <v>504</v>
      </c>
      <c r="BB426" s="301"/>
      <c r="BC426" s="315">
        <f t="shared" si="42"/>
        <v>1</v>
      </c>
      <c r="BD426" s="316" t="str">
        <f t="shared" si="48"/>
        <v>Habilitado</v>
      </c>
    </row>
    <row r="427" spans="1:56" x14ac:dyDescent="0.25">
      <c r="A427" s="308">
        <v>425</v>
      </c>
      <c r="B427" s="309" t="s">
        <v>1357</v>
      </c>
      <c r="C427" s="310" t="s">
        <v>518</v>
      </c>
      <c r="D427" s="310" t="s">
        <v>1358</v>
      </c>
      <c r="E427" s="311"/>
      <c r="F427" s="311"/>
      <c r="G427" s="311"/>
      <c r="H427" s="311"/>
      <c r="I427" s="311"/>
      <c r="J427" s="311"/>
      <c r="K427" s="311"/>
      <c r="L427" s="408">
        <f t="shared" si="43"/>
        <v>0</v>
      </c>
      <c r="M427" s="311"/>
      <c r="N427" s="311"/>
      <c r="O427" s="311"/>
      <c r="P427" s="311"/>
      <c r="Q427" s="311"/>
      <c r="R427" s="311"/>
      <c r="S427" s="311"/>
      <c r="T427" s="311"/>
      <c r="U427" s="311"/>
      <c r="V427" s="409">
        <f t="shared" si="44"/>
        <v>0</v>
      </c>
      <c r="W427" s="311"/>
      <c r="X427" s="311"/>
      <c r="Y427" s="300"/>
      <c r="Z427" s="300"/>
      <c r="AA427" s="300"/>
      <c r="AB427" s="300"/>
      <c r="AC427" s="300"/>
      <c r="AD427" s="300"/>
      <c r="AE427" s="318"/>
      <c r="AF427" s="410">
        <f t="shared" si="45"/>
        <v>0</v>
      </c>
      <c r="AG427" s="300"/>
      <c r="AH427" s="300"/>
      <c r="AI427" s="303"/>
      <c r="AJ427" s="303"/>
      <c r="AK427" s="303"/>
      <c r="AL427" s="303"/>
      <c r="AM427" s="303"/>
      <c r="AN427" s="303"/>
      <c r="AO427" s="303"/>
      <c r="AP427" s="290">
        <f t="shared" si="46"/>
        <v>0</v>
      </c>
      <c r="AQ427" s="303"/>
      <c r="AR427" s="303"/>
      <c r="AS427" s="303"/>
      <c r="AT427" s="303"/>
      <c r="AU427" s="303"/>
      <c r="AV427" s="303"/>
      <c r="AW427" s="303"/>
      <c r="AX427" s="303"/>
      <c r="AY427" s="303"/>
      <c r="AZ427" s="290">
        <f t="shared" si="47"/>
        <v>0</v>
      </c>
      <c r="BA427" s="303"/>
      <c r="BB427" s="301"/>
      <c r="BC427" s="315">
        <f t="shared" si="42"/>
        <v>0</v>
      </c>
      <c r="BD427" s="316" t="str">
        <f t="shared" si="48"/>
        <v>Desierto</v>
      </c>
    </row>
    <row r="428" spans="1:56" x14ac:dyDescent="0.25">
      <c r="A428" s="308">
        <v>426</v>
      </c>
      <c r="B428" s="309" t="s">
        <v>1359</v>
      </c>
      <c r="C428" s="310" t="s">
        <v>1360</v>
      </c>
      <c r="D428" s="310" t="s">
        <v>1361</v>
      </c>
      <c r="E428" s="303" t="s">
        <v>510</v>
      </c>
      <c r="F428" s="303" t="s">
        <v>510</v>
      </c>
      <c r="G428" s="303" t="s">
        <v>510</v>
      </c>
      <c r="H428" s="303" t="s">
        <v>511</v>
      </c>
      <c r="I428" s="303" t="s">
        <v>510</v>
      </c>
      <c r="J428" s="303" t="s">
        <v>511</v>
      </c>
      <c r="K428" s="303">
        <v>40</v>
      </c>
      <c r="L428" s="408">
        <f t="shared" si="43"/>
        <v>40</v>
      </c>
      <c r="M428" s="303" t="s">
        <v>504</v>
      </c>
      <c r="N428" s="303"/>
      <c r="O428" s="311"/>
      <c r="P428" s="311"/>
      <c r="Q428" s="311"/>
      <c r="R428" s="311"/>
      <c r="S428" s="311"/>
      <c r="T428" s="311"/>
      <c r="U428" s="311"/>
      <c r="V428" s="409">
        <f t="shared" si="44"/>
        <v>0</v>
      </c>
      <c r="W428" s="311"/>
      <c r="X428" s="311"/>
      <c r="Y428" s="312"/>
      <c r="Z428" s="312"/>
      <c r="AA428" s="312"/>
      <c r="AB428" s="312"/>
      <c r="AC428" s="312"/>
      <c r="AD428" s="312"/>
      <c r="AE428" s="313"/>
      <c r="AF428" s="410">
        <f t="shared" si="45"/>
        <v>0</v>
      </c>
      <c r="AG428" s="312"/>
      <c r="AH428" s="317"/>
      <c r="AI428" s="303"/>
      <c r="AJ428" s="303"/>
      <c r="AK428" s="303"/>
      <c r="AL428" s="303"/>
      <c r="AM428" s="303"/>
      <c r="AN428" s="303"/>
      <c r="AO428" s="303"/>
      <c r="AP428" s="290">
        <f t="shared" si="46"/>
        <v>0</v>
      </c>
      <c r="AQ428" s="303"/>
      <c r="AR428" s="301"/>
      <c r="AS428" s="303" t="s">
        <v>510</v>
      </c>
      <c r="AT428" s="303" t="s">
        <v>510</v>
      </c>
      <c r="AU428" s="303" t="s">
        <v>519</v>
      </c>
      <c r="AV428" s="303" t="s">
        <v>511</v>
      </c>
      <c r="AW428" s="303" t="s">
        <v>510</v>
      </c>
      <c r="AX428" s="303" t="s">
        <v>511</v>
      </c>
      <c r="AY428" s="303">
        <v>0</v>
      </c>
      <c r="AZ428" s="290">
        <f t="shared" si="47"/>
        <v>0</v>
      </c>
      <c r="BA428" s="303" t="s">
        <v>520</v>
      </c>
      <c r="BB428" s="306" t="s">
        <v>551</v>
      </c>
      <c r="BC428" s="315">
        <f t="shared" si="42"/>
        <v>1</v>
      </c>
      <c r="BD428" s="316" t="str">
        <f t="shared" si="48"/>
        <v>Habilitado</v>
      </c>
    </row>
    <row r="429" spans="1:56" ht="102" x14ac:dyDescent="0.25">
      <c r="A429" s="308">
        <v>427</v>
      </c>
      <c r="B429" s="309" t="s">
        <v>1362</v>
      </c>
      <c r="C429" s="310" t="s">
        <v>1363</v>
      </c>
      <c r="D429" s="310" t="s">
        <v>144</v>
      </c>
      <c r="E429" s="303" t="s">
        <v>510</v>
      </c>
      <c r="F429" s="303" t="s">
        <v>510</v>
      </c>
      <c r="G429" s="303" t="s">
        <v>510</v>
      </c>
      <c r="H429" s="303" t="s">
        <v>511</v>
      </c>
      <c r="I429" s="303" t="s">
        <v>510</v>
      </c>
      <c r="J429" s="303" t="s">
        <v>511</v>
      </c>
      <c r="K429" s="303">
        <v>40</v>
      </c>
      <c r="L429" s="408">
        <f t="shared" si="43"/>
        <v>40</v>
      </c>
      <c r="M429" s="303" t="s">
        <v>504</v>
      </c>
      <c r="N429" s="303"/>
      <c r="O429" s="311"/>
      <c r="P429" s="311"/>
      <c r="Q429" s="311"/>
      <c r="R429" s="311"/>
      <c r="S429" s="311"/>
      <c r="T429" s="311"/>
      <c r="U429" s="311"/>
      <c r="V429" s="409">
        <f t="shared" si="44"/>
        <v>0</v>
      </c>
      <c r="W429" s="311"/>
      <c r="X429" s="311"/>
      <c r="Y429" s="300" t="s">
        <v>510</v>
      </c>
      <c r="Z429" s="300" t="s">
        <v>510</v>
      </c>
      <c r="AA429" s="300" t="s">
        <v>510</v>
      </c>
      <c r="AB429" s="300" t="s">
        <v>511</v>
      </c>
      <c r="AC429" s="300" t="s">
        <v>510</v>
      </c>
      <c r="AD429" s="300" t="s">
        <v>511</v>
      </c>
      <c r="AE429" s="318">
        <v>40</v>
      </c>
      <c r="AF429" s="410">
        <f t="shared" si="45"/>
        <v>40</v>
      </c>
      <c r="AG429" s="300" t="s">
        <v>504</v>
      </c>
      <c r="AH429" s="300"/>
      <c r="AI429" s="303" t="s">
        <v>510</v>
      </c>
      <c r="AJ429" s="303" t="s">
        <v>510</v>
      </c>
      <c r="AK429" s="303" t="s">
        <v>510</v>
      </c>
      <c r="AL429" s="303" t="s">
        <v>511</v>
      </c>
      <c r="AM429" s="303" t="s">
        <v>510</v>
      </c>
      <c r="AN429" s="303" t="s">
        <v>511</v>
      </c>
      <c r="AO429" s="303">
        <v>20</v>
      </c>
      <c r="AP429" s="290">
        <f t="shared" si="46"/>
        <v>20</v>
      </c>
      <c r="AQ429" s="303" t="s">
        <v>504</v>
      </c>
      <c r="AR429" s="303"/>
      <c r="AS429" s="303"/>
      <c r="AT429" s="303"/>
      <c r="AU429" s="303"/>
      <c r="AV429" s="303"/>
      <c r="AW429" s="303"/>
      <c r="AX429" s="303"/>
      <c r="AY429" s="303"/>
      <c r="AZ429" s="290">
        <f t="shared" si="47"/>
        <v>0</v>
      </c>
      <c r="BA429" s="303"/>
      <c r="BB429" s="389" t="s">
        <v>1364</v>
      </c>
      <c r="BC429" s="315">
        <f t="shared" si="42"/>
        <v>3</v>
      </c>
      <c r="BD429" s="316" t="str">
        <f t="shared" si="48"/>
        <v>Habilitado</v>
      </c>
    </row>
    <row r="430" spans="1:56" ht="25.5" x14ac:dyDescent="0.25">
      <c r="A430" s="324">
        <v>428</v>
      </c>
      <c r="B430" s="331" t="s">
        <v>1365</v>
      </c>
      <c r="C430" s="320" t="s">
        <v>1366</v>
      </c>
      <c r="D430" s="320" t="s">
        <v>1367</v>
      </c>
      <c r="E430" s="320"/>
      <c r="F430" s="320"/>
      <c r="G430" s="320"/>
      <c r="H430" s="320"/>
      <c r="I430" s="311"/>
      <c r="J430" s="320"/>
      <c r="K430" s="320"/>
      <c r="L430" s="408">
        <f t="shared" si="43"/>
        <v>0</v>
      </c>
      <c r="M430" s="311"/>
      <c r="N430" s="320"/>
      <c r="O430" s="320"/>
      <c r="P430" s="320"/>
      <c r="Q430" s="320"/>
      <c r="R430" s="320"/>
      <c r="S430" s="320"/>
      <c r="T430" s="320"/>
      <c r="U430" s="320"/>
      <c r="V430" s="409">
        <f t="shared" si="44"/>
        <v>0</v>
      </c>
      <c r="W430" s="320"/>
      <c r="X430" s="320"/>
      <c r="Y430" s="299"/>
      <c r="Z430" s="299"/>
      <c r="AA430" s="299"/>
      <c r="AB430" s="299"/>
      <c r="AC430" s="299"/>
      <c r="AD430" s="299"/>
      <c r="AE430" s="330"/>
      <c r="AF430" s="410">
        <f t="shared" si="45"/>
        <v>0</v>
      </c>
      <c r="AG430" s="299"/>
      <c r="AH430" s="299"/>
      <c r="AI430" s="306"/>
      <c r="AJ430" s="306"/>
      <c r="AK430" s="306"/>
      <c r="AL430" s="306"/>
      <c r="AM430" s="306"/>
      <c r="AN430" s="306"/>
      <c r="AO430" s="306"/>
      <c r="AP430" s="290">
        <f t="shared" si="46"/>
        <v>0</v>
      </c>
      <c r="AQ430" s="306"/>
      <c r="AR430" s="306"/>
      <c r="AS430" s="306" t="s">
        <v>510</v>
      </c>
      <c r="AT430" s="306" t="s">
        <v>510</v>
      </c>
      <c r="AU430" s="306" t="s">
        <v>510</v>
      </c>
      <c r="AV430" s="306" t="s">
        <v>511</v>
      </c>
      <c r="AW430" s="303" t="s">
        <v>510</v>
      </c>
      <c r="AX430" s="303" t="s">
        <v>511</v>
      </c>
      <c r="AY430" s="306">
        <v>0</v>
      </c>
      <c r="AZ430" s="290">
        <f t="shared" si="47"/>
        <v>0</v>
      </c>
      <c r="BA430" s="303" t="s">
        <v>504</v>
      </c>
      <c r="BB430" s="301"/>
      <c r="BC430" s="315">
        <f t="shared" si="42"/>
        <v>1</v>
      </c>
      <c r="BD430" s="316" t="str">
        <f t="shared" si="48"/>
        <v>Habilitado</v>
      </c>
    </row>
    <row r="431" spans="1:56" ht="25.5" x14ac:dyDescent="0.25">
      <c r="A431" s="324">
        <v>429</v>
      </c>
      <c r="B431" s="331" t="s">
        <v>1368</v>
      </c>
      <c r="C431" s="320" t="s">
        <v>1366</v>
      </c>
      <c r="D431" s="320" t="s">
        <v>1367</v>
      </c>
      <c r="E431" s="320"/>
      <c r="F431" s="320"/>
      <c r="G431" s="320"/>
      <c r="H431" s="320"/>
      <c r="I431" s="311"/>
      <c r="J431" s="320"/>
      <c r="K431" s="320"/>
      <c r="L431" s="408">
        <f t="shared" si="43"/>
        <v>0</v>
      </c>
      <c r="M431" s="311"/>
      <c r="N431" s="320"/>
      <c r="O431" s="320"/>
      <c r="P431" s="320"/>
      <c r="Q431" s="320"/>
      <c r="R431" s="320"/>
      <c r="S431" s="320"/>
      <c r="T431" s="320"/>
      <c r="U431" s="320"/>
      <c r="V431" s="409">
        <f t="shared" si="44"/>
        <v>0</v>
      </c>
      <c r="W431" s="320"/>
      <c r="X431" s="320"/>
      <c r="Y431" s="299"/>
      <c r="Z431" s="299"/>
      <c r="AA431" s="299"/>
      <c r="AB431" s="299"/>
      <c r="AC431" s="299"/>
      <c r="AD431" s="299"/>
      <c r="AE431" s="330"/>
      <c r="AF431" s="410">
        <f t="shared" si="45"/>
        <v>0</v>
      </c>
      <c r="AG431" s="299"/>
      <c r="AH431" s="299"/>
      <c r="AI431" s="306"/>
      <c r="AJ431" s="306"/>
      <c r="AK431" s="306"/>
      <c r="AL431" s="306"/>
      <c r="AM431" s="306"/>
      <c r="AN431" s="306"/>
      <c r="AO431" s="306"/>
      <c r="AP431" s="290">
        <f t="shared" si="46"/>
        <v>0</v>
      </c>
      <c r="AQ431" s="306"/>
      <c r="AR431" s="306"/>
      <c r="AS431" s="306" t="s">
        <v>510</v>
      </c>
      <c r="AT431" s="306" t="s">
        <v>580</v>
      </c>
      <c r="AU431" s="306" t="s">
        <v>510</v>
      </c>
      <c r="AV431" s="306" t="s">
        <v>511</v>
      </c>
      <c r="AW431" s="303" t="s">
        <v>510</v>
      </c>
      <c r="AX431" s="303" t="s">
        <v>511</v>
      </c>
      <c r="AY431" s="303">
        <v>0</v>
      </c>
      <c r="AZ431" s="290">
        <f t="shared" si="47"/>
        <v>0</v>
      </c>
      <c r="BA431" s="306" t="s">
        <v>504</v>
      </c>
      <c r="BB431" s="301"/>
      <c r="BC431" s="315">
        <f t="shared" si="42"/>
        <v>1</v>
      </c>
      <c r="BD431" s="316" t="str">
        <f t="shared" si="48"/>
        <v>Habilitado</v>
      </c>
    </row>
    <row r="432" spans="1:56" ht="89.25" x14ac:dyDescent="0.25">
      <c r="A432" s="308">
        <v>430</v>
      </c>
      <c r="B432" s="309" t="s">
        <v>1369</v>
      </c>
      <c r="C432" s="340" t="s">
        <v>518</v>
      </c>
      <c r="D432" s="340" t="s">
        <v>794</v>
      </c>
      <c r="E432" s="311"/>
      <c r="F432" s="311"/>
      <c r="G432" s="311"/>
      <c r="H432" s="311"/>
      <c r="I432" s="311"/>
      <c r="J432" s="311"/>
      <c r="K432" s="311"/>
      <c r="L432" s="408">
        <f t="shared" si="43"/>
        <v>0</v>
      </c>
      <c r="M432" s="311"/>
      <c r="N432" s="320"/>
      <c r="O432" s="311"/>
      <c r="P432" s="311"/>
      <c r="Q432" s="311"/>
      <c r="R432" s="311"/>
      <c r="S432" s="311"/>
      <c r="T432" s="311"/>
      <c r="U432" s="311"/>
      <c r="V432" s="409">
        <f t="shared" si="44"/>
        <v>0</v>
      </c>
      <c r="W432" s="311"/>
      <c r="X432" s="320"/>
      <c r="Y432" s="300" t="s">
        <v>510</v>
      </c>
      <c r="Z432" s="300" t="s">
        <v>510</v>
      </c>
      <c r="AA432" s="300" t="s">
        <v>510</v>
      </c>
      <c r="AB432" s="300" t="s">
        <v>511</v>
      </c>
      <c r="AC432" s="300" t="s">
        <v>510</v>
      </c>
      <c r="AD432" s="300" t="s">
        <v>511</v>
      </c>
      <c r="AE432" s="318">
        <v>40</v>
      </c>
      <c r="AF432" s="410">
        <f t="shared" si="45"/>
        <v>40</v>
      </c>
      <c r="AG432" s="300" t="s">
        <v>504</v>
      </c>
      <c r="AH432" s="299"/>
      <c r="AI432" s="303" t="s">
        <v>510</v>
      </c>
      <c r="AJ432" s="303" t="s">
        <v>510</v>
      </c>
      <c r="AK432" s="303" t="s">
        <v>510</v>
      </c>
      <c r="AL432" s="303" t="s">
        <v>511</v>
      </c>
      <c r="AM432" s="303" t="s">
        <v>510</v>
      </c>
      <c r="AN432" s="303" t="s">
        <v>511</v>
      </c>
      <c r="AO432" s="303">
        <v>20</v>
      </c>
      <c r="AP432" s="290">
        <f t="shared" si="46"/>
        <v>20</v>
      </c>
      <c r="AQ432" s="303" t="s">
        <v>504</v>
      </c>
      <c r="AR432" s="301" t="s">
        <v>1370</v>
      </c>
      <c r="AS432" s="303"/>
      <c r="AT432" s="303"/>
      <c r="AU432" s="303"/>
      <c r="AV432" s="303"/>
      <c r="AW432" s="303"/>
      <c r="AX432" s="303"/>
      <c r="AY432" s="303"/>
      <c r="AZ432" s="290">
        <f t="shared" si="47"/>
        <v>0</v>
      </c>
      <c r="BA432" s="303"/>
      <c r="BB432" s="301"/>
      <c r="BC432" s="315">
        <f t="shared" si="42"/>
        <v>2</v>
      </c>
      <c r="BD432" s="316" t="str">
        <f t="shared" si="48"/>
        <v>Habilitado</v>
      </c>
    </row>
    <row r="433" spans="1:56" ht="51" x14ac:dyDescent="0.25">
      <c r="A433" s="308">
        <v>431</v>
      </c>
      <c r="B433" s="309" t="s">
        <v>1371</v>
      </c>
      <c r="C433" s="340" t="s">
        <v>1372</v>
      </c>
      <c r="D433" s="340" t="s">
        <v>123</v>
      </c>
      <c r="E433" s="311"/>
      <c r="F433" s="311"/>
      <c r="G433" s="311"/>
      <c r="H433" s="311"/>
      <c r="I433" s="311"/>
      <c r="J433" s="311"/>
      <c r="K433" s="311"/>
      <c r="L433" s="408">
        <f t="shared" si="43"/>
        <v>0</v>
      </c>
      <c r="M433" s="311"/>
      <c r="N433" s="320"/>
      <c r="O433" s="311"/>
      <c r="P433" s="311"/>
      <c r="Q433" s="311"/>
      <c r="R433" s="311"/>
      <c r="S433" s="311"/>
      <c r="T433" s="311"/>
      <c r="U433" s="311"/>
      <c r="V433" s="409">
        <f t="shared" si="44"/>
        <v>0</v>
      </c>
      <c r="W433" s="311"/>
      <c r="X433" s="320"/>
      <c r="Y433" s="312"/>
      <c r="Z433" s="312"/>
      <c r="AA433" s="312"/>
      <c r="AB433" s="312"/>
      <c r="AC433" s="312"/>
      <c r="AD433" s="312"/>
      <c r="AE433" s="313"/>
      <c r="AF433" s="410">
        <f t="shared" si="45"/>
        <v>0</v>
      </c>
      <c r="AG433" s="312"/>
      <c r="AH433" s="317"/>
      <c r="AI433" s="303"/>
      <c r="AJ433" s="303"/>
      <c r="AK433" s="303"/>
      <c r="AL433" s="303"/>
      <c r="AM433" s="303"/>
      <c r="AN433" s="303"/>
      <c r="AO433" s="303"/>
      <c r="AP433" s="290">
        <f t="shared" si="46"/>
        <v>0</v>
      </c>
      <c r="AQ433" s="303"/>
      <c r="AR433" s="301"/>
      <c r="AS433" s="303"/>
      <c r="AT433" s="303"/>
      <c r="AU433" s="303"/>
      <c r="AV433" s="303"/>
      <c r="AW433" s="303"/>
      <c r="AX433" s="303"/>
      <c r="AY433" s="303"/>
      <c r="AZ433" s="290">
        <f t="shared" si="47"/>
        <v>0</v>
      </c>
      <c r="BA433" s="303"/>
      <c r="BB433" s="301"/>
      <c r="BC433" s="315">
        <f t="shared" si="42"/>
        <v>0</v>
      </c>
      <c r="BD433" s="316" t="str">
        <f t="shared" si="48"/>
        <v>Desierto</v>
      </c>
    </row>
    <row r="434" spans="1:56" ht="25.5" x14ac:dyDescent="0.25">
      <c r="A434" s="308">
        <v>432</v>
      </c>
      <c r="B434" s="309" t="s">
        <v>1373</v>
      </c>
      <c r="C434" s="340" t="s">
        <v>873</v>
      </c>
      <c r="D434" s="340" t="s">
        <v>1374</v>
      </c>
      <c r="E434" s="311"/>
      <c r="F434" s="311"/>
      <c r="G434" s="311"/>
      <c r="H434" s="311"/>
      <c r="I434" s="311"/>
      <c r="J434" s="311"/>
      <c r="K434" s="311"/>
      <c r="L434" s="408">
        <f t="shared" si="43"/>
        <v>0</v>
      </c>
      <c r="M434" s="311"/>
      <c r="N434" s="311"/>
      <c r="O434" s="311"/>
      <c r="P434" s="311"/>
      <c r="Q434" s="311"/>
      <c r="R434" s="311"/>
      <c r="S434" s="311"/>
      <c r="T434" s="311"/>
      <c r="U434" s="311"/>
      <c r="V434" s="409">
        <f t="shared" si="44"/>
        <v>0</v>
      </c>
      <c r="W434" s="311"/>
      <c r="X434" s="320"/>
      <c r="Y434" s="312"/>
      <c r="Z434" s="312"/>
      <c r="AA434" s="312"/>
      <c r="AB434" s="312"/>
      <c r="AC434" s="312"/>
      <c r="AD434" s="312"/>
      <c r="AE434" s="313"/>
      <c r="AF434" s="410">
        <f t="shared" si="45"/>
        <v>0</v>
      </c>
      <c r="AG434" s="312"/>
      <c r="AH434" s="317"/>
      <c r="AI434" s="303"/>
      <c r="AJ434" s="303"/>
      <c r="AK434" s="303"/>
      <c r="AL434" s="303"/>
      <c r="AM434" s="303"/>
      <c r="AN434" s="303"/>
      <c r="AO434" s="303"/>
      <c r="AP434" s="290">
        <f t="shared" si="46"/>
        <v>0</v>
      </c>
      <c r="AQ434" s="303"/>
      <c r="AR434" s="301"/>
      <c r="AS434" s="303"/>
      <c r="AT434" s="303"/>
      <c r="AU434" s="303"/>
      <c r="AV434" s="303"/>
      <c r="AW434" s="303"/>
      <c r="AX434" s="303"/>
      <c r="AY434" s="303"/>
      <c r="AZ434" s="290">
        <f t="shared" si="47"/>
        <v>0</v>
      </c>
      <c r="BA434" s="303"/>
      <c r="BB434" s="301"/>
      <c r="BC434" s="315">
        <f t="shared" si="42"/>
        <v>0</v>
      </c>
      <c r="BD434" s="316" t="str">
        <f t="shared" si="48"/>
        <v>Desierto</v>
      </c>
    </row>
    <row r="435" spans="1:56" ht="38.25" x14ac:dyDescent="0.25">
      <c r="A435" s="308">
        <v>433</v>
      </c>
      <c r="B435" s="309" t="s">
        <v>1375</v>
      </c>
      <c r="C435" s="340" t="s">
        <v>873</v>
      </c>
      <c r="D435" s="340" t="s">
        <v>1374</v>
      </c>
      <c r="E435" s="311"/>
      <c r="F435" s="311"/>
      <c r="G435" s="311"/>
      <c r="H435" s="311"/>
      <c r="I435" s="311"/>
      <c r="J435" s="311"/>
      <c r="K435" s="311"/>
      <c r="L435" s="408">
        <f t="shared" si="43"/>
        <v>0</v>
      </c>
      <c r="M435" s="311"/>
      <c r="N435" s="311"/>
      <c r="O435" s="311"/>
      <c r="P435" s="311"/>
      <c r="Q435" s="311"/>
      <c r="R435" s="311"/>
      <c r="S435" s="311"/>
      <c r="T435" s="311"/>
      <c r="U435" s="311"/>
      <c r="V435" s="409">
        <f t="shared" si="44"/>
        <v>0</v>
      </c>
      <c r="W435" s="311"/>
      <c r="X435" s="320"/>
      <c r="Y435" s="312"/>
      <c r="Z435" s="312"/>
      <c r="AA435" s="312"/>
      <c r="AB435" s="312"/>
      <c r="AC435" s="312"/>
      <c r="AD435" s="312"/>
      <c r="AE435" s="313"/>
      <c r="AF435" s="410">
        <f t="shared" si="45"/>
        <v>0</v>
      </c>
      <c r="AG435" s="312"/>
      <c r="AH435" s="317"/>
      <c r="AI435" s="303"/>
      <c r="AJ435" s="303"/>
      <c r="AK435" s="303"/>
      <c r="AL435" s="303"/>
      <c r="AM435" s="303"/>
      <c r="AN435" s="303"/>
      <c r="AO435" s="303"/>
      <c r="AP435" s="290">
        <f t="shared" si="46"/>
        <v>0</v>
      </c>
      <c r="AQ435" s="303"/>
      <c r="AR435" s="301"/>
      <c r="AS435" s="303"/>
      <c r="AT435" s="303"/>
      <c r="AU435" s="303"/>
      <c r="AV435" s="303"/>
      <c r="AW435" s="303"/>
      <c r="AX435" s="303"/>
      <c r="AY435" s="303"/>
      <c r="AZ435" s="290">
        <f t="shared" si="47"/>
        <v>0</v>
      </c>
      <c r="BA435" s="303"/>
      <c r="BB435" s="301"/>
      <c r="BC435" s="315">
        <f t="shared" si="42"/>
        <v>0</v>
      </c>
      <c r="BD435" s="316" t="str">
        <f t="shared" si="48"/>
        <v>Desierto</v>
      </c>
    </row>
    <row r="436" spans="1:56" ht="38.25" x14ac:dyDescent="0.25">
      <c r="A436" s="308">
        <v>434</v>
      </c>
      <c r="B436" s="309" t="s">
        <v>1376</v>
      </c>
      <c r="C436" s="340" t="s">
        <v>1377</v>
      </c>
      <c r="D436" s="340" t="s">
        <v>1378</v>
      </c>
      <c r="E436" s="311"/>
      <c r="F436" s="311"/>
      <c r="G436" s="311"/>
      <c r="H436" s="311"/>
      <c r="I436" s="311"/>
      <c r="J436" s="311"/>
      <c r="K436" s="311"/>
      <c r="L436" s="408">
        <f t="shared" si="43"/>
        <v>0</v>
      </c>
      <c r="M436" s="311"/>
      <c r="N436" s="311"/>
      <c r="O436" s="311"/>
      <c r="P436" s="311"/>
      <c r="Q436" s="311"/>
      <c r="R436" s="311"/>
      <c r="S436" s="311"/>
      <c r="T436" s="311"/>
      <c r="U436" s="311"/>
      <c r="V436" s="409">
        <f t="shared" si="44"/>
        <v>0</v>
      </c>
      <c r="W436" s="311"/>
      <c r="X436" s="320"/>
      <c r="Y436" s="312"/>
      <c r="Z436" s="312"/>
      <c r="AA436" s="312"/>
      <c r="AB436" s="312"/>
      <c r="AC436" s="312"/>
      <c r="AD436" s="312"/>
      <c r="AE436" s="313"/>
      <c r="AF436" s="410">
        <f t="shared" si="45"/>
        <v>0</v>
      </c>
      <c r="AG436" s="312"/>
      <c r="AH436" s="317"/>
      <c r="AI436" s="303"/>
      <c r="AJ436" s="303"/>
      <c r="AK436" s="303"/>
      <c r="AL436" s="303"/>
      <c r="AM436" s="303"/>
      <c r="AN436" s="303"/>
      <c r="AO436" s="303"/>
      <c r="AP436" s="290">
        <f t="shared" si="46"/>
        <v>0</v>
      </c>
      <c r="AQ436" s="303"/>
      <c r="AR436" s="301"/>
      <c r="AS436" s="303"/>
      <c r="AT436" s="303"/>
      <c r="AU436" s="303"/>
      <c r="AV436" s="303"/>
      <c r="AW436" s="303"/>
      <c r="AX436" s="303"/>
      <c r="AY436" s="303"/>
      <c r="AZ436" s="290">
        <f t="shared" si="47"/>
        <v>0</v>
      </c>
      <c r="BA436" s="303"/>
      <c r="BB436" s="301"/>
      <c r="BC436" s="315">
        <f t="shared" si="42"/>
        <v>0</v>
      </c>
      <c r="BD436" s="316" t="str">
        <f t="shared" si="48"/>
        <v>Desierto</v>
      </c>
    </row>
    <row r="437" spans="1:56" ht="38.25" x14ac:dyDescent="0.25">
      <c r="A437" s="308">
        <v>435</v>
      </c>
      <c r="B437" s="309" t="s">
        <v>1379</v>
      </c>
      <c r="C437" s="340" t="s">
        <v>845</v>
      </c>
      <c r="D437" s="340" t="s">
        <v>61</v>
      </c>
      <c r="E437" s="311"/>
      <c r="F437" s="311"/>
      <c r="G437" s="311"/>
      <c r="H437" s="311"/>
      <c r="I437" s="311"/>
      <c r="J437" s="311"/>
      <c r="K437" s="311"/>
      <c r="L437" s="408">
        <f t="shared" si="43"/>
        <v>0</v>
      </c>
      <c r="M437" s="311"/>
      <c r="N437" s="311"/>
      <c r="O437" s="311"/>
      <c r="P437" s="311"/>
      <c r="Q437" s="311"/>
      <c r="R437" s="311"/>
      <c r="S437" s="311"/>
      <c r="T437" s="311"/>
      <c r="U437" s="311"/>
      <c r="V437" s="409">
        <f t="shared" si="44"/>
        <v>0</v>
      </c>
      <c r="W437" s="311"/>
      <c r="X437" s="320"/>
      <c r="Y437" s="312"/>
      <c r="Z437" s="312"/>
      <c r="AA437" s="312"/>
      <c r="AB437" s="312"/>
      <c r="AC437" s="312"/>
      <c r="AD437" s="312"/>
      <c r="AE437" s="313"/>
      <c r="AF437" s="410">
        <f t="shared" si="45"/>
        <v>0</v>
      </c>
      <c r="AG437" s="312"/>
      <c r="AH437" s="317"/>
      <c r="AI437" s="303"/>
      <c r="AJ437" s="303"/>
      <c r="AK437" s="303"/>
      <c r="AL437" s="303"/>
      <c r="AM437" s="303"/>
      <c r="AN437" s="303"/>
      <c r="AO437" s="303"/>
      <c r="AP437" s="290">
        <f t="shared" si="46"/>
        <v>0</v>
      </c>
      <c r="AQ437" s="303"/>
      <c r="AR437" s="301"/>
      <c r="AS437" s="303"/>
      <c r="AT437" s="303"/>
      <c r="AU437" s="303"/>
      <c r="AV437" s="303"/>
      <c r="AW437" s="303"/>
      <c r="AX437" s="303"/>
      <c r="AY437" s="303"/>
      <c r="AZ437" s="290">
        <f t="shared" si="47"/>
        <v>0</v>
      </c>
      <c r="BA437" s="303"/>
      <c r="BB437" s="301"/>
      <c r="BC437" s="315">
        <f t="shared" si="42"/>
        <v>0</v>
      </c>
      <c r="BD437" s="316" t="str">
        <f t="shared" si="48"/>
        <v>Desierto</v>
      </c>
    </row>
    <row r="438" spans="1:56" ht="40.5" customHeight="1" x14ac:dyDescent="0.25">
      <c r="A438" s="308">
        <v>436</v>
      </c>
      <c r="B438" s="309" t="s">
        <v>1380</v>
      </c>
      <c r="C438" s="310" t="s">
        <v>1381</v>
      </c>
      <c r="D438" s="310" t="s">
        <v>481</v>
      </c>
      <c r="E438" s="303" t="s">
        <v>510</v>
      </c>
      <c r="F438" s="303" t="s">
        <v>510</v>
      </c>
      <c r="G438" s="303" t="s">
        <v>510</v>
      </c>
      <c r="H438" s="303" t="s">
        <v>511</v>
      </c>
      <c r="I438" s="303" t="s">
        <v>510</v>
      </c>
      <c r="J438" s="303" t="s">
        <v>511</v>
      </c>
      <c r="K438" s="303">
        <v>40</v>
      </c>
      <c r="L438" s="408">
        <f t="shared" si="43"/>
        <v>40</v>
      </c>
      <c r="M438" s="303" t="s">
        <v>504</v>
      </c>
      <c r="N438" s="303"/>
      <c r="O438" s="311"/>
      <c r="P438" s="311"/>
      <c r="Q438" s="311"/>
      <c r="R438" s="311"/>
      <c r="S438" s="311"/>
      <c r="T438" s="311"/>
      <c r="U438" s="311"/>
      <c r="V438" s="409">
        <f t="shared" si="44"/>
        <v>0</v>
      </c>
      <c r="W438" s="311"/>
      <c r="X438" s="311"/>
      <c r="Y438" s="312"/>
      <c r="Z438" s="312"/>
      <c r="AA438" s="312"/>
      <c r="AB438" s="312"/>
      <c r="AC438" s="312"/>
      <c r="AD438" s="312"/>
      <c r="AE438" s="313"/>
      <c r="AF438" s="410">
        <f t="shared" si="45"/>
        <v>0</v>
      </c>
      <c r="AG438" s="312"/>
      <c r="AH438" s="317"/>
      <c r="AI438" s="303"/>
      <c r="AJ438" s="303"/>
      <c r="AK438" s="303"/>
      <c r="AL438" s="303"/>
      <c r="AM438" s="303"/>
      <c r="AN438" s="303"/>
      <c r="AO438" s="303"/>
      <c r="AP438" s="290">
        <f t="shared" si="46"/>
        <v>0</v>
      </c>
      <c r="AQ438" s="303"/>
      <c r="AR438" s="301"/>
      <c r="AS438" s="303"/>
      <c r="AT438" s="303"/>
      <c r="AU438" s="303"/>
      <c r="AV438" s="303"/>
      <c r="AW438" s="303"/>
      <c r="AX438" s="303"/>
      <c r="AY438" s="303"/>
      <c r="AZ438" s="290">
        <f t="shared" si="47"/>
        <v>0</v>
      </c>
      <c r="BA438" s="303"/>
      <c r="BB438" s="301"/>
      <c r="BC438" s="315">
        <f t="shared" si="42"/>
        <v>1</v>
      </c>
      <c r="BD438" s="316" t="str">
        <f t="shared" si="48"/>
        <v>Habilitado</v>
      </c>
    </row>
    <row r="439" spans="1:56" ht="51" x14ac:dyDescent="0.25">
      <c r="A439" s="308">
        <v>437</v>
      </c>
      <c r="B439" s="309" t="s">
        <v>1382</v>
      </c>
      <c r="C439" s="310" t="s">
        <v>1381</v>
      </c>
      <c r="D439" s="310" t="s">
        <v>481</v>
      </c>
      <c r="E439" s="303" t="s">
        <v>510</v>
      </c>
      <c r="F439" s="303" t="s">
        <v>510</v>
      </c>
      <c r="G439" s="303" t="s">
        <v>510</v>
      </c>
      <c r="H439" s="303" t="s">
        <v>511</v>
      </c>
      <c r="I439" s="303" t="s">
        <v>510</v>
      </c>
      <c r="J439" s="303" t="s">
        <v>511</v>
      </c>
      <c r="K439" s="303">
        <v>40</v>
      </c>
      <c r="L439" s="408">
        <f t="shared" si="43"/>
        <v>40</v>
      </c>
      <c r="M439" s="303" t="s">
        <v>504</v>
      </c>
      <c r="N439" s="303"/>
      <c r="O439" s="311"/>
      <c r="P439" s="311"/>
      <c r="Q439" s="311"/>
      <c r="R439" s="311"/>
      <c r="S439" s="311"/>
      <c r="T439" s="311"/>
      <c r="U439" s="311"/>
      <c r="V439" s="409">
        <f t="shared" si="44"/>
        <v>0</v>
      </c>
      <c r="W439" s="311"/>
      <c r="X439" s="311"/>
      <c r="Y439" s="312"/>
      <c r="Z439" s="312"/>
      <c r="AA439" s="312"/>
      <c r="AB439" s="312"/>
      <c r="AC439" s="312"/>
      <c r="AD439" s="312"/>
      <c r="AE439" s="313"/>
      <c r="AF439" s="410">
        <f t="shared" si="45"/>
        <v>0</v>
      </c>
      <c r="AG439" s="312"/>
      <c r="AH439" s="317"/>
      <c r="AI439" s="303" t="s">
        <v>510</v>
      </c>
      <c r="AJ439" s="303" t="s">
        <v>510</v>
      </c>
      <c r="AK439" s="303" t="s">
        <v>510</v>
      </c>
      <c r="AL439" s="303" t="s">
        <v>511</v>
      </c>
      <c r="AM439" s="303" t="s">
        <v>510</v>
      </c>
      <c r="AN439" s="303" t="s">
        <v>511</v>
      </c>
      <c r="AO439" s="303">
        <v>20</v>
      </c>
      <c r="AP439" s="290">
        <f t="shared" si="46"/>
        <v>20</v>
      </c>
      <c r="AQ439" s="303" t="s">
        <v>504</v>
      </c>
      <c r="AR439" s="301"/>
      <c r="AS439" s="303"/>
      <c r="AT439" s="303"/>
      <c r="AU439" s="303"/>
      <c r="AV439" s="303"/>
      <c r="AW439" s="303"/>
      <c r="AX439" s="303"/>
      <c r="AY439" s="303"/>
      <c r="AZ439" s="290">
        <f t="shared" si="47"/>
        <v>0</v>
      </c>
      <c r="BA439" s="303"/>
      <c r="BB439" s="301"/>
      <c r="BC439" s="315">
        <f t="shared" si="42"/>
        <v>2</v>
      </c>
      <c r="BD439" s="316" t="str">
        <f t="shared" si="48"/>
        <v>Habilitado</v>
      </c>
    </row>
    <row r="440" spans="1:56" ht="51" x14ac:dyDescent="0.25">
      <c r="A440" s="308">
        <v>438</v>
      </c>
      <c r="B440" s="309" t="s">
        <v>1383</v>
      </c>
      <c r="C440" s="310" t="s">
        <v>1381</v>
      </c>
      <c r="D440" s="310" t="s">
        <v>481</v>
      </c>
      <c r="E440" s="303" t="s">
        <v>510</v>
      </c>
      <c r="F440" s="303" t="s">
        <v>510</v>
      </c>
      <c r="G440" s="303" t="s">
        <v>510</v>
      </c>
      <c r="H440" s="303" t="s">
        <v>511</v>
      </c>
      <c r="I440" s="303" t="s">
        <v>510</v>
      </c>
      <c r="J440" s="303" t="s">
        <v>511</v>
      </c>
      <c r="K440" s="303">
        <v>40</v>
      </c>
      <c r="L440" s="408">
        <f t="shared" si="43"/>
        <v>40</v>
      </c>
      <c r="M440" s="303" t="s">
        <v>504</v>
      </c>
      <c r="N440" s="303"/>
      <c r="O440" s="311"/>
      <c r="P440" s="311"/>
      <c r="Q440" s="311"/>
      <c r="R440" s="311"/>
      <c r="S440" s="311"/>
      <c r="T440" s="311"/>
      <c r="U440" s="311"/>
      <c r="V440" s="409">
        <f t="shared" si="44"/>
        <v>0</v>
      </c>
      <c r="W440" s="311"/>
      <c r="X440" s="311"/>
      <c r="Y440" s="312"/>
      <c r="Z440" s="312"/>
      <c r="AA440" s="312"/>
      <c r="AB440" s="312"/>
      <c r="AC440" s="312"/>
      <c r="AD440" s="312"/>
      <c r="AE440" s="313"/>
      <c r="AF440" s="410">
        <f t="shared" si="45"/>
        <v>0</v>
      </c>
      <c r="AG440" s="312"/>
      <c r="AH440" s="317"/>
      <c r="AI440" s="303" t="s">
        <v>510</v>
      </c>
      <c r="AJ440" s="303" t="s">
        <v>510</v>
      </c>
      <c r="AK440" s="303" t="s">
        <v>510</v>
      </c>
      <c r="AL440" s="303" t="s">
        <v>511</v>
      </c>
      <c r="AM440" s="303" t="s">
        <v>510</v>
      </c>
      <c r="AN440" s="303" t="s">
        <v>511</v>
      </c>
      <c r="AO440" s="303">
        <v>20</v>
      </c>
      <c r="AP440" s="290">
        <f t="shared" si="46"/>
        <v>20</v>
      </c>
      <c r="AQ440" s="303" t="s">
        <v>504</v>
      </c>
      <c r="AR440" s="301"/>
      <c r="AS440" s="303"/>
      <c r="AT440" s="303"/>
      <c r="AU440" s="303"/>
      <c r="AV440" s="303"/>
      <c r="AW440" s="303"/>
      <c r="AX440" s="303"/>
      <c r="AY440" s="303"/>
      <c r="AZ440" s="290">
        <f t="shared" si="47"/>
        <v>0</v>
      </c>
      <c r="BA440" s="303"/>
      <c r="BB440" s="301"/>
      <c r="BC440" s="315">
        <f t="shared" si="42"/>
        <v>2</v>
      </c>
      <c r="BD440" s="316" t="str">
        <f t="shared" si="48"/>
        <v>Habilitado</v>
      </c>
    </row>
    <row r="441" spans="1:56" ht="51" x14ac:dyDescent="0.25">
      <c r="A441" s="308">
        <v>439</v>
      </c>
      <c r="B441" s="309" t="s">
        <v>1384</v>
      </c>
      <c r="C441" s="310" t="s">
        <v>1381</v>
      </c>
      <c r="D441" s="310" t="s">
        <v>481</v>
      </c>
      <c r="E441" s="303" t="s">
        <v>510</v>
      </c>
      <c r="F441" s="303" t="s">
        <v>510</v>
      </c>
      <c r="G441" s="303" t="s">
        <v>510</v>
      </c>
      <c r="H441" s="303" t="s">
        <v>511</v>
      </c>
      <c r="I441" s="303" t="s">
        <v>510</v>
      </c>
      <c r="J441" s="303" t="s">
        <v>511</v>
      </c>
      <c r="K441" s="303">
        <v>40</v>
      </c>
      <c r="L441" s="408">
        <f t="shared" si="43"/>
        <v>40</v>
      </c>
      <c r="M441" s="303" t="s">
        <v>504</v>
      </c>
      <c r="N441" s="303"/>
      <c r="O441" s="311"/>
      <c r="P441" s="311"/>
      <c r="Q441" s="311"/>
      <c r="R441" s="311"/>
      <c r="S441" s="311"/>
      <c r="T441" s="311"/>
      <c r="U441" s="311"/>
      <c r="V441" s="409">
        <f t="shared" si="44"/>
        <v>0</v>
      </c>
      <c r="W441" s="311"/>
      <c r="X441" s="311"/>
      <c r="Y441" s="312"/>
      <c r="Z441" s="312"/>
      <c r="AA441" s="312"/>
      <c r="AB441" s="312"/>
      <c r="AC441" s="312"/>
      <c r="AD441" s="312"/>
      <c r="AE441" s="313"/>
      <c r="AF441" s="410">
        <f t="shared" si="45"/>
        <v>0</v>
      </c>
      <c r="AG441" s="312"/>
      <c r="AH441" s="317"/>
      <c r="AI441" s="303" t="s">
        <v>510</v>
      </c>
      <c r="AJ441" s="303" t="s">
        <v>510</v>
      </c>
      <c r="AK441" s="303" t="s">
        <v>510</v>
      </c>
      <c r="AL441" s="303" t="s">
        <v>511</v>
      </c>
      <c r="AM441" s="303" t="s">
        <v>510</v>
      </c>
      <c r="AN441" s="303" t="s">
        <v>511</v>
      </c>
      <c r="AO441" s="303">
        <v>20</v>
      </c>
      <c r="AP441" s="290">
        <f t="shared" si="46"/>
        <v>20</v>
      </c>
      <c r="AQ441" s="303" t="s">
        <v>504</v>
      </c>
      <c r="AR441" s="301"/>
      <c r="AS441" s="303"/>
      <c r="AT441" s="303"/>
      <c r="AU441" s="303"/>
      <c r="AV441" s="303"/>
      <c r="AW441" s="303"/>
      <c r="AX441" s="303"/>
      <c r="AY441" s="303"/>
      <c r="AZ441" s="290">
        <f t="shared" si="47"/>
        <v>0</v>
      </c>
      <c r="BA441" s="303"/>
      <c r="BB441" s="301"/>
      <c r="BC441" s="315">
        <f t="shared" si="42"/>
        <v>2</v>
      </c>
      <c r="BD441" s="316" t="str">
        <f t="shared" si="48"/>
        <v>Habilitado</v>
      </c>
    </row>
    <row r="442" spans="1:56" ht="51" x14ac:dyDescent="0.25">
      <c r="A442" s="308">
        <v>440</v>
      </c>
      <c r="B442" s="309" t="s">
        <v>1385</v>
      </c>
      <c r="C442" s="310" t="s">
        <v>1381</v>
      </c>
      <c r="D442" s="310" t="s">
        <v>481</v>
      </c>
      <c r="E442" s="307" t="s">
        <v>510</v>
      </c>
      <c r="F442" s="307" t="s">
        <v>510</v>
      </c>
      <c r="G442" s="307" t="s">
        <v>510</v>
      </c>
      <c r="H442" s="307" t="s">
        <v>511</v>
      </c>
      <c r="I442" s="307" t="s">
        <v>510</v>
      </c>
      <c r="J442" s="307" t="s">
        <v>511</v>
      </c>
      <c r="K442" s="307">
        <v>40</v>
      </c>
      <c r="L442" s="408">
        <f t="shared" si="43"/>
        <v>40</v>
      </c>
      <c r="M442" s="303" t="s">
        <v>504</v>
      </c>
      <c r="N442" s="307"/>
      <c r="O442" s="311"/>
      <c r="P442" s="311"/>
      <c r="Q442" s="311"/>
      <c r="R442" s="311"/>
      <c r="S442" s="311"/>
      <c r="T442" s="311"/>
      <c r="U442" s="311"/>
      <c r="V442" s="409">
        <f t="shared" si="44"/>
        <v>0</v>
      </c>
      <c r="W442" s="311"/>
      <c r="X442" s="311"/>
      <c r="Y442" s="312"/>
      <c r="Z442" s="312"/>
      <c r="AA442" s="312"/>
      <c r="AB442" s="312"/>
      <c r="AC442" s="312"/>
      <c r="AD442" s="312"/>
      <c r="AE442" s="313"/>
      <c r="AF442" s="410">
        <f t="shared" si="45"/>
        <v>0</v>
      </c>
      <c r="AG442" s="312"/>
      <c r="AH442" s="317"/>
      <c r="AI442" s="303" t="s">
        <v>510</v>
      </c>
      <c r="AJ442" s="303" t="s">
        <v>510</v>
      </c>
      <c r="AK442" s="303" t="s">
        <v>510</v>
      </c>
      <c r="AL442" s="303" t="s">
        <v>511</v>
      </c>
      <c r="AM442" s="303" t="s">
        <v>510</v>
      </c>
      <c r="AN442" s="303" t="s">
        <v>511</v>
      </c>
      <c r="AO442" s="303">
        <v>20</v>
      </c>
      <c r="AP442" s="290">
        <f t="shared" si="46"/>
        <v>20</v>
      </c>
      <c r="AQ442" s="303" t="s">
        <v>504</v>
      </c>
      <c r="AR442" s="301"/>
      <c r="AS442" s="303"/>
      <c r="AT442" s="303"/>
      <c r="AU442" s="303"/>
      <c r="AV442" s="303"/>
      <c r="AW442" s="303"/>
      <c r="AX442" s="303"/>
      <c r="AY442" s="303"/>
      <c r="AZ442" s="290">
        <f t="shared" si="47"/>
        <v>0</v>
      </c>
      <c r="BA442" s="303"/>
      <c r="BB442" s="301"/>
      <c r="BC442" s="315">
        <f t="shared" si="42"/>
        <v>2</v>
      </c>
      <c r="BD442" s="316" t="str">
        <f t="shared" si="48"/>
        <v>Habilitado</v>
      </c>
    </row>
    <row r="443" spans="1:56" ht="63.75" x14ac:dyDescent="0.25">
      <c r="A443" s="308">
        <v>441</v>
      </c>
      <c r="B443" s="309" t="s">
        <v>1386</v>
      </c>
      <c r="C443" s="310" t="s">
        <v>1387</v>
      </c>
      <c r="D443" s="310" t="s">
        <v>481</v>
      </c>
      <c r="E443" s="307" t="s">
        <v>510</v>
      </c>
      <c r="F443" s="307" t="s">
        <v>510</v>
      </c>
      <c r="G443" s="307" t="s">
        <v>510</v>
      </c>
      <c r="H443" s="307" t="s">
        <v>511</v>
      </c>
      <c r="I443" s="307" t="s">
        <v>510</v>
      </c>
      <c r="J443" s="307" t="s">
        <v>511</v>
      </c>
      <c r="K443" s="307">
        <v>40</v>
      </c>
      <c r="L443" s="408">
        <f t="shared" si="43"/>
        <v>40</v>
      </c>
      <c r="M443" s="303" t="s">
        <v>504</v>
      </c>
      <c r="N443" s="341"/>
      <c r="O443" s="311"/>
      <c r="P443" s="311"/>
      <c r="Q443" s="311"/>
      <c r="R443" s="311"/>
      <c r="S443" s="311"/>
      <c r="T443" s="311"/>
      <c r="U443" s="311"/>
      <c r="V443" s="409">
        <f t="shared" si="44"/>
        <v>0</v>
      </c>
      <c r="W443" s="311"/>
      <c r="X443" s="320"/>
      <c r="Y443" s="312"/>
      <c r="Z443" s="312"/>
      <c r="AA443" s="312"/>
      <c r="AB443" s="312"/>
      <c r="AC443" s="312"/>
      <c r="AD443" s="312"/>
      <c r="AE443" s="313"/>
      <c r="AF443" s="410">
        <f t="shared" si="45"/>
        <v>0</v>
      </c>
      <c r="AG443" s="312"/>
      <c r="AH443" s="317"/>
      <c r="AI443" s="303"/>
      <c r="AJ443" s="303"/>
      <c r="AK443" s="303"/>
      <c r="AL443" s="303"/>
      <c r="AM443" s="303"/>
      <c r="AN443" s="303"/>
      <c r="AO443" s="303"/>
      <c r="AP443" s="290">
        <f t="shared" si="46"/>
        <v>0</v>
      </c>
      <c r="AQ443" s="303"/>
      <c r="AR443" s="301"/>
      <c r="AS443" s="303"/>
      <c r="AT443" s="303"/>
      <c r="AU443" s="303"/>
      <c r="AV443" s="303"/>
      <c r="AW443" s="303"/>
      <c r="AX443" s="303"/>
      <c r="AY443" s="303"/>
      <c r="AZ443" s="290">
        <f t="shared" si="47"/>
        <v>0</v>
      </c>
      <c r="BA443" s="303"/>
      <c r="BB443" s="301"/>
      <c r="BC443" s="315">
        <f t="shared" si="42"/>
        <v>1</v>
      </c>
      <c r="BD443" s="316" t="str">
        <f t="shared" si="48"/>
        <v>Habilitado</v>
      </c>
    </row>
    <row r="444" spans="1:56" ht="52.5" customHeight="1" x14ac:dyDescent="0.25">
      <c r="A444" s="308">
        <v>442</v>
      </c>
      <c r="B444" s="309" t="s">
        <v>1388</v>
      </c>
      <c r="C444" s="310" t="s">
        <v>1381</v>
      </c>
      <c r="D444" s="310" t="s">
        <v>481</v>
      </c>
      <c r="E444" s="307" t="s">
        <v>510</v>
      </c>
      <c r="F444" s="307" t="s">
        <v>510</v>
      </c>
      <c r="G444" s="307" t="s">
        <v>510</v>
      </c>
      <c r="H444" s="307" t="s">
        <v>511</v>
      </c>
      <c r="I444" s="307" t="s">
        <v>510</v>
      </c>
      <c r="J444" s="307" t="s">
        <v>511</v>
      </c>
      <c r="K444" s="307">
        <v>40</v>
      </c>
      <c r="L444" s="408">
        <f t="shared" si="43"/>
        <v>40</v>
      </c>
      <c r="M444" s="303" t="s">
        <v>504</v>
      </c>
      <c r="N444" s="306"/>
      <c r="O444" s="311"/>
      <c r="P444" s="311"/>
      <c r="Q444" s="311"/>
      <c r="R444" s="311"/>
      <c r="S444" s="311"/>
      <c r="T444" s="311"/>
      <c r="U444" s="311"/>
      <c r="V444" s="409">
        <f t="shared" si="44"/>
        <v>0</v>
      </c>
      <c r="W444" s="311"/>
      <c r="X444" s="320"/>
      <c r="Y444" s="312"/>
      <c r="Z444" s="312"/>
      <c r="AA444" s="312"/>
      <c r="AB444" s="312"/>
      <c r="AC444" s="312"/>
      <c r="AD444" s="312"/>
      <c r="AE444" s="313"/>
      <c r="AF444" s="410">
        <f t="shared" si="45"/>
        <v>0</v>
      </c>
      <c r="AG444" s="312"/>
      <c r="AH444" s="317"/>
      <c r="AI444" s="303" t="s">
        <v>510</v>
      </c>
      <c r="AJ444" s="303" t="s">
        <v>510</v>
      </c>
      <c r="AK444" s="303" t="s">
        <v>510</v>
      </c>
      <c r="AL444" s="303" t="s">
        <v>511</v>
      </c>
      <c r="AM444" s="303" t="s">
        <v>510</v>
      </c>
      <c r="AN444" s="303" t="s">
        <v>511</v>
      </c>
      <c r="AO444" s="303">
        <v>20</v>
      </c>
      <c r="AP444" s="290">
        <f t="shared" si="46"/>
        <v>20</v>
      </c>
      <c r="AQ444" s="303" t="s">
        <v>504</v>
      </c>
      <c r="AR444" s="301" t="s">
        <v>1389</v>
      </c>
      <c r="AS444" s="303"/>
      <c r="AT444" s="303"/>
      <c r="AU444" s="303"/>
      <c r="AV444" s="303"/>
      <c r="AW444" s="303"/>
      <c r="AX444" s="303"/>
      <c r="AY444" s="303"/>
      <c r="AZ444" s="290">
        <f t="shared" si="47"/>
        <v>0</v>
      </c>
      <c r="BA444" s="303"/>
      <c r="BB444" s="301"/>
      <c r="BC444" s="315">
        <f t="shared" si="42"/>
        <v>2</v>
      </c>
      <c r="BD444" s="316" t="str">
        <f t="shared" si="48"/>
        <v>Habilitado</v>
      </c>
    </row>
    <row r="445" spans="1:56" ht="64.5" customHeight="1" x14ac:dyDescent="0.25">
      <c r="A445" s="308">
        <v>443</v>
      </c>
      <c r="B445" s="309" t="s">
        <v>1390</v>
      </c>
      <c r="C445" s="310" t="s">
        <v>1381</v>
      </c>
      <c r="D445" s="310" t="s">
        <v>481</v>
      </c>
      <c r="E445" s="307" t="s">
        <v>510</v>
      </c>
      <c r="F445" s="307" t="s">
        <v>510</v>
      </c>
      <c r="G445" s="307" t="s">
        <v>510</v>
      </c>
      <c r="H445" s="307" t="s">
        <v>511</v>
      </c>
      <c r="I445" s="307" t="s">
        <v>510</v>
      </c>
      <c r="J445" s="307" t="s">
        <v>511</v>
      </c>
      <c r="K445" s="307">
        <v>40</v>
      </c>
      <c r="L445" s="408">
        <f t="shared" si="43"/>
        <v>40</v>
      </c>
      <c r="M445" s="303" t="s">
        <v>504</v>
      </c>
      <c r="N445" s="306"/>
      <c r="O445" s="311"/>
      <c r="P445" s="311"/>
      <c r="Q445" s="311"/>
      <c r="R445" s="311"/>
      <c r="S445" s="311"/>
      <c r="T445" s="311"/>
      <c r="U445" s="311"/>
      <c r="V445" s="409">
        <f t="shared" si="44"/>
        <v>0</v>
      </c>
      <c r="W445" s="311"/>
      <c r="X445" s="320"/>
      <c r="Y445" s="312"/>
      <c r="Z445" s="312"/>
      <c r="AA445" s="312"/>
      <c r="AB445" s="312"/>
      <c r="AC445" s="312"/>
      <c r="AD445" s="312"/>
      <c r="AE445" s="313"/>
      <c r="AF445" s="410">
        <f t="shared" si="45"/>
        <v>0</v>
      </c>
      <c r="AG445" s="312"/>
      <c r="AH445" s="317"/>
      <c r="AI445" s="303" t="s">
        <v>510</v>
      </c>
      <c r="AJ445" s="303" t="s">
        <v>510</v>
      </c>
      <c r="AK445" s="303" t="s">
        <v>510</v>
      </c>
      <c r="AL445" s="303" t="s">
        <v>511</v>
      </c>
      <c r="AM445" s="303" t="s">
        <v>510</v>
      </c>
      <c r="AN445" s="303" t="s">
        <v>511</v>
      </c>
      <c r="AO445" s="303">
        <v>20</v>
      </c>
      <c r="AP445" s="290">
        <f t="shared" si="46"/>
        <v>20</v>
      </c>
      <c r="AQ445" s="303" t="s">
        <v>504</v>
      </c>
      <c r="AR445" s="301" t="s">
        <v>1391</v>
      </c>
      <c r="AS445" s="303"/>
      <c r="AT445" s="303"/>
      <c r="AU445" s="303"/>
      <c r="AV445" s="303"/>
      <c r="AW445" s="303"/>
      <c r="AX445" s="303"/>
      <c r="AY445" s="303"/>
      <c r="AZ445" s="290">
        <f t="shared" si="47"/>
        <v>0</v>
      </c>
      <c r="BA445" s="303"/>
      <c r="BB445" s="301"/>
      <c r="BC445" s="315">
        <f t="shared" si="42"/>
        <v>2</v>
      </c>
      <c r="BD445" s="316" t="str">
        <f t="shared" si="48"/>
        <v>Habilitado</v>
      </c>
    </row>
    <row r="446" spans="1:56" ht="47.25" customHeight="1" x14ac:dyDescent="0.25">
      <c r="A446" s="308">
        <v>444</v>
      </c>
      <c r="B446" s="309" t="s">
        <v>1392</v>
      </c>
      <c r="C446" s="310" t="s">
        <v>1381</v>
      </c>
      <c r="D446" s="310" t="s">
        <v>481</v>
      </c>
      <c r="E446" s="311"/>
      <c r="F446" s="311"/>
      <c r="G446" s="311"/>
      <c r="H446" s="311"/>
      <c r="I446" s="311"/>
      <c r="J446" s="311"/>
      <c r="K446" s="311"/>
      <c r="L446" s="408">
        <f t="shared" si="43"/>
        <v>0</v>
      </c>
      <c r="M446" s="311"/>
      <c r="N446" s="320"/>
      <c r="O446" s="311"/>
      <c r="P446" s="311"/>
      <c r="Q446" s="311"/>
      <c r="R446" s="311"/>
      <c r="S446" s="311"/>
      <c r="T446" s="311"/>
      <c r="U446" s="311"/>
      <c r="V446" s="409">
        <f t="shared" si="44"/>
        <v>0</v>
      </c>
      <c r="W446" s="311"/>
      <c r="X446" s="320"/>
      <c r="Y446" s="312"/>
      <c r="Z446" s="312"/>
      <c r="AA446" s="312"/>
      <c r="AB446" s="312"/>
      <c r="AC446" s="312"/>
      <c r="AD446" s="312"/>
      <c r="AE446" s="313"/>
      <c r="AF446" s="410">
        <f t="shared" si="45"/>
        <v>0</v>
      </c>
      <c r="AG446" s="312"/>
      <c r="AH446" s="317"/>
      <c r="AI446" s="303"/>
      <c r="AJ446" s="303"/>
      <c r="AK446" s="303"/>
      <c r="AL446" s="303"/>
      <c r="AM446" s="303"/>
      <c r="AN446" s="303"/>
      <c r="AO446" s="303"/>
      <c r="AP446" s="290">
        <f t="shared" si="46"/>
        <v>0</v>
      </c>
      <c r="AQ446" s="303"/>
      <c r="AR446" s="301"/>
      <c r="AS446" s="303"/>
      <c r="AT446" s="303"/>
      <c r="AU446" s="303"/>
      <c r="AV446" s="303"/>
      <c r="AW446" s="303"/>
      <c r="AX446" s="303"/>
      <c r="AY446" s="303"/>
      <c r="AZ446" s="290">
        <f t="shared" si="47"/>
        <v>0</v>
      </c>
      <c r="BA446" s="303"/>
      <c r="BB446" s="301"/>
      <c r="BC446" s="315">
        <f t="shared" si="42"/>
        <v>0</v>
      </c>
      <c r="BD446" s="316" t="str">
        <f t="shared" si="48"/>
        <v>Desierto</v>
      </c>
    </row>
    <row r="447" spans="1:56" ht="60.75" customHeight="1" x14ac:dyDescent="0.25">
      <c r="A447" s="308">
        <v>445</v>
      </c>
      <c r="B447" s="309" t="s">
        <v>1393</v>
      </c>
      <c r="C447" s="310" t="s">
        <v>1381</v>
      </c>
      <c r="D447" s="310" t="s">
        <v>481</v>
      </c>
      <c r="E447" s="311"/>
      <c r="F447" s="311"/>
      <c r="G447" s="311"/>
      <c r="H447" s="311"/>
      <c r="I447" s="311"/>
      <c r="J447" s="311"/>
      <c r="K447" s="311"/>
      <c r="L447" s="408">
        <f t="shared" si="43"/>
        <v>0</v>
      </c>
      <c r="M447" s="311"/>
      <c r="N447" s="320"/>
      <c r="O447" s="311"/>
      <c r="P447" s="311"/>
      <c r="Q447" s="311"/>
      <c r="R447" s="311"/>
      <c r="S447" s="311"/>
      <c r="T447" s="311"/>
      <c r="U447" s="311"/>
      <c r="V447" s="409">
        <f t="shared" si="44"/>
        <v>0</v>
      </c>
      <c r="W447" s="311"/>
      <c r="X447" s="320"/>
      <c r="Y447" s="312"/>
      <c r="Z447" s="312"/>
      <c r="AA447" s="312"/>
      <c r="AB447" s="312"/>
      <c r="AC447" s="312"/>
      <c r="AD447" s="312"/>
      <c r="AE447" s="313"/>
      <c r="AF447" s="410">
        <f t="shared" si="45"/>
        <v>0</v>
      </c>
      <c r="AG447" s="312"/>
      <c r="AH447" s="317"/>
      <c r="AI447" s="303"/>
      <c r="AJ447" s="303"/>
      <c r="AK447" s="303"/>
      <c r="AL447" s="303"/>
      <c r="AM447" s="303"/>
      <c r="AN447" s="303"/>
      <c r="AO447" s="303"/>
      <c r="AP447" s="290">
        <f t="shared" si="46"/>
        <v>0</v>
      </c>
      <c r="AQ447" s="303"/>
      <c r="AR447" s="301"/>
      <c r="AS447" s="303"/>
      <c r="AT447" s="303"/>
      <c r="AU447" s="303"/>
      <c r="AV447" s="303"/>
      <c r="AW447" s="303"/>
      <c r="AX447" s="303"/>
      <c r="AY447" s="303"/>
      <c r="AZ447" s="290">
        <f t="shared" si="47"/>
        <v>0</v>
      </c>
      <c r="BA447" s="303"/>
      <c r="BB447" s="301"/>
      <c r="BC447" s="315">
        <f t="shared" si="42"/>
        <v>0</v>
      </c>
      <c r="BD447" s="316" t="str">
        <f t="shared" si="48"/>
        <v>Desierto</v>
      </c>
    </row>
    <row r="448" spans="1:56" ht="69" customHeight="1" x14ac:dyDescent="0.25">
      <c r="A448" s="308">
        <v>446</v>
      </c>
      <c r="B448" s="309" t="s">
        <v>1394</v>
      </c>
      <c r="C448" s="310" t="s">
        <v>1381</v>
      </c>
      <c r="D448" s="310" t="s">
        <v>481</v>
      </c>
      <c r="E448" s="311"/>
      <c r="F448" s="311"/>
      <c r="G448" s="311"/>
      <c r="H448" s="311"/>
      <c r="I448" s="311"/>
      <c r="J448" s="311"/>
      <c r="K448" s="311"/>
      <c r="L448" s="408">
        <f t="shared" si="43"/>
        <v>0</v>
      </c>
      <c r="M448" s="311"/>
      <c r="N448" s="320"/>
      <c r="O448" s="311"/>
      <c r="P448" s="311"/>
      <c r="Q448" s="311"/>
      <c r="R448" s="311"/>
      <c r="S448" s="311"/>
      <c r="T448" s="311"/>
      <c r="U448" s="311"/>
      <c r="V448" s="409">
        <f t="shared" si="44"/>
        <v>0</v>
      </c>
      <c r="W448" s="311"/>
      <c r="X448" s="320"/>
      <c r="Y448" s="312"/>
      <c r="Z448" s="312"/>
      <c r="AA448" s="312"/>
      <c r="AB448" s="312"/>
      <c r="AC448" s="312"/>
      <c r="AD448" s="312"/>
      <c r="AE448" s="313"/>
      <c r="AF448" s="410">
        <f t="shared" si="45"/>
        <v>0</v>
      </c>
      <c r="AG448" s="312"/>
      <c r="AH448" s="317"/>
      <c r="AI448" s="303" t="s">
        <v>510</v>
      </c>
      <c r="AJ448" s="303" t="s">
        <v>510</v>
      </c>
      <c r="AK448" s="303" t="s">
        <v>510</v>
      </c>
      <c r="AL448" s="303" t="s">
        <v>511</v>
      </c>
      <c r="AM448" s="303" t="s">
        <v>510</v>
      </c>
      <c r="AN448" s="303" t="s">
        <v>511</v>
      </c>
      <c r="AO448" s="303">
        <v>20</v>
      </c>
      <c r="AP448" s="290">
        <f t="shared" si="46"/>
        <v>20</v>
      </c>
      <c r="AQ448" s="303" t="s">
        <v>504</v>
      </c>
      <c r="AR448" s="301" t="s">
        <v>1391</v>
      </c>
      <c r="AS448" s="303"/>
      <c r="AT448" s="303"/>
      <c r="AU448" s="303"/>
      <c r="AV448" s="303"/>
      <c r="AW448" s="303"/>
      <c r="AX448" s="303"/>
      <c r="AY448" s="303"/>
      <c r="AZ448" s="290">
        <f t="shared" si="47"/>
        <v>0</v>
      </c>
      <c r="BA448" s="303"/>
      <c r="BB448" s="301"/>
      <c r="BC448" s="315">
        <f t="shared" si="42"/>
        <v>1</v>
      </c>
      <c r="BD448" s="316" t="str">
        <f t="shared" si="48"/>
        <v>Habilitado</v>
      </c>
    </row>
    <row r="449" spans="1:56" ht="58.5" customHeight="1" x14ac:dyDescent="0.25">
      <c r="A449" s="308">
        <v>447</v>
      </c>
      <c r="B449" s="309" t="s">
        <v>1395</v>
      </c>
      <c r="C449" s="310" t="s">
        <v>1381</v>
      </c>
      <c r="D449" s="310" t="s">
        <v>481</v>
      </c>
      <c r="E449" s="311"/>
      <c r="F449" s="311"/>
      <c r="G449" s="311"/>
      <c r="H449" s="311"/>
      <c r="I449" s="311"/>
      <c r="J449" s="311"/>
      <c r="K449" s="311"/>
      <c r="L449" s="408">
        <f t="shared" si="43"/>
        <v>0</v>
      </c>
      <c r="M449" s="311"/>
      <c r="N449" s="320"/>
      <c r="O449" s="311"/>
      <c r="P449" s="311"/>
      <c r="Q449" s="311"/>
      <c r="R449" s="311"/>
      <c r="S449" s="311"/>
      <c r="T449" s="311"/>
      <c r="U449" s="311"/>
      <c r="V449" s="409">
        <f t="shared" si="44"/>
        <v>0</v>
      </c>
      <c r="W449" s="311"/>
      <c r="X449" s="320"/>
      <c r="Y449" s="312"/>
      <c r="Z449" s="312"/>
      <c r="AA449" s="312"/>
      <c r="AB449" s="312"/>
      <c r="AC449" s="312"/>
      <c r="AD449" s="312"/>
      <c r="AE449" s="313"/>
      <c r="AF449" s="410">
        <f t="shared" si="45"/>
        <v>0</v>
      </c>
      <c r="AG449" s="312"/>
      <c r="AH449" s="317"/>
      <c r="AI449" s="303"/>
      <c r="AJ449" s="303"/>
      <c r="AK449" s="303"/>
      <c r="AL449" s="303"/>
      <c r="AM449" s="303"/>
      <c r="AN449" s="303"/>
      <c r="AO449" s="303"/>
      <c r="AP449" s="290">
        <f t="shared" si="46"/>
        <v>0</v>
      </c>
      <c r="AQ449" s="303"/>
      <c r="AR449" s="301"/>
      <c r="AS449" s="303"/>
      <c r="AT449" s="303"/>
      <c r="AU449" s="303"/>
      <c r="AV449" s="303"/>
      <c r="AW449" s="303"/>
      <c r="AX449" s="303"/>
      <c r="AY449" s="303"/>
      <c r="AZ449" s="290">
        <f t="shared" si="47"/>
        <v>0</v>
      </c>
      <c r="BA449" s="303"/>
      <c r="BB449" s="301"/>
      <c r="BC449" s="315">
        <f t="shared" si="42"/>
        <v>0</v>
      </c>
      <c r="BD449" s="316" t="str">
        <f t="shared" si="48"/>
        <v>Desierto</v>
      </c>
    </row>
    <row r="450" spans="1:56" ht="61.5" customHeight="1" x14ac:dyDescent="0.25">
      <c r="A450" s="308">
        <v>448</v>
      </c>
      <c r="B450" s="309" t="s">
        <v>1396</v>
      </c>
      <c r="C450" s="310" t="s">
        <v>1381</v>
      </c>
      <c r="D450" s="310" t="s">
        <v>481</v>
      </c>
      <c r="E450" s="311"/>
      <c r="F450" s="311"/>
      <c r="G450" s="311"/>
      <c r="H450" s="311"/>
      <c r="I450" s="311"/>
      <c r="J450" s="311"/>
      <c r="K450" s="311"/>
      <c r="L450" s="408">
        <f t="shared" si="43"/>
        <v>0</v>
      </c>
      <c r="M450" s="311"/>
      <c r="N450" s="320"/>
      <c r="O450" s="311"/>
      <c r="P450" s="311"/>
      <c r="Q450" s="311"/>
      <c r="R450" s="311"/>
      <c r="S450" s="311"/>
      <c r="T450" s="311"/>
      <c r="U450" s="311"/>
      <c r="V450" s="409">
        <f t="shared" si="44"/>
        <v>0</v>
      </c>
      <c r="W450" s="311"/>
      <c r="X450" s="320"/>
      <c r="Y450" s="312"/>
      <c r="Z450" s="312"/>
      <c r="AA450" s="312"/>
      <c r="AB450" s="312"/>
      <c r="AC450" s="312"/>
      <c r="AD450" s="312"/>
      <c r="AE450" s="313"/>
      <c r="AF450" s="410">
        <f t="shared" si="45"/>
        <v>0</v>
      </c>
      <c r="AG450" s="312"/>
      <c r="AH450" s="317"/>
      <c r="AI450" s="303"/>
      <c r="AJ450" s="303"/>
      <c r="AK450" s="303"/>
      <c r="AL450" s="303"/>
      <c r="AM450" s="303"/>
      <c r="AN450" s="303"/>
      <c r="AO450" s="303"/>
      <c r="AP450" s="290">
        <f t="shared" si="46"/>
        <v>0</v>
      </c>
      <c r="AQ450" s="303"/>
      <c r="AR450" s="301"/>
      <c r="AS450" s="303"/>
      <c r="AT450" s="303"/>
      <c r="AU450" s="303"/>
      <c r="AV450" s="303"/>
      <c r="AW450" s="303"/>
      <c r="AX450" s="303"/>
      <c r="AY450" s="303"/>
      <c r="AZ450" s="290">
        <f t="shared" si="47"/>
        <v>0</v>
      </c>
      <c r="BA450" s="303"/>
      <c r="BB450" s="303"/>
      <c r="BC450" s="315">
        <f t="shared" si="42"/>
        <v>0</v>
      </c>
      <c r="BD450" s="316" t="str">
        <f t="shared" si="48"/>
        <v>Desierto</v>
      </c>
    </row>
    <row r="451" spans="1:56" ht="63" customHeight="1" x14ac:dyDescent="0.25">
      <c r="A451" s="308">
        <v>449</v>
      </c>
      <c r="B451" s="309" t="s">
        <v>1397</v>
      </c>
      <c r="C451" s="310" t="s">
        <v>1381</v>
      </c>
      <c r="D451" s="310" t="s">
        <v>481</v>
      </c>
      <c r="E451" s="303" t="s">
        <v>510</v>
      </c>
      <c r="F451" s="303" t="s">
        <v>510</v>
      </c>
      <c r="G451" s="303" t="s">
        <v>510</v>
      </c>
      <c r="H451" s="303" t="s">
        <v>511</v>
      </c>
      <c r="I451" s="303" t="s">
        <v>510</v>
      </c>
      <c r="J451" s="303" t="s">
        <v>511</v>
      </c>
      <c r="K451" s="303">
        <v>40</v>
      </c>
      <c r="L451" s="408">
        <f t="shared" si="43"/>
        <v>40</v>
      </c>
      <c r="M451" s="303" t="s">
        <v>504</v>
      </c>
      <c r="N451" s="301"/>
      <c r="O451" s="311"/>
      <c r="P451" s="311"/>
      <c r="Q451" s="311"/>
      <c r="R451" s="311"/>
      <c r="S451" s="311"/>
      <c r="T451" s="311"/>
      <c r="U451" s="311"/>
      <c r="V451" s="409">
        <f t="shared" si="44"/>
        <v>0</v>
      </c>
      <c r="W451" s="311"/>
      <c r="X451" s="320"/>
      <c r="Y451" s="312"/>
      <c r="Z451" s="312"/>
      <c r="AA451" s="312"/>
      <c r="AB451" s="312"/>
      <c r="AC451" s="312"/>
      <c r="AD451" s="312"/>
      <c r="AE451" s="313"/>
      <c r="AF451" s="410">
        <f t="shared" si="45"/>
        <v>0</v>
      </c>
      <c r="AG451" s="312"/>
      <c r="AH451" s="317"/>
      <c r="AI451" s="303"/>
      <c r="AJ451" s="303"/>
      <c r="AK451" s="303"/>
      <c r="AL451" s="303"/>
      <c r="AM451" s="303"/>
      <c r="AN451" s="303"/>
      <c r="AO451" s="303"/>
      <c r="AP451" s="290">
        <f t="shared" si="46"/>
        <v>0</v>
      </c>
      <c r="AQ451" s="303"/>
      <c r="AR451" s="301"/>
      <c r="AS451" s="303"/>
      <c r="AT451" s="303"/>
      <c r="AU451" s="303"/>
      <c r="AV451" s="303"/>
      <c r="AW451" s="303"/>
      <c r="AX451" s="303"/>
      <c r="AY451" s="303"/>
      <c r="AZ451" s="290">
        <f t="shared" si="47"/>
        <v>0</v>
      </c>
      <c r="BA451" s="303"/>
      <c r="BB451" s="303"/>
      <c r="BC451" s="315">
        <f t="shared" ref="BC451:BC501" si="49">COUNTIF(M451,"Habilitado")+COUNTIF(W451,"Habilitado")+COUNTIF(AG451,"Habilitado")+COUNTIF(AQ451,"Habilitado")+COUNTIF(AS451,"Habilitado")+COUNTIF(BA451,"Habilitado")</f>
        <v>1</v>
      </c>
      <c r="BD451" s="316" t="str">
        <f t="shared" si="48"/>
        <v>Habilitado</v>
      </c>
    </row>
    <row r="452" spans="1:56" ht="63.75" x14ac:dyDescent="0.25">
      <c r="A452" s="308">
        <v>450</v>
      </c>
      <c r="B452" s="309" t="s">
        <v>1398</v>
      </c>
      <c r="C452" s="342"/>
      <c r="D452" s="342" t="s">
        <v>1399</v>
      </c>
      <c r="E452" s="311"/>
      <c r="F452" s="311"/>
      <c r="G452" s="311"/>
      <c r="H452" s="311"/>
      <c r="I452" s="311"/>
      <c r="J452" s="311"/>
      <c r="K452" s="311"/>
      <c r="L452" s="408">
        <f t="shared" ref="L452:L501" si="50">+K452</f>
        <v>0</v>
      </c>
      <c r="M452" s="311"/>
      <c r="N452" s="311"/>
      <c r="O452" s="311"/>
      <c r="P452" s="311"/>
      <c r="Q452" s="311"/>
      <c r="R452" s="311"/>
      <c r="S452" s="311"/>
      <c r="T452" s="311"/>
      <c r="U452" s="311"/>
      <c r="V452" s="409">
        <f t="shared" ref="V452:V501" si="51">+U452</f>
        <v>0</v>
      </c>
      <c r="W452" s="311"/>
      <c r="X452" s="311"/>
      <c r="Y452" s="312"/>
      <c r="Z452" s="312"/>
      <c r="AA452" s="312"/>
      <c r="AB452" s="312"/>
      <c r="AC452" s="312"/>
      <c r="AD452" s="312"/>
      <c r="AE452" s="313"/>
      <c r="AF452" s="410">
        <f t="shared" ref="AF452:AF501" si="52">AE452</f>
        <v>0</v>
      </c>
      <c r="AG452" s="312"/>
      <c r="AH452" s="312"/>
      <c r="AI452" s="303"/>
      <c r="AJ452" s="303"/>
      <c r="AK452" s="303"/>
      <c r="AL452" s="303"/>
      <c r="AM452" s="303"/>
      <c r="AN452" s="303"/>
      <c r="AO452" s="303"/>
      <c r="AP452" s="290">
        <f t="shared" ref="AP452:AP501" si="53">+AO452</f>
        <v>0</v>
      </c>
      <c r="AQ452" s="303"/>
      <c r="AR452" s="303"/>
      <c r="AS452" s="303"/>
      <c r="AT452" s="303"/>
      <c r="AU452" s="303"/>
      <c r="AV452" s="303"/>
      <c r="AW452" s="303"/>
      <c r="AX452" s="303"/>
      <c r="AY452" s="303"/>
      <c r="AZ452" s="290">
        <f t="shared" ref="AZ452:AZ501" si="54">+AY452</f>
        <v>0</v>
      </c>
      <c r="BA452" s="303"/>
      <c r="BB452" s="303"/>
      <c r="BC452" s="315">
        <f t="shared" si="49"/>
        <v>0</v>
      </c>
      <c r="BD452" s="316" t="str">
        <f t="shared" ref="BD452:BD501" si="55">IF(BC452&gt;=1,"Habilitado","Desierto")</f>
        <v>Desierto</v>
      </c>
    </row>
    <row r="453" spans="1:56" ht="38.25" x14ac:dyDescent="0.25">
      <c r="A453" s="308">
        <v>451</v>
      </c>
      <c r="B453" s="309" t="s">
        <v>1400</v>
      </c>
      <c r="C453" s="342"/>
      <c r="D453" s="342" t="s">
        <v>1399</v>
      </c>
      <c r="E453" s="311"/>
      <c r="F453" s="311"/>
      <c r="G453" s="311"/>
      <c r="H453" s="311"/>
      <c r="I453" s="311"/>
      <c r="J453" s="311"/>
      <c r="K453" s="311"/>
      <c r="L453" s="408">
        <f t="shared" si="50"/>
        <v>0</v>
      </c>
      <c r="M453" s="311"/>
      <c r="N453" s="311"/>
      <c r="O453" s="311"/>
      <c r="P453" s="311"/>
      <c r="Q453" s="311"/>
      <c r="R453" s="311"/>
      <c r="S453" s="311"/>
      <c r="T453" s="311"/>
      <c r="U453" s="311"/>
      <c r="V453" s="409">
        <f t="shared" si="51"/>
        <v>0</v>
      </c>
      <c r="W453" s="311"/>
      <c r="X453" s="311"/>
      <c r="Y453" s="312"/>
      <c r="Z453" s="312"/>
      <c r="AA453" s="312"/>
      <c r="AB453" s="312"/>
      <c r="AC453" s="312"/>
      <c r="AD453" s="312"/>
      <c r="AE453" s="313"/>
      <c r="AF453" s="410">
        <f t="shared" si="52"/>
        <v>0</v>
      </c>
      <c r="AG453" s="312"/>
      <c r="AH453" s="317"/>
      <c r="AI453" s="303"/>
      <c r="AJ453" s="303"/>
      <c r="AK453" s="303"/>
      <c r="AL453" s="303"/>
      <c r="AM453" s="303"/>
      <c r="AN453" s="303"/>
      <c r="AO453" s="303"/>
      <c r="AP453" s="290">
        <f t="shared" si="53"/>
        <v>0</v>
      </c>
      <c r="AQ453" s="303"/>
      <c r="AR453" s="303"/>
      <c r="AS453" s="303"/>
      <c r="AT453" s="303"/>
      <c r="AU453" s="303"/>
      <c r="AV453" s="303"/>
      <c r="AW453" s="303"/>
      <c r="AX453" s="303"/>
      <c r="AY453" s="303"/>
      <c r="AZ453" s="290">
        <f t="shared" si="54"/>
        <v>0</v>
      </c>
      <c r="BA453" s="303"/>
      <c r="BB453" s="303"/>
      <c r="BC453" s="315">
        <f t="shared" si="49"/>
        <v>0</v>
      </c>
      <c r="BD453" s="316" t="str">
        <f t="shared" si="55"/>
        <v>Desierto</v>
      </c>
    </row>
    <row r="454" spans="1:56" ht="25.5" x14ac:dyDescent="0.25">
      <c r="A454" s="308">
        <v>452</v>
      </c>
      <c r="B454" s="309" t="s">
        <v>1401</v>
      </c>
      <c r="C454" s="342"/>
      <c r="D454" s="342" t="s">
        <v>1399</v>
      </c>
      <c r="E454" s="311"/>
      <c r="F454" s="311"/>
      <c r="G454" s="311"/>
      <c r="H454" s="311"/>
      <c r="I454" s="311"/>
      <c r="J454" s="311"/>
      <c r="K454" s="311"/>
      <c r="L454" s="408">
        <f t="shared" si="50"/>
        <v>0</v>
      </c>
      <c r="M454" s="311"/>
      <c r="N454" s="311"/>
      <c r="O454" s="311"/>
      <c r="P454" s="311"/>
      <c r="Q454" s="311"/>
      <c r="R454" s="311"/>
      <c r="S454" s="311"/>
      <c r="T454" s="311"/>
      <c r="U454" s="311"/>
      <c r="V454" s="409">
        <f t="shared" si="51"/>
        <v>0</v>
      </c>
      <c r="W454" s="311"/>
      <c r="X454" s="311"/>
      <c r="Y454" s="312"/>
      <c r="Z454" s="312"/>
      <c r="AA454" s="312"/>
      <c r="AB454" s="312"/>
      <c r="AC454" s="312"/>
      <c r="AD454" s="312"/>
      <c r="AE454" s="313"/>
      <c r="AF454" s="410">
        <f t="shared" si="52"/>
        <v>0</v>
      </c>
      <c r="AG454" s="312"/>
      <c r="AH454" s="317"/>
      <c r="AI454" s="303"/>
      <c r="AJ454" s="303"/>
      <c r="AK454" s="303"/>
      <c r="AL454" s="303"/>
      <c r="AM454" s="303"/>
      <c r="AN454" s="303"/>
      <c r="AO454" s="303"/>
      <c r="AP454" s="290">
        <f t="shared" si="53"/>
        <v>0</v>
      </c>
      <c r="AQ454" s="303"/>
      <c r="AR454" s="303"/>
      <c r="AS454" s="303"/>
      <c r="AT454" s="303"/>
      <c r="AU454" s="303"/>
      <c r="AV454" s="303"/>
      <c r="AW454" s="303"/>
      <c r="AX454" s="303"/>
      <c r="AY454" s="303"/>
      <c r="AZ454" s="290">
        <f t="shared" si="54"/>
        <v>0</v>
      </c>
      <c r="BA454" s="303"/>
      <c r="BB454" s="303"/>
      <c r="BC454" s="315">
        <f t="shared" si="49"/>
        <v>0</v>
      </c>
      <c r="BD454" s="316" t="str">
        <f t="shared" si="55"/>
        <v>Desierto</v>
      </c>
    </row>
    <row r="455" spans="1:56" ht="25.5" x14ac:dyDescent="0.25">
      <c r="A455" s="308">
        <v>453</v>
      </c>
      <c r="B455" s="309" t="s">
        <v>1402</v>
      </c>
      <c r="C455" s="342"/>
      <c r="D455" s="342" t="s">
        <v>1403</v>
      </c>
      <c r="E455" s="311"/>
      <c r="F455" s="311"/>
      <c r="G455" s="311"/>
      <c r="H455" s="311"/>
      <c r="I455" s="311"/>
      <c r="J455" s="311"/>
      <c r="K455" s="311"/>
      <c r="L455" s="408">
        <f t="shared" si="50"/>
        <v>0</v>
      </c>
      <c r="M455" s="311"/>
      <c r="N455" s="311"/>
      <c r="O455" s="311"/>
      <c r="P455" s="311"/>
      <c r="Q455" s="311"/>
      <c r="R455" s="311"/>
      <c r="S455" s="311"/>
      <c r="T455" s="311"/>
      <c r="U455" s="311"/>
      <c r="V455" s="409">
        <f t="shared" si="51"/>
        <v>0</v>
      </c>
      <c r="W455" s="311"/>
      <c r="X455" s="311"/>
      <c r="Y455" s="312"/>
      <c r="Z455" s="312"/>
      <c r="AA455" s="312"/>
      <c r="AB455" s="312"/>
      <c r="AC455" s="312"/>
      <c r="AD455" s="312"/>
      <c r="AE455" s="313"/>
      <c r="AF455" s="410">
        <f t="shared" si="52"/>
        <v>0</v>
      </c>
      <c r="AG455" s="312"/>
      <c r="AH455" s="312"/>
      <c r="AI455" s="303"/>
      <c r="AJ455" s="303"/>
      <c r="AK455" s="303"/>
      <c r="AL455" s="303"/>
      <c r="AM455" s="303"/>
      <c r="AN455" s="303"/>
      <c r="AO455" s="303"/>
      <c r="AP455" s="290">
        <f t="shared" si="53"/>
        <v>0</v>
      </c>
      <c r="AQ455" s="303"/>
      <c r="AR455" s="303"/>
      <c r="AS455" s="303"/>
      <c r="AT455" s="303"/>
      <c r="AU455" s="303"/>
      <c r="AV455" s="303"/>
      <c r="AW455" s="303"/>
      <c r="AX455" s="303"/>
      <c r="AY455" s="303"/>
      <c r="AZ455" s="290">
        <f t="shared" si="54"/>
        <v>0</v>
      </c>
      <c r="BA455" s="303"/>
      <c r="BB455" s="303"/>
      <c r="BC455" s="315">
        <f t="shared" si="49"/>
        <v>0</v>
      </c>
      <c r="BD455" s="316" t="str">
        <f t="shared" si="55"/>
        <v>Desierto</v>
      </c>
    </row>
    <row r="456" spans="1:56" ht="25.5" x14ac:dyDescent="0.25">
      <c r="A456" s="308">
        <v>454</v>
      </c>
      <c r="B456" s="309" t="s">
        <v>1404</v>
      </c>
      <c r="C456" s="342"/>
      <c r="D456" s="342" t="s">
        <v>1403</v>
      </c>
      <c r="E456" s="311"/>
      <c r="F456" s="311"/>
      <c r="G456" s="311"/>
      <c r="H456" s="311"/>
      <c r="I456" s="311"/>
      <c r="J456" s="311"/>
      <c r="K456" s="311"/>
      <c r="L456" s="408">
        <f t="shared" si="50"/>
        <v>0</v>
      </c>
      <c r="M456" s="311"/>
      <c r="N456" s="311"/>
      <c r="O456" s="311"/>
      <c r="P456" s="311"/>
      <c r="Q456" s="311"/>
      <c r="R456" s="311"/>
      <c r="S456" s="311"/>
      <c r="T456" s="311"/>
      <c r="U456" s="311"/>
      <c r="V456" s="409">
        <f t="shared" si="51"/>
        <v>0</v>
      </c>
      <c r="W456" s="311"/>
      <c r="X456" s="311"/>
      <c r="Y456" s="312"/>
      <c r="Z456" s="312"/>
      <c r="AA456" s="312"/>
      <c r="AB456" s="312"/>
      <c r="AC456" s="312"/>
      <c r="AD456" s="312"/>
      <c r="AE456" s="313"/>
      <c r="AF456" s="410">
        <f t="shared" si="52"/>
        <v>0</v>
      </c>
      <c r="AG456" s="312"/>
      <c r="AH456" s="312"/>
      <c r="AI456" s="303"/>
      <c r="AJ456" s="303"/>
      <c r="AK456" s="303"/>
      <c r="AL456" s="303"/>
      <c r="AM456" s="303"/>
      <c r="AN456" s="303"/>
      <c r="AO456" s="303"/>
      <c r="AP456" s="290">
        <f t="shared" si="53"/>
        <v>0</v>
      </c>
      <c r="AQ456" s="303"/>
      <c r="AR456" s="303"/>
      <c r="AS456" s="303"/>
      <c r="AT456" s="303"/>
      <c r="AU456" s="303"/>
      <c r="AV456" s="303"/>
      <c r="AW456" s="303"/>
      <c r="AX456" s="303"/>
      <c r="AY456" s="303"/>
      <c r="AZ456" s="290">
        <f t="shared" si="54"/>
        <v>0</v>
      </c>
      <c r="BA456" s="303"/>
      <c r="BB456" s="303"/>
      <c r="BC456" s="315">
        <f t="shared" si="49"/>
        <v>0</v>
      </c>
      <c r="BD456" s="316" t="str">
        <f t="shared" si="55"/>
        <v>Desierto</v>
      </c>
    </row>
    <row r="457" spans="1:56" ht="25.5" x14ac:dyDescent="0.25">
      <c r="A457" s="308">
        <v>455</v>
      </c>
      <c r="B457" s="309" t="s">
        <v>1405</v>
      </c>
      <c r="C457" s="342"/>
      <c r="D457" s="342" t="s">
        <v>1403</v>
      </c>
      <c r="E457" s="311"/>
      <c r="F457" s="311"/>
      <c r="G457" s="311"/>
      <c r="H457" s="311"/>
      <c r="I457" s="311"/>
      <c r="J457" s="311"/>
      <c r="K457" s="311"/>
      <c r="L457" s="408">
        <f t="shared" si="50"/>
        <v>0</v>
      </c>
      <c r="M457" s="311"/>
      <c r="N457" s="311"/>
      <c r="O457" s="311"/>
      <c r="P457" s="311"/>
      <c r="Q457" s="311"/>
      <c r="R457" s="311"/>
      <c r="S457" s="311"/>
      <c r="T457" s="311"/>
      <c r="U457" s="311"/>
      <c r="V457" s="409">
        <f t="shared" si="51"/>
        <v>0</v>
      </c>
      <c r="W457" s="311"/>
      <c r="X457" s="311"/>
      <c r="Y457" s="312"/>
      <c r="Z457" s="312"/>
      <c r="AA457" s="312"/>
      <c r="AB457" s="312"/>
      <c r="AC457" s="312"/>
      <c r="AD457" s="312"/>
      <c r="AE457" s="313"/>
      <c r="AF457" s="410">
        <f t="shared" si="52"/>
        <v>0</v>
      </c>
      <c r="AG457" s="312"/>
      <c r="AH457" s="312"/>
      <c r="AI457" s="303"/>
      <c r="AJ457" s="303"/>
      <c r="AK457" s="303"/>
      <c r="AL457" s="303"/>
      <c r="AM457" s="303"/>
      <c r="AN457" s="303"/>
      <c r="AO457" s="303"/>
      <c r="AP457" s="290">
        <f t="shared" si="53"/>
        <v>0</v>
      </c>
      <c r="AQ457" s="303"/>
      <c r="AR457" s="303"/>
      <c r="AS457" s="303"/>
      <c r="AT457" s="303"/>
      <c r="AU457" s="303"/>
      <c r="AV457" s="303"/>
      <c r="AW457" s="303"/>
      <c r="AX457" s="303"/>
      <c r="AY457" s="303"/>
      <c r="AZ457" s="290">
        <f t="shared" si="54"/>
        <v>0</v>
      </c>
      <c r="BA457" s="303"/>
      <c r="BB457" s="303"/>
      <c r="BC457" s="315">
        <f t="shared" si="49"/>
        <v>0</v>
      </c>
      <c r="BD457" s="316" t="str">
        <f t="shared" si="55"/>
        <v>Desierto</v>
      </c>
    </row>
    <row r="458" spans="1:56" x14ac:dyDescent="0.25">
      <c r="A458" s="308">
        <v>456</v>
      </c>
      <c r="B458" s="328" t="s">
        <v>1406</v>
      </c>
      <c r="C458" s="329" t="s">
        <v>1407</v>
      </c>
      <c r="D458" s="411" t="s">
        <v>71</v>
      </c>
      <c r="E458" s="303" t="s">
        <v>510</v>
      </c>
      <c r="F458" s="303" t="s">
        <v>510</v>
      </c>
      <c r="G458" s="303" t="s">
        <v>510</v>
      </c>
      <c r="H458" s="303" t="s">
        <v>511</v>
      </c>
      <c r="I458" s="303" t="s">
        <v>510</v>
      </c>
      <c r="J458" s="303" t="s">
        <v>510</v>
      </c>
      <c r="K458" s="303">
        <v>40</v>
      </c>
      <c r="L458" s="408">
        <f t="shared" si="50"/>
        <v>40</v>
      </c>
      <c r="M458" s="303" t="s">
        <v>504</v>
      </c>
      <c r="N458" s="303"/>
      <c r="O458" s="311"/>
      <c r="P458" s="311"/>
      <c r="Q458" s="311"/>
      <c r="R458" s="311"/>
      <c r="S458" s="311"/>
      <c r="T458" s="311"/>
      <c r="U458" s="311"/>
      <c r="V458" s="409">
        <f t="shared" si="51"/>
        <v>0</v>
      </c>
      <c r="W458" s="311"/>
      <c r="X458" s="311"/>
      <c r="Y458" s="300" t="s">
        <v>510</v>
      </c>
      <c r="Z458" s="343" t="s">
        <v>510</v>
      </c>
      <c r="AA458" s="300" t="s">
        <v>510</v>
      </c>
      <c r="AB458" s="300" t="s">
        <v>511</v>
      </c>
      <c r="AC458" s="300" t="s">
        <v>510</v>
      </c>
      <c r="AD458" s="300" t="s">
        <v>510</v>
      </c>
      <c r="AE458" s="318">
        <v>40</v>
      </c>
      <c r="AF458" s="410">
        <f t="shared" si="52"/>
        <v>40</v>
      </c>
      <c r="AG458" s="300" t="s">
        <v>504</v>
      </c>
      <c r="AH458" s="299"/>
      <c r="AI458" s="303" t="s">
        <v>519</v>
      </c>
      <c r="AJ458" s="303" t="s">
        <v>510</v>
      </c>
      <c r="AK458" s="303" t="s">
        <v>510</v>
      </c>
      <c r="AL458" s="303" t="s">
        <v>511</v>
      </c>
      <c r="AM458" s="303" t="s">
        <v>510</v>
      </c>
      <c r="AN458" s="303" t="s">
        <v>510</v>
      </c>
      <c r="AO458" s="303">
        <v>0</v>
      </c>
      <c r="AP458" s="290">
        <f t="shared" si="53"/>
        <v>0</v>
      </c>
      <c r="AQ458" s="303" t="s">
        <v>520</v>
      </c>
      <c r="AR458" s="303"/>
      <c r="AS458" s="303"/>
      <c r="AT458" s="303"/>
      <c r="AU458" s="303"/>
      <c r="AV458" s="303"/>
      <c r="AW458" s="303"/>
      <c r="AX458" s="303"/>
      <c r="AY458" s="303"/>
      <c r="AZ458" s="290">
        <f t="shared" si="54"/>
        <v>0</v>
      </c>
      <c r="BA458" s="303"/>
      <c r="BB458" s="303"/>
      <c r="BC458" s="315">
        <f t="shared" si="49"/>
        <v>2</v>
      </c>
      <c r="BD458" s="316" t="str">
        <f t="shared" si="55"/>
        <v>Habilitado</v>
      </c>
    </row>
    <row r="459" spans="1:56" ht="76.5" x14ac:dyDescent="0.25">
      <c r="A459" s="308">
        <v>457</v>
      </c>
      <c r="B459" s="328" t="s">
        <v>1408</v>
      </c>
      <c r="C459" s="331" t="s">
        <v>119</v>
      </c>
      <c r="D459" s="380" t="s">
        <v>123</v>
      </c>
      <c r="E459" s="303" t="s">
        <v>510</v>
      </c>
      <c r="F459" s="303" t="s">
        <v>510</v>
      </c>
      <c r="G459" s="303" t="s">
        <v>510</v>
      </c>
      <c r="H459" s="303" t="s">
        <v>511</v>
      </c>
      <c r="I459" s="303" t="s">
        <v>510</v>
      </c>
      <c r="J459" s="303" t="s">
        <v>511</v>
      </c>
      <c r="K459" s="303">
        <v>40</v>
      </c>
      <c r="L459" s="408">
        <f t="shared" si="50"/>
        <v>40</v>
      </c>
      <c r="M459" s="303" t="s">
        <v>504</v>
      </c>
      <c r="N459" s="301"/>
      <c r="O459" s="303" t="s">
        <v>510</v>
      </c>
      <c r="P459" s="303" t="s">
        <v>510</v>
      </c>
      <c r="Q459" s="303" t="s">
        <v>519</v>
      </c>
      <c r="R459" s="303" t="s">
        <v>511</v>
      </c>
      <c r="S459" s="303" t="s">
        <v>519</v>
      </c>
      <c r="T459" s="303" t="s">
        <v>511</v>
      </c>
      <c r="U459" s="303">
        <v>0</v>
      </c>
      <c r="V459" s="409">
        <f t="shared" si="51"/>
        <v>0</v>
      </c>
      <c r="W459" s="303" t="s">
        <v>520</v>
      </c>
      <c r="X459" s="301" t="s">
        <v>1409</v>
      </c>
      <c r="Y459" s="303"/>
      <c r="Z459" s="303"/>
      <c r="AA459" s="303"/>
      <c r="AB459" s="303"/>
      <c r="AC459" s="303"/>
      <c r="AD459" s="303"/>
      <c r="AE459" s="303"/>
      <c r="AF459" s="410">
        <f t="shared" si="52"/>
        <v>0</v>
      </c>
      <c r="AG459" s="303"/>
      <c r="AH459" s="303"/>
      <c r="AI459" s="303"/>
      <c r="AJ459" s="303"/>
      <c r="AK459" s="303"/>
      <c r="AL459" s="303"/>
      <c r="AM459" s="303"/>
      <c r="AN459" s="303"/>
      <c r="AO459" s="303"/>
      <c r="AP459" s="290">
        <f t="shared" si="53"/>
        <v>0</v>
      </c>
      <c r="AQ459" s="303"/>
      <c r="AR459" s="303"/>
      <c r="AS459" s="303"/>
      <c r="AT459" s="303"/>
      <c r="AU459" s="303"/>
      <c r="AV459" s="303"/>
      <c r="AW459" s="303"/>
      <c r="AX459" s="303"/>
      <c r="AY459" s="303"/>
      <c r="AZ459" s="290">
        <f t="shared" si="54"/>
        <v>0</v>
      </c>
      <c r="BA459" s="303"/>
      <c r="BB459" s="303"/>
      <c r="BC459" s="315">
        <f t="shared" si="49"/>
        <v>1</v>
      </c>
      <c r="BD459" s="316" t="str">
        <f t="shared" si="55"/>
        <v>Habilitado</v>
      </c>
    </row>
    <row r="460" spans="1:56" ht="25.5" x14ac:dyDescent="0.25">
      <c r="A460" s="308">
        <v>458</v>
      </c>
      <c r="B460" s="328" t="s">
        <v>1410</v>
      </c>
      <c r="C460" s="331" t="s">
        <v>119</v>
      </c>
      <c r="D460" s="380" t="s">
        <v>1411</v>
      </c>
      <c r="E460" s="303" t="s">
        <v>510</v>
      </c>
      <c r="F460" s="303" t="s">
        <v>510</v>
      </c>
      <c r="G460" s="303" t="s">
        <v>510</v>
      </c>
      <c r="H460" s="303" t="s">
        <v>511</v>
      </c>
      <c r="I460" s="303" t="s">
        <v>510</v>
      </c>
      <c r="J460" s="303" t="s">
        <v>511</v>
      </c>
      <c r="K460" s="303">
        <v>40</v>
      </c>
      <c r="L460" s="408">
        <f t="shared" si="50"/>
        <v>40</v>
      </c>
      <c r="M460" s="303" t="s">
        <v>504</v>
      </c>
      <c r="N460" s="301"/>
      <c r="O460" s="303"/>
      <c r="P460" s="303"/>
      <c r="Q460" s="303"/>
      <c r="R460" s="303"/>
      <c r="S460" s="303"/>
      <c r="T460" s="303"/>
      <c r="U460" s="303"/>
      <c r="V460" s="409">
        <f t="shared" si="51"/>
        <v>0</v>
      </c>
      <c r="W460" s="303"/>
      <c r="X460" s="303"/>
      <c r="Y460" s="303"/>
      <c r="Z460" s="303"/>
      <c r="AA460" s="303"/>
      <c r="AB460" s="303"/>
      <c r="AC460" s="303"/>
      <c r="AD460" s="303"/>
      <c r="AE460" s="303"/>
      <c r="AF460" s="410">
        <f t="shared" si="52"/>
        <v>0</v>
      </c>
      <c r="AG460" s="303"/>
      <c r="AH460" s="303"/>
      <c r="AI460" s="303"/>
      <c r="AJ460" s="303"/>
      <c r="AK460" s="303"/>
      <c r="AL460" s="303"/>
      <c r="AM460" s="303"/>
      <c r="AN460" s="303"/>
      <c r="AO460" s="303"/>
      <c r="AP460" s="290">
        <f t="shared" si="53"/>
        <v>0</v>
      </c>
      <c r="AQ460" s="303"/>
      <c r="AR460" s="303"/>
      <c r="AS460" s="303"/>
      <c r="AT460" s="303"/>
      <c r="AU460" s="303"/>
      <c r="AV460" s="303"/>
      <c r="AW460" s="303"/>
      <c r="AX460" s="303"/>
      <c r="AY460" s="303"/>
      <c r="AZ460" s="290">
        <f t="shared" si="54"/>
        <v>0</v>
      </c>
      <c r="BA460" s="303"/>
      <c r="BB460" s="303"/>
      <c r="BC460" s="315">
        <f t="shared" si="49"/>
        <v>1</v>
      </c>
      <c r="BD460" s="316" t="str">
        <f t="shared" si="55"/>
        <v>Habilitado</v>
      </c>
    </row>
    <row r="461" spans="1:56" ht="25.5" x14ac:dyDescent="0.25">
      <c r="A461" s="308">
        <v>459</v>
      </c>
      <c r="B461" s="328" t="s">
        <v>1412</v>
      </c>
      <c r="C461" s="331" t="s">
        <v>1413</v>
      </c>
      <c r="D461" s="380" t="s">
        <v>123</v>
      </c>
      <c r="E461" s="303" t="s">
        <v>510</v>
      </c>
      <c r="F461" s="303" t="s">
        <v>510</v>
      </c>
      <c r="G461" s="303" t="s">
        <v>510</v>
      </c>
      <c r="H461" s="303" t="s">
        <v>511</v>
      </c>
      <c r="I461" s="303" t="s">
        <v>510</v>
      </c>
      <c r="J461" s="303" t="s">
        <v>511</v>
      </c>
      <c r="K461" s="303">
        <v>40</v>
      </c>
      <c r="L461" s="408">
        <f t="shared" si="50"/>
        <v>40</v>
      </c>
      <c r="M461" s="303" t="s">
        <v>504</v>
      </c>
      <c r="N461" s="303"/>
      <c r="O461" s="303"/>
      <c r="P461" s="303"/>
      <c r="Q461" s="303"/>
      <c r="R461" s="303"/>
      <c r="S461" s="303"/>
      <c r="T461" s="303"/>
      <c r="U461" s="303"/>
      <c r="V461" s="409">
        <f t="shared" si="51"/>
        <v>0</v>
      </c>
      <c r="W461" s="303"/>
      <c r="X461" s="303"/>
      <c r="Y461" s="303"/>
      <c r="Z461" s="303"/>
      <c r="AA461" s="303"/>
      <c r="AB461" s="303"/>
      <c r="AC461" s="303"/>
      <c r="AD461" s="303"/>
      <c r="AE461" s="303"/>
      <c r="AF461" s="410">
        <f t="shared" si="52"/>
        <v>0</v>
      </c>
      <c r="AG461" s="303"/>
      <c r="AH461" s="303"/>
      <c r="AI461" s="303"/>
      <c r="AJ461" s="303"/>
      <c r="AK461" s="303"/>
      <c r="AL461" s="303"/>
      <c r="AM461" s="303"/>
      <c r="AN461" s="303"/>
      <c r="AO461" s="303"/>
      <c r="AP461" s="290">
        <f t="shared" si="53"/>
        <v>0</v>
      </c>
      <c r="AQ461" s="303"/>
      <c r="AR461" s="303"/>
      <c r="AS461" s="303"/>
      <c r="AT461" s="303"/>
      <c r="AU461" s="303"/>
      <c r="AV461" s="303"/>
      <c r="AW461" s="303"/>
      <c r="AX461" s="303"/>
      <c r="AY461" s="303"/>
      <c r="AZ461" s="290">
        <f t="shared" si="54"/>
        <v>0</v>
      </c>
      <c r="BA461" s="303"/>
      <c r="BB461" s="303"/>
      <c r="BC461" s="315">
        <f t="shared" si="49"/>
        <v>1</v>
      </c>
      <c r="BD461" s="316" t="str">
        <f t="shared" si="55"/>
        <v>Habilitado</v>
      </c>
    </row>
    <row r="462" spans="1:56" ht="38.25" x14ac:dyDescent="0.25">
      <c r="A462" s="308">
        <v>460</v>
      </c>
      <c r="B462" s="328" t="s">
        <v>1414</v>
      </c>
      <c r="C462" s="331" t="s">
        <v>93</v>
      </c>
      <c r="D462" s="380" t="s">
        <v>123</v>
      </c>
      <c r="E462" s="303" t="s">
        <v>510</v>
      </c>
      <c r="F462" s="303" t="s">
        <v>510</v>
      </c>
      <c r="G462" s="303" t="s">
        <v>510</v>
      </c>
      <c r="H462" s="303" t="s">
        <v>511</v>
      </c>
      <c r="I462" s="303" t="s">
        <v>510</v>
      </c>
      <c r="J462" s="303" t="s">
        <v>511</v>
      </c>
      <c r="K462" s="303">
        <v>0</v>
      </c>
      <c r="L462" s="408">
        <f t="shared" si="50"/>
        <v>0</v>
      </c>
      <c r="M462" s="303" t="s">
        <v>504</v>
      </c>
      <c r="N462" s="303"/>
      <c r="O462" s="303" t="s">
        <v>510</v>
      </c>
      <c r="P462" s="303" t="s">
        <v>510</v>
      </c>
      <c r="Q462" s="303" t="s">
        <v>519</v>
      </c>
      <c r="R462" s="303" t="s">
        <v>511</v>
      </c>
      <c r="S462" s="303" t="s">
        <v>519</v>
      </c>
      <c r="T462" s="303" t="s">
        <v>511</v>
      </c>
      <c r="U462" s="303">
        <v>0</v>
      </c>
      <c r="V462" s="409">
        <f t="shared" si="51"/>
        <v>0</v>
      </c>
      <c r="W462" s="303" t="s">
        <v>520</v>
      </c>
      <c r="X462" s="301" t="s">
        <v>1038</v>
      </c>
      <c r="Y462" s="303"/>
      <c r="Z462" s="303"/>
      <c r="AA462" s="303"/>
      <c r="AB462" s="303"/>
      <c r="AC462" s="303"/>
      <c r="AD462" s="303"/>
      <c r="AE462" s="303"/>
      <c r="AF462" s="410">
        <f t="shared" si="52"/>
        <v>0</v>
      </c>
      <c r="AG462" s="303"/>
      <c r="AH462" s="303"/>
      <c r="AI462" s="303"/>
      <c r="AJ462" s="303"/>
      <c r="AK462" s="303"/>
      <c r="AL462" s="303"/>
      <c r="AM462" s="303"/>
      <c r="AN462" s="303"/>
      <c r="AO462" s="303"/>
      <c r="AP462" s="290">
        <f t="shared" si="53"/>
        <v>0</v>
      </c>
      <c r="AQ462" s="303"/>
      <c r="AR462" s="303"/>
      <c r="AS462" s="303" t="s">
        <v>510</v>
      </c>
      <c r="AT462" s="303" t="s">
        <v>510</v>
      </c>
      <c r="AU462" s="303" t="s">
        <v>510</v>
      </c>
      <c r="AV462" s="303" t="s">
        <v>511</v>
      </c>
      <c r="AW462" s="303" t="s">
        <v>510</v>
      </c>
      <c r="AX462" s="303" t="s">
        <v>511</v>
      </c>
      <c r="AY462" s="303">
        <v>0</v>
      </c>
      <c r="AZ462" s="290">
        <f t="shared" si="54"/>
        <v>0</v>
      </c>
      <c r="BA462" s="303" t="s">
        <v>504</v>
      </c>
      <c r="BB462" s="303"/>
      <c r="BC462" s="315">
        <f t="shared" si="49"/>
        <v>2</v>
      </c>
      <c r="BD462" s="316" t="str">
        <f t="shared" si="55"/>
        <v>Habilitado</v>
      </c>
    </row>
    <row r="463" spans="1:56" ht="38.25" x14ac:dyDescent="0.25">
      <c r="A463" s="308">
        <v>461</v>
      </c>
      <c r="B463" s="328" t="s">
        <v>1415</v>
      </c>
      <c r="C463" s="331" t="s">
        <v>483</v>
      </c>
      <c r="D463" s="380" t="s">
        <v>123</v>
      </c>
      <c r="E463" s="303" t="s">
        <v>510</v>
      </c>
      <c r="F463" s="303" t="s">
        <v>510</v>
      </c>
      <c r="G463" s="303" t="s">
        <v>510</v>
      </c>
      <c r="H463" s="303" t="s">
        <v>511</v>
      </c>
      <c r="I463" s="303" t="s">
        <v>510</v>
      </c>
      <c r="J463" s="303" t="s">
        <v>511</v>
      </c>
      <c r="K463" s="303">
        <v>40</v>
      </c>
      <c r="L463" s="408">
        <f t="shared" si="50"/>
        <v>40</v>
      </c>
      <c r="M463" s="303" t="s">
        <v>504</v>
      </c>
      <c r="N463" s="303"/>
      <c r="O463" s="303" t="s">
        <v>510</v>
      </c>
      <c r="P463" s="303" t="s">
        <v>510</v>
      </c>
      <c r="Q463" s="303" t="s">
        <v>519</v>
      </c>
      <c r="R463" s="303" t="s">
        <v>511</v>
      </c>
      <c r="S463" s="303" t="s">
        <v>519</v>
      </c>
      <c r="T463" s="303" t="s">
        <v>511</v>
      </c>
      <c r="U463" s="303">
        <v>0</v>
      </c>
      <c r="V463" s="409">
        <f t="shared" si="51"/>
        <v>0</v>
      </c>
      <c r="W463" s="303" t="s">
        <v>520</v>
      </c>
      <c r="X463" s="301" t="s">
        <v>1038</v>
      </c>
      <c r="Y463" s="303"/>
      <c r="Z463" s="303"/>
      <c r="AA463" s="303"/>
      <c r="AB463" s="303"/>
      <c r="AC463" s="303"/>
      <c r="AD463" s="303"/>
      <c r="AE463" s="303"/>
      <c r="AF463" s="410">
        <f t="shared" si="52"/>
        <v>0</v>
      </c>
      <c r="AG463" s="303"/>
      <c r="AH463" s="303"/>
      <c r="AI463" s="303"/>
      <c r="AJ463" s="303"/>
      <c r="AK463" s="303"/>
      <c r="AL463" s="303"/>
      <c r="AM463" s="303"/>
      <c r="AN463" s="303"/>
      <c r="AO463" s="303"/>
      <c r="AP463" s="290">
        <f t="shared" si="53"/>
        <v>0</v>
      </c>
      <c r="AQ463" s="303"/>
      <c r="AR463" s="303"/>
      <c r="AS463" s="303"/>
      <c r="AT463" s="303"/>
      <c r="AU463" s="303"/>
      <c r="AV463" s="303"/>
      <c r="AW463" s="303"/>
      <c r="AX463" s="303"/>
      <c r="AY463" s="303"/>
      <c r="AZ463" s="290">
        <f t="shared" si="54"/>
        <v>0</v>
      </c>
      <c r="BA463" s="303"/>
      <c r="BB463" s="303"/>
      <c r="BC463" s="315">
        <f t="shared" si="49"/>
        <v>1</v>
      </c>
      <c r="BD463" s="316" t="str">
        <f t="shared" si="55"/>
        <v>Habilitado</v>
      </c>
    </row>
    <row r="464" spans="1:56" ht="38.25" x14ac:dyDescent="0.25">
      <c r="A464" s="308">
        <v>462</v>
      </c>
      <c r="B464" s="328" t="s">
        <v>1416</v>
      </c>
      <c r="C464" s="331" t="s">
        <v>1417</v>
      </c>
      <c r="D464" s="380" t="s">
        <v>123</v>
      </c>
      <c r="E464" s="303" t="s">
        <v>510</v>
      </c>
      <c r="F464" s="303" t="s">
        <v>510</v>
      </c>
      <c r="G464" s="303" t="s">
        <v>510</v>
      </c>
      <c r="H464" s="303" t="s">
        <v>511</v>
      </c>
      <c r="I464" s="303" t="s">
        <v>510</v>
      </c>
      <c r="J464" s="303" t="s">
        <v>511</v>
      </c>
      <c r="K464" s="303">
        <v>40</v>
      </c>
      <c r="L464" s="408">
        <f t="shared" si="50"/>
        <v>40</v>
      </c>
      <c r="M464" s="303" t="s">
        <v>504</v>
      </c>
      <c r="N464" s="301"/>
      <c r="O464" s="303" t="s">
        <v>510</v>
      </c>
      <c r="P464" s="303" t="s">
        <v>510</v>
      </c>
      <c r="Q464" s="303" t="s">
        <v>519</v>
      </c>
      <c r="R464" s="303" t="s">
        <v>511</v>
      </c>
      <c r="S464" s="303" t="s">
        <v>519</v>
      </c>
      <c r="T464" s="303" t="s">
        <v>511</v>
      </c>
      <c r="U464" s="303">
        <v>0</v>
      </c>
      <c r="V464" s="409">
        <f t="shared" si="51"/>
        <v>0</v>
      </c>
      <c r="W464" s="303" t="s">
        <v>520</v>
      </c>
      <c r="X464" s="301" t="s">
        <v>1038</v>
      </c>
      <c r="Y464" s="303"/>
      <c r="Z464" s="303"/>
      <c r="AA464" s="303"/>
      <c r="AB464" s="303"/>
      <c r="AC464" s="303"/>
      <c r="AD464" s="303"/>
      <c r="AE464" s="303"/>
      <c r="AF464" s="410">
        <f t="shared" si="52"/>
        <v>0</v>
      </c>
      <c r="AG464" s="303"/>
      <c r="AH464" s="303"/>
      <c r="AI464" s="303"/>
      <c r="AJ464" s="303"/>
      <c r="AK464" s="303"/>
      <c r="AL464" s="303"/>
      <c r="AM464" s="303"/>
      <c r="AN464" s="303"/>
      <c r="AO464" s="303"/>
      <c r="AP464" s="290">
        <f t="shared" si="53"/>
        <v>0</v>
      </c>
      <c r="AQ464" s="303"/>
      <c r="AR464" s="303"/>
      <c r="AS464" s="303"/>
      <c r="AT464" s="303"/>
      <c r="AU464" s="303"/>
      <c r="AV464" s="303"/>
      <c r="AW464" s="303"/>
      <c r="AX464" s="303"/>
      <c r="AY464" s="303"/>
      <c r="AZ464" s="290">
        <f t="shared" si="54"/>
        <v>0</v>
      </c>
      <c r="BA464" s="303"/>
      <c r="BB464" s="303"/>
      <c r="BC464" s="315">
        <f t="shared" si="49"/>
        <v>1</v>
      </c>
      <c r="BD464" s="316" t="str">
        <f t="shared" si="55"/>
        <v>Habilitado</v>
      </c>
    </row>
    <row r="465" spans="1:56" ht="25.5" x14ac:dyDescent="0.25">
      <c r="A465" s="308">
        <v>463</v>
      </c>
      <c r="B465" s="328" t="s">
        <v>1418</v>
      </c>
      <c r="C465" s="331" t="s">
        <v>1413</v>
      </c>
      <c r="D465" s="380" t="s">
        <v>123</v>
      </c>
      <c r="E465" s="303" t="s">
        <v>510</v>
      </c>
      <c r="F465" s="303" t="s">
        <v>510</v>
      </c>
      <c r="G465" s="303" t="s">
        <v>510</v>
      </c>
      <c r="H465" s="303" t="s">
        <v>511</v>
      </c>
      <c r="I465" s="303" t="s">
        <v>510</v>
      </c>
      <c r="J465" s="303" t="s">
        <v>511</v>
      </c>
      <c r="K465" s="303">
        <v>40</v>
      </c>
      <c r="L465" s="408">
        <f t="shared" si="50"/>
        <v>40</v>
      </c>
      <c r="M465" s="303" t="s">
        <v>504</v>
      </c>
      <c r="N465" s="303"/>
      <c r="O465" s="303"/>
      <c r="P465" s="303"/>
      <c r="Q465" s="303"/>
      <c r="R465" s="303"/>
      <c r="S465" s="303"/>
      <c r="T465" s="303"/>
      <c r="U465" s="303"/>
      <c r="V465" s="409">
        <f t="shared" si="51"/>
        <v>0</v>
      </c>
      <c r="W465" s="303"/>
      <c r="X465" s="303"/>
      <c r="Y465" s="303"/>
      <c r="Z465" s="303"/>
      <c r="AA465" s="303"/>
      <c r="AB465" s="303"/>
      <c r="AC465" s="303"/>
      <c r="AD465" s="303"/>
      <c r="AE465" s="303"/>
      <c r="AF465" s="410">
        <f t="shared" si="52"/>
        <v>0</v>
      </c>
      <c r="AG465" s="303"/>
      <c r="AH465" s="301"/>
      <c r="AI465" s="303"/>
      <c r="AJ465" s="303"/>
      <c r="AK465" s="303"/>
      <c r="AL465" s="303"/>
      <c r="AM465" s="303"/>
      <c r="AN465" s="303"/>
      <c r="AO465" s="303"/>
      <c r="AP465" s="290">
        <f t="shared" si="53"/>
        <v>0</v>
      </c>
      <c r="AQ465" s="303"/>
      <c r="AR465" s="303"/>
      <c r="AS465" s="303"/>
      <c r="AT465" s="303"/>
      <c r="AU465" s="303"/>
      <c r="AV465" s="303"/>
      <c r="AW465" s="303"/>
      <c r="AX465" s="303"/>
      <c r="AY465" s="303"/>
      <c r="AZ465" s="290">
        <f t="shared" si="54"/>
        <v>0</v>
      </c>
      <c r="BA465" s="303"/>
      <c r="BB465" s="303"/>
      <c r="BC465" s="315">
        <f t="shared" si="49"/>
        <v>1</v>
      </c>
      <c r="BD465" s="316" t="str">
        <f t="shared" si="55"/>
        <v>Habilitado</v>
      </c>
    </row>
    <row r="466" spans="1:56" ht="38.25" x14ac:dyDescent="0.25">
      <c r="A466" s="308">
        <v>464</v>
      </c>
      <c r="B466" s="328" t="s">
        <v>1419</v>
      </c>
      <c r="C466" s="331" t="s">
        <v>1417</v>
      </c>
      <c r="D466" s="380" t="s">
        <v>123</v>
      </c>
      <c r="E466" s="303" t="s">
        <v>510</v>
      </c>
      <c r="F466" s="303" t="s">
        <v>510</v>
      </c>
      <c r="G466" s="303" t="s">
        <v>510</v>
      </c>
      <c r="H466" s="303" t="s">
        <v>511</v>
      </c>
      <c r="I466" s="303" t="s">
        <v>510</v>
      </c>
      <c r="J466" s="303" t="s">
        <v>511</v>
      </c>
      <c r="K466" s="303">
        <v>40</v>
      </c>
      <c r="L466" s="408">
        <f t="shared" si="50"/>
        <v>40</v>
      </c>
      <c r="M466" s="303" t="s">
        <v>504</v>
      </c>
      <c r="N466" s="301"/>
      <c r="O466" s="303" t="s">
        <v>510</v>
      </c>
      <c r="P466" s="303" t="s">
        <v>510</v>
      </c>
      <c r="Q466" s="303" t="s">
        <v>519</v>
      </c>
      <c r="R466" s="303" t="s">
        <v>511</v>
      </c>
      <c r="S466" s="303" t="s">
        <v>519</v>
      </c>
      <c r="T466" s="303" t="s">
        <v>511</v>
      </c>
      <c r="U466" s="303">
        <v>0</v>
      </c>
      <c r="V466" s="409">
        <f t="shared" si="51"/>
        <v>0</v>
      </c>
      <c r="W466" s="303" t="s">
        <v>520</v>
      </c>
      <c r="X466" s="301" t="s">
        <v>1038</v>
      </c>
      <c r="Y466" s="303"/>
      <c r="Z466" s="303"/>
      <c r="AA466" s="303"/>
      <c r="AB466" s="303"/>
      <c r="AC466" s="303"/>
      <c r="AD466" s="303"/>
      <c r="AE466" s="303"/>
      <c r="AF466" s="410">
        <f t="shared" si="52"/>
        <v>0</v>
      </c>
      <c r="AG466" s="303"/>
      <c r="AH466" s="303"/>
      <c r="AI466" s="303"/>
      <c r="AJ466" s="303"/>
      <c r="AK466" s="303"/>
      <c r="AL466" s="303"/>
      <c r="AM466" s="303"/>
      <c r="AN466" s="303"/>
      <c r="AO466" s="303"/>
      <c r="AP466" s="290">
        <f t="shared" si="53"/>
        <v>0</v>
      </c>
      <c r="AQ466" s="303"/>
      <c r="AR466" s="303"/>
      <c r="AS466" s="303"/>
      <c r="AT466" s="303"/>
      <c r="AU466" s="303"/>
      <c r="AV466" s="303"/>
      <c r="AW466" s="303"/>
      <c r="AX466" s="303"/>
      <c r="AY466" s="303"/>
      <c r="AZ466" s="290">
        <f t="shared" si="54"/>
        <v>0</v>
      </c>
      <c r="BA466" s="303"/>
      <c r="BB466" s="303"/>
      <c r="BC466" s="315">
        <f t="shared" si="49"/>
        <v>1</v>
      </c>
      <c r="BD466" s="316" t="str">
        <f t="shared" si="55"/>
        <v>Habilitado</v>
      </c>
    </row>
    <row r="467" spans="1:56" ht="63.75" x14ac:dyDescent="0.25">
      <c r="A467" s="308">
        <v>465</v>
      </c>
      <c r="B467" s="328" t="s">
        <v>1420</v>
      </c>
      <c r="C467" s="331" t="s">
        <v>93</v>
      </c>
      <c r="D467" s="380" t="s">
        <v>123</v>
      </c>
      <c r="E467" s="303" t="s">
        <v>510</v>
      </c>
      <c r="F467" s="303" t="s">
        <v>510</v>
      </c>
      <c r="G467" s="303" t="s">
        <v>510</v>
      </c>
      <c r="H467" s="303" t="s">
        <v>511</v>
      </c>
      <c r="I467" s="303" t="s">
        <v>510</v>
      </c>
      <c r="J467" s="303" t="s">
        <v>511</v>
      </c>
      <c r="K467" s="303">
        <v>40</v>
      </c>
      <c r="L467" s="408">
        <f t="shared" si="50"/>
        <v>40</v>
      </c>
      <c r="M467" s="303" t="s">
        <v>504</v>
      </c>
      <c r="N467" s="303"/>
      <c r="O467" s="303"/>
      <c r="P467" s="303"/>
      <c r="Q467" s="303"/>
      <c r="R467" s="303"/>
      <c r="S467" s="303"/>
      <c r="T467" s="303"/>
      <c r="U467" s="303"/>
      <c r="V467" s="409">
        <f t="shared" si="51"/>
        <v>0</v>
      </c>
      <c r="W467" s="303"/>
      <c r="X467" s="311"/>
      <c r="Y467" s="311"/>
      <c r="Z467" s="311"/>
      <c r="AA467" s="311"/>
      <c r="AB467" s="311"/>
      <c r="AC467" s="311"/>
      <c r="AD467" s="311"/>
      <c r="AE467" s="311"/>
      <c r="AF467" s="410">
        <f t="shared" si="52"/>
        <v>0</v>
      </c>
      <c r="AG467" s="311"/>
      <c r="AH467" s="311"/>
      <c r="AI467" s="303"/>
      <c r="AJ467" s="303"/>
      <c r="AK467" s="303"/>
      <c r="AL467" s="303"/>
      <c r="AM467" s="303"/>
      <c r="AN467" s="303"/>
      <c r="AO467" s="303"/>
      <c r="AP467" s="290">
        <f t="shared" si="53"/>
        <v>0</v>
      </c>
      <c r="AQ467" s="303"/>
      <c r="AR467" s="303"/>
      <c r="AS467" s="303"/>
      <c r="AT467" s="303"/>
      <c r="AU467" s="303"/>
      <c r="AV467" s="303"/>
      <c r="AW467" s="303"/>
      <c r="AX467" s="303"/>
      <c r="AY467" s="303"/>
      <c r="AZ467" s="290">
        <f t="shared" si="54"/>
        <v>0</v>
      </c>
      <c r="BA467" s="303"/>
      <c r="BB467" s="301" t="s">
        <v>1421</v>
      </c>
      <c r="BC467" s="315">
        <f t="shared" si="49"/>
        <v>1</v>
      </c>
      <c r="BD467" s="316" t="str">
        <f t="shared" si="55"/>
        <v>Habilitado</v>
      </c>
    </row>
    <row r="468" spans="1:56" x14ac:dyDescent="0.25">
      <c r="A468" s="308">
        <v>466</v>
      </c>
      <c r="B468" s="328" t="s">
        <v>1422</v>
      </c>
      <c r="C468" s="331" t="s">
        <v>1423</v>
      </c>
      <c r="D468" s="380" t="s">
        <v>123</v>
      </c>
      <c r="E468" s="303"/>
      <c r="F468" s="303"/>
      <c r="G468" s="303"/>
      <c r="H468" s="303"/>
      <c r="I468" s="303"/>
      <c r="J468" s="303"/>
      <c r="K468" s="303"/>
      <c r="L468" s="408">
        <f t="shared" si="50"/>
        <v>0</v>
      </c>
      <c r="M468" s="311"/>
      <c r="N468" s="303"/>
      <c r="O468" s="303" t="s">
        <v>510</v>
      </c>
      <c r="P468" s="303" t="s">
        <v>510</v>
      </c>
      <c r="Q468" s="303" t="s">
        <v>519</v>
      </c>
      <c r="R468" s="303" t="s">
        <v>511</v>
      </c>
      <c r="S468" s="303" t="s">
        <v>519</v>
      </c>
      <c r="T468" s="303" t="s">
        <v>511</v>
      </c>
      <c r="U468" s="303"/>
      <c r="V468" s="409">
        <f t="shared" si="51"/>
        <v>0</v>
      </c>
      <c r="W468" s="303" t="s">
        <v>520</v>
      </c>
      <c r="X468" s="303" t="s">
        <v>1108</v>
      </c>
      <c r="Y468" s="311"/>
      <c r="Z468" s="311"/>
      <c r="AA468" s="311"/>
      <c r="AB468" s="311"/>
      <c r="AC468" s="311"/>
      <c r="AD468" s="311"/>
      <c r="AE468" s="311"/>
      <c r="AF468" s="410">
        <f t="shared" si="52"/>
        <v>0</v>
      </c>
      <c r="AG468" s="311"/>
      <c r="AH468" s="320"/>
      <c r="AI468" s="303"/>
      <c r="AJ468" s="303"/>
      <c r="AK468" s="303"/>
      <c r="AL468" s="303"/>
      <c r="AM468" s="303"/>
      <c r="AN468" s="303"/>
      <c r="AO468" s="303"/>
      <c r="AP468" s="290">
        <f t="shared" si="53"/>
        <v>0</v>
      </c>
      <c r="AQ468" s="303"/>
      <c r="AR468" s="303"/>
      <c r="AS468" s="303"/>
      <c r="AT468" s="303"/>
      <c r="AU468" s="303"/>
      <c r="AV468" s="303"/>
      <c r="AW468" s="303"/>
      <c r="AX468" s="303"/>
      <c r="AY468" s="303"/>
      <c r="AZ468" s="290">
        <f t="shared" si="54"/>
        <v>0</v>
      </c>
      <c r="BA468" s="303"/>
      <c r="BB468" s="303"/>
      <c r="BC468" s="315">
        <f t="shared" si="49"/>
        <v>0</v>
      </c>
      <c r="BD468" s="316" t="str">
        <f t="shared" si="55"/>
        <v>Desierto</v>
      </c>
    </row>
    <row r="469" spans="1:56" x14ac:dyDescent="0.25">
      <c r="A469" s="308">
        <v>467</v>
      </c>
      <c r="B469" s="328" t="s">
        <v>1424</v>
      </c>
      <c r="C469" s="331" t="s">
        <v>1423</v>
      </c>
      <c r="D469" s="380" t="s">
        <v>123</v>
      </c>
      <c r="E469" s="303" t="s">
        <v>510</v>
      </c>
      <c r="F469" s="303" t="s">
        <v>510</v>
      </c>
      <c r="G469" s="303" t="s">
        <v>510</v>
      </c>
      <c r="H469" s="303" t="s">
        <v>511</v>
      </c>
      <c r="I469" s="303" t="s">
        <v>510</v>
      </c>
      <c r="J469" s="303" t="s">
        <v>511</v>
      </c>
      <c r="K469" s="303">
        <v>40</v>
      </c>
      <c r="L469" s="408">
        <f t="shared" si="50"/>
        <v>40</v>
      </c>
      <c r="M469" s="303" t="s">
        <v>504</v>
      </c>
      <c r="N469" s="303"/>
      <c r="O469" s="303" t="s">
        <v>510</v>
      </c>
      <c r="P469" s="303" t="s">
        <v>510</v>
      </c>
      <c r="Q469" s="303" t="s">
        <v>519</v>
      </c>
      <c r="R469" s="303" t="s">
        <v>511</v>
      </c>
      <c r="S469" s="303" t="s">
        <v>519</v>
      </c>
      <c r="T469" s="303" t="s">
        <v>511</v>
      </c>
      <c r="U469" s="303">
        <v>0</v>
      </c>
      <c r="V469" s="409">
        <f t="shared" si="51"/>
        <v>0</v>
      </c>
      <c r="W469" s="303" t="s">
        <v>520</v>
      </c>
      <c r="X469" s="303" t="s">
        <v>1425</v>
      </c>
      <c r="Y469" s="311"/>
      <c r="Z469" s="311"/>
      <c r="AA469" s="311"/>
      <c r="AB469" s="311"/>
      <c r="AC469" s="311"/>
      <c r="AD469" s="311"/>
      <c r="AE469" s="311"/>
      <c r="AF469" s="410">
        <f t="shared" si="52"/>
        <v>0</v>
      </c>
      <c r="AG469" s="311"/>
      <c r="AH469" s="320"/>
      <c r="AI469" s="303"/>
      <c r="AJ469" s="303"/>
      <c r="AK469" s="303"/>
      <c r="AL469" s="303"/>
      <c r="AM469" s="303"/>
      <c r="AN469" s="303"/>
      <c r="AO469" s="303"/>
      <c r="AP469" s="290">
        <f t="shared" si="53"/>
        <v>0</v>
      </c>
      <c r="AQ469" s="303"/>
      <c r="AR469" s="301"/>
      <c r="AS469" s="303" t="s">
        <v>510</v>
      </c>
      <c r="AT469" s="303" t="s">
        <v>510</v>
      </c>
      <c r="AU469" s="303" t="s">
        <v>510</v>
      </c>
      <c r="AV469" s="303" t="s">
        <v>511</v>
      </c>
      <c r="AW469" s="303" t="s">
        <v>510</v>
      </c>
      <c r="AX469" s="303" t="s">
        <v>511</v>
      </c>
      <c r="AY469" s="303">
        <v>0</v>
      </c>
      <c r="AZ469" s="290">
        <f t="shared" si="54"/>
        <v>0</v>
      </c>
      <c r="BA469" s="303" t="s">
        <v>504</v>
      </c>
      <c r="BB469" s="303"/>
      <c r="BC469" s="315">
        <f t="shared" si="49"/>
        <v>2</v>
      </c>
      <c r="BD469" s="316" t="str">
        <f t="shared" si="55"/>
        <v>Habilitado</v>
      </c>
    </row>
    <row r="470" spans="1:56" ht="38.25" x14ac:dyDescent="0.25">
      <c r="A470" s="308">
        <v>468</v>
      </c>
      <c r="B470" s="328" t="s">
        <v>1426</v>
      </c>
      <c r="C470" s="331" t="s">
        <v>1423</v>
      </c>
      <c r="D470" s="380" t="s">
        <v>123</v>
      </c>
      <c r="E470" s="303" t="s">
        <v>510</v>
      </c>
      <c r="F470" s="303" t="s">
        <v>510</v>
      </c>
      <c r="G470" s="303" t="s">
        <v>510</v>
      </c>
      <c r="H470" s="303" t="s">
        <v>511</v>
      </c>
      <c r="I470" s="303" t="s">
        <v>510</v>
      </c>
      <c r="J470" s="303" t="s">
        <v>511</v>
      </c>
      <c r="K470" s="303">
        <v>0</v>
      </c>
      <c r="L470" s="408">
        <f t="shared" si="50"/>
        <v>0</v>
      </c>
      <c r="M470" s="303" t="s">
        <v>504</v>
      </c>
      <c r="N470" s="303"/>
      <c r="O470" s="303" t="s">
        <v>510</v>
      </c>
      <c r="P470" s="303" t="s">
        <v>510</v>
      </c>
      <c r="Q470" s="303" t="s">
        <v>519</v>
      </c>
      <c r="R470" s="303" t="s">
        <v>511</v>
      </c>
      <c r="S470" s="303" t="s">
        <v>519</v>
      </c>
      <c r="T470" s="303" t="s">
        <v>511</v>
      </c>
      <c r="U470" s="303">
        <v>0</v>
      </c>
      <c r="V470" s="409">
        <f t="shared" si="51"/>
        <v>0</v>
      </c>
      <c r="W470" s="303" t="s">
        <v>520</v>
      </c>
      <c r="X470" s="301" t="s">
        <v>1038</v>
      </c>
      <c r="Y470" s="311"/>
      <c r="Z470" s="311"/>
      <c r="AA470" s="311"/>
      <c r="AB470" s="311"/>
      <c r="AC470" s="311"/>
      <c r="AD470" s="311"/>
      <c r="AE470" s="311"/>
      <c r="AF470" s="410">
        <f t="shared" si="52"/>
        <v>0</v>
      </c>
      <c r="AG470" s="311"/>
      <c r="AH470" s="311"/>
      <c r="AI470" s="303"/>
      <c r="AJ470" s="303"/>
      <c r="AK470" s="303"/>
      <c r="AL470" s="303"/>
      <c r="AM470" s="303"/>
      <c r="AN470" s="303"/>
      <c r="AO470" s="303"/>
      <c r="AP470" s="290">
        <f t="shared" si="53"/>
        <v>0</v>
      </c>
      <c r="AQ470" s="303"/>
      <c r="AR470" s="303"/>
      <c r="AS470" s="303" t="s">
        <v>510</v>
      </c>
      <c r="AT470" s="303" t="s">
        <v>510</v>
      </c>
      <c r="AU470" s="303" t="s">
        <v>510</v>
      </c>
      <c r="AV470" s="303" t="s">
        <v>511</v>
      </c>
      <c r="AW470" s="303" t="s">
        <v>510</v>
      </c>
      <c r="AX470" s="303" t="s">
        <v>511</v>
      </c>
      <c r="AY470" s="303">
        <v>0</v>
      </c>
      <c r="AZ470" s="290">
        <f t="shared" si="54"/>
        <v>0</v>
      </c>
      <c r="BA470" s="303" t="s">
        <v>504</v>
      </c>
      <c r="BB470" s="303"/>
      <c r="BC470" s="315">
        <f t="shared" si="49"/>
        <v>2</v>
      </c>
      <c r="BD470" s="316" t="str">
        <f t="shared" si="55"/>
        <v>Habilitado</v>
      </c>
    </row>
    <row r="471" spans="1:56" ht="76.5" x14ac:dyDescent="0.25">
      <c r="A471" s="308">
        <v>469</v>
      </c>
      <c r="B471" s="328" t="s">
        <v>1427</v>
      </c>
      <c r="C471" s="331" t="s">
        <v>1423</v>
      </c>
      <c r="D471" s="380" t="s">
        <v>123</v>
      </c>
      <c r="E471" s="303" t="s">
        <v>510</v>
      </c>
      <c r="F471" s="303" t="s">
        <v>510</v>
      </c>
      <c r="G471" s="303" t="s">
        <v>510</v>
      </c>
      <c r="H471" s="303" t="s">
        <v>511</v>
      </c>
      <c r="I471" s="303" t="s">
        <v>510</v>
      </c>
      <c r="J471" s="303" t="s">
        <v>511</v>
      </c>
      <c r="K471" s="303">
        <v>40</v>
      </c>
      <c r="L471" s="408">
        <f t="shared" si="50"/>
        <v>40</v>
      </c>
      <c r="M471" s="303" t="s">
        <v>504</v>
      </c>
      <c r="N471" s="301"/>
      <c r="O471" s="311" t="s">
        <v>510</v>
      </c>
      <c r="P471" s="311" t="s">
        <v>519</v>
      </c>
      <c r="Q471" s="311" t="s">
        <v>519</v>
      </c>
      <c r="R471" s="311" t="s">
        <v>511</v>
      </c>
      <c r="S471" s="303" t="s">
        <v>519</v>
      </c>
      <c r="T471" s="303" t="s">
        <v>511</v>
      </c>
      <c r="U471" s="311">
        <v>0</v>
      </c>
      <c r="V471" s="409">
        <f t="shared" si="51"/>
        <v>0</v>
      </c>
      <c r="W471" s="311" t="s">
        <v>520</v>
      </c>
      <c r="X471" s="320" t="s">
        <v>1428</v>
      </c>
      <c r="Y471" s="311"/>
      <c r="Z471" s="311"/>
      <c r="AA471" s="311"/>
      <c r="AB471" s="311"/>
      <c r="AC471" s="311"/>
      <c r="AD471" s="311"/>
      <c r="AE471" s="311"/>
      <c r="AF471" s="410">
        <f t="shared" si="52"/>
        <v>0</v>
      </c>
      <c r="AG471" s="311"/>
      <c r="AH471" s="311"/>
      <c r="AI471" s="303"/>
      <c r="AJ471" s="303"/>
      <c r="AK471" s="303"/>
      <c r="AL471" s="303"/>
      <c r="AM471" s="303"/>
      <c r="AN471" s="303"/>
      <c r="AO471" s="303"/>
      <c r="AP471" s="290">
        <f t="shared" si="53"/>
        <v>0</v>
      </c>
      <c r="AQ471" s="303"/>
      <c r="AR471" s="303"/>
      <c r="AS471" s="303"/>
      <c r="AT471" s="303"/>
      <c r="AU471" s="303"/>
      <c r="AV471" s="303"/>
      <c r="AW471" s="303"/>
      <c r="AX471" s="303"/>
      <c r="AY471" s="303"/>
      <c r="AZ471" s="290">
        <f t="shared" si="54"/>
        <v>0</v>
      </c>
      <c r="BA471" s="303"/>
      <c r="BB471" s="301" t="s">
        <v>1429</v>
      </c>
      <c r="BC471" s="315">
        <f t="shared" si="49"/>
        <v>1</v>
      </c>
      <c r="BD471" s="316" t="str">
        <f t="shared" si="55"/>
        <v>Habilitado</v>
      </c>
    </row>
    <row r="472" spans="1:56" x14ac:dyDescent="0.25">
      <c r="A472" s="308">
        <v>470</v>
      </c>
      <c r="B472" s="328" t="s">
        <v>1430</v>
      </c>
      <c r="C472" s="331" t="s">
        <v>1423</v>
      </c>
      <c r="D472" s="380" t="s">
        <v>123</v>
      </c>
      <c r="E472" s="311"/>
      <c r="F472" s="311"/>
      <c r="G472" s="311"/>
      <c r="H472" s="311"/>
      <c r="I472" s="311"/>
      <c r="J472" s="311"/>
      <c r="K472" s="311"/>
      <c r="L472" s="408">
        <f t="shared" si="50"/>
        <v>0</v>
      </c>
      <c r="M472" s="311"/>
      <c r="N472" s="320"/>
      <c r="O472" s="311"/>
      <c r="P472" s="311"/>
      <c r="Q472" s="311"/>
      <c r="R472" s="311"/>
      <c r="S472" s="311"/>
      <c r="T472" s="311"/>
      <c r="U472" s="311"/>
      <c r="V472" s="409">
        <f t="shared" si="51"/>
        <v>0</v>
      </c>
      <c r="W472" s="311"/>
      <c r="X472" s="311"/>
      <c r="Y472" s="311"/>
      <c r="Z472" s="311"/>
      <c r="AA472" s="311"/>
      <c r="AB472" s="311"/>
      <c r="AC472" s="311"/>
      <c r="AD472" s="311"/>
      <c r="AE472" s="311"/>
      <c r="AF472" s="410">
        <f t="shared" si="52"/>
        <v>0</v>
      </c>
      <c r="AG472" s="311"/>
      <c r="AH472" s="311"/>
      <c r="AI472" s="303"/>
      <c r="AJ472" s="303"/>
      <c r="AK472" s="303"/>
      <c r="AL472" s="303"/>
      <c r="AM472" s="303"/>
      <c r="AN472" s="303"/>
      <c r="AO472" s="303"/>
      <c r="AP472" s="290">
        <f t="shared" si="53"/>
        <v>0</v>
      </c>
      <c r="AQ472" s="303"/>
      <c r="AR472" s="303"/>
      <c r="AS472" s="303"/>
      <c r="AT472" s="303"/>
      <c r="AU472" s="303"/>
      <c r="AV472" s="303"/>
      <c r="AW472" s="303"/>
      <c r="AX472" s="303"/>
      <c r="AY472" s="303"/>
      <c r="AZ472" s="290">
        <f t="shared" si="54"/>
        <v>0</v>
      </c>
      <c r="BA472" s="303"/>
      <c r="BB472" s="301"/>
      <c r="BC472" s="315">
        <f t="shared" si="49"/>
        <v>0</v>
      </c>
      <c r="BD472" s="316" t="str">
        <f t="shared" si="55"/>
        <v>Desierto</v>
      </c>
    </row>
    <row r="473" spans="1:56" x14ac:dyDescent="0.25">
      <c r="A473" s="308">
        <v>471</v>
      </c>
      <c r="B473" s="328" t="s">
        <v>1431</v>
      </c>
      <c r="C473" s="331" t="s">
        <v>1423</v>
      </c>
      <c r="D473" s="380" t="s">
        <v>123</v>
      </c>
      <c r="E473" s="303" t="s">
        <v>510</v>
      </c>
      <c r="F473" s="303" t="s">
        <v>510</v>
      </c>
      <c r="G473" s="303" t="s">
        <v>510</v>
      </c>
      <c r="H473" s="303" t="s">
        <v>511</v>
      </c>
      <c r="I473" s="303" t="s">
        <v>510</v>
      </c>
      <c r="J473" s="303" t="s">
        <v>511</v>
      </c>
      <c r="K473" s="303">
        <v>40</v>
      </c>
      <c r="L473" s="408">
        <f t="shared" si="50"/>
        <v>40</v>
      </c>
      <c r="M473" s="303" t="s">
        <v>504</v>
      </c>
      <c r="N473" s="303"/>
      <c r="O473" s="311"/>
      <c r="P473" s="311"/>
      <c r="Q473" s="311"/>
      <c r="R473" s="311"/>
      <c r="S473" s="311"/>
      <c r="T473" s="311"/>
      <c r="U473" s="311"/>
      <c r="V473" s="409">
        <f t="shared" si="51"/>
        <v>0</v>
      </c>
      <c r="W473" s="311"/>
      <c r="X473" s="320"/>
      <c r="Y473" s="311"/>
      <c r="Z473" s="311"/>
      <c r="AA473" s="311"/>
      <c r="AB473" s="311"/>
      <c r="AC473" s="311"/>
      <c r="AD473" s="311"/>
      <c r="AE473" s="311"/>
      <c r="AF473" s="410">
        <f t="shared" si="52"/>
        <v>0</v>
      </c>
      <c r="AG473" s="311"/>
      <c r="AH473" s="320"/>
      <c r="AI473" s="303"/>
      <c r="AJ473" s="303"/>
      <c r="AK473" s="303"/>
      <c r="AL473" s="303"/>
      <c r="AM473" s="303"/>
      <c r="AN473" s="303"/>
      <c r="AO473" s="303"/>
      <c r="AP473" s="290">
        <f t="shared" si="53"/>
        <v>0</v>
      </c>
      <c r="AQ473" s="303"/>
      <c r="AR473" s="301"/>
      <c r="AS473" s="303" t="s">
        <v>510</v>
      </c>
      <c r="AT473" s="303" t="s">
        <v>510</v>
      </c>
      <c r="AU473" s="303" t="s">
        <v>510</v>
      </c>
      <c r="AV473" s="303" t="s">
        <v>511</v>
      </c>
      <c r="AW473" s="303" t="s">
        <v>510</v>
      </c>
      <c r="AX473" s="303" t="s">
        <v>511</v>
      </c>
      <c r="AY473" s="303">
        <v>0</v>
      </c>
      <c r="AZ473" s="290">
        <f t="shared" si="54"/>
        <v>0</v>
      </c>
      <c r="BA473" s="303" t="s">
        <v>504</v>
      </c>
      <c r="BB473" s="303"/>
      <c r="BC473" s="315">
        <f t="shared" si="49"/>
        <v>2</v>
      </c>
      <c r="BD473" s="316" t="str">
        <f t="shared" si="55"/>
        <v>Habilitado</v>
      </c>
    </row>
    <row r="474" spans="1:56" ht="25.5" x14ac:dyDescent="0.25">
      <c r="A474" s="308">
        <v>472</v>
      </c>
      <c r="B474" s="328" t="s">
        <v>1432</v>
      </c>
      <c r="C474" s="331" t="s">
        <v>1433</v>
      </c>
      <c r="D474" s="380" t="s">
        <v>123</v>
      </c>
      <c r="E474" s="303" t="s">
        <v>510</v>
      </c>
      <c r="F474" s="303" t="s">
        <v>510</v>
      </c>
      <c r="G474" s="303" t="s">
        <v>510</v>
      </c>
      <c r="H474" s="303" t="s">
        <v>511</v>
      </c>
      <c r="I474" s="303" t="s">
        <v>510</v>
      </c>
      <c r="J474" s="303" t="s">
        <v>511</v>
      </c>
      <c r="K474" s="303">
        <v>40</v>
      </c>
      <c r="L474" s="408">
        <f t="shared" si="50"/>
        <v>40</v>
      </c>
      <c r="M474" s="303" t="s">
        <v>504</v>
      </c>
      <c r="N474" s="303"/>
      <c r="O474" s="311"/>
      <c r="P474" s="311"/>
      <c r="Q474" s="311"/>
      <c r="R474" s="311"/>
      <c r="S474" s="311"/>
      <c r="T474" s="311"/>
      <c r="U474" s="311"/>
      <c r="V474" s="409">
        <f t="shared" si="51"/>
        <v>0</v>
      </c>
      <c r="W474" s="311"/>
      <c r="X474" s="320"/>
      <c r="Y474" s="311"/>
      <c r="Z474" s="311"/>
      <c r="AA474" s="311"/>
      <c r="AB474" s="311"/>
      <c r="AC474" s="311"/>
      <c r="AD474" s="311"/>
      <c r="AE474" s="311"/>
      <c r="AF474" s="410">
        <f t="shared" si="52"/>
        <v>0</v>
      </c>
      <c r="AG474" s="311"/>
      <c r="AH474" s="320"/>
      <c r="AI474" s="303"/>
      <c r="AJ474" s="303"/>
      <c r="AK474" s="303"/>
      <c r="AL474" s="303"/>
      <c r="AM474" s="303"/>
      <c r="AN474" s="303"/>
      <c r="AO474" s="303"/>
      <c r="AP474" s="290">
        <f t="shared" si="53"/>
        <v>0</v>
      </c>
      <c r="AQ474" s="303"/>
      <c r="AR474" s="301"/>
      <c r="AS474" s="303"/>
      <c r="AT474" s="303"/>
      <c r="AU474" s="303"/>
      <c r="AV474" s="303"/>
      <c r="AW474" s="303"/>
      <c r="AX474" s="303"/>
      <c r="AY474" s="303"/>
      <c r="AZ474" s="290">
        <f t="shared" si="54"/>
        <v>0</v>
      </c>
      <c r="BA474" s="303"/>
      <c r="BB474" s="303"/>
      <c r="BC474" s="315">
        <f t="shared" si="49"/>
        <v>1</v>
      </c>
      <c r="BD474" s="316" t="str">
        <f t="shared" si="55"/>
        <v>Habilitado</v>
      </c>
    </row>
    <row r="475" spans="1:56" ht="25.5" x14ac:dyDescent="0.25">
      <c r="A475" s="308">
        <v>473</v>
      </c>
      <c r="B475" s="328" t="s">
        <v>1434</v>
      </c>
      <c r="C475" s="331" t="s">
        <v>1435</v>
      </c>
      <c r="D475" s="380" t="s">
        <v>123</v>
      </c>
      <c r="E475" s="303" t="s">
        <v>510</v>
      </c>
      <c r="F475" s="303" t="s">
        <v>510</v>
      </c>
      <c r="G475" s="303" t="s">
        <v>510</v>
      </c>
      <c r="H475" s="303" t="s">
        <v>511</v>
      </c>
      <c r="I475" s="303" t="s">
        <v>510</v>
      </c>
      <c r="J475" s="303" t="s">
        <v>511</v>
      </c>
      <c r="K475" s="303">
        <v>40</v>
      </c>
      <c r="L475" s="408">
        <f t="shared" si="50"/>
        <v>40</v>
      </c>
      <c r="M475" s="303" t="s">
        <v>504</v>
      </c>
      <c r="N475" s="301"/>
      <c r="O475" s="311"/>
      <c r="P475" s="311"/>
      <c r="Q475" s="311"/>
      <c r="R475" s="311"/>
      <c r="S475" s="311"/>
      <c r="T475" s="311"/>
      <c r="U475" s="311"/>
      <c r="V475" s="409">
        <f t="shared" si="51"/>
        <v>0</v>
      </c>
      <c r="W475" s="311"/>
      <c r="X475" s="311"/>
      <c r="Y475" s="311"/>
      <c r="Z475" s="311"/>
      <c r="AA475" s="311"/>
      <c r="AB475" s="311"/>
      <c r="AC475" s="311"/>
      <c r="AD475" s="311"/>
      <c r="AE475" s="311"/>
      <c r="AF475" s="410">
        <f t="shared" si="52"/>
        <v>0</v>
      </c>
      <c r="AG475" s="311"/>
      <c r="AH475" s="311"/>
      <c r="AI475" s="303"/>
      <c r="AJ475" s="303"/>
      <c r="AK475" s="303"/>
      <c r="AL475" s="303"/>
      <c r="AM475" s="303"/>
      <c r="AN475" s="303"/>
      <c r="AO475" s="303"/>
      <c r="AP475" s="290">
        <f t="shared" si="53"/>
        <v>0</v>
      </c>
      <c r="AQ475" s="303"/>
      <c r="AR475" s="303"/>
      <c r="AS475" s="303"/>
      <c r="AT475" s="303"/>
      <c r="AU475" s="303"/>
      <c r="AV475" s="303"/>
      <c r="AW475" s="303"/>
      <c r="AX475" s="303"/>
      <c r="AY475" s="303"/>
      <c r="AZ475" s="290">
        <f t="shared" si="54"/>
        <v>0</v>
      </c>
      <c r="BA475" s="303"/>
      <c r="BB475" s="303"/>
      <c r="BC475" s="315">
        <f t="shared" si="49"/>
        <v>1</v>
      </c>
      <c r="BD475" s="316" t="str">
        <f t="shared" si="55"/>
        <v>Habilitado</v>
      </c>
    </row>
    <row r="476" spans="1:56" ht="25.5" x14ac:dyDescent="0.25">
      <c r="A476" s="308">
        <v>474</v>
      </c>
      <c r="B476" s="328" t="s">
        <v>1436</v>
      </c>
      <c r="C476" s="328" t="s">
        <v>1437</v>
      </c>
      <c r="D476" s="328" t="s">
        <v>123</v>
      </c>
      <c r="E476" s="303" t="s">
        <v>510</v>
      </c>
      <c r="F476" s="303" t="s">
        <v>510</v>
      </c>
      <c r="G476" s="303" t="s">
        <v>510</v>
      </c>
      <c r="H476" s="303" t="s">
        <v>511</v>
      </c>
      <c r="I476" s="303" t="s">
        <v>510</v>
      </c>
      <c r="J476" s="303" t="s">
        <v>511</v>
      </c>
      <c r="K476" s="303">
        <v>40</v>
      </c>
      <c r="L476" s="408">
        <f t="shared" si="50"/>
        <v>40</v>
      </c>
      <c r="M476" s="303" t="s">
        <v>504</v>
      </c>
      <c r="N476" s="301"/>
      <c r="O476" s="311"/>
      <c r="P476" s="311"/>
      <c r="Q476" s="311"/>
      <c r="R476" s="311"/>
      <c r="S476" s="311"/>
      <c r="T476" s="311"/>
      <c r="U476" s="311"/>
      <c r="V476" s="409">
        <f t="shared" si="51"/>
        <v>0</v>
      </c>
      <c r="W476" s="311"/>
      <c r="X476" s="311"/>
      <c r="Y476" s="311"/>
      <c r="Z476" s="311"/>
      <c r="AA476" s="311"/>
      <c r="AB476" s="311"/>
      <c r="AC476" s="311"/>
      <c r="AD476" s="311"/>
      <c r="AE476" s="311"/>
      <c r="AF476" s="410">
        <f t="shared" si="52"/>
        <v>0</v>
      </c>
      <c r="AG476" s="311"/>
      <c r="AH476" s="311"/>
      <c r="AI476" s="303"/>
      <c r="AJ476" s="303"/>
      <c r="AK476" s="303"/>
      <c r="AL476" s="303"/>
      <c r="AM476" s="303"/>
      <c r="AN476" s="303"/>
      <c r="AO476" s="303"/>
      <c r="AP476" s="290">
        <f t="shared" si="53"/>
        <v>0</v>
      </c>
      <c r="AQ476" s="303"/>
      <c r="AR476" s="303"/>
      <c r="AS476" s="303"/>
      <c r="AT476" s="303"/>
      <c r="AU476" s="303"/>
      <c r="AV476" s="303"/>
      <c r="AW476" s="303"/>
      <c r="AX476" s="303"/>
      <c r="AY476" s="303"/>
      <c r="AZ476" s="290">
        <f t="shared" si="54"/>
        <v>0</v>
      </c>
      <c r="BA476" s="303"/>
      <c r="BB476" s="303"/>
      <c r="BC476" s="315">
        <f t="shared" si="49"/>
        <v>1</v>
      </c>
      <c r="BD476" s="316" t="str">
        <f t="shared" si="55"/>
        <v>Habilitado</v>
      </c>
    </row>
    <row r="477" spans="1:56" ht="25.5" x14ac:dyDescent="0.25">
      <c r="A477" s="308">
        <v>475</v>
      </c>
      <c r="B477" s="328" t="s">
        <v>1438</v>
      </c>
      <c r="C477" s="328" t="s">
        <v>1437</v>
      </c>
      <c r="D477" s="328" t="s">
        <v>123</v>
      </c>
      <c r="E477" s="303" t="s">
        <v>510</v>
      </c>
      <c r="F477" s="303" t="s">
        <v>510</v>
      </c>
      <c r="G477" s="303" t="s">
        <v>510</v>
      </c>
      <c r="H477" s="303" t="s">
        <v>511</v>
      </c>
      <c r="I477" s="303" t="s">
        <v>510</v>
      </c>
      <c r="J477" s="303" t="s">
        <v>511</v>
      </c>
      <c r="K477" s="303">
        <v>40</v>
      </c>
      <c r="L477" s="408">
        <f t="shared" si="50"/>
        <v>40</v>
      </c>
      <c r="M477" s="303" t="s">
        <v>504</v>
      </c>
      <c r="N477" s="303"/>
      <c r="O477" s="311"/>
      <c r="P477" s="311"/>
      <c r="Q477" s="311"/>
      <c r="R477" s="311"/>
      <c r="S477" s="311"/>
      <c r="T477" s="311"/>
      <c r="U477" s="311"/>
      <c r="V477" s="409">
        <f t="shared" si="51"/>
        <v>0</v>
      </c>
      <c r="W477" s="311"/>
      <c r="X477" s="311"/>
      <c r="Y477" s="311"/>
      <c r="Z477" s="311"/>
      <c r="AA477" s="311"/>
      <c r="AB477" s="311"/>
      <c r="AC477" s="311"/>
      <c r="AD477" s="311"/>
      <c r="AE477" s="311"/>
      <c r="AF477" s="410">
        <f t="shared" si="52"/>
        <v>0</v>
      </c>
      <c r="AG477" s="311"/>
      <c r="AH477" s="311"/>
      <c r="AI477" s="303"/>
      <c r="AJ477" s="303"/>
      <c r="AK477" s="303"/>
      <c r="AL477" s="303"/>
      <c r="AM477" s="303"/>
      <c r="AN477" s="303"/>
      <c r="AO477" s="303"/>
      <c r="AP477" s="290">
        <f t="shared" si="53"/>
        <v>0</v>
      </c>
      <c r="AQ477" s="303"/>
      <c r="AR477" s="303"/>
      <c r="AS477" s="303"/>
      <c r="AT477" s="303"/>
      <c r="AU477" s="303"/>
      <c r="AV477" s="303"/>
      <c r="AW477" s="303"/>
      <c r="AX477" s="303"/>
      <c r="AY477" s="303"/>
      <c r="AZ477" s="290">
        <f t="shared" si="54"/>
        <v>0</v>
      </c>
      <c r="BA477" s="303"/>
      <c r="BB477" s="303"/>
      <c r="BC477" s="315">
        <f t="shared" si="49"/>
        <v>1</v>
      </c>
      <c r="BD477" s="316" t="str">
        <f t="shared" si="55"/>
        <v>Habilitado</v>
      </c>
    </row>
    <row r="478" spans="1:56" ht="25.5" x14ac:dyDescent="0.25">
      <c r="A478" s="308">
        <v>476</v>
      </c>
      <c r="B478" s="328" t="s">
        <v>1439</v>
      </c>
      <c r="C478" s="328" t="s">
        <v>1437</v>
      </c>
      <c r="D478" s="328" t="s">
        <v>123</v>
      </c>
      <c r="E478" s="303" t="s">
        <v>510</v>
      </c>
      <c r="F478" s="303" t="s">
        <v>510</v>
      </c>
      <c r="G478" s="303" t="s">
        <v>510</v>
      </c>
      <c r="H478" s="303" t="s">
        <v>511</v>
      </c>
      <c r="I478" s="303" t="s">
        <v>510</v>
      </c>
      <c r="J478" s="303" t="s">
        <v>511</v>
      </c>
      <c r="K478" s="303">
        <v>40</v>
      </c>
      <c r="L478" s="408">
        <f t="shared" si="50"/>
        <v>40</v>
      </c>
      <c r="M478" s="303" t="s">
        <v>504</v>
      </c>
      <c r="N478" s="301"/>
      <c r="O478" s="311"/>
      <c r="P478" s="311"/>
      <c r="Q478" s="311"/>
      <c r="R478" s="311"/>
      <c r="S478" s="311"/>
      <c r="T478" s="311"/>
      <c r="U478" s="311"/>
      <c r="V478" s="409">
        <f t="shared" si="51"/>
        <v>0</v>
      </c>
      <c r="W478" s="311"/>
      <c r="X478" s="311"/>
      <c r="Y478" s="311"/>
      <c r="Z478" s="311"/>
      <c r="AA478" s="311"/>
      <c r="AB478" s="311"/>
      <c r="AC478" s="311"/>
      <c r="AD478" s="311"/>
      <c r="AE478" s="311"/>
      <c r="AF478" s="410">
        <f t="shared" si="52"/>
        <v>0</v>
      </c>
      <c r="AG478" s="311"/>
      <c r="AH478" s="311"/>
      <c r="AI478" s="303"/>
      <c r="AJ478" s="303"/>
      <c r="AK478" s="303"/>
      <c r="AL478" s="303"/>
      <c r="AM478" s="303"/>
      <c r="AN478" s="303"/>
      <c r="AO478" s="303"/>
      <c r="AP478" s="290">
        <f t="shared" si="53"/>
        <v>0</v>
      </c>
      <c r="AQ478" s="303"/>
      <c r="AR478" s="303"/>
      <c r="AS478" s="303"/>
      <c r="AT478" s="303"/>
      <c r="AU478" s="303"/>
      <c r="AV478" s="303"/>
      <c r="AW478" s="303"/>
      <c r="AX478" s="303"/>
      <c r="AY478" s="303"/>
      <c r="AZ478" s="290">
        <f t="shared" si="54"/>
        <v>0</v>
      </c>
      <c r="BA478" s="303"/>
      <c r="BB478" s="303"/>
      <c r="BC478" s="315">
        <f t="shared" si="49"/>
        <v>1</v>
      </c>
      <c r="BD478" s="316" t="str">
        <f t="shared" si="55"/>
        <v>Habilitado</v>
      </c>
    </row>
    <row r="479" spans="1:56" ht="76.5" x14ac:dyDescent="0.25">
      <c r="A479" s="308">
        <v>477</v>
      </c>
      <c r="B479" s="328" t="s">
        <v>1440</v>
      </c>
      <c r="C479" s="328" t="s">
        <v>1441</v>
      </c>
      <c r="D479" s="328" t="s">
        <v>1442</v>
      </c>
      <c r="E479" s="303" t="s">
        <v>510</v>
      </c>
      <c r="F479" s="303" t="s">
        <v>510</v>
      </c>
      <c r="G479" s="303" t="s">
        <v>510</v>
      </c>
      <c r="H479" s="303" t="s">
        <v>511</v>
      </c>
      <c r="I479" s="303" t="s">
        <v>510</v>
      </c>
      <c r="J479" s="303" t="s">
        <v>511</v>
      </c>
      <c r="K479" s="303">
        <v>40</v>
      </c>
      <c r="L479" s="408">
        <f t="shared" si="50"/>
        <v>40</v>
      </c>
      <c r="M479" s="303" t="s">
        <v>504</v>
      </c>
      <c r="N479" s="303"/>
      <c r="O479" s="311"/>
      <c r="P479" s="311"/>
      <c r="Q479" s="311"/>
      <c r="R479" s="311"/>
      <c r="S479" s="311"/>
      <c r="T479" s="311"/>
      <c r="U479" s="311"/>
      <c r="V479" s="409">
        <f t="shared" si="51"/>
        <v>0</v>
      </c>
      <c r="W479" s="311"/>
      <c r="X479" s="311"/>
      <c r="Y479" s="311"/>
      <c r="Z479" s="311"/>
      <c r="AA479" s="311"/>
      <c r="AB479" s="311"/>
      <c r="AC479" s="311"/>
      <c r="AD479" s="311"/>
      <c r="AE479" s="311"/>
      <c r="AF479" s="410">
        <f t="shared" si="52"/>
        <v>0</v>
      </c>
      <c r="AG479" s="311"/>
      <c r="AH479" s="311"/>
      <c r="AI479" s="303"/>
      <c r="AJ479" s="303"/>
      <c r="AK479" s="303"/>
      <c r="AL479" s="303"/>
      <c r="AM479" s="303"/>
      <c r="AN479" s="303"/>
      <c r="AO479" s="303"/>
      <c r="AP479" s="290">
        <f t="shared" si="53"/>
        <v>0</v>
      </c>
      <c r="AQ479" s="303"/>
      <c r="AR479" s="303"/>
      <c r="AS479" s="303"/>
      <c r="AT479" s="303"/>
      <c r="AU479" s="303"/>
      <c r="AV479" s="303"/>
      <c r="AW479" s="303"/>
      <c r="AX479" s="303"/>
      <c r="AY479" s="303"/>
      <c r="AZ479" s="290">
        <f t="shared" si="54"/>
        <v>0</v>
      </c>
      <c r="BA479" s="303"/>
      <c r="BB479" s="303"/>
      <c r="BC479" s="315">
        <f t="shared" si="49"/>
        <v>1</v>
      </c>
      <c r="BD479" s="316" t="str">
        <f t="shared" si="55"/>
        <v>Habilitado</v>
      </c>
    </row>
    <row r="480" spans="1:56" ht="25.5" x14ac:dyDescent="0.25">
      <c r="A480" s="308">
        <v>478</v>
      </c>
      <c r="B480" s="310" t="s">
        <v>1443</v>
      </c>
      <c r="C480" s="310" t="s">
        <v>139</v>
      </c>
      <c r="D480" s="310" t="s">
        <v>1444</v>
      </c>
      <c r="E480" s="311"/>
      <c r="F480" s="311"/>
      <c r="G480" s="311"/>
      <c r="H480" s="311"/>
      <c r="I480" s="311"/>
      <c r="J480" s="311"/>
      <c r="K480" s="311"/>
      <c r="L480" s="408">
        <f t="shared" si="50"/>
        <v>0</v>
      </c>
      <c r="M480" s="311"/>
      <c r="N480" s="303"/>
      <c r="O480" s="311"/>
      <c r="P480" s="311"/>
      <c r="Q480" s="311"/>
      <c r="R480" s="311"/>
      <c r="S480" s="311"/>
      <c r="T480" s="311"/>
      <c r="U480" s="311"/>
      <c r="V480" s="409">
        <f t="shared" si="51"/>
        <v>0</v>
      </c>
      <c r="W480" s="311"/>
      <c r="X480" s="311"/>
      <c r="Y480" s="311"/>
      <c r="Z480" s="311"/>
      <c r="AA480" s="311"/>
      <c r="AB480" s="311"/>
      <c r="AC480" s="311"/>
      <c r="AD480" s="311"/>
      <c r="AE480" s="311"/>
      <c r="AF480" s="410">
        <f t="shared" si="52"/>
        <v>0</v>
      </c>
      <c r="AG480" s="311"/>
      <c r="AH480" s="311"/>
      <c r="AI480" s="303"/>
      <c r="AJ480" s="303"/>
      <c r="AK480" s="303"/>
      <c r="AL480" s="303"/>
      <c r="AM480" s="303"/>
      <c r="AN480" s="303"/>
      <c r="AO480" s="303"/>
      <c r="AP480" s="290">
        <f t="shared" si="53"/>
        <v>0</v>
      </c>
      <c r="AQ480" s="303"/>
      <c r="AR480" s="303"/>
      <c r="AS480" s="303"/>
      <c r="AT480" s="303"/>
      <c r="AU480" s="303"/>
      <c r="AV480" s="303"/>
      <c r="AW480" s="303"/>
      <c r="AX480" s="303"/>
      <c r="AY480" s="303"/>
      <c r="AZ480" s="290">
        <f t="shared" si="54"/>
        <v>0</v>
      </c>
      <c r="BA480" s="303"/>
      <c r="BB480" s="303"/>
      <c r="BC480" s="315">
        <f t="shared" si="49"/>
        <v>0</v>
      </c>
      <c r="BD480" s="316" t="str">
        <f t="shared" si="55"/>
        <v>Desierto</v>
      </c>
    </row>
    <row r="481" spans="1:56" ht="38.25" x14ac:dyDescent="0.25">
      <c r="A481" s="308">
        <v>479</v>
      </c>
      <c r="B481" s="310" t="s">
        <v>1445</v>
      </c>
      <c r="C481" s="310" t="s">
        <v>139</v>
      </c>
      <c r="D481" s="310" t="s">
        <v>1444</v>
      </c>
      <c r="E481" s="303" t="s">
        <v>510</v>
      </c>
      <c r="F481" s="303" t="s">
        <v>510</v>
      </c>
      <c r="G481" s="303" t="s">
        <v>510</v>
      </c>
      <c r="H481" s="303" t="s">
        <v>511</v>
      </c>
      <c r="I481" s="303" t="s">
        <v>510</v>
      </c>
      <c r="J481" s="303" t="s">
        <v>511</v>
      </c>
      <c r="K481" s="303">
        <v>40</v>
      </c>
      <c r="L481" s="408">
        <f t="shared" si="50"/>
        <v>40</v>
      </c>
      <c r="M481" s="303" t="s">
        <v>504</v>
      </c>
      <c r="N481" s="303"/>
      <c r="O481" s="311"/>
      <c r="P481" s="311"/>
      <c r="Q481" s="311"/>
      <c r="R481" s="311"/>
      <c r="S481" s="311"/>
      <c r="T481" s="311"/>
      <c r="U481" s="311"/>
      <c r="V481" s="409">
        <f t="shared" si="51"/>
        <v>0</v>
      </c>
      <c r="W481" s="311"/>
      <c r="X481" s="311"/>
      <c r="Y481" s="311"/>
      <c r="Z481" s="311"/>
      <c r="AA481" s="311"/>
      <c r="AB481" s="311"/>
      <c r="AC481" s="311"/>
      <c r="AD481" s="311"/>
      <c r="AE481" s="311"/>
      <c r="AF481" s="410">
        <f t="shared" si="52"/>
        <v>0</v>
      </c>
      <c r="AG481" s="311"/>
      <c r="AH481" s="311"/>
      <c r="AI481" s="303"/>
      <c r="AJ481" s="303"/>
      <c r="AK481" s="303"/>
      <c r="AL481" s="303"/>
      <c r="AM481" s="303"/>
      <c r="AN481" s="303"/>
      <c r="AO481" s="303"/>
      <c r="AP481" s="290">
        <f t="shared" si="53"/>
        <v>0</v>
      </c>
      <c r="AQ481" s="303"/>
      <c r="AR481" s="303"/>
      <c r="AS481" s="303"/>
      <c r="AT481" s="303"/>
      <c r="AU481" s="303"/>
      <c r="AV481" s="303"/>
      <c r="AW481" s="303"/>
      <c r="AX481" s="303"/>
      <c r="AY481" s="303"/>
      <c r="AZ481" s="290">
        <f t="shared" si="54"/>
        <v>0</v>
      </c>
      <c r="BA481" s="303"/>
      <c r="BB481" s="303"/>
      <c r="BC481" s="315">
        <f t="shared" si="49"/>
        <v>1</v>
      </c>
      <c r="BD481" s="316" t="str">
        <f t="shared" si="55"/>
        <v>Habilitado</v>
      </c>
    </row>
    <row r="482" spans="1:56" ht="51" x14ac:dyDescent="0.25">
      <c r="A482" s="308">
        <v>480</v>
      </c>
      <c r="B482" s="310" t="s">
        <v>1446</v>
      </c>
      <c r="C482" s="310" t="s">
        <v>129</v>
      </c>
      <c r="D482" s="310" t="s">
        <v>1447</v>
      </c>
      <c r="E482" s="303" t="s">
        <v>510</v>
      </c>
      <c r="F482" s="303" t="s">
        <v>510</v>
      </c>
      <c r="G482" s="303" t="s">
        <v>510</v>
      </c>
      <c r="H482" s="303" t="s">
        <v>511</v>
      </c>
      <c r="I482" s="303" t="s">
        <v>510</v>
      </c>
      <c r="J482" s="303" t="s">
        <v>511</v>
      </c>
      <c r="K482" s="303">
        <v>40</v>
      </c>
      <c r="L482" s="408">
        <f t="shared" si="50"/>
        <v>40</v>
      </c>
      <c r="M482" s="303" t="s">
        <v>504</v>
      </c>
      <c r="N482" s="303"/>
      <c r="O482" s="311"/>
      <c r="P482" s="311"/>
      <c r="Q482" s="311"/>
      <c r="R482" s="311"/>
      <c r="S482" s="311"/>
      <c r="T482" s="311"/>
      <c r="U482" s="311"/>
      <c r="V482" s="409">
        <f t="shared" si="51"/>
        <v>0</v>
      </c>
      <c r="W482" s="311"/>
      <c r="X482" s="311"/>
      <c r="Y482" s="311"/>
      <c r="Z482" s="311"/>
      <c r="AA482" s="311"/>
      <c r="AB482" s="311"/>
      <c r="AC482" s="311"/>
      <c r="AD482" s="311"/>
      <c r="AE482" s="311"/>
      <c r="AF482" s="410">
        <f t="shared" si="52"/>
        <v>0</v>
      </c>
      <c r="AG482" s="311"/>
      <c r="AH482" s="311"/>
      <c r="AI482" s="303"/>
      <c r="AJ482" s="303"/>
      <c r="AK482" s="303"/>
      <c r="AL482" s="303"/>
      <c r="AM482" s="303"/>
      <c r="AN482" s="303"/>
      <c r="AO482" s="303"/>
      <c r="AP482" s="290">
        <f t="shared" si="53"/>
        <v>0</v>
      </c>
      <c r="AQ482" s="303"/>
      <c r="AR482" s="303"/>
      <c r="AS482" s="303"/>
      <c r="AT482" s="303"/>
      <c r="AU482" s="303"/>
      <c r="AV482" s="303"/>
      <c r="AW482" s="303"/>
      <c r="AX482" s="303"/>
      <c r="AY482" s="303"/>
      <c r="AZ482" s="290">
        <f t="shared" si="54"/>
        <v>0</v>
      </c>
      <c r="BA482" s="303"/>
      <c r="BB482" s="303"/>
      <c r="BC482" s="315">
        <f t="shared" si="49"/>
        <v>1</v>
      </c>
      <c r="BD482" s="316" t="str">
        <f t="shared" si="55"/>
        <v>Habilitado</v>
      </c>
    </row>
    <row r="483" spans="1:56" ht="38.25" x14ac:dyDescent="0.25">
      <c r="A483" s="308">
        <v>481</v>
      </c>
      <c r="B483" s="310" t="s">
        <v>1448</v>
      </c>
      <c r="C483" s="310" t="s">
        <v>129</v>
      </c>
      <c r="D483" s="310" t="s">
        <v>1447</v>
      </c>
      <c r="E483" s="303" t="s">
        <v>510</v>
      </c>
      <c r="F483" s="303" t="s">
        <v>510</v>
      </c>
      <c r="G483" s="303" t="s">
        <v>510</v>
      </c>
      <c r="H483" s="303" t="s">
        <v>511</v>
      </c>
      <c r="I483" s="303" t="s">
        <v>510</v>
      </c>
      <c r="J483" s="303" t="s">
        <v>511</v>
      </c>
      <c r="K483" s="303">
        <v>40</v>
      </c>
      <c r="L483" s="408">
        <f t="shared" si="50"/>
        <v>40</v>
      </c>
      <c r="M483" s="303" t="s">
        <v>504</v>
      </c>
      <c r="N483" s="303"/>
      <c r="O483" s="311"/>
      <c r="P483" s="311"/>
      <c r="Q483" s="311"/>
      <c r="R483" s="311"/>
      <c r="S483" s="311"/>
      <c r="T483" s="311"/>
      <c r="U483" s="311"/>
      <c r="V483" s="409">
        <f t="shared" si="51"/>
        <v>0</v>
      </c>
      <c r="W483" s="311"/>
      <c r="X483" s="311"/>
      <c r="Y483" s="311"/>
      <c r="Z483" s="311"/>
      <c r="AA483" s="311"/>
      <c r="AB483" s="311"/>
      <c r="AC483" s="311"/>
      <c r="AD483" s="311"/>
      <c r="AE483" s="311"/>
      <c r="AF483" s="410">
        <f t="shared" si="52"/>
        <v>0</v>
      </c>
      <c r="AG483" s="311"/>
      <c r="AH483" s="311"/>
      <c r="AI483" s="303"/>
      <c r="AJ483" s="303"/>
      <c r="AK483" s="303"/>
      <c r="AL483" s="303"/>
      <c r="AM483" s="303"/>
      <c r="AN483" s="303"/>
      <c r="AO483" s="303"/>
      <c r="AP483" s="290">
        <f t="shared" si="53"/>
        <v>0</v>
      </c>
      <c r="AQ483" s="303"/>
      <c r="AR483" s="303"/>
      <c r="AS483" s="303"/>
      <c r="AT483" s="303"/>
      <c r="AU483" s="303"/>
      <c r="AV483" s="303"/>
      <c r="AW483" s="303"/>
      <c r="AX483" s="303"/>
      <c r="AY483" s="303"/>
      <c r="AZ483" s="290">
        <f t="shared" si="54"/>
        <v>0</v>
      </c>
      <c r="BA483" s="303"/>
      <c r="BB483" s="303"/>
      <c r="BC483" s="315">
        <f t="shared" si="49"/>
        <v>1</v>
      </c>
      <c r="BD483" s="316" t="str">
        <f t="shared" si="55"/>
        <v>Habilitado</v>
      </c>
    </row>
    <row r="484" spans="1:56" ht="51" x14ac:dyDescent="0.25">
      <c r="A484" s="308">
        <v>482</v>
      </c>
      <c r="B484" s="310" t="s">
        <v>1449</v>
      </c>
      <c r="C484" s="310" t="s">
        <v>129</v>
      </c>
      <c r="D484" s="310" t="s">
        <v>1447</v>
      </c>
      <c r="E484" s="311"/>
      <c r="F484" s="311"/>
      <c r="G484" s="311"/>
      <c r="H484" s="311"/>
      <c r="I484" s="311"/>
      <c r="J484" s="311"/>
      <c r="K484" s="311"/>
      <c r="L484" s="408">
        <f t="shared" si="50"/>
        <v>0</v>
      </c>
      <c r="M484" s="311"/>
      <c r="N484" s="301"/>
      <c r="O484" s="311"/>
      <c r="P484" s="311"/>
      <c r="Q484" s="311"/>
      <c r="R484" s="311"/>
      <c r="S484" s="311"/>
      <c r="T484" s="311"/>
      <c r="U484" s="311"/>
      <c r="V484" s="409">
        <f t="shared" si="51"/>
        <v>0</v>
      </c>
      <c r="W484" s="311"/>
      <c r="X484" s="311"/>
      <c r="Y484" s="311"/>
      <c r="Z484" s="311"/>
      <c r="AA484" s="311"/>
      <c r="AB484" s="311"/>
      <c r="AC484" s="311"/>
      <c r="AD484" s="311"/>
      <c r="AE484" s="311"/>
      <c r="AF484" s="410">
        <f t="shared" si="52"/>
        <v>0</v>
      </c>
      <c r="AG484" s="311"/>
      <c r="AH484" s="311"/>
      <c r="AI484" s="303"/>
      <c r="AJ484" s="303"/>
      <c r="AK484" s="303"/>
      <c r="AL484" s="303"/>
      <c r="AM484" s="303"/>
      <c r="AN484" s="303"/>
      <c r="AO484" s="303"/>
      <c r="AP484" s="290">
        <f t="shared" si="53"/>
        <v>0</v>
      </c>
      <c r="AQ484" s="303"/>
      <c r="AR484" s="303"/>
      <c r="AS484" s="303"/>
      <c r="AT484" s="303"/>
      <c r="AU484" s="303"/>
      <c r="AV484" s="303"/>
      <c r="AW484" s="303"/>
      <c r="AX484" s="303"/>
      <c r="AY484" s="303"/>
      <c r="AZ484" s="290">
        <f t="shared" si="54"/>
        <v>0</v>
      </c>
      <c r="BA484" s="303"/>
      <c r="BB484" s="303"/>
      <c r="BC484" s="315">
        <f t="shared" si="49"/>
        <v>0</v>
      </c>
      <c r="BD484" s="316" t="str">
        <f t="shared" si="55"/>
        <v>Desierto</v>
      </c>
    </row>
    <row r="485" spans="1:56" ht="76.5" x14ac:dyDescent="0.25">
      <c r="A485" s="308">
        <v>483</v>
      </c>
      <c r="B485" s="310" t="s">
        <v>1450</v>
      </c>
      <c r="C485" s="310" t="s">
        <v>129</v>
      </c>
      <c r="D485" s="310" t="s">
        <v>1447</v>
      </c>
      <c r="E485" s="303" t="s">
        <v>510</v>
      </c>
      <c r="F485" s="303" t="s">
        <v>510</v>
      </c>
      <c r="G485" s="303" t="s">
        <v>510</v>
      </c>
      <c r="H485" s="303" t="s">
        <v>511</v>
      </c>
      <c r="I485" s="303" t="s">
        <v>510</v>
      </c>
      <c r="J485" s="303" t="s">
        <v>511</v>
      </c>
      <c r="K485" s="303">
        <v>40</v>
      </c>
      <c r="L485" s="408">
        <f t="shared" si="50"/>
        <v>40</v>
      </c>
      <c r="M485" s="303" t="s">
        <v>504</v>
      </c>
      <c r="N485" s="303"/>
      <c r="O485" s="311"/>
      <c r="P485" s="311"/>
      <c r="Q485" s="311"/>
      <c r="R485" s="311"/>
      <c r="S485" s="311"/>
      <c r="T485" s="311"/>
      <c r="U485" s="311"/>
      <c r="V485" s="409">
        <f t="shared" si="51"/>
        <v>0</v>
      </c>
      <c r="W485" s="311"/>
      <c r="X485" s="311"/>
      <c r="Y485" s="311"/>
      <c r="Z485" s="311"/>
      <c r="AA485" s="311"/>
      <c r="AB485" s="311"/>
      <c r="AC485" s="311"/>
      <c r="AD485" s="311"/>
      <c r="AE485" s="311"/>
      <c r="AF485" s="410">
        <f t="shared" si="52"/>
        <v>0</v>
      </c>
      <c r="AG485" s="311"/>
      <c r="AH485" s="311"/>
      <c r="AI485" s="303"/>
      <c r="AJ485" s="303"/>
      <c r="AK485" s="303"/>
      <c r="AL485" s="303"/>
      <c r="AM485" s="303"/>
      <c r="AN485" s="303"/>
      <c r="AO485" s="303"/>
      <c r="AP485" s="290">
        <f t="shared" si="53"/>
        <v>0</v>
      </c>
      <c r="AQ485" s="303"/>
      <c r="AR485" s="303"/>
      <c r="AS485" s="303"/>
      <c r="AT485" s="303"/>
      <c r="AU485" s="303"/>
      <c r="AV485" s="303"/>
      <c r="AW485" s="303"/>
      <c r="AX485" s="303"/>
      <c r="AY485" s="303"/>
      <c r="AZ485" s="290">
        <f t="shared" si="54"/>
        <v>0</v>
      </c>
      <c r="BA485" s="303"/>
      <c r="BB485" s="303"/>
      <c r="BC485" s="315">
        <f t="shared" si="49"/>
        <v>1</v>
      </c>
      <c r="BD485" s="316" t="str">
        <f t="shared" si="55"/>
        <v>Habilitado</v>
      </c>
    </row>
    <row r="486" spans="1:56" ht="25.5" x14ac:dyDescent="0.25">
      <c r="A486" s="308">
        <v>484</v>
      </c>
      <c r="B486" s="310" t="s">
        <v>1451</v>
      </c>
      <c r="C486" s="310" t="s">
        <v>129</v>
      </c>
      <c r="D486" s="310" t="s">
        <v>1447</v>
      </c>
      <c r="E486" s="303" t="s">
        <v>510</v>
      </c>
      <c r="F486" s="303" t="s">
        <v>510</v>
      </c>
      <c r="G486" s="303" t="s">
        <v>510</v>
      </c>
      <c r="H486" s="303" t="s">
        <v>511</v>
      </c>
      <c r="I486" s="303" t="s">
        <v>510</v>
      </c>
      <c r="J486" s="303" t="s">
        <v>511</v>
      </c>
      <c r="K486" s="303">
        <v>40</v>
      </c>
      <c r="L486" s="408">
        <f t="shared" si="50"/>
        <v>40</v>
      </c>
      <c r="M486" s="303" t="s">
        <v>504</v>
      </c>
      <c r="N486" s="303"/>
      <c r="O486" s="311"/>
      <c r="P486" s="311"/>
      <c r="Q486" s="311"/>
      <c r="R486" s="311"/>
      <c r="S486" s="311"/>
      <c r="T486" s="311"/>
      <c r="U486" s="311"/>
      <c r="V486" s="409">
        <f t="shared" si="51"/>
        <v>0</v>
      </c>
      <c r="W486" s="311"/>
      <c r="X486" s="311"/>
      <c r="Y486" s="311"/>
      <c r="Z486" s="311"/>
      <c r="AA486" s="311"/>
      <c r="AB486" s="311"/>
      <c r="AC486" s="311"/>
      <c r="AD486" s="311"/>
      <c r="AE486" s="311"/>
      <c r="AF486" s="410">
        <f t="shared" si="52"/>
        <v>0</v>
      </c>
      <c r="AG486" s="311"/>
      <c r="AH486" s="311"/>
      <c r="AI486" s="303"/>
      <c r="AJ486" s="303"/>
      <c r="AK486" s="303"/>
      <c r="AL486" s="303"/>
      <c r="AM486" s="303"/>
      <c r="AN486" s="303"/>
      <c r="AO486" s="303"/>
      <c r="AP486" s="290">
        <f t="shared" si="53"/>
        <v>0</v>
      </c>
      <c r="AQ486" s="303"/>
      <c r="AR486" s="303"/>
      <c r="AS486" s="303"/>
      <c r="AT486" s="303"/>
      <c r="AU486" s="303"/>
      <c r="AV486" s="303"/>
      <c r="AW486" s="303"/>
      <c r="AX486" s="303"/>
      <c r="AY486" s="303"/>
      <c r="AZ486" s="290">
        <f t="shared" si="54"/>
        <v>0</v>
      </c>
      <c r="BA486" s="303"/>
      <c r="BB486" s="303"/>
      <c r="BC486" s="315">
        <f t="shared" si="49"/>
        <v>1</v>
      </c>
      <c r="BD486" s="316" t="str">
        <f t="shared" si="55"/>
        <v>Habilitado</v>
      </c>
    </row>
    <row r="487" spans="1:56" ht="25.5" x14ac:dyDescent="0.25">
      <c r="A487" s="308">
        <v>485</v>
      </c>
      <c r="B487" s="310" t="s">
        <v>1452</v>
      </c>
      <c r="C487" s="310" t="s">
        <v>129</v>
      </c>
      <c r="D487" s="310" t="s">
        <v>1447</v>
      </c>
      <c r="E487" s="303" t="s">
        <v>510</v>
      </c>
      <c r="F487" s="303" t="s">
        <v>510</v>
      </c>
      <c r="G487" s="303" t="s">
        <v>510</v>
      </c>
      <c r="H487" s="303" t="s">
        <v>511</v>
      </c>
      <c r="I487" s="303" t="s">
        <v>510</v>
      </c>
      <c r="J487" s="303" t="s">
        <v>511</v>
      </c>
      <c r="K487" s="303">
        <v>40</v>
      </c>
      <c r="L487" s="408">
        <f t="shared" si="50"/>
        <v>40</v>
      </c>
      <c r="M487" s="303" t="s">
        <v>504</v>
      </c>
      <c r="N487" s="303"/>
      <c r="O487" s="311"/>
      <c r="P487" s="311"/>
      <c r="Q487" s="311"/>
      <c r="R487" s="311"/>
      <c r="S487" s="311"/>
      <c r="T487" s="311"/>
      <c r="U487" s="311"/>
      <c r="V487" s="409">
        <f t="shared" si="51"/>
        <v>0</v>
      </c>
      <c r="W487" s="311"/>
      <c r="X487" s="311"/>
      <c r="Y487" s="311"/>
      <c r="Z487" s="311"/>
      <c r="AA487" s="311"/>
      <c r="AB487" s="311"/>
      <c r="AC487" s="311"/>
      <c r="AD487" s="311"/>
      <c r="AE487" s="311"/>
      <c r="AF487" s="410">
        <f t="shared" si="52"/>
        <v>0</v>
      </c>
      <c r="AG487" s="311"/>
      <c r="AH487" s="311"/>
      <c r="AI487" s="303"/>
      <c r="AJ487" s="303"/>
      <c r="AK487" s="303"/>
      <c r="AL487" s="303"/>
      <c r="AM487" s="303"/>
      <c r="AN487" s="303"/>
      <c r="AO487" s="303"/>
      <c r="AP487" s="290">
        <f t="shared" si="53"/>
        <v>0</v>
      </c>
      <c r="AQ487" s="303"/>
      <c r="AR487" s="303"/>
      <c r="AS487" s="303"/>
      <c r="AT487" s="303"/>
      <c r="AU487" s="303"/>
      <c r="AV487" s="303"/>
      <c r="AW487" s="303"/>
      <c r="AX487" s="303"/>
      <c r="AY487" s="303"/>
      <c r="AZ487" s="290">
        <f t="shared" si="54"/>
        <v>0</v>
      </c>
      <c r="BA487" s="303"/>
      <c r="BB487" s="303"/>
      <c r="BC487" s="315">
        <f t="shared" si="49"/>
        <v>1</v>
      </c>
      <c r="BD487" s="316" t="str">
        <f t="shared" si="55"/>
        <v>Habilitado</v>
      </c>
    </row>
    <row r="488" spans="1:56" ht="38.25" x14ac:dyDescent="0.25">
      <c r="A488" s="308">
        <v>486</v>
      </c>
      <c r="B488" s="310" t="s">
        <v>1453</v>
      </c>
      <c r="C488" s="310" t="s">
        <v>129</v>
      </c>
      <c r="D488" s="310" t="s">
        <v>1447</v>
      </c>
      <c r="E488" s="303" t="s">
        <v>510</v>
      </c>
      <c r="F488" s="303" t="s">
        <v>510</v>
      </c>
      <c r="G488" s="303" t="s">
        <v>510</v>
      </c>
      <c r="H488" s="303" t="s">
        <v>511</v>
      </c>
      <c r="I488" s="303" t="s">
        <v>510</v>
      </c>
      <c r="J488" s="303" t="s">
        <v>511</v>
      </c>
      <c r="K488" s="303">
        <v>40</v>
      </c>
      <c r="L488" s="408">
        <f t="shared" si="50"/>
        <v>40</v>
      </c>
      <c r="M488" s="303" t="s">
        <v>504</v>
      </c>
      <c r="N488" s="303"/>
      <c r="O488" s="311"/>
      <c r="P488" s="311"/>
      <c r="Q488" s="311"/>
      <c r="R488" s="311"/>
      <c r="S488" s="311"/>
      <c r="T488" s="311"/>
      <c r="U488" s="311"/>
      <c r="V488" s="409">
        <f t="shared" si="51"/>
        <v>0</v>
      </c>
      <c r="W488" s="311"/>
      <c r="X488" s="311"/>
      <c r="Y488" s="311"/>
      <c r="Z488" s="311"/>
      <c r="AA488" s="311"/>
      <c r="AB488" s="311"/>
      <c r="AC488" s="311"/>
      <c r="AD488" s="311"/>
      <c r="AE488" s="311"/>
      <c r="AF488" s="410">
        <f t="shared" si="52"/>
        <v>0</v>
      </c>
      <c r="AG488" s="311"/>
      <c r="AH488" s="311"/>
      <c r="AI488" s="303"/>
      <c r="AJ488" s="303"/>
      <c r="AK488" s="303"/>
      <c r="AL488" s="303"/>
      <c r="AM488" s="303"/>
      <c r="AN488" s="303"/>
      <c r="AO488" s="303"/>
      <c r="AP488" s="290">
        <f t="shared" si="53"/>
        <v>0</v>
      </c>
      <c r="AQ488" s="303"/>
      <c r="AR488" s="303"/>
      <c r="AS488" s="303"/>
      <c r="AT488" s="303"/>
      <c r="AU488" s="303"/>
      <c r="AV488" s="303"/>
      <c r="AW488" s="303"/>
      <c r="AX488" s="303"/>
      <c r="AY488" s="303"/>
      <c r="AZ488" s="290">
        <f t="shared" si="54"/>
        <v>0</v>
      </c>
      <c r="BA488" s="303"/>
      <c r="BB488" s="303"/>
      <c r="BC488" s="315">
        <f t="shared" si="49"/>
        <v>1</v>
      </c>
      <c r="BD488" s="316" t="str">
        <f t="shared" si="55"/>
        <v>Habilitado</v>
      </c>
    </row>
    <row r="489" spans="1:56" ht="38.25" x14ac:dyDescent="0.25">
      <c r="A489" s="308">
        <v>487</v>
      </c>
      <c r="B489" s="310" t="s">
        <v>1454</v>
      </c>
      <c r="C489" s="310" t="s">
        <v>129</v>
      </c>
      <c r="D489" s="310" t="s">
        <v>1447</v>
      </c>
      <c r="E489" s="303" t="s">
        <v>519</v>
      </c>
      <c r="F489" s="303" t="s">
        <v>519</v>
      </c>
      <c r="G489" s="303" t="s">
        <v>510</v>
      </c>
      <c r="H489" s="303" t="s">
        <v>511</v>
      </c>
      <c r="I489" s="303" t="s">
        <v>510</v>
      </c>
      <c r="J489" s="303" t="s">
        <v>511</v>
      </c>
      <c r="K489" s="303">
        <v>40</v>
      </c>
      <c r="L489" s="408">
        <f t="shared" si="50"/>
        <v>40</v>
      </c>
      <c r="M489" s="303" t="s">
        <v>520</v>
      </c>
      <c r="N489" s="301" t="s">
        <v>1455</v>
      </c>
      <c r="O489" s="311"/>
      <c r="P489" s="311"/>
      <c r="Q489" s="311"/>
      <c r="R489" s="311"/>
      <c r="S489" s="311"/>
      <c r="T489" s="311"/>
      <c r="U489" s="311"/>
      <c r="V489" s="409">
        <f t="shared" si="51"/>
        <v>0</v>
      </c>
      <c r="W489" s="311"/>
      <c r="X489" s="311"/>
      <c r="Y489" s="311"/>
      <c r="Z489" s="311"/>
      <c r="AA489" s="311"/>
      <c r="AB489" s="311"/>
      <c r="AC489" s="311"/>
      <c r="AD489" s="311"/>
      <c r="AE489" s="311"/>
      <c r="AF489" s="410">
        <f t="shared" si="52"/>
        <v>0</v>
      </c>
      <c r="AG489" s="311"/>
      <c r="AH489" s="311"/>
      <c r="AI489" s="303"/>
      <c r="AJ489" s="303"/>
      <c r="AK489" s="303"/>
      <c r="AL489" s="303"/>
      <c r="AM489" s="303"/>
      <c r="AN489" s="303"/>
      <c r="AO489" s="303"/>
      <c r="AP489" s="290">
        <f t="shared" si="53"/>
        <v>0</v>
      </c>
      <c r="AQ489" s="303"/>
      <c r="AR489" s="303"/>
      <c r="AS489" s="303"/>
      <c r="AT489" s="303"/>
      <c r="AU489" s="303"/>
      <c r="AV489" s="303"/>
      <c r="AW489" s="303"/>
      <c r="AX489" s="303"/>
      <c r="AY489" s="303"/>
      <c r="AZ489" s="290">
        <f t="shared" si="54"/>
        <v>0</v>
      </c>
      <c r="BA489" s="303"/>
      <c r="BB489" s="303"/>
      <c r="BC489" s="315">
        <f t="shared" si="49"/>
        <v>0</v>
      </c>
      <c r="BD489" s="316" t="str">
        <f t="shared" si="55"/>
        <v>Desierto</v>
      </c>
    </row>
    <row r="490" spans="1:56" ht="60" customHeight="1" x14ac:dyDescent="0.25">
      <c r="A490" s="308">
        <v>488</v>
      </c>
      <c r="B490" s="310" t="s">
        <v>1456</v>
      </c>
      <c r="C490" s="310" t="s">
        <v>1457</v>
      </c>
      <c r="D490" s="310" t="s">
        <v>1447</v>
      </c>
      <c r="E490" s="303" t="s">
        <v>510</v>
      </c>
      <c r="F490" s="303" t="s">
        <v>510</v>
      </c>
      <c r="G490" s="303" t="s">
        <v>510</v>
      </c>
      <c r="H490" s="303" t="s">
        <v>511</v>
      </c>
      <c r="I490" s="303" t="s">
        <v>510</v>
      </c>
      <c r="J490" s="303" t="s">
        <v>511</v>
      </c>
      <c r="K490" s="303">
        <v>40</v>
      </c>
      <c r="L490" s="408">
        <f t="shared" si="50"/>
        <v>40</v>
      </c>
      <c r="M490" s="303" t="s">
        <v>504</v>
      </c>
      <c r="N490" s="303"/>
      <c r="O490" s="311"/>
      <c r="P490" s="311"/>
      <c r="Q490" s="311"/>
      <c r="R490" s="311"/>
      <c r="S490" s="311"/>
      <c r="T490" s="311"/>
      <c r="U490" s="311"/>
      <c r="V490" s="409">
        <f t="shared" si="51"/>
        <v>0</v>
      </c>
      <c r="W490" s="311"/>
      <c r="X490" s="311"/>
      <c r="Y490" s="311"/>
      <c r="Z490" s="311"/>
      <c r="AA490" s="311"/>
      <c r="AB490" s="311"/>
      <c r="AC490" s="311"/>
      <c r="AD490" s="311"/>
      <c r="AE490" s="311"/>
      <c r="AF490" s="410">
        <f t="shared" si="52"/>
        <v>0</v>
      </c>
      <c r="AG490" s="311"/>
      <c r="AH490" s="311"/>
      <c r="AI490" s="303"/>
      <c r="AJ490" s="303"/>
      <c r="AK490" s="303"/>
      <c r="AL490" s="303"/>
      <c r="AM490" s="303"/>
      <c r="AN490" s="303"/>
      <c r="AO490" s="303"/>
      <c r="AP490" s="290">
        <f t="shared" si="53"/>
        <v>0</v>
      </c>
      <c r="AQ490" s="303"/>
      <c r="AR490" s="303"/>
      <c r="AS490" s="303"/>
      <c r="AT490" s="303"/>
      <c r="AU490" s="303"/>
      <c r="AV490" s="303"/>
      <c r="AW490" s="303"/>
      <c r="AX490" s="303"/>
      <c r="AY490" s="303"/>
      <c r="AZ490" s="290">
        <f t="shared" si="54"/>
        <v>0</v>
      </c>
      <c r="BA490" s="303"/>
      <c r="BB490" s="303"/>
      <c r="BC490" s="315">
        <f t="shared" si="49"/>
        <v>1</v>
      </c>
      <c r="BD490" s="316" t="str">
        <f t="shared" si="55"/>
        <v>Habilitado</v>
      </c>
    </row>
    <row r="491" spans="1:56" ht="38.25" x14ac:dyDescent="0.25">
      <c r="A491" s="308">
        <v>489</v>
      </c>
      <c r="B491" s="310" t="s">
        <v>1458</v>
      </c>
      <c r="C491" s="310" t="s">
        <v>129</v>
      </c>
      <c r="D491" s="310" t="s">
        <v>1447</v>
      </c>
      <c r="E491" s="303" t="s">
        <v>510</v>
      </c>
      <c r="F491" s="303" t="s">
        <v>510</v>
      </c>
      <c r="G491" s="303" t="s">
        <v>510</v>
      </c>
      <c r="H491" s="303" t="s">
        <v>511</v>
      </c>
      <c r="I491" s="303" t="s">
        <v>510</v>
      </c>
      <c r="J491" s="303" t="s">
        <v>511</v>
      </c>
      <c r="K491" s="303">
        <v>40</v>
      </c>
      <c r="L491" s="408">
        <f t="shared" si="50"/>
        <v>40</v>
      </c>
      <c r="M491" s="303" t="s">
        <v>504</v>
      </c>
      <c r="N491" s="303"/>
      <c r="O491" s="311"/>
      <c r="P491" s="311"/>
      <c r="Q491" s="311"/>
      <c r="R491" s="311"/>
      <c r="S491" s="311"/>
      <c r="T491" s="311"/>
      <c r="U491" s="311"/>
      <c r="V491" s="409">
        <f t="shared" si="51"/>
        <v>0</v>
      </c>
      <c r="W491" s="311"/>
      <c r="X491" s="311"/>
      <c r="Y491" s="311"/>
      <c r="Z491" s="311"/>
      <c r="AA491" s="311"/>
      <c r="AB491" s="311"/>
      <c r="AC491" s="311"/>
      <c r="AD491" s="311"/>
      <c r="AE491" s="311"/>
      <c r="AF491" s="410">
        <f t="shared" si="52"/>
        <v>0</v>
      </c>
      <c r="AG491" s="311"/>
      <c r="AH491" s="311"/>
      <c r="AI491" s="303"/>
      <c r="AJ491" s="303"/>
      <c r="AK491" s="303"/>
      <c r="AL491" s="303"/>
      <c r="AM491" s="303"/>
      <c r="AN491" s="303"/>
      <c r="AO491" s="303"/>
      <c r="AP491" s="290">
        <f t="shared" si="53"/>
        <v>0</v>
      </c>
      <c r="AQ491" s="303"/>
      <c r="AR491" s="303"/>
      <c r="AS491" s="303"/>
      <c r="AT491" s="303"/>
      <c r="AU491" s="303"/>
      <c r="AV491" s="303"/>
      <c r="AW491" s="303"/>
      <c r="AX491" s="303"/>
      <c r="AY491" s="303"/>
      <c r="AZ491" s="290">
        <f t="shared" si="54"/>
        <v>0</v>
      </c>
      <c r="BA491" s="303"/>
      <c r="BB491" s="303"/>
      <c r="BC491" s="315">
        <f t="shared" si="49"/>
        <v>1</v>
      </c>
      <c r="BD491" s="316" t="str">
        <f t="shared" si="55"/>
        <v>Habilitado</v>
      </c>
    </row>
    <row r="492" spans="1:56" ht="27" x14ac:dyDescent="0.25">
      <c r="A492" s="308">
        <v>490</v>
      </c>
      <c r="B492" s="344" t="s">
        <v>1459</v>
      </c>
      <c r="C492" s="310" t="s">
        <v>129</v>
      </c>
      <c r="D492" s="310" t="s">
        <v>1447</v>
      </c>
      <c r="E492" s="303" t="s">
        <v>510</v>
      </c>
      <c r="F492" s="303" t="s">
        <v>510</v>
      </c>
      <c r="G492" s="303" t="s">
        <v>510</v>
      </c>
      <c r="H492" s="303" t="s">
        <v>511</v>
      </c>
      <c r="I492" s="303" t="s">
        <v>510</v>
      </c>
      <c r="J492" s="303" t="s">
        <v>511</v>
      </c>
      <c r="K492" s="303">
        <v>40</v>
      </c>
      <c r="L492" s="408">
        <f t="shared" si="50"/>
        <v>40</v>
      </c>
      <c r="M492" s="303" t="s">
        <v>504</v>
      </c>
      <c r="N492" s="303"/>
      <c r="O492" s="311"/>
      <c r="P492" s="311"/>
      <c r="Q492" s="311"/>
      <c r="R492" s="311"/>
      <c r="S492" s="311"/>
      <c r="T492" s="311"/>
      <c r="U492" s="311"/>
      <c r="V492" s="409">
        <f t="shared" si="51"/>
        <v>0</v>
      </c>
      <c r="W492" s="311"/>
      <c r="X492" s="311"/>
      <c r="Y492" s="311"/>
      <c r="Z492" s="311"/>
      <c r="AA492" s="311"/>
      <c r="AB492" s="311"/>
      <c r="AC492" s="311"/>
      <c r="AD492" s="311"/>
      <c r="AE492" s="311"/>
      <c r="AF492" s="410">
        <f t="shared" si="52"/>
        <v>0</v>
      </c>
      <c r="AG492" s="311"/>
      <c r="AH492" s="311"/>
      <c r="AI492" s="303"/>
      <c r="AJ492" s="303"/>
      <c r="AK492" s="303"/>
      <c r="AL492" s="303"/>
      <c r="AM492" s="303"/>
      <c r="AN492" s="303"/>
      <c r="AO492" s="303"/>
      <c r="AP492" s="290">
        <f t="shared" si="53"/>
        <v>0</v>
      </c>
      <c r="AQ492" s="303"/>
      <c r="AR492" s="303"/>
      <c r="AS492" s="303"/>
      <c r="AT492" s="303"/>
      <c r="AU492" s="303"/>
      <c r="AV492" s="303"/>
      <c r="AW492" s="303"/>
      <c r="AX492" s="303"/>
      <c r="AY492" s="303"/>
      <c r="AZ492" s="290">
        <f t="shared" si="54"/>
        <v>0</v>
      </c>
      <c r="BA492" s="303"/>
      <c r="BB492" s="303"/>
      <c r="BC492" s="315">
        <f t="shared" si="49"/>
        <v>1</v>
      </c>
      <c r="BD492" s="316" t="str">
        <f t="shared" si="55"/>
        <v>Habilitado</v>
      </c>
    </row>
    <row r="493" spans="1:56" ht="54" x14ac:dyDescent="0.25">
      <c r="A493" s="308">
        <v>491</v>
      </c>
      <c r="B493" s="344" t="s">
        <v>1460</v>
      </c>
      <c r="C493" s="310" t="s">
        <v>129</v>
      </c>
      <c r="D493" s="310" t="s">
        <v>1447</v>
      </c>
      <c r="E493" s="311"/>
      <c r="F493" s="311"/>
      <c r="G493" s="311"/>
      <c r="H493" s="311"/>
      <c r="I493" s="311"/>
      <c r="J493" s="311"/>
      <c r="K493" s="311"/>
      <c r="L493" s="408">
        <f t="shared" si="50"/>
        <v>0</v>
      </c>
      <c r="M493" s="311"/>
      <c r="N493" s="311"/>
      <c r="O493" s="311"/>
      <c r="P493" s="311"/>
      <c r="Q493" s="311"/>
      <c r="R493" s="311"/>
      <c r="S493" s="311"/>
      <c r="T493" s="311"/>
      <c r="U493" s="311"/>
      <c r="V493" s="409">
        <f t="shared" si="51"/>
        <v>0</v>
      </c>
      <c r="W493" s="311"/>
      <c r="X493" s="311"/>
      <c r="Y493" s="311"/>
      <c r="Z493" s="311"/>
      <c r="AA493" s="311"/>
      <c r="AB493" s="311"/>
      <c r="AC493" s="311"/>
      <c r="AD493" s="311"/>
      <c r="AE493" s="311"/>
      <c r="AF493" s="410">
        <f t="shared" si="52"/>
        <v>0</v>
      </c>
      <c r="AG493" s="311"/>
      <c r="AH493" s="311"/>
      <c r="AI493" s="303"/>
      <c r="AJ493" s="303"/>
      <c r="AK493" s="303"/>
      <c r="AL493" s="303"/>
      <c r="AM493" s="303"/>
      <c r="AN493" s="303"/>
      <c r="AO493" s="303"/>
      <c r="AP493" s="290">
        <f t="shared" si="53"/>
        <v>0</v>
      </c>
      <c r="AQ493" s="303"/>
      <c r="AR493" s="303"/>
      <c r="AS493" s="303"/>
      <c r="AT493" s="303"/>
      <c r="AU493" s="303"/>
      <c r="AV493" s="303"/>
      <c r="AW493" s="303"/>
      <c r="AX493" s="303"/>
      <c r="AY493" s="303"/>
      <c r="AZ493" s="290">
        <f t="shared" si="54"/>
        <v>0</v>
      </c>
      <c r="BA493" s="303"/>
      <c r="BB493" s="303"/>
      <c r="BC493" s="315">
        <f t="shared" si="49"/>
        <v>0</v>
      </c>
      <c r="BD493" s="316" t="str">
        <f t="shared" si="55"/>
        <v>Desierto</v>
      </c>
    </row>
    <row r="494" spans="1:56" ht="27" x14ac:dyDescent="0.25">
      <c r="A494" s="308">
        <v>492</v>
      </c>
      <c r="B494" s="344" t="s">
        <v>1461</v>
      </c>
      <c r="C494" s="310" t="s">
        <v>129</v>
      </c>
      <c r="D494" s="310" t="s">
        <v>1447</v>
      </c>
      <c r="E494" s="303" t="s">
        <v>510</v>
      </c>
      <c r="F494" s="303" t="s">
        <v>510</v>
      </c>
      <c r="G494" s="303" t="s">
        <v>510</v>
      </c>
      <c r="H494" s="303" t="s">
        <v>511</v>
      </c>
      <c r="I494" s="303" t="s">
        <v>510</v>
      </c>
      <c r="J494" s="303" t="s">
        <v>511</v>
      </c>
      <c r="K494" s="303">
        <v>40</v>
      </c>
      <c r="L494" s="408">
        <f t="shared" si="50"/>
        <v>40</v>
      </c>
      <c r="M494" s="303" t="s">
        <v>504</v>
      </c>
      <c r="N494" s="303"/>
      <c r="O494" s="311"/>
      <c r="P494" s="311"/>
      <c r="Q494" s="311"/>
      <c r="R494" s="311"/>
      <c r="S494" s="311"/>
      <c r="T494" s="311"/>
      <c r="U494" s="311"/>
      <c r="V494" s="409">
        <f t="shared" si="51"/>
        <v>0</v>
      </c>
      <c r="W494" s="311"/>
      <c r="X494" s="311"/>
      <c r="Y494" s="311"/>
      <c r="Z494" s="311"/>
      <c r="AA494" s="311"/>
      <c r="AB494" s="311"/>
      <c r="AC494" s="311"/>
      <c r="AD494" s="311"/>
      <c r="AE494" s="311"/>
      <c r="AF494" s="410">
        <f t="shared" si="52"/>
        <v>0</v>
      </c>
      <c r="AG494" s="311"/>
      <c r="AH494" s="311"/>
      <c r="AI494" s="303"/>
      <c r="AJ494" s="303"/>
      <c r="AK494" s="303"/>
      <c r="AL494" s="303"/>
      <c r="AM494" s="303"/>
      <c r="AN494" s="303"/>
      <c r="AO494" s="303"/>
      <c r="AP494" s="290">
        <f t="shared" si="53"/>
        <v>0</v>
      </c>
      <c r="AQ494" s="303"/>
      <c r="AR494" s="303"/>
      <c r="AS494" s="303"/>
      <c r="AT494" s="303"/>
      <c r="AU494" s="303"/>
      <c r="AV494" s="303"/>
      <c r="AW494" s="303"/>
      <c r="AX494" s="303"/>
      <c r="AY494" s="303"/>
      <c r="AZ494" s="290">
        <f t="shared" si="54"/>
        <v>0</v>
      </c>
      <c r="BA494" s="303"/>
      <c r="BB494" s="303"/>
      <c r="BC494" s="315">
        <f t="shared" si="49"/>
        <v>1</v>
      </c>
      <c r="BD494" s="316" t="str">
        <f t="shared" si="55"/>
        <v>Habilitado</v>
      </c>
    </row>
    <row r="495" spans="1:56" ht="38.25" customHeight="1" x14ac:dyDescent="0.25">
      <c r="A495" s="308">
        <v>493</v>
      </c>
      <c r="B495" s="344" t="s">
        <v>1462</v>
      </c>
      <c r="C495" s="310" t="s">
        <v>129</v>
      </c>
      <c r="D495" s="310" t="s">
        <v>1447</v>
      </c>
      <c r="E495" s="303" t="s">
        <v>510</v>
      </c>
      <c r="F495" s="303" t="s">
        <v>510</v>
      </c>
      <c r="G495" s="303" t="s">
        <v>510</v>
      </c>
      <c r="H495" s="303" t="s">
        <v>511</v>
      </c>
      <c r="I495" s="303" t="s">
        <v>510</v>
      </c>
      <c r="J495" s="303" t="s">
        <v>511</v>
      </c>
      <c r="K495" s="303">
        <v>40</v>
      </c>
      <c r="L495" s="408">
        <f t="shared" si="50"/>
        <v>40</v>
      </c>
      <c r="M495" s="303" t="s">
        <v>504</v>
      </c>
      <c r="N495" s="303"/>
      <c r="O495" s="311"/>
      <c r="P495" s="311"/>
      <c r="Q495" s="311"/>
      <c r="R495" s="311"/>
      <c r="S495" s="311"/>
      <c r="T495" s="311"/>
      <c r="U495" s="311"/>
      <c r="V495" s="409">
        <f t="shared" si="51"/>
        <v>0</v>
      </c>
      <c r="W495" s="311"/>
      <c r="X495" s="311"/>
      <c r="Y495" s="311"/>
      <c r="Z495" s="311"/>
      <c r="AA495" s="311"/>
      <c r="AB495" s="311"/>
      <c r="AC495" s="311"/>
      <c r="AD495" s="311"/>
      <c r="AE495" s="311"/>
      <c r="AF495" s="410">
        <f t="shared" si="52"/>
        <v>0</v>
      </c>
      <c r="AG495" s="311"/>
      <c r="AH495" s="311"/>
      <c r="AI495" s="303"/>
      <c r="AJ495" s="303"/>
      <c r="AK495" s="303"/>
      <c r="AL495" s="303"/>
      <c r="AM495" s="303"/>
      <c r="AN495" s="303"/>
      <c r="AO495" s="303"/>
      <c r="AP495" s="290">
        <f t="shared" si="53"/>
        <v>0</v>
      </c>
      <c r="AQ495" s="303"/>
      <c r="AR495" s="303"/>
      <c r="AS495" s="303"/>
      <c r="AT495" s="303"/>
      <c r="AU495" s="303"/>
      <c r="AV495" s="303"/>
      <c r="AW495" s="303"/>
      <c r="AX495" s="303"/>
      <c r="AY495" s="303"/>
      <c r="AZ495" s="290">
        <f t="shared" si="54"/>
        <v>0</v>
      </c>
      <c r="BA495" s="303"/>
      <c r="BB495" s="303"/>
      <c r="BC495" s="315">
        <f t="shared" si="49"/>
        <v>1</v>
      </c>
      <c r="BD495" s="316" t="str">
        <f t="shared" si="55"/>
        <v>Habilitado</v>
      </c>
    </row>
    <row r="496" spans="1:56" ht="45" x14ac:dyDescent="0.25">
      <c r="A496" s="308">
        <v>494</v>
      </c>
      <c r="B496" s="344" t="s">
        <v>1463</v>
      </c>
      <c r="C496" s="310" t="s">
        <v>129</v>
      </c>
      <c r="D496" s="310" t="s">
        <v>1447</v>
      </c>
      <c r="E496" s="303" t="s">
        <v>510</v>
      </c>
      <c r="F496" s="303" t="s">
        <v>510</v>
      </c>
      <c r="G496" s="303" t="s">
        <v>510</v>
      </c>
      <c r="H496" s="303" t="s">
        <v>511</v>
      </c>
      <c r="I496" s="303" t="s">
        <v>510</v>
      </c>
      <c r="J496" s="303" t="s">
        <v>511</v>
      </c>
      <c r="K496" s="303">
        <v>40</v>
      </c>
      <c r="L496" s="408">
        <f t="shared" si="50"/>
        <v>40</v>
      </c>
      <c r="M496" s="303" t="s">
        <v>504</v>
      </c>
      <c r="N496" s="303"/>
      <c r="O496" s="311"/>
      <c r="P496" s="311"/>
      <c r="Q496" s="311"/>
      <c r="R496" s="311"/>
      <c r="S496" s="311"/>
      <c r="T496" s="311"/>
      <c r="U496" s="311"/>
      <c r="V496" s="409">
        <f t="shared" si="51"/>
        <v>0</v>
      </c>
      <c r="W496" s="311"/>
      <c r="X496" s="311"/>
      <c r="Y496" s="311"/>
      <c r="Z496" s="311"/>
      <c r="AA496" s="311"/>
      <c r="AB496" s="311"/>
      <c r="AC496" s="311"/>
      <c r="AD496" s="311"/>
      <c r="AE496" s="311"/>
      <c r="AF496" s="410">
        <f t="shared" si="52"/>
        <v>0</v>
      </c>
      <c r="AG496" s="311"/>
      <c r="AH496" s="311"/>
      <c r="AI496" s="303"/>
      <c r="AJ496" s="303"/>
      <c r="AK496" s="303"/>
      <c r="AL496" s="303"/>
      <c r="AM496" s="303"/>
      <c r="AN496" s="303"/>
      <c r="AO496" s="303"/>
      <c r="AP496" s="290">
        <f t="shared" si="53"/>
        <v>0</v>
      </c>
      <c r="AQ496" s="303"/>
      <c r="AR496" s="303"/>
      <c r="AS496" s="303"/>
      <c r="AT496" s="303"/>
      <c r="AU496" s="303"/>
      <c r="AV496" s="303"/>
      <c r="AW496" s="303"/>
      <c r="AX496" s="303"/>
      <c r="AY496" s="303"/>
      <c r="AZ496" s="290">
        <f t="shared" si="54"/>
        <v>0</v>
      </c>
      <c r="BA496" s="303"/>
      <c r="BB496" s="303"/>
      <c r="BC496" s="315">
        <f t="shared" si="49"/>
        <v>1</v>
      </c>
      <c r="BD496" s="316" t="str">
        <f t="shared" si="55"/>
        <v>Habilitado</v>
      </c>
    </row>
    <row r="497" spans="1:56" x14ac:dyDescent="0.25">
      <c r="A497" s="308">
        <v>495</v>
      </c>
      <c r="B497" s="344" t="s">
        <v>1464</v>
      </c>
      <c r="C497" s="310" t="s">
        <v>1465</v>
      </c>
      <c r="D497" s="310" t="s">
        <v>1466</v>
      </c>
      <c r="E497" s="311"/>
      <c r="F497" s="311"/>
      <c r="G497" s="311"/>
      <c r="H497" s="311"/>
      <c r="I497" s="311"/>
      <c r="J497" s="311"/>
      <c r="K497" s="311"/>
      <c r="L497" s="408">
        <f t="shared" si="50"/>
        <v>0</v>
      </c>
      <c r="M497" s="311"/>
      <c r="N497" s="303"/>
      <c r="O497" s="311"/>
      <c r="P497" s="311"/>
      <c r="Q497" s="311"/>
      <c r="R497" s="311"/>
      <c r="S497" s="311"/>
      <c r="T497" s="311"/>
      <c r="U497" s="311"/>
      <c r="V497" s="409">
        <f t="shared" si="51"/>
        <v>0</v>
      </c>
      <c r="W497" s="311"/>
      <c r="X497" s="311"/>
      <c r="Y497" s="311"/>
      <c r="Z497" s="311"/>
      <c r="AA497" s="311"/>
      <c r="AB497" s="311"/>
      <c r="AC497" s="311"/>
      <c r="AD497" s="311"/>
      <c r="AE497" s="311"/>
      <c r="AF497" s="410">
        <f t="shared" si="52"/>
        <v>0</v>
      </c>
      <c r="AG497" s="311"/>
      <c r="AH497" s="311"/>
      <c r="AI497" s="303"/>
      <c r="AJ497" s="303"/>
      <c r="AK497" s="303"/>
      <c r="AL497" s="303"/>
      <c r="AM497" s="303"/>
      <c r="AN497" s="303"/>
      <c r="AO497" s="303"/>
      <c r="AP497" s="290">
        <f t="shared" si="53"/>
        <v>0</v>
      </c>
      <c r="AQ497" s="303"/>
      <c r="AR497" s="303"/>
      <c r="AS497" s="303"/>
      <c r="AT497" s="303"/>
      <c r="AU497" s="303"/>
      <c r="AV497" s="303"/>
      <c r="AW497" s="303"/>
      <c r="AX497" s="303"/>
      <c r="AY497" s="303"/>
      <c r="AZ497" s="290">
        <f t="shared" si="54"/>
        <v>0</v>
      </c>
      <c r="BA497" s="303"/>
      <c r="BB497" s="303"/>
      <c r="BC497" s="315">
        <f t="shared" si="49"/>
        <v>0</v>
      </c>
      <c r="BD497" s="316" t="str">
        <f t="shared" si="55"/>
        <v>Desierto</v>
      </c>
    </row>
    <row r="498" spans="1:56" ht="18" x14ac:dyDescent="0.25">
      <c r="A498" s="308">
        <v>496</v>
      </c>
      <c r="B498" s="344" t="s">
        <v>1467</v>
      </c>
      <c r="C498" s="310" t="s">
        <v>1468</v>
      </c>
      <c r="D498" s="310" t="s">
        <v>1466</v>
      </c>
      <c r="E498" s="311"/>
      <c r="F498" s="311"/>
      <c r="G498" s="311"/>
      <c r="H498" s="311"/>
      <c r="I498" s="311"/>
      <c r="J498" s="311"/>
      <c r="K498" s="311"/>
      <c r="L498" s="408">
        <f t="shared" si="50"/>
        <v>0</v>
      </c>
      <c r="M498" s="311"/>
      <c r="N498" s="303"/>
      <c r="O498" s="311"/>
      <c r="P498" s="311"/>
      <c r="Q498" s="311"/>
      <c r="R498" s="311"/>
      <c r="S498" s="311"/>
      <c r="T498" s="311"/>
      <c r="U498" s="311"/>
      <c r="V498" s="409">
        <f t="shared" si="51"/>
        <v>0</v>
      </c>
      <c r="W498" s="311"/>
      <c r="X498" s="311"/>
      <c r="Y498" s="311"/>
      <c r="Z498" s="311"/>
      <c r="AA498" s="311"/>
      <c r="AB498" s="311"/>
      <c r="AC498" s="311"/>
      <c r="AD498" s="311"/>
      <c r="AE498" s="311"/>
      <c r="AF498" s="410">
        <f t="shared" si="52"/>
        <v>0</v>
      </c>
      <c r="AG498" s="311"/>
      <c r="AH498" s="311"/>
      <c r="AI498" s="303"/>
      <c r="AJ498" s="303"/>
      <c r="AK498" s="303"/>
      <c r="AL498" s="303"/>
      <c r="AM498" s="303"/>
      <c r="AN498" s="303"/>
      <c r="AO498" s="303"/>
      <c r="AP498" s="290">
        <f t="shared" si="53"/>
        <v>0</v>
      </c>
      <c r="AQ498" s="303"/>
      <c r="AR498" s="303"/>
      <c r="AS498" s="303"/>
      <c r="AT498" s="303"/>
      <c r="AU498" s="303"/>
      <c r="AV498" s="303"/>
      <c r="AW498" s="303"/>
      <c r="AX498" s="303"/>
      <c r="AY498" s="303"/>
      <c r="AZ498" s="290">
        <f t="shared" si="54"/>
        <v>0</v>
      </c>
      <c r="BA498" s="303"/>
      <c r="BB498" s="303"/>
      <c r="BC498" s="315">
        <f t="shared" si="49"/>
        <v>0</v>
      </c>
      <c r="BD498" s="316" t="str">
        <f t="shared" si="55"/>
        <v>Desierto</v>
      </c>
    </row>
    <row r="499" spans="1:56" x14ac:dyDescent="0.25">
      <c r="A499" s="308">
        <v>497</v>
      </c>
      <c r="B499" s="344" t="s">
        <v>1469</v>
      </c>
      <c r="C499" s="310" t="s">
        <v>1470</v>
      </c>
      <c r="D499" s="310" t="s">
        <v>1471</v>
      </c>
      <c r="E499" s="311"/>
      <c r="F499" s="311"/>
      <c r="G499" s="311"/>
      <c r="H499" s="311"/>
      <c r="I499" s="311"/>
      <c r="J499" s="311"/>
      <c r="K499" s="311"/>
      <c r="L499" s="408">
        <f t="shared" si="50"/>
        <v>0</v>
      </c>
      <c r="M499" s="311"/>
      <c r="N499" s="303"/>
      <c r="O499" s="311"/>
      <c r="P499" s="311"/>
      <c r="Q499" s="311"/>
      <c r="R499" s="311"/>
      <c r="S499" s="311"/>
      <c r="T499" s="311"/>
      <c r="U499" s="311"/>
      <c r="V499" s="409">
        <f t="shared" si="51"/>
        <v>0</v>
      </c>
      <c r="W499" s="311"/>
      <c r="X499" s="311"/>
      <c r="Y499" s="311"/>
      <c r="Z499" s="311"/>
      <c r="AA499" s="311"/>
      <c r="AB499" s="311"/>
      <c r="AC499" s="311"/>
      <c r="AD499" s="311"/>
      <c r="AE499" s="311"/>
      <c r="AF499" s="410">
        <f t="shared" si="52"/>
        <v>0</v>
      </c>
      <c r="AG499" s="311"/>
      <c r="AH499" s="311"/>
      <c r="AI499" s="303"/>
      <c r="AJ499" s="303"/>
      <c r="AK499" s="303"/>
      <c r="AL499" s="303"/>
      <c r="AM499" s="303"/>
      <c r="AN499" s="303"/>
      <c r="AO499" s="303"/>
      <c r="AP499" s="290">
        <f t="shared" si="53"/>
        <v>0</v>
      </c>
      <c r="AQ499" s="303"/>
      <c r="AR499" s="303"/>
      <c r="AS499" s="303"/>
      <c r="AT499" s="303"/>
      <c r="AU499" s="303"/>
      <c r="AV499" s="303"/>
      <c r="AW499" s="303"/>
      <c r="AX499" s="303"/>
      <c r="AY499" s="303"/>
      <c r="AZ499" s="290">
        <f t="shared" si="54"/>
        <v>0</v>
      </c>
      <c r="BA499" s="303"/>
      <c r="BB499" s="303"/>
      <c r="BC499" s="315">
        <f t="shared" si="49"/>
        <v>0</v>
      </c>
      <c r="BD499" s="316" t="str">
        <f t="shared" si="55"/>
        <v>Desierto</v>
      </c>
    </row>
    <row r="500" spans="1:56" ht="27" x14ac:dyDescent="0.25">
      <c r="A500" s="308">
        <v>498</v>
      </c>
      <c r="B500" s="344" t="s">
        <v>1472</v>
      </c>
      <c r="C500" s="310" t="s">
        <v>1473</v>
      </c>
      <c r="D500" s="310" t="s">
        <v>487</v>
      </c>
      <c r="E500" s="311"/>
      <c r="F500" s="311"/>
      <c r="G500" s="311"/>
      <c r="H500" s="311"/>
      <c r="I500" s="311"/>
      <c r="J500" s="311"/>
      <c r="K500" s="311"/>
      <c r="L500" s="408">
        <f t="shared" si="50"/>
        <v>0</v>
      </c>
      <c r="M500" s="311"/>
      <c r="N500" s="303"/>
      <c r="O500" s="311"/>
      <c r="P500" s="311"/>
      <c r="Q500" s="311"/>
      <c r="R500" s="311"/>
      <c r="S500" s="311"/>
      <c r="T500" s="311"/>
      <c r="U500" s="311"/>
      <c r="V500" s="409">
        <f t="shared" si="51"/>
        <v>0</v>
      </c>
      <c r="W500" s="311"/>
      <c r="X500" s="311"/>
      <c r="Y500" s="311"/>
      <c r="Z500" s="311"/>
      <c r="AA500" s="311"/>
      <c r="AB500" s="311"/>
      <c r="AC500" s="311"/>
      <c r="AD500" s="311"/>
      <c r="AE500" s="311"/>
      <c r="AF500" s="410">
        <f t="shared" si="52"/>
        <v>0</v>
      </c>
      <c r="AG500" s="311"/>
      <c r="AH500" s="311"/>
      <c r="AI500" s="303"/>
      <c r="AJ500" s="303"/>
      <c r="AK500" s="303"/>
      <c r="AL500" s="303"/>
      <c r="AM500" s="303"/>
      <c r="AN500" s="303"/>
      <c r="AO500" s="303"/>
      <c r="AP500" s="290">
        <f t="shared" si="53"/>
        <v>0</v>
      </c>
      <c r="AQ500" s="303"/>
      <c r="AR500" s="303"/>
      <c r="AS500" s="303"/>
      <c r="AT500" s="303"/>
      <c r="AU500" s="303"/>
      <c r="AV500" s="303"/>
      <c r="AW500" s="303"/>
      <c r="AX500" s="303"/>
      <c r="AY500" s="303"/>
      <c r="AZ500" s="290">
        <f t="shared" si="54"/>
        <v>0</v>
      </c>
      <c r="BA500" s="303"/>
      <c r="BB500" s="303"/>
      <c r="BC500" s="315">
        <f t="shared" si="49"/>
        <v>0</v>
      </c>
      <c r="BD500" s="316" t="str">
        <f t="shared" si="55"/>
        <v>Desierto</v>
      </c>
    </row>
    <row r="501" spans="1:56" ht="38.25" x14ac:dyDescent="0.25">
      <c r="A501" s="308">
        <v>499</v>
      </c>
      <c r="B501" s="344" t="s">
        <v>1474</v>
      </c>
      <c r="C501" s="310" t="s">
        <v>1475</v>
      </c>
      <c r="D501" s="310" t="s">
        <v>1476</v>
      </c>
      <c r="E501" s="311"/>
      <c r="F501" s="311"/>
      <c r="G501" s="311"/>
      <c r="H501" s="311"/>
      <c r="I501" s="311"/>
      <c r="J501" s="311"/>
      <c r="K501" s="311"/>
      <c r="L501" s="408">
        <f t="shared" si="50"/>
        <v>0</v>
      </c>
      <c r="M501" s="311"/>
      <c r="N501" s="311"/>
      <c r="O501" s="303" t="s">
        <v>510</v>
      </c>
      <c r="P501" s="303" t="s">
        <v>510</v>
      </c>
      <c r="Q501" s="303" t="s">
        <v>519</v>
      </c>
      <c r="R501" s="303" t="s">
        <v>511</v>
      </c>
      <c r="S501" s="303" t="s">
        <v>519</v>
      </c>
      <c r="T501" s="303" t="s">
        <v>511</v>
      </c>
      <c r="U501" s="303">
        <v>0</v>
      </c>
      <c r="V501" s="409">
        <f t="shared" si="51"/>
        <v>0</v>
      </c>
      <c r="W501" s="303" t="s">
        <v>520</v>
      </c>
      <c r="X501" s="301" t="s">
        <v>1477</v>
      </c>
      <c r="Y501" s="311"/>
      <c r="Z501" s="311"/>
      <c r="AA501" s="311"/>
      <c r="AB501" s="311"/>
      <c r="AC501" s="311"/>
      <c r="AD501" s="311"/>
      <c r="AE501" s="311"/>
      <c r="AF501" s="410">
        <f t="shared" si="52"/>
        <v>0</v>
      </c>
      <c r="AG501" s="311"/>
      <c r="AH501" s="311"/>
      <c r="AI501" s="303"/>
      <c r="AJ501" s="303"/>
      <c r="AK501" s="303"/>
      <c r="AL501" s="303"/>
      <c r="AM501" s="303"/>
      <c r="AN501" s="303"/>
      <c r="AO501" s="303"/>
      <c r="AP501" s="290">
        <f t="shared" si="53"/>
        <v>0</v>
      </c>
      <c r="AQ501" s="303"/>
      <c r="AR501" s="303"/>
      <c r="AS501" s="303"/>
      <c r="AT501" s="303"/>
      <c r="AU501" s="303"/>
      <c r="AV501" s="303"/>
      <c r="AW501" s="303"/>
      <c r="AX501" s="303"/>
      <c r="AY501" s="303"/>
      <c r="AZ501" s="290">
        <f t="shared" si="54"/>
        <v>0</v>
      </c>
      <c r="BA501" s="303"/>
      <c r="BB501" s="301"/>
      <c r="BC501" s="315">
        <f t="shared" si="49"/>
        <v>0</v>
      </c>
      <c r="BD501" s="316" t="str">
        <f t="shared" si="55"/>
        <v>Desierto</v>
      </c>
    </row>
    <row r="502" spans="1:56" x14ac:dyDescent="0.25">
      <c r="BC502" s="296"/>
      <c r="BD502" s="99"/>
    </row>
    <row r="503" spans="1:56" x14ac:dyDescent="0.25">
      <c r="BC503" s="296"/>
      <c r="BD503" s="99"/>
    </row>
    <row r="504" spans="1:56" x14ac:dyDescent="0.25">
      <c r="BC504" s="296"/>
      <c r="BD504" s="99"/>
    </row>
    <row r="505" spans="1:56" x14ac:dyDescent="0.25">
      <c r="BC505" s="296"/>
      <c r="BD505" s="99"/>
    </row>
    <row r="506" spans="1:56" x14ac:dyDescent="0.25">
      <c r="BC506" s="296"/>
      <c r="BD506" s="99"/>
    </row>
    <row r="507" spans="1:56" x14ac:dyDescent="0.25">
      <c r="BC507" s="296"/>
      <c r="BD507" s="99"/>
    </row>
    <row r="508" spans="1:56" x14ac:dyDescent="0.25">
      <c r="BC508" s="296"/>
      <c r="BD508" s="99"/>
    </row>
    <row r="509" spans="1:56" x14ac:dyDescent="0.25">
      <c r="BC509" s="296"/>
      <c r="BD509" s="99"/>
    </row>
    <row r="510" spans="1:56" x14ac:dyDescent="0.25">
      <c r="BC510" s="296"/>
      <c r="BD510" s="99"/>
    </row>
    <row r="511" spans="1:56" x14ac:dyDescent="0.25">
      <c r="BC511" s="296"/>
      <c r="BD511" s="99"/>
    </row>
    <row r="512" spans="1:56" x14ac:dyDescent="0.25">
      <c r="BC512" s="296"/>
      <c r="BD512" s="99"/>
    </row>
    <row r="513" spans="55:56" x14ac:dyDescent="0.25">
      <c r="BC513" s="296"/>
      <c r="BD513" s="99"/>
    </row>
    <row r="514" spans="55:56" x14ac:dyDescent="0.25">
      <c r="BC514" s="296"/>
      <c r="BD514" s="99"/>
    </row>
    <row r="515" spans="55:56" x14ac:dyDescent="0.25">
      <c r="BC515" s="296"/>
      <c r="BD515" s="99"/>
    </row>
    <row r="516" spans="55:56" x14ac:dyDescent="0.25">
      <c r="BC516" s="296"/>
      <c r="BD516" s="99"/>
    </row>
    <row r="517" spans="55:56" x14ac:dyDescent="0.25">
      <c r="BC517" s="296"/>
      <c r="BD517" s="99"/>
    </row>
    <row r="518" spans="55:56" x14ac:dyDescent="0.25">
      <c r="BC518" s="296"/>
      <c r="BD518" s="99"/>
    </row>
    <row r="519" spans="55:56" x14ac:dyDescent="0.25">
      <c r="BC519" s="296"/>
      <c r="BD519" s="99"/>
    </row>
    <row r="520" spans="55:56" x14ac:dyDescent="0.25">
      <c r="BC520" s="296"/>
      <c r="BD520" s="99"/>
    </row>
    <row r="521" spans="55:56" x14ac:dyDescent="0.25">
      <c r="BC521" s="296"/>
      <c r="BD521" s="99"/>
    </row>
    <row r="522" spans="55:56" x14ac:dyDescent="0.25">
      <c r="BC522" s="296"/>
      <c r="BD522" s="99"/>
    </row>
    <row r="523" spans="55:56" x14ac:dyDescent="0.25">
      <c r="BC523" s="296"/>
      <c r="BD523" s="99"/>
    </row>
    <row r="524" spans="55:56" x14ac:dyDescent="0.25">
      <c r="BC524" s="296"/>
      <c r="BD524" s="99"/>
    </row>
    <row r="525" spans="55:56" x14ac:dyDescent="0.25">
      <c r="BC525" s="296"/>
      <c r="BD525" s="99"/>
    </row>
    <row r="526" spans="55:56" x14ac:dyDescent="0.25">
      <c r="BC526" s="296"/>
      <c r="BD526" s="99"/>
    </row>
    <row r="527" spans="55:56" x14ac:dyDescent="0.25">
      <c r="BC527" s="296"/>
      <c r="BD527" s="99"/>
    </row>
    <row r="528" spans="55:56" x14ac:dyDescent="0.25">
      <c r="BC528" s="296"/>
      <c r="BD528" s="99"/>
    </row>
    <row r="529" spans="55:56" x14ac:dyDescent="0.25">
      <c r="BC529" s="296"/>
      <c r="BD529" s="99"/>
    </row>
    <row r="530" spans="55:56" x14ac:dyDescent="0.25">
      <c r="BC530" s="296"/>
      <c r="BD530" s="99"/>
    </row>
    <row r="531" spans="55:56" x14ac:dyDescent="0.25">
      <c r="BC531" s="296"/>
      <c r="BD531" s="99"/>
    </row>
    <row r="532" spans="55:56" x14ac:dyDescent="0.25">
      <c r="BC532" s="296"/>
      <c r="BD532" s="99"/>
    </row>
    <row r="533" spans="55:56" x14ac:dyDescent="0.25">
      <c r="BC533" s="296"/>
      <c r="BD533" s="99"/>
    </row>
    <row r="534" spans="55:56" x14ac:dyDescent="0.25">
      <c r="BC534" s="296"/>
      <c r="BD534" s="99"/>
    </row>
    <row r="535" spans="55:56" x14ac:dyDescent="0.25">
      <c r="BC535" s="296"/>
      <c r="BD535" s="99"/>
    </row>
    <row r="536" spans="55:56" x14ac:dyDescent="0.25">
      <c r="BC536" s="296"/>
      <c r="BD536" s="99"/>
    </row>
    <row r="537" spans="55:56" x14ac:dyDescent="0.25">
      <c r="BC537" s="296"/>
      <c r="BD537" s="99"/>
    </row>
    <row r="538" spans="55:56" x14ac:dyDescent="0.25">
      <c r="BC538" s="296"/>
      <c r="BD538" s="99"/>
    </row>
    <row r="539" spans="55:56" x14ac:dyDescent="0.25">
      <c r="BC539" s="296"/>
      <c r="BD539" s="99"/>
    </row>
    <row r="540" spans="55:56" x14ac:dyDescent="0.25">
      <c r="BC540" s="296"/>
      <c r="BD540" s="99"/>
    </row>
    <row r="541" spans="55:56" x14ac:dyDescent="0.25">
      <c r="BC541" s="296"/>
      <c r="BD541" s="99"/>
    </row>
    <row r="542" spans="55:56" x14ac:dyDescent="0.25">
      <c r="BC542" s="296"/>
      <c r="BD542" s="99"/>
    </row>
    <row r="543" spans="55:56" x14ac:dyDescent="0.25">
      <c r="BC543" s="296"/>
      <c r="BD543" s="99"/>
    </row>
    <row r="544" spans="55:56" x14ac:dyDescent="0.25">
      <c r="BC544" s="296"/>
      <c r="BD544" s="99"/>
    </row>
    <row r="545" spans="55:59" x14ac:dyDescent="0.25">
      <c r="BC545" s="296"/>
      <c r="BD545" s="99"/>
    </row>
    <row r="546" spans="55:59" x14ac:dyDescent="0.25">
      <c r="BC546" s="296"/>
      <c r="BD546" s="99"/>
    </row>
    <row r="547" spans="55:59" x14ac:dyDescent="0.25">
      <c r="BC547" s="296"/>
      <c r="BD547" s="99"/>
    </row>
    <row r="548" spans="55:59" x14ac:dyDescent="0.25">
      <c r="BC548" s="296"/>
      <c r="BD548" s="99"/>
    </row>
    <row r="549" spans="55:59" x14ac:dyDescent="0.25">
      <c r="BC549" s="296"/>
      <c r="BD549" s="99"/>
    </row>
    <row r="550" spans="55:59" x14ac:dyDescent="0.25">
      <c r="BC550" s="296"/>
      <c r="BD550" s="99"/>
    </row>
    <row r="551" spans="55:59" x14ac:dyDescent="0.25">
      <c r="BC551" s="296"/>
      <c r="BD551" s="99"/>
    </row>
    <row r="552" spans="55:59" x14ac:dyDescent="0.25">
      <c r="BC552" s="296"/>
      <c r="BD552" s="99"/>
    </row>
    <row r="553" spans="55:59" x14ac:dyDescent="0.25">
      <c r="BC553" s="296"/>
      <c r="BD553" s="99"/>
    </row>
    <row r="554" spans="55:59" x14ac:dyDescent="0.25">
      <c r="BC554" s="296"/>
      <c r="BD554" s="99"/>
    </row>
    <row r="555" spans="55:59" x14ac:dyDescent="0.25">
      <c r="BC555" s="296"/>
      <c r="BD555" s="99"/>
    </row>
    <row r="556" spans="55:59" x14ac:dyDescent="0.25">
      <c r="BC556" s="296"/>
      <c r="BD556" s="99"/>
    </row>
    <row r="557" spans="55:59" x14ac:dyDescent="0.25">
      <c r="BC557" s="296"/>
      <c r="BD557" s="99"/>
    </row>
    <row r="558" spans="55:59" x14ac:dyDescent="0.25">
      <c r="BC558" s="296"/>
      <c r="BD558" s="99"/>
    </row>
    <row r="559" spans="55:59" x14ac:dyDescent="0.25">
      <c r="BC559" s="296"/>
      <c r="BD559" s="99"/>
    </row>
    <row r="560" spans="55:59" x14ac:dyDescent="0.25">
      <c r="BC560" s="296"/>
      <c r="BD560" s="99"/>
      <c r="BE560" s="267"/>
      <c r="BF560" s="267"/>
      <c r="BG560" s="267"/>
    </row>
    <row r="561" spans="55:59" x14ac:dyDescent="0.25">
      <c r="BC561" s="296"/>
      <c r="BD561" s="99"/>
      <c r="BE561" s="267"/>
      <c r="BF561" s="267"/>
      <c r="BG561" s="267"/>
    </row>
    <row r="562" spans="55:59" x14ac:dyDescent="0.25">
      <c r="BC562" s="296"/>
      <c r="BD562" s="99"/>
      <c r="BE562" s="267"/>
      <c r="BF562" s="267"/>
      <c r="BG562" s="267"/>
    </row>
    <row r="563" spans="55:59" x14ac:dyDescent="0.25">
      <c r="BC563" s="296"/>
      <c r="BD563" s="99"/>
      <c r="BE563" s="267"/>
      <c r="BF563" s="267"/>
      <c r="BG563" s="267"/>
    </row>
    <row r="564" spans="55:59" x14ac:dyDescent="0.25">
      <c r="BC564" s="296"/>
      <c r="BD564" s="99"/>
      <c r="BE564" s="267"/>
      <c r="BF564" s="267"/>
      <c r="BG564" s="267"/>
    </row>
    <row r="565" spans="55:59" x14ac:dyDescent="0.25">
      <c r="BC565" s="296"/>
      <c r="BD565" s="99"/>
    </row>
    <row r="566" spans="55:59" x14ac:dyDescent="0.25">
      <c r="BC566" s="296"/>
      <c r="BD566" s="99"/>
    </row>
    <row r="567" spans="55:59" x14ac:dyDescent="0.25">
      <c r="BC567" s="296"/>
      <c r="BD567" s="99"/>
    </row>
    <row r="568" spans="55:59" x14ac:dyDescent="0.25">
      <c r="BC568" s="296"/>
      <c r="BD568" s="99"/>
    </row>
  </sheetData>
  <sheetProtection formatCells="0" formatColumns="0" formatRows="0"/>
  <autoFilter ref="A2:BG502" xr:uid="{00000000-0009-0000-0000-000001000000}"/>
  <sortState xmlns:xlrd2="http://schemas.microsoft.com/office/spreadsheetml/2017/richdata2" ref="A2:X649">
    <sortCondition ref="B2:B649"/>
  </sortState>
  <mergeCells count="5">
    <mergeCell ref="E1:N1"/>
    <mergeCell ref="O1:X1"/>
    <mergeCell ref="Y1:AH1"/>
    <mergeCell ref="AI1:AR1"/>
    <mergeCell ref="AS1:BB1"/>
  </mergeCells>
  <conditionalFormatting sqref="B375">
    <cfRule type="duplicateValues" dxfId="100" priority="131"/>
  </conditionalFormatting>
  <conditionalFormatting sqref="B418:C419">
    <cfRule type="duplicateValues" dxfId="99" priority="129"/>
  </conditionalFormatting>
  <conditionalFormatting sqref="B420:C420">
    <cfRule type="duplicateValues" dxfId="98" priority="128"/>
  </conditionalFormatting>
  <conditionalFormatting sqref="B240">
    <cfRule type="duplicateValues" dxfId="97" priority="103"/>
  </conditionalFormatting>
  <conditionalFormatting sqref="B388:B389">
    <cfRule type="duplicateValues" dxfId="96" priority="99"/>
  </conditionalFormatting>
  <conditionalFormatting sqref="B24">
    <cfRule type="duplicateValues" dxfId="95" priority="98"/>
  </conditionalFormatting>
  <conditionalFormatting sqref="B28">
    <cfRule type="duplicateValues" dxfId="94" priority="97"/>
  </conditionalFormatting>
  <conditionalFormatting sqref="B33">
    <cfRule type="duplicateValues" dxfId="93" priority="96"/>
  </conditionalFormatting>
  <conditionalFormatting sqref="B58">
    <cfRule type="duplicateValues" dxfId="92" priority="95"/>
  </conditionalFormatting>
  <conditionalFormatting sqref="B83">
    <cfRule type="duplicateValues" dxfId="91" priority="93"/>
  </conditionalFormatting>
  <conditionalFormatting sqref="B93:B94">
    <cfRule type="duplicateValues" dxfId="90" priority="91"/>
  </conditionalFormatting>
  <conditionalFormatting sqref="B105">
    <cfRule type="duplicateValues" dxfId="89" priority="90"/>
  </conditionalFormatting>
  <conditionalFormatting sqref="B106:B108">
    <cfRule type="duplicateValues" dxfId="88" priority="89"/>
  </conditionalFormatting>
  <conditionalFormatting sqref="B118">
    <cfRule type="duplicateValues" dxfId="87" priority="86"/>
  </conditionalFormatting>
  <conditionalFormatting sqref="B120">
    <cfRule type="duplicateValues" dxfId="86" priority="85"/>
  </conditionalFormatting>
  <conditionalFormatting sqref="B127">
    <cfRule type="duplicateValues" dxfId="85" priority="84"/>
  </conditionalFormatting>
  <conditionalFormatting sqref="B129">
    <cfRule type="duplicateValues" dxfId="84" priority="83"/>
  </conditionalFormatting>
  <conditionalFormatting sqref="B132">
    <cfRule type="duplicateValues" dxfId="83" priority="82"/>
  </conditionalFormatting>
  <conditionalFormatting sqref="B134">
    <cfRule type="duplicateValues" dxfId="82" priority="81"/>
  </conditionalFormatting>
  <conditionalFormatting sqref="B136">
    <cfRule type="duplicateValues" dxfId="81" priority="80"/>
  </conditionalFormatting>
  <conditionalFormatting sqref="B139">
    <cfRule type="duplicateValues" dxfId="80" priority="79"/>
  </conditionalFormatting>
  <conditionalFormatting sqref="B141">
    <cfRule type="duplicateValues" dxfId="79" priority="78"/>
  </conditionalFormatting>
  <conditionalFormatting sqref="B142">
    <cfRule type="duplicateValues" dxfId="78" priority="77"/>
  </conditionalFormatting>
  <conditionalFormatting sqref="B145">
    <cfRule type="duplicateValues" dxfId="77" priority="76"/>
  </conditionalFormatting>
  <conditionalFormatting sqref="B148">
    <cfRule type="duplicateValues" dxfId="76" priority="74"/>
  </conditionalFormatting>
  <conditionalFormatting sqref="B162">
    <cfRule type="duplicateValues" dxfId="75" priority="73"/>
  </conditionalFormatting>
  <conditionalFormatting sqref="B165">
    <cfRule type="duplicateValues" dxfId="74" priority="72"/>
  </conditionalFormatting>
  <conditionalFormatting sqref="B173">
    <cfRule type="duplicateValues" dxfId="73" priority="70"/>
  </conditionalFormatting>
  <conditionalFormatting sqref="B181">
    <cfRule type="duplicateValues" dxfId="72" priority="68"/>
  </conditionalFormatting>
  <conditionalFormatting sqref="B192">
    <cfRule type="duplicateValues" dxfId="71" priority="67"/>
  </conditionalFormatting>
  <conditionalFormatting sqref="B193:B194">
    <cfRule type="duplicateValues" dxfId="70" priority="66"/>
  </conditionalFormatting>
  <conditionalFormatting sqref="B195:B196">
    <cfRule type="duplicateValues" dxfId="69" priority="65"/>
  </conditionalFormatting>
  <conditionalFormatting sqref="B203">
    <cfRule type="duplicateValues" dxfId="68" priority="64"/>
  </conditionalFormatting>
  <conditionalFormatting sqref="B205:B206">
    <cfRule type="duplicateValues" dxfId="67" priority="63"/>
  </conditionalFormatting>
  <conditionalFormatting sqref="B223">
    <cfRule type="duplicateValues" dxfId="66" priority="61"/>
  </conditionalFormatting>
  <conditionalFormatting sqref="B226">
    <cfRule type="duplicateValues" dxfId="65" priority="59"/>
  </conditionalFormatting>
  <conditionalFormatting sqref="B227">
    <cfRule type="duplicateValues" dxfId="64" priority="58"/>
  </conditionalFormatting>
  <conditionalFormatting sqref="B228:B229">
    <cfRule type="duplicateValues" dxfId="63" priority="57"/>
  </conditionalFormatting>
  <conditionalFormatting sqref="B231:B233">
    <cfRule type="duplicateValues" dxfId="62" priority="56"/>
  </conditionalFormatting>
  <conditionalFormatting sqref="B245">
    <cfRule type="duplicateValues" dxfId="61" priority="54"/>
  </conditionalFormatting>
  <conditionalFormatting sqref="B247">
    <cfRule type="duplicateValues" dxfId="60" priority="52"/>
  </conditionalFormatting>
  <conditionalFormatting sqref="B250">
    <cfRule type="duplicateValues" dxfId="59" priority="51"/>
  </conditionalFormatting>
  <conditionalFormatting sqref="B253">
    <cfRule type="duplicateValues" dxfId="58" priority="50"/>
  </conditionalFormatting>
  <conditionalFormatting sqref="B258:B259">
    <cfRule type="duplicateValues" dxfId="57" priority="49"/>
  </conditionalFormatting>
  <conditionalFormatting sqref="B261">
    <cfRule type="duplicateValues" dxfId="56" priority="48"/>
  </conditionalFormatting>
  <conditionalFormatting sqref="B266">
    <cfRule type="duplicateValues" dxfId="55" priority="47"/>
  </conditionalFormatting>
  <conditionalFormatting sqref="B296:B297">
    <cfRule type="duplicateValues" dxfId="54" priority="46"/>
  </conditionalFormatting>
  <conditionalFormatting sqref="B303">
    <cfRule type="duplicateValues" dxfId="53" priority="45"/>
  </conditionalFormatting>
  <conditionalFormatting sqref="B308">
    <cfRule type="duplicateValues" dxfId="52" priority="44"/>
  </conditionalFormatting>
  <conditionalFormatting sqref="B312">
    <cfRule type="duplicateValues" dxfId="51" priority="43"/>
  </conditionalFormatting>
  <conditionalFormatting sqref="B320">
    <cfRule type="duplicateValues" dxfId="50" priority="42"/>
  </conditionalFormatting>
  <conditionalFormatting sqref="B324:B325">
    <cfRule type="duplicateValues" dxfId="49" priority="41"/>
  </conditionalFormatting>
  <conditionalFormatting sqref="B342">
    <cfRule type="duplicateValues" dxfId="48" priority="39"/>
  </conditionalFormatting>
  <conditionalFormatting sqref="B347">
    <cfRule type="duplicateValues" dxfId="47" priority="38"/>
  </conditionalFormatting>
  <conditionalFormatting sqref="B366">
    <cfRule type="duplicateValues" dxfId="46" priority="37"/>
  </conditionalFormatting>
  <conditionalFormatting sqref="B367:B374">
    <cfRule type="duplicateValues" dxfId="45" priority="35"/>
  </conditionalFormatting>
  <conditionalFormatting sqref="B367:B374">
    <cfRule type="duplicateValues" dxfId="44" priority="36"/>
  </conditionalFormatting>
  <conditionalFormatting sqref="B376">
    <cfRule type="duplicateValues" dxfId="43" priority="34"/>
  </conditionalFormatting>
  <conditionalFormatting sqref="B397">
    <cfRule type="duplicateValues" dxfId="42" priority="31"/>
  </conditionalFormatting>
  <conditionalFormatting sqref="B398:B399">
    <cfRule type="duplicateValues" dxfId="41" priority="30"/>
  </conditionalFormatting>
  <conditionalFormatting sqref="B406">
    <cfRule type="duplicateValues" dxfId="40" priority="28"/>
  </conditionalFormatting>
  <conditionalFormatting sqref="B409">
    <cfRule type="duplicateValues" dxfId="39" priority="27"/>
  </conditionalFormatting>
  <conditionalFormatting sqref="B412">
    <cfRule type="duplicateValues" dxfId="38" priority="26"/>
  </conditionalFormatting>
  <conditionalFormatting sqref="B415">
    <cfRule type="duplicateValues" dxfId="37" priority="25"/>
  </conditionalFormatting>
  <conditionalFormatting sqref="B423:C423">
    <cfRule type="duplicateValues" dxfId="36" priority="23"/>
  </conditionalFormatting>
  <conditionalFormatting sqref="B423">
    <cfRule type="duplicateValues" dxfId="35" priority="24"/>
  </conditionalFormatting>
  <conditionalFormatting sqref="B452:B457">
    <cfRule type="duplicateValues" dxfId="34" priority="174"/>
  </conditionalFormatting>
  <conditionalFormatting sqref="B433:B451">
    <cfRule type="duplicateValues" dxfId="33" priority="177"/>
  </conditionalFormatting>
  <conditionalFormatting sqref="B432">
    <cfRule type="duplicateValues" dxfId="32" priority="178"/>
  </conditionalFormatting>
  <conditionalFormatting sqref="B424:C424 B421:C422">
    <cfRule type="duplicateValues" dxfId="31" priority="179"/>
  </conditionalFormatting>
  <conditionalFormatting sqref="B424 B407:B408 B3:B18 B248:B249 B390:B396 B25:B27 B29:B32 B34:B38 B59:B65 B84:B92 B95 B109:B110 B117 B119 B122:B123 B128 B130:B131 B133 B137:B138 B140 B143:B144 B147 B149:B160 B163:B164 B166 B174:B180 B182:B191 B197:B202 B204 B207:B218 B225 B230 B234:B237 B241 B246 B251:B252 B254:B257 B262:B265 B267:B274 B298:B302 B304:B305 B309 B313:B316 B323 B326 B329:B333 B343 B348:B365 B375 B400:B405 B410 B413:B414 B418:B422 B377:B387 B20:B23 B40:B47 B50:B51 B54:B57 B67:B78 B80:B82 B97:B104 B112:B115 B126 B168:B172 B220:B222 B239 B243:B244 B276:B278 B280 B282:B295 B307 B311 B318:B319 B335:B336 B338:B341 B345:B346">
    <cfRule type="duplicateValues" dxfId="30" priority="181"/>
  </conditionalFormatting>
  <conditionalFormatting sqref="B328">
    <cfRule type="duplicateValues" dxfId="29" priority="182"/>
  </conditionalFormatting>
  <hyperlinks>
    <hyperlink ref="B355" r:id="rId1" display="http://www.oxoid.com/UK/blue/prod_detail/prod_detail.asp?pr=CT0060&amp;cat=&amp;sec=2&amp;c=UK&amp;lang=EN" xr:uid="{00000000-0004-0000-0100-000000000000}"/>
    <hyperlink ref="B357" r:id="rId2" display="http://www.oxoid.com/UK/blue/prod_detail/prod_detail.asp?pr=CT1653&amp;cat=&amp;sec=2&amp;c=UK&amp;lang=EN" xr:uid="{00000000-0004-0000-0100-000001000000}"/>
  </hyperlinks>
  <pageMargins left="0.7" right="0.7" top="0.75" bottom="0.75" header="0.3" footer="0.3"/>
  <pageSetup orientation="portrait" r:id="rId3"/>
  <legacyDrawing r:id="rId4"/>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100-000000000000}">
          <x14:formula1>
            <xm:f>Datos!$B$4:$B$5</xm:f>
          </x14:formula1>
          <xm:sqref>E420:E429 O323:O326 O432:O501 AI432:AI501 E3:E18 O328:O333 O3:O18 E345:E410 AI3:AI18 E20:E38 AI20:AI38 AS20:AS38 O20:O38 AI345:AI410 AS40:AS47 E40:E47 AI40:AI47 E328:E333 O40:O47 O418:O429 O50:O51 AS50:AS51 E50:E51 AI50:AI51 E54:E65 AI54:AI65 AS328:AS333 O54:O65 E432:E500 AS67:AS78 E67:E78 AI67:AI78 AI328:AI333 O67:O78 O80:O95 AS80:AS95 E80:E95 AI80:AI95 AI335:AI336 O335:O336 O97:O110 AS54:AS65 E97:E110 AI97:AI110 AI112:AI115 E335:E336 O112:O115 AS112:AS115 E112:E115 E117:E120 AI117:AI120 AS307:AS316 O117:O120 AS117:AS120 AS122:AS123 E122:E123 AI122:AI123 AS335:AS336 O122:O123 O126:O134 AS126:AS134 E126:E134 AI126:AI134 AS338:AS343 O147:O160 AS147:AS160 AI338:AI343 AI147:AI160 E147:E160 AI136:AI145 O338:O343 AS136:AS145 O136:O145 E136:E145 E162:E166 AI162:AI166 O162:O166 AS162:AS166 E338:E343 E168:E218 E415 AI323:AI326 O168:O218 AS168:AS218 AS220:AS223 E220:E223 AS432:AS501 AI220:AI223 O220:O223 O225:O237 AS225:AS237 E225:E237 AS345:AS410 AI225:AI237 AI239:AI241 O239:O241 AS239:AS241 E239:E241 AS3:AS18 O345:O410 AI243:AI259 O243:O259 AS243:AS259 E243:E259 E261:E274 AS418:AS429 AI261:AI274 O261:O274 AS261:AS274 AS276:AS278 E276:E278 E412:E413 AI276:AI278 O276:O278 O280 AS280 E280 E418 AI280 AI282:AI305 O282:O305 AS282:AS305 E282:E305 AS412:AS415 E307:E316 AI307:AI316 O307:O316 AS97:AS110 AI412:AI415 O412:O415 E318:E320 AI318:AI320 O318:O320 AS318:AS320 E323:E326 AI418:AI429 AS323:AS326 AI168:AI218</xm:sqref>
        </x14:dataValidation>
        <x14:dataValidation type="list" allowBlank="1" showInputMessage="1" showErrorMessage="1" xr:uid="{00000000-0002-0000-0100-000001000000}">
          <x14:formula1>
            <xm:f>Datos!$C$4:$C$5</xm:f>
          </x14:formula1>
          <xm:sqref>F420:F429 AJ432:AJ501 P432:P501 P323:P326 F3:F18 AJ3:AJ18 P3:P18 F345:F410 P328:P333 F20:F38 AT20:AT38 AJ20:AJ38 P20:P38 AJ345:AJ410 AT40:AT47 F40:F47 F328:F333 AJ40:AJ47 P40:P47 AJ50:AJ51 P50:P51 AT50:AT51 F50:F51 AJ328:AJ333 F54:F65 AT328:AT333 AJ54:AJ65 P54:P65 F432:F500 AT67:AT78 F67:F78 P418:P429 AJ67:AJ78 P67:P78 P80:P95 AT80:AT95 F80:F95 AJ418:AJ429 AJ80:AJ95 AJ97:AJ110 P97:P110 AT54:AT65 F97:F110 P335:P336 F335:F336 AJ112:AJ115 P112:P115 AT112:AT115 F112:F115 F117:F120 AJ335:AJ336 AJ117:AJ120 P117:P120 AT117:AT120 AT122:AT123 F122:F123 AT335:AT336 AJ122:AJ123 P122:P123 P126:P134 AT126:AT134 F126:F134 AT338:AT343 AJ126:AJ134 P147:P160 AT147:AT160 AJ147:AJ160 F415 F147:F160 P338:P343 AJ136:AJ145 AT136:AT145 P136:P145 F136:F145 F162:F166 F338:F343 P162:P166 AT162:AT166 AJ162:AJ166 F168:F218 AT307:AT316 AJ338:AJ343 P168:P218 AT168:AT218 AT220:AT223 F220:F223 AJ220:AJ223 AT432:AT501 P220:P223 P225:P237 AT225:AT237 F225:F237 AJ225:AJ237 AT345:AT410 AT418:AT429 P239:P241 AT239:AT241 F239:F241 AJ239:AJ241 AJ243:AJ259 P345:P410 P243:P259 AT243:AT259 F243:F259 F261:F274 AJ261:AJ274 AT3:AT18 P261:P274 AT261:AT274 AT276:AT278 F276:F278 AJ276:AJ278 AJ412:AJ415 P276:P278 P280 AT280 F280 AJ280 F412:F413 AT412:AT415 P282:P305 AT282:AT305 F282:F305 AJ282:AJ305 F307:F316 F418 P307:P316 AT97:AT110 AJ307:AJ316 AJ318:AJ320 F318:F320 P412:P415 P318:P320 AT318:AT320 F323:F326 AJ323:AJ326 AT323:AT326 AJ168:AJ218</xm:sqref>
        </x14:dataValidation>
        <x14:dataValidation type="list" allowBlank="1" showInputMessage="1" showErrorMessage="1" xr:uid="{00000000-0002-0000-0100-000002000000}">
          <x14:formula1>
            <xm:f>Datos!$D$4:$D$6</xm:f>
          </x14:formula1>
          <xm:sqref>G420:G429 Q432:Q501 AU432:AU501 AU3:AU18 G3:G18 Q3:Q18 G345:G410 AK3:AK18 G328:G333 G20:G38 Q20:Q38 Q328:Q333 AK20:AK38 AK40:AK47 G40:G47 AK328:AK333 Q40:Q47 AU40:AU47 Q50:Q51 AU50:AU51 AK50:AK51 G50:G51 G415 G54:G65 AK418:AK429 Q54:Q65 G432:G501 AK54:AK65 AK67:AK78 G67:G78 AU335:AU336 Q67:Q78 AU67:AU78 AU80:AU95 AK80:AK95 G80:G95 G335:G336 Q80:Q95 Q97:Q110 AU54:AU65 AK97:AK110 G97:G110 Q335:Q336 AK335:AK336 Q112:Q115 AU112:AU115 AK112:AK115 G112:G115 G117:G120 AK338:AK343 Q117:Q120 AU117:AU120 AK117:AK120 AK122:AK123 G122:G123 G412:G413 Q122:Q123 AU122:AU123 AU126:AU134 AK126:AK134 G126:G134 AU338:AU343 Q126:Q134 AU147:AU160 AK147:AK160 Q147:Q160 G338:G343 G147:G160 Q338:Q343 Q136:Q145 AK136:AK145 AU136:AU145 G136:G145 G162:G166 AK432:AK501 AU162:AU166 AK162:AK166 Q162:Q166 G168:G218 Q168:Q218 AK345:AK410 AU168:AU218 AU328:AU333 AK220:AK223 G220:G223 Q220:Q223 G418 AU220:AU223 AU225:AU237 AK225:AK237 G225:G237 Q225:Q237 AU345:AU410 Q345:Q410 AU239:AU241 AK239:AK241 G239:G241 Q239:Q241 Q243:Q259 Q412:Q415 AU243:AU259 AK243:AK259 G243:G259 G261:G274 Q261:Q274 AU307:AU316 AU261:AU274 AK261:AK274 AK276:AK278 G276:G278 Q276:Q278 AK412:AK415 AU276:AU278 AU280 AK280 G280 Q280 AU38 AU412:AU415 AU282:AU305 AK282:AK305 G282:G305 Q282:Q305 G307:G316 AU20:AU36 AU97:AU110 AK307:AK316 Q307:Q316 Q318:Q320 G318:G320 AU418:AU429 AU318:AU320 AK318:AK320 G323:G326 Q323:Q326 AK323:AK326 Q418:Q429 AU323:AU326 AK168:AK218</xm:sqref>
        </x14:dataValidation>
        <x14:dataValidation type="list" allowBlank="1" showInputMessage="1" showErrorMessage="1" xr:uid="{00000000-0002-0000-0100-000003000000}">
          <x14:formula1>
            <xm:f>Datos!$E$4:$E$6</xm:f>
          </x14:formula1>
          <xm:sqref>R323:R326 J489 AV432:AV501 R432:R501 AL345:AL410 H3:H18 H345:H410 R3:R18 AL3:AL18 R328:R333 H20:H38 AV20:AV38 H328:H333 R20:R38 AL20:AL38 AL40:AL47 H40:H47 AV328:AV333 AV40:AV47 R40:R47 AV50:AV51 R50:R51 AL50:AL51 H50:H51 AL328:AL333 H54:H65 AV418:AV429 H432:H501 R54:R65 AL54:AL65 AL67:AL78 H67:H78 H415 AV67:AV78 R67:R78 R80:R95 AL80:AL95 H80:H95 R335:R336 AV80:AV95 AV54:AV65 R97:R110 AL97:AL110 H97:H110 H335:H336 AV335:AV336 AV112:AV115 R112:R115 AL112:AL115 H112:H115 H117:H120 AL335:AL336 AV117:AV120 R117:R120 AL117:AL120 AL122:AL123 H122:H123 AL338:AL343 AV122:AV123 R122:R123 R126:R134 AL126:AL134 H126:H134 AL418:AL429 AV126:AV134 R147:R160 AL147:AL160 AV147:AV160 R338:R343 H147:H160 H338:H343 AV136:AV145 AL136:AL145 R136:R145 H136:H145 H162:H166 AV338:AV343 R162:R166 AL162:AL166 AV162:AV166 AL168:AL218 AV168:AV218 AL432:AL501 R168:R218 R418:R429 AL220:AL223 H220:H223 AV220:AV223 AV3:AV18 R220:R223 R225:R237 AL225:AL237 H168:H218 AV225:AV237 H412:H413 R345:R410 R239:R241 AL239:AL241 H239:H241 AV239:AV241 AV243:AV259 AV345:AV410 R243:R259 AL243:AL259 H243:H259 H261:H274 AV261:AV274 AV412:AV415 R261:R274 AL261:AL274 AL276:AL278 H276:H278 AV276:AV278 H420:H429 R276:R278 R280 AL280 H280 AV280 AL412:AL415 AV307:AV316 R282:R305 AL282:AL305 H282:H305 AV282:AV305 H307:H316 R412:R415 R307:R316 AL307:AL316 AV97:AV110 AV318:AV320 H318:H320 H418 R318:R320 AL318:AL320 H323:H326 AV323:AV326 AL323:AL326 H225:H237</xm:sqref>
        </x14:dataValidation>
        <x14:dataValidation type="list" allowBlank="1" showInputMessage="1" showErrorMessage="1" xr:uid="{00000000-0002-0000-0100-000004000000}">
          <x14:formula1>
            <xm:f>Datos!$F$4:$F$5</xm:f>
          </x14:formula1>
          <xm:sqref>S335:S336 S345:S410 AM417:AM429 AW117:AW120 I328:I502 AW412:AW416 S282:S305 AW328:AW336 AM432:AM501 S168:S218 S3:S18 S323:S326 AM3:AM18 AW345:AW410 S50:S51 AW418:AW501 AM345:AM410 AM338:AM343 AW168:AW218 AM20:AM38 AM67:AM78 AW322:AW326 S307:S316 S67:S78 S80:S95 AM50:AM65 S412:S415 AW50:AW65 AW338:AW343 S54:S65 AM40:AM48 AM280 AW20:AW47 AW112:AW115 S112:S115 AM112:AM115 S418:S429 AW307:AW320 AW220:AW274 AW3:AW18 S97:S110 AM80:AM95 AM122:AM123 S318:S320 AW122:AW123 S122:S123 S117:S120 AM97:AM110 AM412:AM415 AM318:AM320 AW67:AW95 S147:S160 AW136:AW145 AW280:AW305 AM282:AM305 AW126:AW134 AM117:AM120 S126:S134 AM322:AM326 S136:S145 AM126:AM134 AW97:AW110 S338:S343 AW162:AW166 S162:S166 AM136:AM160 AW147:AW160 S20:S47 S220:S223 S225:S237 S328:S333 I3:I326 S239:S241 AM239:AM241 AM307:AM316 S243:S259 AM162:AM166 AM328:AM333 S432:S501 S261:S274 AM276:AM278 AM335:AM336 AW276:AW278 S276:S278 S280 AM243:AM274 AM168:AM237</xm:sqref>
        </x14:dataValidation>
        <x14:dataValidation type="list" allowBlank="1" showInputMessage="1" showErrorMessage="1" xr:uid="{00000000-0002-0000-0100-000005000000}">
          <x14:formula1>
            <xm:f>Datos!$G$4:$G$6</xm:f>
          </x14:formula1>
          <xm:sqref>J420:J429 AX3:AX18 AN345:AN410 AX432:AX501 AN432:AN501 J3:J18 AX323:AX326 J345:J410 T3:T18 AN3:AN18 J20:J38 AN20:AN38 AX20:AX38 AX328:AX333 T20:T38 AX307:AX316 J40:J47 AN40:AN47 J328:J333 AX40:AX47 T432:T501 AX50:AX51 T50:T51 J50:J51 AN50:AN51 J54:J65 AN54:AN65 T328:T333 J432:J488 T54:T65 T67:T78 J67:J78 AN67:AN78 AN328:AN333 AX67:AX78 AX80:AX95 T80:T95 J80:J95 AN80:AN95 AN335:AN336 AX335:AX336 AX54:AX65 T97:T110 J97:J110 AN97:AN110 AN112:AN115 J335:J336 AX112:AX115 T112:T115 J112:J115 J117:J120 AN117:AN120 J415 AX117:AX120 T117:T120 T122:T123 J122:J123 AN122:AN123 T335:T336 AX122:AX123 AX126:AX134 T126:T134 J126:J134 AN126:AN134 T338:T343 AX147:AX160 T147:T160 AN338:AN343 AN147:AN160 J147:J160 AN136:AN145 AX338:AX343 T136:T145 AX136:AX145 J136:J145 J162:J166 AN162:AN166 AX162:AX166 T162:T166 J338:J343 J168:J218 T418:T429 AN323:AN326 AX168:AX218 T168:T218 T220:T223 J220:J223 T282:T305 AN220:AN223 AX220:AX223 AX225:AX237 T225:T237 J225:J237 T345:T410 AN225:AN237 AN239:AN241 AX239:AX241 T239:T241 J239:J241 J412:J413 AX345:AX410 AN243:AN259 AX243:AX259 T243:T259 J243:J259 J261:J274 J418 AN261:AN274 AX261:AX274 T261:T274 T276:T278 J276:J278 J490:J501 AN276:AN278 AX276:AX278 AX280 T280 J280 T412:T415 AN280 AN282:AN305 AX282:AX305 T40:T47 J282:J305 AN412:AN415 J307:J316 AN307:AN316 AX97:AX110 T307:T316 AX412:AX415 AN418:AN429 J318:J320 AN318:AN320 AX318:AX320 T318:T320 J323:J326 AX418:AX429 T323:T326 AN168:AN218</xm:sqref>
        </x14:dataValidation>
        <x14:dataValidation type="list" allowBlank="1" showInputMessage="1" showErrorMessage="1" xr:uid="{00000000-0002-0000-0100-000006000000}">
          <x14:formula1>
            <xm:f>Datos!$H$4:$H$6</xm:f>
          </x14:formula1>
          <xm:sqref>AO282:AO305 AY418:AY429 AO412:AO415 U432:U501 K3:K18 K345:K410 AO162:AO166 AO322:AO326 U3:U18 K20:K38 U20:U38 K328:K333 U323:U326 AY3:AY18 AY328:AY333 K40:K47 U40:U47 AY20:AY38 AO3:AO18 AY282:AY305 K50:K51 U50:U51 K54:K65 U54:U65 K432:K501 AO20:AO38 U328:U333 U335:U336 K67:K78 U67:U78 AO67:AO78 AO40:AO48 AO328:AO333 K80:K95 U80:U95 AY67:AY95 AY50:AY65 AO50:AO65 K335:K336 K97:K110 U97:U110 U112:U115 AY112:AY115 AO112:AO115 AY335:AY336 K112:K115 K117:K120 U117:U120 AY97:AY110 AO80:AO95 K415 AY307:AY316 K122:K123 U122:U123 AY122:AY123 AO122:AO123 AO97:AO110 U338:U343 K126:K134 U126:U134 AY126:AY134 AO307:AO316 AY136:AY145 U147:U160 K147:K160 U136:U145 AY117:AY120 K338:K343 AO117:AO120 K136:K145 K162:K166 U162:U166 AO126:AO134 AY338:AY343 AY162:AY166 K168:K218 AY168:AY218 U168:U218 AO136:AO160 AO335:AO336 K412:K413 K220:K223 AY147:AY160 U220:U223 U345:U410 K225:K237 U225:U237 U239:U241 AO239:AO241 AO417:AO429 K239:K241 AY220:AY223 U243:U259 AY431:AY501 AY345:AY410 K243:K259 K261:K274 AY225:AY259 U261:U274 AO261:AO274 AY412:AY415 K420:K429 K276:K278 AY276:AY278 U276:U278 AO276:AO278 AO243:AO259 K418 K280 AY280 U280 U282:U305 AO168:AO237 U412:U415 K282:K305 AY261:AY274 K307:K316 U307:U316 AO280 AO338:AO343 AY40:AY47 AY318:AY320 K318:K320 U318:U320 AO318:AO320 U418:U429 K323:K326 AY322:AY326 AO345:AO410 AO432:AO501</xm:sqref>
        </x14:dataValidation>
        <x14:dataValidation type="list" allowBlank="1" showInputMessage="1" showErrorMessage="1" xr:uid="{00000000-0002-0000-0100-000007000000}">
          <x14:formula1>
            <xm:f>Datos!$K$4:$K$5</xm:f>
          </x14:formula1>
          <xm:sqref>BA307:BA320 W432:W501 BA432:BA501 AQ412:AQ415 AQ345:AQ410 BA323:BA326 W412:W415 BA338:BA343 W3:W18 W328:W333 AQ3:AQ18 W20:W38 W261:W274 BA20:BA38 BA243:BA259 AQ318:AQ320 AQ20:AQ38 W40:W47 BA40:BA47 W50:W51 BA50:BA51 AQ307:AQ316 AQ40:AQ48 W54:W65 AQ328:AQ333 AQ282:AQ305 W276:W278 AQ67:AQ78 W67:W78 BA67:BA78 BA80:BA95 AQ276:AQ278 BA412:BA416 AQ80:AQ95 W80:W95 W97:W110 BA3:BA18 BA276:BA278 W335:W336 W318:W320 AQ112:AQ115 W112:W115 BA112:BA115 W418:W429 AQ338:AQ343 W280 AQ117:AQ120 W117:W120 BA117:BA120 AQ280 AQ162:AQ166 AQ335:AQ336 AQ122:AQ123 W122:W123 BA122:BA123 BA126:BA134 BA261:BA274 BA280:BA305 AQ126:AQ134 W126:W134 BA147:BA160 W323:W326 W147:W160 AQ50:AQ65 W136:W145 BA345:BA410 BA136:BA145 W338:W343 AQ432:AQ501 AQ136:AQ160 BA162:BA166 W282:W305 W162:W166 AQ418:AQ429 W168:W218 BA418:BA430 BA168:BA218 AQ243:AQ274 BA54:BA65 AQ322:AQ326 W220:W223 BA97:BA110 M3:M501 BA328:BA336 W225:W237 AQ239:AQ241 BA239:BA241 W307:W316 W345:W410 W239:W241 W243:W259 AQ97:AQ110 BA220:BA237 AR189 AQ168:AQ237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dimension ref="A1:EH1048300"/>
  <sheetViews>
    <sheetView zoomScaleNormal="100" workbookViewId="0">
      <pane xSplit="5" ySplit="2" topLeftCell="CU479" activePane="bottomRight" state="frozen"/>
      <selection pane="topRight" activeCell="F1" sqref="F1"/>
      <selection pane="bottomLeft" activeCell="A3" sqref="A3"/>
      <selection pane="bottomRight" activeCell="EF480" sqref="EF480"/>
    </sheetView>
  </sheetViews>
  <sheetFormatPr baseColWidth="10" defaultColWidth="11.42578125" defaultRowHeight="13.5" x14ac:dyDescent="0.25"/>
  <cols>
    <col min="1" max="1" width="8.5703125" style="27" customWidth="1"/>
    <col min="2" max="2" width="39" style="27" customWidth="1"/>
    <col min="3" max="3" width="20.28515625" style="27" customWidth="1"/>
    <col min="4" max="4" width="13.85546875" style="27" customWidth="1"/>
    <col min="5" max="11" width="11.42578125" style="27"/>
    <col min="12" max="12" width="11.42578125" style="62"/>
    <col min="13" max="13" width="13.42578125" style="62" bestFit="1" customWidth="1"/>
    <col min="14" max="14" width="15.140625" style="122" customWidth="1"/>
    <col min="15" max="15" width="10.5703125" style="123" customWidth="1"/>
    <col min="16" max="16" width="16" style="123" customWidth="1"/>
    <col min="17" max="17" width="8.7109375" style="27" customWidth="1"/>
    <col min="18" max="18" width="10.5703125" style="27" customWidth="1"/>
    <col min="19" max="19" width="8.7109375" style="27" customWidth="1"/>
    <col min="20" max="20" width="18.7109375" style="62" customWidth="1"/>
    <col min="21" max="21" width="10.7109375" style="62" customWidth="1"/>
    <col min="22" max="22" width="15.85546875" style="62" customWidth="1"/>
    <col min="23" max="23" width="11.42578125" style="27" customWidth="1"/>
    <col min="24" max="25" width="8.7109375" style="27" customWidth="1"/>
    <col min="26" max="26" width="10.7109375" style="62" customWidth="1"/>
    <col min="27" max="27" width="8.7109375" style="62" customWidth="1"/>
    <col min="28" max="28" width="15" style="62" customWidth="1"/>
    <col min="29" max="30" width="8.7109375" style="27" customWidth="1"/>
    <col min="31" max="31" width="10.42578125" style="27" customWidth="1"/>
    <col min="32" max="32" width="8.7109375" style="107" customWidth="1"/>
    <col min="33" max="33" width="10" style="107" customWidth="1"/>
    <col min="34" max="34" width="14.85546875" style="107" customWidth="1"/>
    <col min="35" max="36" width="8.7109375" style="99" customWidth="1"/>
    <col min="37" max="37" width="8.7109375" style="27" customWidth="1"/>
    <col min="38" max="38" width="10.42578125" style="107" customWidth="1"/>
    <col min="39" max="39" width="8.7109375" style="107" customWidth="1"/>
    <col min="40" max="40" width="15.85546875" style="107" customWidth="1"/>
    <col min="41" max="41" width="9.5703125" style="99" customWidth="1"/>
    <col min="42" max="42" width="9.7109375" style="99" customWidth="1"/>
    <col min="43" max="43" width="10" style="27" customWidth="1"/>
    <col min="44" max="44" width="16.42578125" style="62" customWidth="1"/>
    <col min="45" max="45" width="14.42578125" style="62" customWidth="1"/>
    <col min="46" max="46" width="14.5703125" style="62" customWidth="1"/>
    <col min="47" max="49" width="8.7109375" style="27" customWidth="1"/>
    <col min="50" max="51" width="8.7109375" style="62" customWidth="1"/>
    <col min="52" max="52" width="15.42578125" style="62" customWidth="1"/>
    <col min="53" max="55" width="8.7109375" style="27" customWidth="1"/>
    <col min="56" max="56" width="11.42578125" style="62" customWidth="1"/>
    <col min="57" max="57" width="8.7109375" style="62" customWidth="1"/>
    <col min="58" max="58" width="12.5703125" style="62" customWidth="1"/>
    <col min="59" max="60" width="8.7109375" style="27" customWidth="1"/>
    <col min="61" max="61" width="23.5703125" style="27" customWidth="1"/>
    <col min="62" max="62" width="11.5703125" style="62" customWidth="1"/>
    <col min="63" max="63" width="11.7109375" style="62" customWidth="1"/>
    <col min="64" max="64" width="15" style="62" bestFit="1" customWidth="1"/>
    <col min="65" max="65" width="10.85546875" style="27" bestFit="1" customWidth="1"/>
    <col min="66" max="66" width="11.140625" style="27" bestFit="1" customWidth="1"/>
    <col min="67" max="67" width="7.7109375" style="27" bestFit="1" customWidth="1"/>
    <col min="68" max="68" width="11.42578125" style="62" bestFit="1" customWidth="1"/>
    <col min="69" max="69" width="9" style="62" customWidth="1"/>
    <col min="70" max="70" width="11.42578125" style="62" bestFit="1" customWidth="1"/>
    <col min="71" max="71" width="12" style="27" bestFit="1" customWidth="1"/>
    <col min="72" max="72" width="10.42578125" style="27" bestFit="1" customWidth="1"/>
    <col min="73" max="73" width="13.85546875" style="27" bestFit="1" customWidth="1"/>
    <col min="74" max="74" width="10.140625" style="62" customWidth="1"/>
    <col min="75" max="75" width="10.85546875" style="62" bestFit="1" customWidth="1"/>
    <col min="76" max="76" width="11.140625" style="27" bestFit="1" customWidth="1"/>
    <col min="77" max="77" width="9.42578125" style="27" bestFit="1" customWidth="1"/>
    <col min="78" max="78" width="10.42578125" style="27" bestFit="1" customWidth="1"/>
    <col min="79" max="79" width="5.42578125" style="27" bestFit="1" customWidth="1"/>
    <col min="80" max="80" width="11" style="27" bestFit="1" customWidth="1"/>
    <col min="81" max="81" width="11.28515625" style="27" bestFit="1" customWidth="1"/>
    <col min="82" max="82" width="10.7109375" style="27" bestFit="1" customWidth="1"/>
    <col min="83" max="83" width="9.42578125" style="27" bestFit="1" customWidth="1"/>
    <col min="84" max="84" width="12.28515625" style="27" bestFit="1" customWidth="1"/>
    <col min="85" max="85" width="10.85546875" style="27" bestFit="1" customWidth="1"/>
    <col min="86" max="88" width="10.7109375" style="62" customWidth="1"/>
    <col min="89" max="89" width="9.42578125" style="27" bestFit="1" customWidth="1"/>
    <col min="90" max="90" width="13.7109375" style="27" bestFit="1" customWidth="1"/>
    <col min="91" max="93" width="12" style="27" bestFit="1" customWidth="1"/>
    <col min="94" max="94" width="8.5703125" style="27" customWidth="1"/>
    <col min="95" max="95" width="9" style="27" bestFit="1" customWidth="1"/>
    <col min="96" max="96" width="10.42578125" style="27" bestFit="1" customWidth="1"/>
    <col min="97" max="97" width="9.42578125" style="27" bestFit="1" customWidth="1"/>
    <col min="98" max="98" width="14.28515625" style="62" customWidth="1"/>
    <col min="99" max="99" width="8.42578125" style="62" customWidth="1"/>
    <col min="100" max="100" width="9.28515625" style="62" customWidth="1"/>
    <col min="101" max="101" width="14.42578125" style="27" customWidth="1"/>
    <col min="102" max="102" width="10.5703125" style="27" customWidth="1"/>
    <col min="103" max="103" width="15" style="27" customWidth="1"/>
    <col min="104" max="104" width="13.42578125" style="27" hidden="1" customWidth="1"/>
    <col min="105" max="105" width="10.42578125" style="27" hidden="1" customWidth="1"/>
    <col min="106" max="106" width="12.28515625" style="27" hidden="1" customWidth="1"/>
    <col min="107" max="107" width="10.42578125" style="27" hidden="1" customWidth="1"/>
    <col min="108" max="115" width="11.42578125" style="27" hidden="1" customWidth="1"/>
    <col min="116" max="118" width="9.85546875" style="62" hidden="1" customWidth="1"/>
    <col min="119" max="119" width="11.42578125" style="62" hidden="1" customWidth="1"/>
    <col min="120" max="120" width="10.42578125" style="62" hidden="1" customWidth="1"/>
    <col min="121" max="133" width="9.85546875" style="62" hidden="1" customWidth="1"/>
    <col min="134" max="134" width="14" style="27" bestFit="1" customWidth="1"/>
    <col min="135" max="135" width="10.7109375" style="58" customWidth="1"/>
    <col min="136" max="136" width="14" style="27" bestFit="1" customWidth="1"/>
    <col min="137" max="137" width="11.85546875" style="27" bestFit="1" customWidth="1"/>
    <col min="138" max="16384" width="11.42578125" style="27"/>
  </cols>
  <sheetData>
    <row r="1" spans="1:136" ht="12.75" customHeight="1" x14ac:dyDescent="0.25">
      <c r="A1" s="475" t="s">
        <v>0</v>
      </c>
      <c r="B1" s="477" t="s">
        <v>1</v>
      </c>
      <c r="C1" s="477" t="s">
        <v>2</v>
      </c>
      <c r="D1" s="475" t="s">
        <v>3</v>
      </c>
      <c r="E1" s="222">
        <v>1.03</v>
      </c>
      <c r="F1" s="453" t="s">
        <v>4</v>
      </c>
      <c r="G1" s="453"/>
      <c r="H1" s="453" t="s">
        <v>5</v>
      </c>
      <c r="I1" s="453"/>
      <c r="J1" s="453" t="s">
        <v>6</v>
      </c>
      <c r="K1" s="453"/>
      <c r="L1" s="454" t="s">
        <v>7</v>
      </c>
      <c r="M1" s="454"/>
      <c r="N1" s="443" t="s">
        <v>11</v>
      </c>
      <c r="O1" s="443"/>
      <c r="P1" s="443"/>
      <c r="Q1" s="443"/>
      <c r="R1" s="443"/>
      <c r="S1" s="443"/>
      <c r="T1" s="463" t="s">
        <v>1478</v>
      </c>
      <c r="U1" s="464"/>
      <c r="V1" s="464"/>
      <c r="W1" s="464"/>
      <c r="X1" s="464"/>
      <c r="Y1" s="464"/>
      <c r="Z1" s="479" t="s">
        <v>1479</v>
      </c>
      <c r="AA1" s="480"/>
      <c r="AB1" s="480"/>
      <c r="AC1" s="480"/>
      <c r="AD1" s="480"/>
      <c r="AE1" s="480"/>
      <c r="AF1" s="442" t="s">
        <v>14</v>
      </c>
      <c r="AG1" s="443"/>
      <c r="AH1" s="443"/>
      <c r="AI1" s="443"/>
      <c r="AJ1" s="443"/>
      <c r="AK1" s="443"/>
      <c r="AL1" s="481" t="s">
        <v>1480</v>
      </c>
      <c r="AM1" s="482"/>
      <c r="AN1" s="482"/>
      <c r="AO1" s="482"/>
      <c r="AP1" s="482"/>
      <c r="AQ1" s="482"/>
      <c r="AR1" s="483" t="s">
        <v>1481</v>
      </c>
      <c r="AS1" s="484"/>
      <c r="AT1" s="484"/>
      <c r="AU1" s="484"/>
      <c r="AV1" s="484"/>
      <c r="AW1" s="484"/>
      <c r="AX1" s="420" t="s">
        <v>15</v>
      </c>
      <c r="AY1" s="421"/>
      <c r="AZ1" s="421"/>
      <c r="BA1" s="421"/>
      <c r="BB1" s="421"/>
      <c r="BC1" s="421"/>
      <c r="BD1" s="459" t="s">
        <v>17</v>
      </c>
      <c r="BE1" s="460"/>
      <c r="BF1" s="460"/>
      <c r="BG1" s="460"/>
      <c r="BH1" s="460"/>
      <c r="BI1" s="460"/>
      <c r="BJ1" s="485" t="s">
        <v>18</v>
      </c>
      <c r="BK1" s="486"/>
      <c r="BL1" s="486"/>
      <c r="BM1" s="486"/>
      <c r="BN1" s="486"/>
      <c r="BO1" s="487"/>
      <c r="BP1" s="488" t="s">
        <v>19</v>
      </c>
      <c r="BQ1" s="489"/>
      <c r="BR1" s="489"/>
      <c r="BS1" s="489"/>
      <c r="BT1" s="489"/>
      <c r="BU1" s="490"/>
      <c r="BV1" s="442" t="s">
        <v>20</v>
      </c>
      <c r="BW1" s="491"/>
      <c r="BX1" s="443"/>
      <c r="BY1" s="443"/>
      <c r="BZ1" s="443"/>
      <c r="CA1" s="443"/>
      <c r="CB1" s="463" t="s">
        <v>21</v>
      </c>
      <c r="CC1" s="464"/>
      <c r="CD1" s="464"/>
      <c r="CE1" s="464"/>
      <c r="CF1" s="464"/>
      <c r="CG1" s="464"/>
      <c r="CH1" s="470" t="s">
        <v>1482</v>
      </c>
      <c r="CI1" s="471"/>
      <c r="CJ1" s="471"/>
      <c r="CK1" s="471"/>
      <c r="CL1" s="471"/>
      <c r="CM1" s="472"/>
      <c r="CN1" s="437" t="s">
        <v>1483</v>
      </c>
      <c r="CO1" s="438"/>
      <c r="CP1" s="438"/>
      <c r="CQ1" s="438"/>
      <c r="CR1" s="438"/>
      <c r="CS1" s="438"/>
      <c r="CT1" s="463" t="s">
        <v>1484</v>
      </c>
      <c r="CU1" s="464"/>
      <c r="CV1" s="464"/>
      <c r="CW1" s="464"/>
      <c r="CX1" s="464"/>
      <c r="CY1" s="464"/>
      <c r="CZ1" s="473"/>
      <c r="DA1" s="474"/>
      <c r="DB1" s="474"/>
      <c r="DC1" s="474"/>
      <c r="DD1" s="474"/>
      <c r="DE1" s="474"/>
      <c r="DF1" s="461"/>
      <c r="DG1" s="462"/>
      <c r="DH1" s="462"/>
      <c r="DI1" s="462"/>
      <c r="DJ1" s="462"/>
      <c r="DK1" s="462"/>
      <c r="DL1" s="463"/>
      <c r="DM1" s="464"/>
      <c r="DN1" s="464"/>
      <c r="DO1" s="464"/>
      <c r="DP1" s="464"/>
      <c r="DQ1" s="464"/>
      <c r="DR1" s="420"/>
      <c r="DS1" s="421"/>
      <c r="DT1" s="421"/>
      <c r="DU1" s="421"/>
      <c r="DV1" s="421"/>
      <c r="DW1" s="421"/>
      <c r="DX1" s="437"/>
      <c r="DY1" s="438"/>
      <c r="DZ1" s="438"/>
      <c r="EA1" s="438"/>
      <c r="EB1" s="438"/>
      <c r="EC1" s="438"/>
      <c r="ED1" s="418" t="s">
        <v>31</v>
      </c>
      <c r="EE1" s="419" t="s">
        <v>32</v>
      </c>
      <c r="EF1" s="418" t="s">
        <v>33</v>
      </c>
    </row>
    <row r="2" spans="1:136" ht="26.25" customHeight="1" x14ac:dyDescent="0.25">
      <c r="A2" s="476"/>
      <c r="B2" s="478"/>
      <c r="C2" s="478"/>
      <c r="D2" s="476"/>
      <c r="E2" s="223" t="s">
        <v>34</v>
      </c>
      <c r="F2" s="28" t="s">
        <v>35</v>
      </c>
      <c r="G2" s="28" t="s">
        <v>36</v>
      </c>
      <c r="H2" s="28" t="s">
        <v>35</v>
      </c>
      <c r="I2" s="28" t="s">
        <v>36</v>
      </c>
      <c r="J2" s="28" t="s">
        <v>35</v>
      </c>
      <c r="K2" s="28" t="s">
        <v>36</v>
      </c>
      <c r="L2" s="230" t="s">
        <v>35</v>
      </c>
      <c r="M2" s="230" t="s">
        <v>36</v>
      </c>
      <c r="N2" s="225" t="s">
        <v>38</v>
      </c>
      <c r="O2" s="118" t="s">
        <v>39</v>
      </c>
      <c r="P2" s="118" t="s">
        <v>35</v>
      </c>
      <c r="Q2" s="113" t="s">
        <v>3</v>
      </c>
      <c r="R2" s="113" t="s">
        <v>2</v>
      </c>
      <c r="S2" s="113" t="s">
        <v>40</v>
      </c>
      <c r="T2" s="129" t="s">
        <v>38</v>
      </c>
      <c r="U2" s="129" t="s">
        <v>39</v>
      </c>
      <c r="V2" s="129" t="s">
        <v>35</v>
      </c>
      <c r="W2" s="88" t="s">
        <v>3</v>
      </c>
      <c r="X2" s="88" t="s">
        <v>2</v>
      </c>
      <c r="Y2" s="88" t="s">
        <v>40</v>
      </c>
      <c r="Z2" s="131" t="s">
        <v>38</v>
      </c>
      <c r="AA2" s="131" t="s">
        <v>39</v>
      </c>
      <c r="AB2" s="131" t="s">
        <v>35</v>
      </c>
      <c r="AC2" s="93" t="s">
        <v>3</v>
      </c>
      <c r="AD2" s="93" t="s">
        <v>2</v>
      </c>
      <c r="AE2" s="93" t="s">
        <v>40</v>
      </c>
      <c r="AF2" s="104" t="s">
        <v>38</v>
      </c>
      <c r="AG2" s="104" t="s">
        <v>39</v>
      </c>
      <c r="AH2" s="104" t="s">
        <v>35</v>
      </c>
      <c r="AI2" s="113" t="s">
        <v>3</v>
      </c>
      <c r="AJ2" s="113" t="s">
        <v>2</v>
      </c>
      <c r="AK2" s="113" t="s">
        <v>40</v>
      </c>
      <c r="AL2" s="160" t="s">
        <v>38</v>
      </c>
      <c r="AM2" s="160" t="s">
        <v>39</v>
      </c>
      <c r="AN2" s="160" t="s">
        <v>35</v>
      </c>
      <c r="AO2" s="168" t="s">
        <v>3</v>
      </c>
      <c r="AP2" s="168" t="s">
        <v>2</v>
      </c>
      <c r="AQ2" s="168" t="s">
        <v>40</v>
      </c>
      <c r="AR2" s="178" t="s">
        <v>38</v>
      </c>
      <c r="AS2" s="178" t="s">
        <v>39</v>
      </c>
      <c r="AT2" s="178" t="s">
        <v>35</v>
      </c>
      <c r="AU2" s="86" t="s">
        <v>3</v>
      </c>
      <c r="AV2" s="86" t="s">
        <v>2</v>
      </c>
      <c r="AW2" s="86" t="s">
        <v>40</v>
      </c>
      <c r="AX2" s="111" t="s">
        <v>38</v>
      </c>
      <c r="AY2" s="111" t="s">
        <v>39</v>
      </c>
      <c r="AZ2" s="111" t="s">
        <v>35</v>
      </c>
      <c r="BA2" s="79" t="s">
        <v>3</v>
      </c>
      <c r="BB2" s="79" t="s">
        <v>2</v>
      </c>
      <c r="BC2" s="79" t="s">
        <v>40</v>
      </c>
      <c r="BD2" s="185" t="s">
        <v>38</v>
      </c>
      <c r="BE2" s="185" t="s">
        <v>39</v>
      </c>
      <c r="BF2" s="185" t="s">
        <v>35</v>
      </c>
      <c r="BG2" s="72" t="s">
        <v>3</v>
      </c>
      <c r="BH2" s="72" t="s">
        <v>2</v>
      </c>
      <c r="BI2" s="72" t="s">
        <v>40</v>
      </c>
      <c r="BJ2" s="129" t="s">
        <v>38</v>
      </c>
      <c r="BK2" s="129" t="s">
        <v>39</v>
      </c>
      <c r="BL2" s="129" t="s">
        <v>35</v>
      </c>
      <c r="BM2" s="88" t="s">
        <v>3</v>
      </c>
      <c r="BN2" s="88" t="s">
        <v>2</v>
      </c>
      <c r="BO2" s="88" t="s">
        <v>40</v>
      </c>
      <c r="BP2" s="131" t="s">
        <v>38</v>
      </c>
      <c r="BQ2" s="131" t="s">
        <v>39</v>
      </c>
      <c r="BR2" s="131" t="s">
        <v>35</v>
      </c>
      <c r="BS2" s="93" t="s">
        <v>3</v>
      </c>
      <c r="BT2" s="93" t="s">
        <v>2</v>
      </c>
      <c r="BU2" s="93" t="s">
        <v>40</v>
      </c>
      <c r="BV2" s="104" t="s">
        <v>38</v>
      </c>
      <c r="BW2" s="104" t="s">
        <v>39</v>
      </c>
      <c r="BX2" s="66" t="s">
        <v>35</v>
      </c>
      <c r="BY2" s="113" t="s">
        <v>3</v>
      </c>
      <c r="BZ2" s="113" t="s">
        <v>2</v>
      </c>
      <c r="CA2" s="113" t="s">
        <v>40</v>
      </c>
      <c r="CB2" s="87" t="s">
        <v>38</v>
      </c>
      <c r="CC2" s="87" t="s">
        <v>39</v>
      </c>
      <c r="CD2" s="87" t="s">
        <v>35</v>
      </c>
      <c r="CE2" s="88" t="s">
        <v>3</v>
      </c>
      <c r="CF2" s="88" t="s">
        <v>2</v>
      </c>
      <c r="CG2" s="88" t="s">
        <v>40</v>
      </c>
      <c r="CH2" s="207" t="s">
        <v>38</v>
      </c>
      <c r="CI2" s="207" t="s">
        <v>39</v>
      </c>
      <c r="CJ2" s="207" t="s">
        <v>35</v>
      </c>
      <c r="CK2" s="83" t="s">
        <v>3</v>
      </c>
      <c r="CL2" s="83" t="s">
        <v>2</v>
      </c>
      <c r="CM2" s="83" t="s">
        <v>40</v>
      </c>
      <c r="CN2" s="84" t="s">
        <v>38</v>
      </c>
      <c r="CO2" s="84" t="s">
        <v>39</v>
      </c>
      <c r="CP2" s="84" t="s">
        <v>35</v>
      </c>
      <c r="CQ2" s="85" t="s">
        <v>3</v>
      </c>
      <c r="CR2" s="85" t="s">
        <v>2</v>
      </c>
      <c r="CS2" s="85" t="s">
        <v>40</v>
      </c>
      <c r="CT2" s="129" t="s">
        <v>38</v>
      </c>
      <c r="CU2" s="129" t="s">
        <v>39</v>
      </c>
      <c r="CV2" s="129" t="s">
        <v>35</v>
      </c>
      <c r="CW2" s="88" t="s">
        <v>3</v>
      </c>
      <c r="CX2" s="88" t="s">
        <v>2</v>
      </c>
      <c r="CY2" s="88" t="s">
        <v>40</v>
      </c>
      <c r="CZ2" s="89" t="s">
        <v>38</v>
      </c>
      <c r="DA2" s="89" t="s">
        <v>39</v>
      </c>
      <c r="DB2" s="89" t="s">
        <v>35</v>
      </c>
      <c r="DC2" s="90" t="s">
        <v>3</v>
      </c>
      <c r="DD2" s="90" t="s">
        <v>2</v>
      </c>
      <c r="DE2" s="90" t="s">
        <v>40</v>
      </c>
      <c r="DF2" s="69" t="s">
        <v>38</v>
      </c>
      <c r="DG2" s="69" t="s">
        <v>39</v>
      </c>
      <c r="DH2" s="69" t="s">
        <v>35</v>
      </c>
      <c r="DI2" s="70" t="s">
        <v>3</v>
      </c>
      <c r="DJ2" s="70" t="s">
        <v>2</v>
      </c>
      <c r="DK2" s="70" t="s">
        <v>40</v>
      </c>
      <c r="DL2" s="87" t="s">
        <v>38</v>
      </c>
      <c r="DM2" s="87" t="s">
        <v>39</v>
      </c>
      <c r="DN2" s="87" t="s">
        <v>35</v>
      </c>
      <c r="DO2" s="88" t="s">
        <v>3</v>
      </c>
      <c r="DP2" s="88" t="s">
        <v>2</v>
      </c>
      <c r="DQ2" s="88" t="s">
        <v>40</v>
      </c>
      <c r="DR2" s="78" t="s">
        <v>38</v>
      </c>
      <c r="DS2" s="78" t="s">
        <v>39</v>
      </c>
      <c r="DT2" s="78" t="s">
        <v>35</v>
      </c>
      <c r="DU2" s="79" t="s">
        <v>3</v>
      </c>
      <c r="DV2" s="79" t="s">
        <v>2</v>
      </c>
      <c r="DW2" s="79" t="s">
        <v>40</v>
      </c>
      <c r="DX2" s="84" t="s">
        <v>38</v>
      </c>
      <c r="DY2" s="84" t="s">
        <v>39</v>
      </c>
      <c r="DZ2" s="84" t="s">
        <v>35</v>
      </c>
      <c r="EA2" s="85" t="s">
        <v>3</v>
      </c>
      <c r="EB2" s="85" t="s">
        <v>2</v>
      </c>
      <c r="EC2" s="85" t="s">
        <v>40</v>
      </c>
      <c r="ED2" s="418"/>
      <c r="EE2" s="419"/>
      <c r="EF2" s="418"/>
    </row>
    <row r="3" spans="1:136" ht="36" x14ac:dyDescent="0.25">
      <c r="A3" s="25">
        <f>Distribución_Elementos!A3</f>
        <v>1</v>
      </c>
      <c r="B3" s="22" t="str">
        <f>Distribución_Elementos!B3</f>
        <v>1/4" CERAMIC SPHERE (esferas de ceramica)</v>
      </c>
      <c r="C3" s="22" t="str">
        <f>Distribución_Elementos!C3</f>
        <v>MP BIOMEDICALS ref 116540424</v>
      </c>
      <c r="D3" s="22" t="str">
        <f>Distribución_Elementos!D3</f>
        <v>100 each</v>
      </c>
      <c r="E3" s="224">
        <v>1</v>
      </c>
      <c r="F3" s="221">
        <v>0</v>
      </c>
      <c r="G3" s="221">
        <v>0</v>
      </c>
      <c r="H3" s="221">
        <v>0</v>
      </c>
      <c r="I3" s="221">
        <v>0</v>
      </c>
      <c r="J3" s="221">
        <v>593512.5</v>
      </c>
      <c r="K3" s="221">
        <v>0</v>
      </c>
      <c r="L3" s="247">
        <f>J3</f>
        <v>593512.5</v>
      </c>
      <c r="M3" s="247"/>
      <c r="N3" s="226"/>
      <c r="O3" s="119"/>
      <c r="P3" s="119"/>
      <c r="Q3" s="115"/>
      <c r="R3" s="115"/>
      <c r="S3" s="11"/>
      <c r="T3" s="247"/>
      <c r="U3" s="247"/>
      <c r="V3" s="247"/>
      <c r="W3" s="17"/>
      <c r="X3" s="11"/>
      <c r="Y3" s="11"/>
      <c r="Z3" s="247"/>
      <c r="AA3" s="247"/>
      <c r="AB3" s="247"/>
      <c r="AC3" s="5"/>
      <c r="AD3" s="5"/>
      <c r="AE3" s="17"/>
      <c r="AF3" s="247"/>
      <c r="AG3" s="247"/>
      <c r="AH3" s="149"/>
      <c r="AI3" s="5"/>
      <c r="AJ3" s="247"/>
      <c r="AK3" s="247"/>
      <c r="AL3" s="125"/>
      <c r="AM3" s="132"/>
      <c r="AN3" s="161"/>
      <c r="AO3" s="115"/>
      <c r="AP3" s="115"/>
      <c r="AQ3" s="17"/>
      <c r="AR3" s="247"/>
      <c r="AS3" s="247"/>
      <c r="AT3" s="247"/>
      <c r="AU3" s="17"/>
      <c r="AV3" s="17"/>
      <c r="AW3" s="17"/>
      <c r="AX3" s="125">
        <v>747000</v>
      </c>
      <c r="AY3" s="247">
        <f>+AX3*0.19</f>
        <v>141930</v>
      </c>
      <c r="AZ3" s="247">
        <f>+AX3+AY3</f>
        <v>888930</v>
      </c>
      <c r="BA3" s="17" t="s">
        <v>1485</v>
      </c>
      <c r="BB3" s="17" t="s">
        <v>130</v>
      </c>
      <c r="BC3" s="17"/>
      <c r="BD3" s="247"/>
      <c r="BE3" s="247"/>
      <c r="BF3" s="247"/>
      <c r="BG3" s="17"/>
      <c r="BH3" s="17"/>
      <c r="BI3" s="17"/>
      <c r="BJ3" s="247">
        <v>1673300</v>
      </c>
      <c r="BK3" s="247">
        <f t="shared" ref="BK3:BK56" si="0">+BJ3*0.19</f>
        <v>317927</v>
      </c>
      <c r="BL3" s="247">
        <f t="shared" ref="BL3:BL56" si="1">+BJ3+BK3</f>
        <v>1991227</v>
      </c>
      <c r="BM3" s="190" t="s">
        <v>1486</v>
      </c>
      <c r="BN3" s="190" t="s">
        <v>1487</v>
      </c>
      <c r="BO3" s="17"/>
      <c r="BP3" s="247"/>
      <c r="BQ3" s="247"/>
      <c r="BR3" s="247"/>
      <c r="BS3" s="17"/>
      <c r="BT3" s="17"/>
      <c r="BU3" s="17"/>
      <c r="BV3" s="195">
        <v>1972338.7896000005</v>
      </c>
      <c r="BW3" s="195">
        <f>+BV3*0.19</f>
        <v>374744.37002400012</v>
      </c>
      <c r="BX3" s="246">
        <f>+BV3+BW3</f>
        <v>2347083.1596240005</v>
      </c>
      <c r="BY3" s="190" t="s">
        <v>1486</v>
      </c>
      <c r="BZ3" s="190" t="s">
        <v>1487</v>
      </c>
      <c r="CA3" s="190"/>
      <c r="CB3" s="247"/>
      <c r="CC3" s="247"/>
      <c r="CD3" s="247"/>
      <c r="CE3" s="17"/>
      <c r="CF3" s="17"/>
      <c r="CG3" s="17"/>
      <c r="CH3" s="247"/>
      <c r="CI3" s="247"/>
      <c r="CJ3" s="247"/>
      <c r="CK3" s="17"/>
      <c r="CL3" s="17"/>
      <c r="CM3" s="17"/>
      <c r="CN3" s="17"/>
      <c r="CO3" s="17"/>
      <c r="CP3" s="11"/>
      <c r="CQ3" s="11"/>
      <c r="CR3" s="11"/>
      <c r="CS3" s="11"/>
      <c r="CT3" s="247"/>
      <c r="CU3" s="247"/>
      <c r="CV3" s="247"/>
      <c r="CW3" s="11"/>
      <c r="CX3" s="11"/>
      <c r="CY3" s="11"/>
      <c r="CZ3" s="11"/>
      <c r="DA3" s="11"/>
      <c r="DB3" s="11"/>
      <c r="DC3" s="11"/>
      <c r="DD3" s="11"/>
      <c r="DE3" s="11"/>
      <c r="DF3" s="11"/>
      <c r="DG3" s="11"/>
      <c r="DH3" s="11"/>
      <c r="DI3" s="11"/>
      <c r="DJ3" s="11"/>
      <c r="DK3" s="11"/>
      <c r="DL3" s="247"/>
      <c r="DM3" s="247"/>
      <c r="DN3" s="247"/>
      <c r="DO3" s="247"/>
      <c r="DP3" s="247"/>
      <c r="DQ3" s="247"/>
      <c r="DR3" s="247"/>
      <c r="DS3" s="247"/>
      <c r="DT3" s="247"/>
      <c r="DU3" s="247"/>
      <c r="DV3" s="247"/>
      <c r="DW3" s="247"/>
      <c r="DX3" s="247"/>
      <c r="DY3" s="247"/>
      <c r="DZ3" s="247"/>
      <c r="EA3" s="247"/>
      <c r="EB3" s="247"/>
      <c r="EC3" s="247"/>
      <c r="ED3" s="17">
        <f>SUM(M3,P3,V3,AB3,AH3,AN3,AT3,AZ3,BF3,BL3,BR3,BX3,CD3,CJ3,CP3,CV3,DB3,DH3,DN3,DT3,DZ3)</f>
        <v>5227240.159624001</v>
      </c>
      <c r="EE3" s="29">
        <f>COUNTA(M3,N3,T3,Z3,AF3,AL3,AR3,AX3,BD3,BJ3,BP3,BV3,CB3,CH3,CN3,CT3,CZ3,DF3,DL3,DR3,DX3)</f>
        <v>3</v>
      </c>
      <c r="EF3" s="17">
        <f>IFERROR(ED3/EE3," ")</f>
        <v>1742413.3865413337</v>
      </c>
    </row>
    <row r="4" spans="1:136" ht="36" x14ac:dyDescent="0.25">
      <c r="A4" s="25">
        <f>Distribución_Elementos!A4</f>
        <v>2</v>
      </c>
      <c r="B4" s="22" t="str">
        <f>Distribución_Elementos!B4</f>
        <v>15ml Conical Tubes(50)</v>
      </c>
      <c r="C4" s="22" t="str">
        <f>Distribución_Elementos!C4</f>
        <v>MP BIOMEDICALS  116930000</v>
      </c>
      <c r="D4" s="22" t="str">
        <f>Distribución_Elementos!D4</f>
        <v>Bolsa x 50</v>
      </c>
      <c r="E4" s="224">
        <v>1</v>
      </c>
      <c r="F4" s="221">
        <v>0</v>
      </c>
      <c r="G4" s="221">
        <v>0</v>
      </c>
      <c r="H4" s="221">
        <v>0</v>
      </c>
      <c r="I4" s="221">
        <v>0</v>
      </c>
      <c r="J4" s="221">
        <v>127253.04666666668</v>
      </c>
      <c r="K4" s="221">
        <v>0</v>
      </c>
      <c r="L4" s="247">
        <f>J4</f>
        <v>127253.04666666668</v>
      </c>
      <c r="M4" s="247"/>
      <c r="N4" s="226"/>
      <c r="O4" s="119"/>
      <c r="P4" s="119"/>
      <c r="Q4" s="115"/>
      <c r="R4" s="115"/>
      <c r="S4" s="11"/>
      <c r="T4" s="247"/>
      <c r="U4" s="247"/>
      <c r="V4" s="247"/>
      <c r="W4" s="17"/>
      <c r="X4" s="11"/>
      <c r="Y4" s="11"/>
      <c r="Z4" s="247">
        <v>46000</v>
      </c>
      <c r="AA4" s="247">
        <f>+Z4*0.19</f>
        <v>8740</v>
      </c>
      <c r="AB4" s="247">
        <f>+Z4+AA4</f>
        <v>54740</v>
      </c>
      <c r="AC4" s="5" t="s">
        <v>1488</v>
      </c>
      <c r="AD4" s="5" t="s">
        <v>1489</v>
      </c>
      <c r="AE4" s="17"/>
      <c r="AF4" s="247"/>
      <c r="AG4" s="247"/>
      <c r="AH4" s="149"/>
      <c r="AI4" s="5"/>
      <c r="AJ4" s="247"/>
      <c r="AK4" s="247"/>
      <c r="AL4" s="125"/>
      <c r="AM4" s="132"/>
      <c r="AN4" s="132"/>
      <c r="AO4" s="115"/>
      <c r="AP4" s="115"/>
      <c r="AQ4" s="17"/>
      <c r="AR4" s="247"/>
      <c r="AS4" s="247"/>
      <c r="AT4" s="247"/>
      <c r="AU4" s="17"/>
      <c r="AV4" s="17"/>
      <c r="AW4" s="17"/>
      <c r="AX4" s="125">
        <v>351000</v>
      </c>
      <c r="AY4" s="247">
        <f>+AX4*0.19</f>
        <v>66690</v>
      </c>
      <c r="AZ4" s="247">
        <f>+AX4+AY4</f>
        <v>417690</v>
      </c>
      <c r="BA4" s="17" t="s">
        <v>1490</v>
      </c>
      <c r="BB4" s="17" t="s">
        <v>130</v>
      </c>
      <c r="BC4" s="17"/>
      <c r="BD4" s="247"/>
      <c r="BE4" s="247"/>
      <c r="BF4" s="247"/>
      <c r="BG4" s="17"/>
      <c r="BH4" s="17"/>
      <c r="BI4" s="17"/>
      <c r="BJ4" s="247">
        <v>873600</v>
      </c>
      <c r="BK4" s="247">
        <f t="shared" si="0"/>
        <v>165984</v>
      </c>
      <c r="BL4" s="247">
        <f t="shared" si="1"/>
        <v>1039584</v>
      </c>
      <c r="BM4" s="191" t="s">
        <v>1491</v>
      </c>
      <c r="BN4" s="190" t="s">
        <v>1487</v>
      </c>
      <c r="BO4" s="17"/>
      <c r="BP4" s="247"/>
      <c r="BQ4" s="247"/>
      <c r="BR4" s="247"/>
      <c r="BS4" s="17"/>
      <c r="BT4" s="17"/>
      <c r="BU4" s="17"/>
      <c r="BV4" s="195">
        <v>1001486.304</v>
      </c>
      <c r="BW4" s="195">
        <f t="shared" ref="BW4:BW10" si="2">+BV4*0.19</f>
        <v>190282.39775999999</v>
      </c>
      <c r="BX4" s="246">
        <f t="shared" ref="BX4:BX10" si="3">+BV4+BW4</f>
        <v>1191768.7017600001</v>
      </c>
      <c r="BY4" s="191" t="s">
        <v>1491</v>
      </c>
      <c r="BZ4" s="190" t="s">
        <v>1487</v>
      </c>
      <c r="CA4" s="190"/>
      <c r="CB4" s="247"/>
      <c r="CC4" s="247"/>
      <c r="CD4" s="247"/>
      <c r="CE4" s="17"/>
      <c r="CF4" s="17"/>
      <c r="CG4" s="17"/>
      <c r="CH4" s="247"/>
      <c r="CI4" s="247"/>
      <c r="CJ4" s="247"/>
      <c r="CK4" s="17"/>
      <c r="CL4" s="17"/>
      <c r="CM4" s="17"/>
      <c r="CN4" s="17"/>
      <c r="CO4" s="17"/>
      <c r="CP4" s="11"/>
      <c r="CQ4" s="11"/>
      <c r="CR4" s="11"/>
      <c r="CS4" s="11"/>
      <c r="CT4" s="247"/>
      <c r="CU4" s="247"/>
      <c r="CV4" s="247"/>
      <c r="CW4" s="11"/>
      <c r="CX4" s="11"/>
      <c r="CY4" s="11"/>
      <c r="CZ4" s="11"/>
      <c r="DA4" s="11"/>
      <c r="DB4" s="11"/>
      <c r="DC4" s="11"/>
      <c r="DD4" s="11"/>
      <c r="DE4" s="11"/>
      <c r="DF4" s="11"/>
      <c r="DG4" s="11"/>
      <c r="DH4" s="11"/>
      <c r="DI4" s="11"/>
      <c r="DJ4" s="11"/>
      <c r="DK4" s="11"/>
      <c r="DL4" s="247"/>
      <c r="DM4" s="247"/>
      <c r="DN4" s="247"/>
      <c r="DO4" s="247"/>
      <c r="DP4" s="247"/>
      <c r="DQ4" s="247"/>
      <c r="DR4" s="247"/>
      <c r="DS4" s="247"/>
      <c r="DT4" s="247"/>
      <c r="DU4" s="247"/>
      <c r="DV4" s="247"/>
      <c r="DW4" s="247"/>
      <c r="DX4" s="247"/>
      <c r="DY4" s="247"/>
      <c r="DZ4" s="247"/>
      <c r="EA4" s="247"/>
      <c r="EB4" s="247"/>
      <c r="EC4" s="247"/>
      <c r="ED4" s="17">
        <f t="shared" ref="ED4:ED57" si="4">SUM(M4,P4,V4,AB4,AH4,AN4,AT4,AZ4,BF4,BL4,BR4,BX4,CD4,CJ4,CP4,CV4,DB4,DH4,DN4,DT4,DZ4)</f>
        <v>2703782.7017600001</v>
      </c>
      <c r="EE4" s="29">
        <f t="shared" ref="EE4:EE57" si="5">COUNTA(M4,N4,T4,Z4,AF4,AL4,AR4,AX4,BD4,BJ4,BP4,BV4,CB4,CH4,CN4,CT4,CZ4,DF4,DL4,DR4,DX4)</f>
        <v>4</v>
      </c>
      <c r="EF4" s="17">
        <f t="shared" ref="EF4:EF56" si="6">IFERROR(ED4/EE4," ")</f>
        <v>675945.67544000002</v>
      </c>
    </row>
    <row r="5" spans="1:136" ht="38.25" x14ac:dyDescent="0.25">
      <c r="A5" s="25">
        <f>Distribución_Elementos!A5</f>
        <v>3</v>
      </c>
      <c r="B5" s="22" t="str">
        <f>Distribución_Elementos!B5</f>
        <v>Adhesivos para microplacas</v>
      </c>
      <c r="C5" s="22" t="str">
        <f>Distribución_Elementos!C5</f>
        <v>Whatman 7704-0001 o equivalente</v>
      </c>
      <c r="D5" s="22" t="str">
        <f>Distribución_Elementos!D5</f>
        <v xml:space="preserve">Caja X 100 </v>
      </c>
      <c r="E5" s="224">
        <v>1</v>
      </c>
      <c r="F5" s="221">
        <v>398254.12666666665</v>
      </c>
      <c r="G5" s="221">
        <v>386274</v>
      </c>
      <c r="H5" s="221">
        <v>0</v>
      </c>
      <c r="I5" s="221">
        <v>0</v>
      </c>
      <c r="J5" s="221">
        <v>755296.43777777778</v>
      </c>
      <c r="K5" s="221">
        <v>714000</v>
      </c>
      <c r="L5" s="247">
        <f>AVERAGE(F5,J5)</f>
        <v>576775.28222222219</v>
      </c>
      <c r="M5" s="247">
        <f>AVERAGE(G5,K5)*E1</f>
        <v>566641.11</v>
      </c>
      <c r="N5" s="226"/>
      <c r="O5" s="120"/>
      <c r="P5" s="119"/>
      <c r="Q5" s="115"/>
      <c r="R5" s="115"/>
      <c r="S5" s="11"/>
      <c r="T5" s="247"/>
      <c r="U5" s="247"/>
      <c r="V5" s="247"/>
      <c r="W5" s="17"/>
      <c r="X5" s="11"/>
      <c r="Y5" s="11"/>
      <c r="Z5" s="247"/>
      <c r="AA5" s="247"/>
      <c r="AB5" s="247"/>
      <c r="AC5" s="5"/>
      <c r="AD5" s="22"/>
      <c r="AE5" s="17"/>
      <c r="AF5" s="247"/>
      <c r="AG5" s="247"/>
      <c r="AH5" s="149"/>
      <c r="AI5" s="22"/>
      <c r="AJ5" s="247"/>
      <c r="AK5" s="247"/>
      <c r="AL5" s="125"/>
      <c r="AM5" s="132"/>
      <c r="AN5" s="161"/>
      <c r="AO5" s="115"/>
      <c r="AP5" s="115"/>
      <c r="AQ5" s="17"/>
      <c r="AR5" s="247"/>
      <c r="AS5" s="247"/>
      <c r="AT5" s="247"/>
      <c r="AU5" s="17"/>
      <c r="AV5" s="17"/>
      <c r="AW5" s="17"/>
      <c r="AX5" s="125">
        <v>826000</v>
      </c>
      <c r="AY5" s="247">
        <f>+AX5*0.19</f>
        <v>156940</v>
      </c>
      <c r="AZ5" s="247">
        <f>+AX5+AY5</f>
        <v>982940</v>
      </c>
      <c r="BA5" s="17" t="s">
        <v>1492</v>
      </c>
      <c r="BB5" s="52" t="s">
        <v>1493</v>
      </c>
      <c r="BC5" s="17"/>
      <c r="BD5" s="247">
        <v>364452</v>
      </c>
      <c r="BE5" s="247">
        <f>+BD5*0.19</f>
        <v>69245.88</v>
      </c>
      <c r="BF5" s="247">
        <f>+BD5+BE5</f>
        <v>433697.88</v>
      </c>
      <c r="BG5" s="25" t="s">
        <v>1061</v>
      </c>
      <c r="BH5" s="5" t="s">
        <v>1494</v>
      </c>
      <c r="BI5" s="5" t="s">
        <v>1495</v>
      </c>
      <c r="BJ5" s="247">
        <v>590800</v>
      </c>
      <c r="BK5" s="247">
        <f t="shared" si="0"/>
        <v>112252</v>
      </c>
      <c r="BL5" s="247">
        <f t="shared" si="1"/>
        <v>703052</v>
      </c>
      <c r="BM5" s="190" t="s">
        <v>1496</v>
      </c>
      <c r="BN5" s="190" t="s">
        <v>1497</v>
      </c>
      <c r="BO5" s="17"/>
      <c r="BP5" s="247">
        <v>596000</v>
      </c>
      <c r="BQ5" s="247">
        <f>+BP5*19%</f>
        <v>113240</v>
      </c>
      <c r="BR5" s="247">
        <f>+BQ5+BP5</f>
        <v>709240</v>
      </c>
      <c r="BS5" s="17"/>
      <c r="BT5" s="17"/>
      <c r="BU5" s="17"/>
      <c r="BV5" s="195">
        <v>639255.05280000006</v>
      </c>
      <c r="BW5" s="195">
        <f t="shared" si="2"/>
        <v>121458.46003200002</v>
      </c>
      <c r="BX5" s="246">
        <f t="shared" si="3"/>
        <v>760713.51283200004</v>
      </c>
      <c r="BY5" s="190" t="s">
        <v>1496</v>
      </c>
      <c r="BZ5" s="190" t="s">
        <v>1497</v>
      </c>
      <c r="CA5" s="190"/>
      <c r="CB5" s="247"/>
      <c r="CC5" s="247"/>
      <c r="CD5" s="247"/>
      <c r="CE5" s="17"/>
      <c r="CF5" s="17"/>
      <c r="CG5" s="17"/>
      <c r="CH5" s="247"/>
      <c r="CI5" s="247"/>
      <c r="CJ5" s="247"/>
      <c r="CK5" s="17"/>
      <c r="CL5" s="17"/>
      <c r="CM5" s="17"/>
      <c r="CN5" s="17"/>
      <c r="CO5" s="17"/>
      <c r="CP5" s="11"/>
      <c r="CQ5" s="11"/>
      <c r="CR5" s="11"/>
      <c r="CS5" s="11"/>
      <c r="CT5" s="247"/>
      <c r="CU5" s="247"/>
      <c r="CV5" s="247"/>
      <c r="CW5" s="11"/>
      <c r="CX5" s="11"/>
      <c r="CY5" s="11"/>
      <c r="CZ5" s="11"/>
      <c r="DA5" s="11"/>
      <c r="DB5" s="11"/>
      <c r="DC5" s="11"/>
      <c r="DD5" s="11"/>
      <c r="DE5" s="11"/>
      <c r="DF5" s="11"/>
      <c r="DG5" s="11"/>
      <c r="DH5" s="11"/>
      <c r="DI5" s="11"/>
      <c r="DJ5" s="11"/>
      <c r="DK5" s="11"/>
      <c r="DL5" s="247"/>
      <c r="DM5" s="247"/>
      <c r="DN5" s="247"/>
      <c r="DO5" s="247"/>
      <c r="DP5" s="247"/>
      <c r="DQ5" s="247"/>
      <c r="DR5" s="247"/>
      <c r="DS5" s="247"/>
      <c r="DT5" s="247"/>
      <c r="DU5" s="247"/>
      <c r="DV5" s="247"/>
      <c r="DW5" s="247"/>
      <c r="DX5" s="247"/>
      <c r="DY5" s="247"/>
      <c r="DZ5" s="247"/>
      <c r="EA5" s="247"/>
      <c r="EB5" s="247"/>
      <c r="EC5" s="247"/>
      <c r="ED5" s="17">
        <f t="shared" si="4"/>
        <v>4156284.5028319997</v>
      </c>
      <c r="EE5" s="29">
        <f t="shared" si="5"/>
        <v>6</v>
      </c>
      <c r="EF5" s="17">
        <f t="shared" si="6"/>
        <v>692714.08380533324</v>
      </c>
    </row>
    <row r="6" spans="1:136" x14ac:dyDescent="0.25">
      <c r="A6" s="25">
        <f>Distribución_Elementos!A6</f>
        <v>4</v>
      </c>
      <c r="B6" s="22" t="str">
        <f>Distribución_Elementos!B6</f>
        <v>Aguja desechable 16 G x 1½" (tribicelada)</v>
      </c>
      <c r="C6" s="22" t="str">
        <f>Distribución_Elementos!C6</f>
        <v>BD, Vacutest o equivalente</v>
      </c>
      <c r="D6" s="22" t="str">
        <f>Distribución_Elementos!D6</f>
        <v>Caja x 100</v>
      </c>
      <c r="E6" s="224">
        <v>1</v>
      </c>
      <c r="F6" s="221">
        <v>25406.5</v>
      </c>
      <c r="G6" s="221">
        <v>24990</v>
      </c>
      <c r="H6" s="221">
        <v>39389</v>
      </c>
      <c r="I6" s="221">
        <v>0</v>
      </c>
      <c r="J6" s="221">
        <v>57990.683333333327</v>
      </c>
      <c r="K6" s="221">
        <v>55454</v>
      </c>
      <c r="L6" s="247">
        <f>AVERAGE(F6,H6,J6)</f>
        <v>40928.727777777771</v>
      </c>
      <c r="M6" s="247">
        <f>AVERAGE(G6,K6)*E1</f>
        <v>41428.660000000003</v>
      </c>
      <c r="N6" s="227">
        <v>37000</v>
      </c>
      <c r="O6" s="119">
        <f>+N6*0.19</f>
        <v>7030</v>
      </c>
      <c r="P6" s="119">
        <f>+N6+O6</f>
        <v>44030</v>
      </c>
      <c r="Q6" s="115"/>
      <c r="R6" s="115"/>
      <c r="S6" s="11"/>
      <c r="T6" s="247"/>
      <c r="U6" s="247"/>
      <c r="V6" s="247"/>
      <c r="W6" s="17"/>
      <c r="X6" s="11"/>
      <c r="Y6" s="11"/>
      <c r="Z6" s="247"/>
      <c r="AA6" s="247"/>
      <c r="AB6" s="247"/>
      <c r="AC6" s="5"/>
      <c r="AD6" s="22"/>
      <c r="AE6" s="17"/>
      <c r="AF6" s="247"/>
      <c r="AG6" s="247"/>
      <c r="AH6" s="149"/>
      <c r="AI6" s="4"/>
      <c r="AJ6" s="17"/>
      <c r="AK6" s="17"/>
      <c r="AL6" s="102"/>
      <c r="AM6" s="132"/>
      <c r="AN6" s="161"/>
      <c r="AO6" s="115"/>
      <c r="AP6" s="115"/>
      <c r="AQ6" s="17"/>
      <c r="AR6" s="247"/>
      <c r="AS6" s="247"/>
      <c r="AT6" s="247"/>
      <c r="AU6" s="17"/>
      <c r="AV6" s="17"/>
      <c r="AW6" s="17"/>
      <c r="AX6" s="247"/>
      <c r="AY6" s="247"/>
      <c r="AZ6" s="247"/>
      <c r="BA6" s="17"/>
      <c r="BB6" s="52"/>
      <c r="BC6" s="17"/>
      <c r="BD6" s="247"/>
      <c r="BE6" s="247"/>
      <c r="BF6" s="247"/>
      <c r="BG6" s="17"/>
      <c r="BH6" s="17"/>
      <c r="BI6" s="17"/>
      <c r="BJ6" s="247">
        <v>57500</v>
      </c>
      <c r="BK6" s="247">
        <f t="shared" si="0"/>
        <v>10925</v>
      </c>
      <c r="BL6" s="247">
        <f t="shared" si="1"/>
        <v>68425</v>
      </c>
      <c r="BM6" s="190" t="s">
        <v>1498</v>
      </c>
      <c r="BN6" s="190" t="s">
        <v>27</v>
      </c>
      <c r="BO6" s="17"/>
      <c r="BP6" s="247"/>
      <c r="BQ6" s="247"/>
      <c r="BR6" s="247"/>
      <c r="BS6" s="17"/>
      <c r="BT6" s="17"/>
      <c r="BU6" s="17"/>
      <c r="BV6" s="195">
        <v>66539.287500000006</v>
      </c>
      <c r="BW6" s="195">
        <f t="shared" si="2"/>
        <v>12642.464625000001</v>
      </c>
      <c r="BX6" s="246">
        <f t="shared" si="3"/>
        <v>79181.752124999999</v>
      </c>
      <c r="BY6" s="190" t="s">
        <v>1498</v>
      </c>
      <c r="BZ6" s="190" t="s">
        <v>27</v>
      </c>
      <c r="CA6" s="190"/>
      <c r="CB6" s="247"/>
      <c r="CC6" s="247"/>
      <c r="CD6" s="247"/>
      <c r="CE6" s="17"/>
      <c r="CF6" s="17"/>
      <c r="CG6" s="17"/>
      <c r="CH6" s="247"/>
      <c r="CI6" s="247"/>
      <c r="CJ6" s="247"/>
      <c r="CK6" s="17"/>
      <c r="CL6" s="17"/>
      <c r="CM6" s="17"/>
      <c r="CN6" s="17"/>
      <c r="CO6" s="17"/>
      <c r="CP6" s="11"/>
      <c r="CQ6" s="11"/>
      <c r="CR6" s="11"/>
      <c r="CS6" s="11"/>
      <c r="CT6" s="247"/>
      <c r="CU6" s="247"/>
      <c r="CV6" s="247"/>
      <c r="CW6" s="11"/>
      <c r="CX6" s="11"/>
      <c r="CY6" s="11"/>
      <c r="CZ6" s="11"/>
      <c r="DA6" s="11"/>
      <c r="DB6" s="11"/>
      <c r="DC6" s="11"/>
      <c r="DD6" s="11"/>
      <c r="DE6" s="11"/>
      <c r="DF6" s="11"/>
      <c r="DG6" s="11"/>
      <c r="DH6" s="11"/>
      <c r="DI6" s="11"/>
      <c r="DJ6" s="11"/>
      <c r="DK6" s="11"/>
      <c r="DL6" s="247"/>
      <c r="DM6" s="247"/>
      <c r="DN6" s="247"/>
      <c r="DO6" s="247"/>
      <c r="DP6" s="247"/>
      <c r="DQ6" s="247"/>
      <c r="DR6" s="247"/>
      <c r="DS6" s="247"/>
      <c r="DT6" s="247"/>
      <c r="DU6" s="247"/>
      <c r="DV6" s="247"/>
      <c r="DW6" s="247"/>
      <c r="DX6" s="247"/>
      <c r="DY6" s="247"/>
      <c r="DZ6" s="247"/>
      <c r="EA6" s="247"/>
      <c r="EB6" s="247"/>
      <c r="EC6" s="247"/>
      <c r="ED6" s="17">
        <f t="shared" si="4"/>
        <v>233065.412125</v>
      </c>
      <c r="EE6" s="29">
        <f t="shared" si="5"/>
        <v>4</v>
      </c>
      <c r="EF6" s="17">
        <f t="shared" si="6"/>
        <v>58266.353031250001</v>
      </c>
    </row>
    <row r="7" spans="1:136" x14ac:dyDescent="0.25">
      <c r="A7" s="25">
        <f>Distribución_Elementos!A7</f>
        <v>5</v>
      </c>
      <c r="B7" s="22" t="str">
        <f>Distribución_Elementos!B7</f>
        <v>Aguja desechable 20 G X 1½" (tribicelada)</v>
      </c>
      <c r="C7" s="22" t="str">
        <f>Distribución_Elementos!C7</f>
        <v>BD, Vacutest o equivalente</v>
      </c>
      <c r="D7" s="22" t="str">
        <f>Distribución_Elementos!D7</f>
        <v xml:space="preserve">Caja x 100 </v>
      </c>
      <c r="E7" s="224">
        <v>1</v>
      </c>
      <c r="F7" s="221">
        <v>19157.810000000001</v>
      </c>
      <c r="G7" s="221">
        <v>18564</v>
      </c>
      <c r="H7" s="221">
        <v>28837.289039999996</v>
      </c>
      <c r="I7" s="221">
        <v>0</v>
      </c>
      <c r="J7" s="221">
        <v>37616.395833333336</v>
      </c>
      <c r="K7" s="221">
        <v>33796</v>
      </c>
      <c r="L7" s="247">
        <f>AVERAGE(F7,H7,J7)</f>
        <v>28537.164957777783</v>
      </c>
      <c r="M7" s="247">
        <f>AVERAGE(G7,K7)*E1</f>
        <v>26965.4</v>
      </c>
      <c r="N7" s="227">
        <v>23500</v>
      </c>
      <c r="O7" s="119">
        <f>+N7*0.19</f>
        <v>4465</v>
      </c>
      <c r="P7" s="119">
        <f>+N7+O7</f>
        <v>27965</v>
      </c>
      <c r="Q7" s="115"/>
      <c r="R7" s="115"/>
      <c r="S7" s="11"/>
      <c r="T7" s="247"/>
      <c r="U7" s="247"/>
      <c r="V7" s="247"/>
      <c r="W7" s="17"/>
      <c r="X7" s="11"/>
      <c r="Y7" s="11"/>
      <c r="Z7" s="247"/>
      <c r="AA7" s="247"/>
      <c r="AB7" s="247"/>
      <c r="AC7" s="5"/>
      <c r="AD7" s="22"/>
      <c r="AE7" s="17"/>
      <c r="AF7" s="247"/>
      <c r="AG7" s="247"/>
      <c r="AH7" s="149"/>
      <c r="AI7" s="4"/>
      <c r="AJ7" s="17"/>
      <c r="AK7" s="17"/>
      <c r="AL7" s="102"/>
      <c r="AM7" s="132"/>
      <c r="AN7" s="132"/>
      <c r="AO7" s="115"/>
      <c r="AP7" s="115"/>
      <c r="AQ7" s="17"/>
      <c r="AR7" s="247"/>
      <c r="AS7" s="247"/>
      <c r="AT7" s="247"/>
      <c r="AU7" s="17"/>
      <c r="AV7" s="17"/>
      <c r="AW7" s="17"/>
      <c r="AX7" s="247"/>
      <c r="AY7" s="247"/>
      <c r="AZ7" s="247"/>
      <c r="BA7" s="17"/>
      <c r="BB7" s="52"/>
      <c r="BC7" s="17"/>
      <c r="BD7" s="247"/>
      <c r="BE7" s="247"/>
      <c r="BF7" s="247"/>
      <c r="BG7" s="17"/>
      <c r="BH7" s="17"/>
      <c r="BI7" s="17"/>
      <c r="BJ7" s="247">
        <v>84700</v>
      </c>
      <c r="BK7" s="247">
        <f t="shared" si="0"/>
        <v>16093</v>
      </c>
      <c r="BL7" s="247">
        <f t="shared" si="1"/>
        <v>100793</v>
      </c>
      <c r="BM7" s="190" t="s">
        <v>1498</v>
      </c>
      <c r="BN7" s="190" t="s">
        <v>27</v>
      </c>
      <c r="BO7" s="17"/>
      <c r="BP7" s="247"/>
      <c r="BQ7" s="247"/>
      <c r="BR7" s="247"/>
      <c r="BS7" s="17"/>
      <c r="BT7" s="17"/>
      <c r="BU7" s="17"/>
      <c r="BV7" s="195">
        <v>98041.944000000018</v>
      </c>
      <c r="BW7" s="195">
        <f t="shared" si="2"/>
        <v>18627.969360000003</v>
      </c>
      <c r="BX7" s="246">
        <f t="shared" si="3"/>
        <v>116669.91336000002</v>
      </c>
      <c r="BY7" s="190" t="s">
        <v>1498</v>
      </c>
      <c r="BZ7" s="190" t="s">
        <v>27</v>
      </c>
      <c r="CA7" s="190"/>
      <c r="CB7" s="247"/>
      <c r="CC7" s="247"/>
      <c r="CD7" s="247"/>
      <c r="CE7" s="17"/>
      <c r="CF7" s="17"/>
      <c r="CG7" s="17"/>
      <c r="CH7" s="247"/>
      <c r="CI7" s="247"/>
      <c r="CJ7" s="247"/>
      <c r="CK7" s="17"/>
      <c r="CL7" s="17"/>
      <c r="CM7" s="17"/>
      <c r="CN7" s="17"/>
      <c r="CO7" s="17"/>
      <c r="CP7" s="11"/>
      <c r="CQ7" s="11"/>
      <c r="CR7" s="11"/>
      <c r="CS7" s="11"/>
      <c r="CT7" s="247"/>
      <c r="CU7" s="247"/>
      <c r="CV7" s="247"/>
      <c r="CW7" s="11"/>
      <c r="CX7" s="11"/>
      <c r="CY7" s="11"/>
      <c r="CZ7" s="11"/>
      <c r="DA7" s="11"/>
      <c r="DB7" s="11"/>
      <c r="DC7" s="11"/>
      <c r="DD7" s="11"/>
      <c r="DE7" s="11"/>
      <c r="DF7" s="11"/>
      <c r="DG7" s="11"/>
      <c r="DH7" s="11"/>
      <c r="DI7" s="11"/>
      <c r="DJ7" s="11"/>
      <c r="DK7" s="11"/>
      <c r="DL7" s="247"/>
      <c r="DM7" s="247"/>
      <c r="DN7" s="247"/>
      <c r="DO7" s="247"/>
      <c r="DP7" s="247"/>
      <c r="DQ7" s="247"/>
      <c r="DR7" s="247"/>
      <c r="DS7" s="247"/>
      <c r="DT7" s="247"/>
      <c r="DU7" s="247"/>
      <c r="DV7" s="247"/>
      <c r="DW7" s="247"/>
      <c r="DX7" s="247"/>
      <c r="DY7" s="247"/>
      <c r="DZ7" s="247"/>
      <c r="EA7" s="247"/>
      <c r="EB7" s="247"/>
      <c r="EC7" s="247"/>
      <c r="ED7" s="17">
        <f t="shared" si="4"/>
        <v>272393.31336000003</v>
      </c>
      <c r="EE7" s="29">
        <f t="shared" si="5"/>
        <v>4</v>
      </c>
      <c r="EF7" s="17">
        <f t="shared" si="6"/>
        <v>68098.328340000007</v>
      </c>
    </row>
    <row r="8" spans="1:136" ht="25.5" x14ac:dyDescent="0.25">
      <c r="A8" s="25">
        <f>Distribución_Elementos!A8</f>
        <v>6</v>
      </c>
      <c r="B8" s="22" t="str">
        <f>Distribución_Elementos!B8</f>
        <v>Aguja desechable para toma de muestras sanguíneas para tubo al vacío 21 G x 1½" (tribicelada)</v>
      </c>
      <c r="C8" s="22" t="str">
        <f>Distribución_Elementos!C8</f>
        <v>BD, Vacutest o equivalente</v>
      </c>
      <c r="D8" s="22" t="str">
        <f>Distribución_Elementos!D8</f>
        <v xml:space="preserve">Caja x 100 </v>
      </c>
      <c r="E8" s="224">
        <v>1</v>
      </c>
      <c r="F8" s="221">
        <v>46411.19</v>
      </c>
      <c r="G8" s="221">
        <v>0</v>
      </c>
      <c r="H8" s="221">
        <v>27240.261440000002</v>
      </c>
      <c r="I8" s="221">
        <v>27132</v>
      </c>
      <c r="J8" s="221">
        <v>73421.545555555553</v>
      </c>
      <c r="K8" s="221">
        <v>72590</v>
      </c>
      <c r="L8" s="247">
        <f>AVERAGE(F8,H8,J8)</f>
        <v>49024.332331851852</v>
      </c>
      <c r="M8" s="247">
        <f>AVERAGE(I8,K8)*E1</f>
        <v>51356.83</v>
      </c>
      <c r="N8" s="227">
        <v>34000</v>
      </c>
      <c r="O8" s="119">
        <f>+N8*0.19</f>
        <v>6460</v>
      </c>
      <c r="P8" s="119">
        <f>+N8+O8</f>
        <v>40460</v>
      </c>
      <c r="Q8" s="115"/>
      <c r="R8" s="115"/>
      <c r="S8" s="11"/>
      <c r="T8" s="247"/>
      <c r="U8" s="247"/>
      <c r="V8" s="247"/>
      <c r="W8" s="17"/>
      <c r="X8" s="11"/>
      <c r="Y8" s="11"/>
      <c r="Z8" s="247"/>
      <c r="AA8" s="247"/>
      <c r="AB8" s="247"/>
      <c r="AC8" s="5"/>
      <c r="AD8" s="22"/>
      <c r="AE8" s="17"/>
      <c r="AF8" s="247"/>
      <c r="AG8" s="247"/>
      <c r="AH8" s="149"/>
      <c r="AI8" s="4"/>
      <c r="AJ8" s="17"/>
      <c r="AK8" s="17"/>
      <c r="AL8" s="102"/>
      <c r="AM8" s="132"/>
      <c r="AN8" s="161"/>
      <c r="AO8" s="115"/>
      <c r="AP8" s="115"/>
      <c r="AQ8" s="17"/>
      <c r="AR8" s="247"/>
      <c r="AS8" s="247"/>
      <c r="AT8" s="247"/>
      <c r="AU8" s="17"/>
      <c r="AV8" s="17"/>
      <c r="AW8" s="17"/>
      <c r="AX8" s="247"/>
      <c r="AY8" s="247"/>
      <c r="AZ8" s="247"/>
      <c r="BA8" s="17"/>
      <c r="BB8" s="52"/>
      <c r="BC8" s="17"/>
      <c r="BD8" s="247"/>
      <c r="BE8" s="247"/>
      <c r="BF8" s="247"/>
      <c r="BG8" s="17"/>
      <c r="BH8" s="17"/>
      <c r="BI8" s="17"/>
      <c r="BJ8" s="247">
        <v>30100</v>
      </c>
      <c r="BK8" s="247">
        <f t="shared" si="0"/>
        <v>5719</v>
      </c>
      <c r="BL8" s="247">
        <f t="shared" si="1"/>
        <v>35819</v>
      </c>
      <c r="BM8" s="190" t="s">
        <v>1498</v>
      </c>
      <c r="BN8" s="190" t="s">
        <v>27</v>
      </c>
      <c r="BO8" s="17"/>
      <c r="BP8" s="247"/>
      <c r="BQ8" s="247"/>
      <c r="BR8" s="247"/>
      <c r="BS8" s="17"/>
      <c r="BT8" s="17"/>
      <c r="BU8" s="17"/>
      <c r="BV8" s="195">
        <v>33845.8848</v>
      </c>
      <c r="BW8" s="195">
        <f t="shared" si="2"/>
        <v>6430.7181120000005</v>
      </c>
      <c r="BX8" s="246">
        <f t="shared" si="3"/>
        <v>40276.602912000002</v>
      </c>
      <c r="BY8" s="190" t="s">
        <v>1498</v>
      </c>
      <c r="BZ8" s="190" t="s">
        <v>27</v>
      </c>
      <c r="CA8" s="190"/>
      <c r="CB8" s="247"/>
      <c r="CC8" s="247"/>
      <c r="CD8" s="247"/>
      <c r="CE8" s="17"/>
      <c r="CF8" s="17"/>
      <c r="CG8" s="17"/>
      <c r="CH8" s="247"/>
      <c r="CI8" s="247"/>
      <c r="CJ8" s="247"/>
      <c r="CK8" s="17"/>
      <c r="CL8" s="17"/>
      <c r="CM8" s="17"/>
      <c r="CN8" s="17"/>
      <c r="CO8" s="17"/>
      <c r="CP8" s="11"/>
      <c r="CQ8" s="11"/>
      <c r="CR8" s="11"/>
      <c r="CS8" s="11"/>
      <c r="CT8" s="247"/>
      <c r="CU8" s="247"/>
      <c r="CV8" s="247"/>
      <c r="CW8" s="11"/>
      <c r="CX8" s="11"/>
      <c r="CY8" s="11"/>
      <c r="CZ8" s="11"/>
      <c r="DA8" s="11"/>
      <c r="DB8" s="11"/>
      <c r="DC8" s="11"/>
      <c r="DD8" s="11"/>
      <c r="DE8" s="11"/>
      <c r="DF8" s="11"/>
      <c r="DG8" s="11"/>
      <c r="DH8" s="11"/>
      <c r="DI8" s="11"/>
      <c r="DJ8" s="11"/>
      <c r="DK8" s="11"/>
      <c r="DL8" s="247"/>
      <c r="DM8" s="247"/>
      <c r="DN8" s="247"/>
      <c r="DO8" s="247"/>
      <c r="DP8" s="247"/>
      <c r="DQ8" s="247"/>
      <c r="DR8" s="247"/>
      <c r="DS8" s="247"/>
      <c r="DT8" s="247"/>
      <c r="DU8" s="247"/>
      <c r="DV8" s="247"/>
      <c r="DW8" s="247"/>
      <c r="DX8" s="247"/>
      <c r="DY8" s="247"/>
      <c r="DZ8" s="247"/>
      <c r="EA8" s="247"/>
      <c r="EB8" s="247"/>
      <c r="EC8" s="247"/>
      <c r="ED8" s="17">
        <f t="shared" si="4"/>
        <v>167912.43291199999</v>
      </c>
      <c r="EE8" s="29">
        <f t="shared" si="5"/>
        <v>4</v>
      </c>
      <c r="EF8" s="17">
        <f t="shared" si="6"/>
        <v>41978.108227999997</v>
      </c>
    </row>
    <row r="9" spans="1:136" x14ac:dyDescent="0.25">
      <c r="A9" s="25">
        <f>Distribución_Elementos!A9</f>
        <v>7</v>
      </c>
      <c r="B9" s="22" t="str">
        <f>Distribución_Elementos!B9</f>
        <v>Aguja para disección con mango metálico con punta curva</v>
      </c>
      <c r="C9" s="22" t="str">
        <f>Distribución_Elementos!C9</f>
        <v>Cualquier marca</v>
      </c>
      <c r="D9" s="22" t="str">
        <f>Distribución_Elementos!D9</f>
        <v>Unidad</v>
      </c>
      <c r="E9" s="224">
        <v>1</v>
      </c>
      <c r="F9" s="221">
        <v>1963.5</v>
      </c>
      <c r="G9" s="221">
        <v>1904</v>
      </c>
      <c r="H9" s="221">
        <v>2336.8267999999998</v>
      </c>
      <c r="I9" s="221">
        <v>0</v>
      </c>
      <c r="J9" s="221">
        <v>2865.2555555555555</v>
      </c>
      <c r="K9" s="221">
        <v>2023</v>
      </c>
      <c r="L9" s="247">
        <f>AVERAGE(F9,H9,J9)</f>
        <v>2388.5274518518518</v>
      </c>
      <c r="M9" s="247">
        <f>AVERAGE(G9,K9)*E1</f>
        <v>2022.405</v>
      </c>
      <c r="N9" s="227">
        <v>2000</v>
      </c>
      <c r="O9" s="119">
        <f>+N9*0.19</f>
        <v>380</v>
      </c>
      <c r="P9" s="119">
        <f>+N9+O9</f>
        <v>2380</v>
      </c>
      <c r="Q9" s="115"/>
      <c r="R9" s="115"/>
      <c r="S9" s="11"/>
      <c r="T9" s="247"/>
      <c r="U9" s="247"/>
      <c r="V9" s="247"/>
      <c r="W9" s="17"/>
      <c r="X9" s="11"/>
      <c r="Y9" s="11"/>
      <c r="Z9" s="247"/>
      <c r="AA9" s="247"/>
      <c r="AB9" s="247"/>
      <c r="AC9" s="5"/>
      <c r="AD9" s="22"/>
      <c r="AE9" s="17"/>
      <c r="AF9" s="247"/>
      <c r="AG9" s="247"/>
      <c r="AH9" s="149"/>
      <c r="AI9" s="4"/>
      <c r="AJ9" s="17"/>
      <c r="AK9" s="17"/>
      <c r="AL9" s="102"/>
      <c r="AM9" s="132"/>
      <c r="AN9" s="161"/>
      <c r="AO9" s="115"/>
      <c r="AP9" s="115"/>
      <c r="AQ9" s="17"/>
      <c r="AR9" s="247"/>
      <c r="AS9" s="247"/>
      <c r="AT9" s="247"/>
      <c r="AU9" s="17"/>
      <c r="AV9" s="17"/>
      <c r="AW9" s="17"/>
      <c r="AX9" s="247"/>
      <c r="AY9" s="247"/>
      <c r="AZ9" s="247"/>
      <c r="BA9" s="17"/>
      <c r="BB9" s="52"/>
      <c r="BC9" s="17"/>
      <c r="BD9" s="247"/>
      <c r="BE9" s="247"/>
      <c r="BF9" s="247"/>
      <c r="BG9" s="17"/>
      <c r="BH9" s="17"/>
      <c r="BI9" s="17"/>
      <c r="BJ9" s="247">
        <v>2300</v>
      </c>
      <c r="BK9" s="247">
        <f t="shared" si="0"/>
        <v>437</v>
      </c>
      <c r="BL9" s="247">
        <f t="shared" si="1"/>
        <v>2737</v>
      </c>
      <c r="BM9" s="190" t="s">
        <v>1499</v>
      </c>
      <c r="BN9" s="190" t="s">
        <v>1500</v>
      </c>
      <c r="BO9" s="17"/>
      <c r="BP9" s="247"/>
      <c r="BQ9" s="247"/>
      <c r="BR9" s="247"/>
      <c r="BS9" s="17"/>
      <c r="BT9" s="17"/>
      <c r="BU9" s="17"/>
      <c r="BV9" s="195">
        <v>2713.0064000000002</v>
      </c>
      <c r="BW9" s="195">
        <f t="shared" si="2"/>
        <v>515.47121600000003</v>
      </c>
      <c r="BX9" s="246">
        <f t="shared" si="3"/>
        <v>3228.4776160000001</v>
      </c>
      <c r="BY9" s="190" t="s">
        <v>1499</v>
      </c>
      <c r="BZ9" s="190" t="s">
        <v>1500</v>
      </c>
      <c r="CA9" s="190"/>
      <c r="CB9" s="247"/>
      <c r="CC9" s="247"/>
      <c r="CD9" s="247"/>
      <c r="CE9" s="17"/>
      <c r="CF9" s="17"/>
      <c r="CG9" s="17"/>
      <c r="CH9" s="247"/>
      <c r="CI9" s="247"/>
      <c r="CJ9" s="247"/>
      <c r="CK9" s="17"/>
      <c r="CL9" s="17"/>
      <c r="CM9" s="17"/>
      <c r="CN9" s="17"/>
      <c r="CO9" s="17"/>
      <c r="CP9" s="11"/>
      <c r="CQ9" s="11"/>
      <c r="CR9" s="11"/>
      <c r="CS9" s="11"/>
      <c r="CT9" s="247"/>
      <c r="CU9" s="247"/>
      <c r="CV9" s="247"/>
      <c r="CW9" s="11"/>
      <c r="CX9" s="11"/>
      <c r="CY9" s="11"/>
      <c r="CZ9" s="11"/>
      <c r="DA9" s="11"/>
      <c r="DB9" s="11"/>
      <c r="DC9" s="11"/>
      <c r="DD9" s="11"/>
      <c r="DE9" s="11"/>
      <c r="DF9" s="11"/>
      <c r="DG9" s="11"/>
      <c r="DH9" s="11"/>
      <c r="DI9" s="11"/>
      <c r="DJ9" s="11"/>
      <c r="DK9" s="11"/>
      <c r="DL9" s="247"/>
      <c r="DM9" s="247"/>
      <c r="DN9" s="247"/>
      <c r="DO9" s="247"/>
      <c r="DP9" s="247"/>
      <c r="DQ9" s="247"/>
      <c r="DR9" s="247"/>
      <c r="DS9" s="247"/>
      <c r="DT9" s="247"/>
      <c r="DU9" s="247"/>
      <c r="DV9" s="247"/>
      <c r="DW9" s="247"/>
      <c r="DX9" s="247"/>
      <c r="DY9" s="247"/>
      <c r="DZ9" s="247"/>
      <c r="EA9" s="247"/>
      <c r="EB9" s="247"/>
      <c r="EC9" s="247"/>
      <c r="ED9" s="17">
        <f t="shared" si="4"/>
        <v>10367.882615999999</v>
      </c>
      <c r="EE9" s="29">
        <f t="shared" si="5"/>
        <v>4</v>
      </c>
      <c r="EF9" s="17">
        <f t="shared" si="6"/>
        <v>2591.9706539999997</v>
      </c>
    </row>
    <row r="10" spans="1:136" x14ac:dyDescent="0.25">
      <c r="A10" s="25">
        <f>Distribución_Elementos!A10</f>
        <v>8</v>
      </c>
      <c r="B10" s="22" t="str">
        <f>Distribución_Elementos!B10</f>
        <v>Aguja para disección con mango metálico con punta recta</v>
      </c>
      <c r="C10" s="22" t="str">
        <f>Distribución_Elementos!C10</f>
        <v>Cualquier marca</v>
      </c>
      <c r="D10" s="22" t="str">
        <f>Distribución_Elementos!D10</f>
        <v>Unidad</v>
      </c>
      <c r="E10" s="224">
        <v>1</v>
      </c>
      <c r="F10" s="221">
        <v>1963.5</v>
      </c>
      <c r="G10" s="221">
        <v>1904</v>
      </c>
      <c r="H10" s="221">
        <v>2459.3333333333335</v>
      </c>
      <c r="I10" s="221">
        <v>0</v>
      </c>
      <c r="J10" s="221">
        <v>2927.9055555555556</v>
      </c>
      <c r="K10" s="221">
        <v>2023</v>
      </c>
      <c r="L10" s="247">
        <f>AVERAGE(F10,H10,J10)</f>
        <v>2450.2462962962964</v>
      </c>
      <c r="M10" s="247">
        <f>AVERAGE(G10,K10)*E1</f>
        <v>2022.405</v>
      </c>
      <c r="N10" s="227">
        <v>2000</v>
      </c>
      <c r="O10" s="119">
        <f>+N10*0.19</f>
        <v>380</v>
      </c>
      <c r="P10" s="119">
        <f>+N10+O10</f>
        <v>2380</v>
      </c>
      <c r="Q10" s="115"/>
      <c r="R10" s="115"/>
      <c r="S10" s="11"/>
      <c r="T10" s="247"/>
      <c r="U10" s="247"/>
      <c r="V10" s="247"/>
      <c r="W10" s="17"/>
      <c r="X10" s="11"/>
      <c r="Y10" s="11"/>
      <c r="Z10" s="247"/>
      <c r="AA10" s="247"/>
      <c r="AB10" s="247"/>
      <c r="AC10" s="5"/>
      <c r="AD10" s="22"/>
      <c r="AE10" s="17"/>
      <c r="AF10" s="247"/>
      <c r="AG10" s="247"/>
      <c r="AH10" s="149"/>
      <c r="AI10" s="4"/>
      <c r="AJ10" s="17"/>
      <c r="AK10" s="17"/>
      <c r="AL10" s="102"/>
      <c r="AM10" s="132"/>
      <c r="AN10" s="161"/>
      <c r="AO10" s="115"/>
      <c r="AP10" s="115"/>
      <c r="AQ10" s="17"/>
      <c r="AR10" s="247"/>
      <c r="AS10" s="247"/>
      <c r="AT10" s="247"/>
      <c r="AU10" s="17"/>
      <c r="AV10" s="17"/>
      <c r="AW10" s="17"/>
      <c r="AX10" s="247"/>
      <c r="AY10" s="247"/>
      <c r="AZ10" s="247"/>
      <c r="BA10" s="17"/>
      <c r="BB10" s="52"/>
      <c r="BC10" s="17"/>
      <c r="BD10" s="247"/>
      <c r="BE10" s="247"/>
      <c r="BF10" s="247"/>
      <c r="BG10" s="17"/>
      <c r="BH10" s="17"/>
      <c r="BI10" s="17"/>
      <c r="BJ10" s="247">
        <v>2300</v>
      </c>
      <c r="BK10" s="247">
        <f t="shared" si="0"/>
        <v>437</v>
      </c>
      <c r="BL10" s="247">
        <f t="shared" si="1"/>
        <v>2737</v>
      </c>
      <c r="BM10" s="190" t="s">
        <v>1499</v>
      </c>
      <c r="BN10" s="190" t="s">
        <v>1500</v>
      </c>
      <c r="BO10" s="17"/>
      <c r="BP10" s="247"/>
      <c r="BQ10" s="247"/>
      <c r="BR10" s="247"/>
      <c r="BS10" s="17"/>
      <c r="BT10" s="17"/>
      <c r="BU10" s="17"/>
      <c r="BV10" s="195">
        <v>2611.0980000000004</v>
      </c>
      <c r="BW10" s="195">
        <f t="shared" si="2"/>
        <v>496.10862000000009</v>
      </c>
      <c r="BX10" s="246">
        <f t="shared" si="3"/>
        <v>3107.2066200000004</v>
      </c>
      <c r="BY10" s="190" t="s">
        <v>1499</v>
      </c>
      <c r="BZ10" s="190" t="s">
        <v>1500</v>
      </c>
      <c r="CA10" s="190"/>
      <c r="CB10" s="247"/>
      <c r="CC10" s="247"/>
      <c r="CD10" s="247"/>
      <c r="CE10" s="17"/>
      <c r="CF10" s="17"/>
      <c r="CG10" s="17"/>
      <c r="CH10" s="247"/>
      <c r="CI10" s="247"/>
      <c r="CJ10" s="247"/>
      <c r="CK10" s="17"/>
      <c r="CL10" s="17"/>
      <c r="CM10" s="17"/>
      <c r="CN10" s="17"/>
      <c r="CO10" s="17"/>
      <c r="CP10" s="11"/>
      <c r="CQ10" s="11"/>
      <c r="CR10" s="11"/>
      <c r="CS10" s="11"/>
      <c r="CT10" s="247"/>
      <c r="CU10" s="247"/>
      <c r="CV10" s="247"/>
      <c r="CW10" s="11"/>
      <c r="CX10" s="11"/>
      <c r="CY10" s="11"/>
      <c r="CZ10" s="11"/>
      <c r="DA10" s="11"/>
      <c r="DB10" s="11"/>
      <c r="DC10" s="11"/>
      <c r="DD10" s="11"/>
      <c r="DE10" s="11"/>
      <c r="DF10" s="11"/>
      <c r="DG10" s="11"/>
      <c r="DH10" s="11"/>
      <c r="DI10" s="11"/>
      <c r="DJ10" s="11"/>
      <c r="DK10" s="11"/>
      <c r="DL10" s="247"/>
      <c r="DM10" s="247"/>
      <c r="DN10" s="247"/>
      <c r="DO10" s="247"/>
      <c r="DP10" s="247"/>
      <c r="DQ10" s="247"/>
      <c r="DR10" s="247"/>
      <c r="DS10" s="247"/>
      <c r="DT10" s="247"/>
      <c r="DU10" s="247"/>
      <c r="DV10" s="247"/>
      <c r="DW10" s="247"/>
      <c r="DX10" s="247"/>
      <c r="DY10" s="247"/>
      <c r="DZ10" s="247"/>
      <c r="EA10" s="247"/>
      <c r="EB10" s="247"/>
      <c r="EC10" s="247"/>
      <c r="ED10" s="17">
        <f t="shared" si="4"/>
        <v>10246.61162</v>
      </c>
      <c r="EE10" s="29">
        <f t="shared" si="5"/>
        <v>4</v>
      </c>
      <c r="EF10" s="17">
        <f t="shared" si="6"/>
        <v>2561.6529049999999</v>
      </c>
    </row>
    <row r="11" spans="1:136" x14ac:dyDescent="0.25">
      <c r="A11" s="25">
        <f>Distribución_Elementos!A11</f>
        <v>9</v>
      </c>
      <c r="B11" s="22" t="str">
        <f>Distribución_Elementos!B11</f>
        <v>Alfiler entomológico No. 000 (en acero inoxidable)</v>
      </c>
      <c r="C11" s="22" t="str">
        <f>Distribución_Elementos!C11</f>
        <v>Cualquier marca</v>
      </c>
      <c r="D11" s="22" t="str">
        <f>Distribución_Elementos!D11</f>
        <v xml:space="preserve">Paquete x 100 </v>
      </c>
      <c r="E11" s="224">
        <v>1</v>
      </c>
      <c r="F11" s="221">
        <v>0</v>
      </c>
      <c r="G11" s="221">
        <v>0</v>
      </c>
      <c r="H11" s="221">
        <v>78341.666666666672</v>
      </c>
      <c r="I11" s="221">
        <v>78183</v>
      </c>
      <c r="J11" s="221">
        <v>90737.5</v>
      </c>
      <c r="K11" s="221">
        <v>89250</v>
      </c>
      <c r="L11" s="247">
        <f>AVERAGE(H11,J11)</f>
        <v>84539.583333333343</v>
      </c>
      <c r="M11" s="247">
        <f>AVERAGE(I11,K11)*E1</f>
        <v>86227.994999999995</v>
      </c>
      <c r="N11" s="227">
        <v>52500</v>
      </c>
      <c r="O11" s="119">
        <f t="shared" ref="O11:O33" si="7">+N11*0.19</f>
        <v>9975</v>
      </c>
      <c r="P11" s="119">
        <f t="shared" ref="P11:P34" si="8">+N11+O11</f>
        <v>62475</v>
      </c>
      <c r="Q11" s="115"/>
      <c r="R11" s="115"/>
      <c r="S11" s="11"/>
      <c r="T11" s="247"/>
      <c r="U11" s="247"/>
      <c r="V11" s="247"/>
      <c r="W11" s="17"/>
      <c r="X11" s="11"/>
      <c r="Y11" s="11"/>
      <c r="Z11" s="247"/>
      <c r="AA11" s="247"/>
      <c r="AB11" s="247"/>
      <c r="AC11" s="5"/>
      <c r="AD11" s="22"/>
      <c r="AE11" s="17"/>
      <c r="AF11" s="247"/>
      <c r="AG11" s="247"/>
      <c r="AH11" s="149"/>
      <c r="AI11" s="4"/>
      <c r="AJ11" s="17"/>
      <c r="AK11" s="17"/>
      <c r="AL11" s="102"/>
      <c r="AM11" s="132"/>
      <c r="AN11" s="161"/>
      <c r="AO11" s="115"/>
      <c r="AP11" s="115"/>
      <c r="AQ11" s="17"/>
      <c r="AR11" s="247">
        <v>65000</v>
      </c>
      <c r="AS11" s="247">
        <f>+AR11*0.19</f>
        <v>12350</v>
      </c>
      <c r="AT11" s="247">
        <f>+AR11+AS11</f>
        <v>77350</v>
      </c>
      <c r="AU11" s="17"/>
      <c r="AV11" s="17"/>
      <c r="AW11" s="17"/>
      <c r="AX11" s="247"/>
      <c r="AY11" s="247"/>
      <c r="AZ11" s="247"/>
      <c r="BA11" s="17"/>
      <c r="BB11" s="52"/>
      <c r="BC11" s="17"/>
      <c r="BD11" s="247"/>
      <c r="BE11" s="247"/>
      <c r="BF11" s="247"/>
      <c r="BG11" s="17"/>
      <c r="BH11" s="17"/>
      <c r="BI11" s="17"/>
      <c r="BJ11" s="247">
        <v>85400</v>
      </c>
      <c r="BK11" s="247">
        <f t="shared" si="0"/>
        <v>16226</v>
      </c>
      <c r="BL11" s="247">
        <f t="shared" si="1"/>
        <v>101626</v>
      </c>
      <c r="BM11" s="190" t="s">
        <v>1501</v>
      </c>
      <c r="BN11" s="190" t="s">
        <v>1502</v>
      </c>
      <c r="BO11" s="17"/>
      <c r="BP11" s="247">
        <v>265000</v>
      </c>
      <c r="BQ11" s="247">
        <f>+BP11*19%</f>
        <v>50350</v>
      </c>
      <c r="BR11" s="247">
        <f t="shared" ref="BR11:BR59" si="9">+BQ11+BP11</f>
        <v>315350</v>
      </c>
      <c r="BS11" s="17"/>
      <c r="BT11" s="17"/>
      <c r="BU11" s="17"/>
      <c r="BV11" s="195">
        <v>101685.43840000001</v>
      </c>
      <c r="BW11" s="195">
        <f>+BV11*0.19</f>
        <v>19320.233296000002</v>
      </c>
      <c r="BX11" s="246">
        <f>+BV11+BW11</f>
        <v>121005.67169600002</v>
      </c>
      <c r="BY11" s="190" t="s">
        <v>1501</v>
      </c>
      <c r="BZ11" s="190" t="s">
        <v>1502</v>
      </c>
      <c r="CA11" s="190"/>
      <c r="CB11" s="247"/>
      <c r="CC11" s="247"/>
      <c r="CD11" s="247"/>
      <c r="CE11" s="17"/>
      <c r="CF11" s="17"/>
      <c r="CG11" s="17"/>
      <c r="CH11" s="247"/>
      <c r="CI11" s="247"/>
      <c r="CJ11" s="247"/>
      <c r="CK11" s="17"/>
      <c r="CL11" s="17"/>
      <c r="CM11" s="17"/>
      <c r="CN11" s="17"/>
      <c r="CO11" s="17"/>
      <c r="CP11" s="11"/>
      <c r="CQ11" s="11"/>
      <c r="CR11" s="11"/>
      <c r="CS11" s="11"/>
      <c r="CT11" s="247"/>
      <c r="CU11" s="247"/>
      <c r="CV11" s="247"/>
      <c r="CW11" s="11"/>
      <c r="CX11" s="11"/>
      <c r="CY11" s="11"/>
      <c r="CZ11" s="11"/>
      <c r="DA11" s="11"/>
      <c r="DB11" s="11"/>
      <c r="DC11" s="11"/>
      <c r="DD11" s="11"/>
      <c r="DE11" s="11"/>
      <c r="DF11" s="11"/>
      <c r="DG11" s="11"/>
      <c r="DH11" s="11"/>
      <c r="DI11" s="11"/>
      <c r="DJ11" s="11"/>
      <c r="DK11" s="11"/>
      <c r="DL11" s="247"/>
      <c r="DM11" s="247"/>
      <c r="DN11" s="247"/>
      <c r="DO11" s="247"/>
      <c r="DP11" s="247"/>
      <c r="DQ11" s="247"/>
      <c r="DR11" s="247"/>
      <c r="DS11" s="247"/>
      <c r="DT11" s="247"/>
      <c r="DU11" s="247"/>
      <c r="DV11" s="247"/>
      <c r="DW11" s="247"/>
      <c r="DX11" s="247"/>
      <c r="DY11" s="247"/>
      <c r="DZ11" s="247"/>
      <c r="EA11" s="247"/>
      <c r="EB11" s="247"/>
      <c r="EC11" s="247"/>
      <c r="ED11" s="17">
        <f t="shared" si="4"/>
        <v>764034.66669600003</v>
      </c>
      <c r="EE11" s="29">
        <f t="shared" si="5"/>
        <v>6</v>
      </c>
      <c r="EF11" s="17">
        <f t="shared" si="6"/>
        <v>127339.111116</v>
      </c>
    </row>
    <row r="12" spans="1:136" x14ac:dyDescent="0.25">
      <c r="A12" s="25">
        <f>Distribución_Elementos!A12</f>
        <v>10</v>
      </c>
      <c r="B12" s="22" t="str">
        <f>Distribución_Elementos!B12</f>
        <v>Alfiler entomológico No. 1 (en acero inoxidable)</v>
      </c>
      <c r="C12" s="22" t="str">
        <f>Distribución_Elementos!C12</f>
        <v>Cualquier marca</v>
      </c>
      <c r="D12" s="22" t="str">
        <f>Distribución_Elementos!D12</f>
        <v>Paquete x 100</v>
      </c>
      <c r="E12" s="224">
        <v>1</v>
      </c>
      <c r="F12" s="221">
        <v>64230.25</v>
      </c>
      <c r="G12" s="221">
        <v>62594</v>
      </c>
      <c r="H12" s="221">
        <v>83300</v>
      </c>
      <c r="I12" s="221">
        <v>83181</v>
      </c>
      <c r="J12" s="221">
        <v>82399.566666666666</v>
      </c>
      <c r="K12" s="221">
        <v>82110</v>
      </c>
      <c r="L12" s="247">
        <f>AVERAGE(F12,H12,J12)</f>
        <v>76643.272222222222</v>
      </c>
      <c r="M12" s="247">
        <f>AVERAGE(G12,I12,K12)*E1</f>
        <v>78240.516666666677</v>
      </c>
      <c r="N12" s="227">
        <v>52500</v>
      </c>
      <c r="O12" s="119">
        <f t="shared" si="7"/>
        <v>9975</v>
      </c>
      <c r="P12" s="119">
        <f t="shared" si="8"/>
        <v>62475</v>
      </c>
      <c r="Q12" s="115"/>
      <c r="R12" s="115"/>
      <c r="S12" s="11"/>
      <c r="T12" s="247"/>
      <c r="U12" s="247"/>
      <c r="V12" s="247"/>
      <c r="W12" s="17"/>
      <c r="X12" s="11"/>
      <c r="Y12" s="11"/>
      <c r="Z12" s="247"/>
      <c r="AA12" s="247"/>
      <c r="AB12" s="247"/>
      <c r="AC12" s="5"/>
      <c r="AD12" s="22"/>
      <c r="AE12" s="17"/>
      <c r="AF12" s="247"/>
      <c r="AG12" s="247"/>
      <c r="AH12" s="149"/>
      <c r="AI12" s="4"/>
      <c r="AJ12" s="17"/>
      <c r="AK12" s="17"/>
      <c r="AL12" s="102"/>
      <c r="AM12" s="132"/>
      <c r="AN12" s="161"/>
      <c r="AO12" s="115"/>
      <c r="AP12" s="115"/>
      <c r="AQ12" s="17"/>
      <c r="AR12" s="247">
        <v>65000</v>
      </c>
      <c r="AS12" s="247">
        <f>+AR12*0.19</f>
        <v>12350</v>
      </c>
      <c r="AT12" s="247">
        <f>+AR12+AS12</f>
        <v>77350</v>
      </c>
      <c r="AU12" s="17"/>
      <c r="AV12" s="17"/>
      <c r="AW12" s="17"/>
      <c r="AX12" s="247"/>
      <c r="AY12" s="247"/>
      <c r="AZ12" s="247"/>
      <c r="BA12" s="17"/>
      <c r="BB12" s="52"/>
      <c r="BC12" s="17"/>
      <c r="BD12" s="247"/>
      <c r="BE12" s="247"/>
      <c r="BF12" s="247"/>
      <c r="BG12" s="17"/>
      <c r="BH12" s="17"/>
      <c r="BI12" s="17"/>
      <c r="BJ12" s="247">
        <v>85400</v>
      </c>
      <c r="BK12" s="247">
        <f t="shared" si="0"/>
        <v>16226</v>
      </c>
      <c r="BL12" s="247">
        <f t="shared" si="1"/>
        <v>101626</v>
      </c>
      <c r="BM12" s="190" t="s">
        <v>1501</v>
      </c>
      <c r="BN12" s="190" t="s">
        <v>1502</v>
      </c>
      <c r="BO12" s="17"/>
      <c r="BP12" s="247">
        <v>265000</v>
      </c>
      <c r="BQ12" s="247">
        <f>+BP12*19%</f>
        <v>50350</v>
      </c>
      <c r="BR12" s="247">
        <f t="shared" si="9"/>
        <v>315350</v>
      </c>
      <c r="BS12" s="17"/>
      <c r="BT12" s="17"/>
      <c r="BU12" s="17"/>
      <c r="BV12" s="195">
        <v>93283.701000000001</v>
      </c>
      <c r="BW12" s="195">
        <f>+BV12*0.19</f>
        <v>17723.903190000001</v>
      </c>
      <c r="BX12" s="246">
        <f>+BV12+BW12</f>
        <v>111007.60419</v>
      </c>
      <c r="BY12" s="190" t="s">
        <v>1501</v>
      </c>
      <c r="BZ12" s="190" t="s">
        <v>1502</v>
      </c>
      <c r="CA12" s="190"/>
      <c r="CB12" s="247"/>
      <c r="CC12" s="247"/>
      <c r="CD12" s="247"/>
      <c r="CE12" s="17"/>
      <c r="CF12" s="17"/>
      <c r="CG12" s="17"/>
      <c r="CH12" s="247"/>
      <c r="CI12" s="247"/>
      <c r="CJ12" s="247"/>
      <c r="CK12" s="17"/>
      <c r="CL12" s="17"/>
      <c r="CM12" s="17"/>
      <c r="CN12" s="17"/>
      <c r="CO12" s="17"/>
      <c r="CP12" s="11"/>
      <c r="CQ12" s="11"/>
      <c r="CR12" s="11"/>
      <c r="CS12" s="11"/>
      <c r="CT12" s="247"/>
      <c r="CU12" s="247"/>
      <c r="CV12" s="247"/>
      <c r="CW12" s="11"/>
      <c r="CX12" s="11"/>
      <c r="CY12" s="11"/>
      <c r="CZ12" s="11"/>
      <c r="DA12" s="11"/>
      <c r="DB12" s="11"/>
      <c r="DC12" s="11"/>
      <c r="DD12" s="11"/>
      <c r="DE12" s="11"/>
      <c r="DF12" s="11"/>
      <c r="DG12" s="11"/>
      <c r="DH12" s="11"/>
      <c r="DI12" s="11"/>
      <c r="DJ12" s="11"/>
      <c r="DK12" s="11"/>
      <c r="DL12" s="247"/>
      <c r="DM12" s="247"/>
      <c r="DN12" s="247"/>
      <c r="DO12" s="247"/>
      <c r="DP12" s="247"/>
      <c r="DQ12" s="247"/>
      <c r="DR12" s="247"/>
      <c r="DS12" s="247"/>
      <c r="DT12" s="247"/>
      <c r="DU12" s="247"/>
      <c r="DV12" s="247"/>
      <c r="DW12" s="247"/>
      <c r="DX12" s="247"/>
      <c r="DY12" s="247"/>
      <c r="DZ12" s="247"/>
      <c r="EA12" s="247"/>
      <c r="EB12" s="247"/>
      <c r="EC12" s="247"/>
      <c r="ED12" s="17">
        <f t="shared" si="4"/>
        <v>746049.12085666659</v>
      </c>
      <c r="EE12" s="29">
        <f t="shared" si="5"/>
        <v>6</v>
      </c>
      <c r="EF12" s="17">
        <f t="shared" si="6"/>
        <v>124341.52014277776</v>
      </c>
    </row>
    <row r="13" spans="1:136" x14ac:dyDescent="0.25">
      <c r="A13" s="25">
        <f>Distribución_Elementos!A13</f>
        <v>11</v>
      </c>
      <c r="B13" s="22" t="str">
        <f>Distribución_Elementos!B13</f>
        <v>Alfiler entomológico No. 2 (en acero inoxidable)</v>
      </c>
      <c r="C13" s="22" t="str">
        <f>Distribución_Elementos!C13</f>
        <v>Cualquier marca</v>
      </c>
      <c r="D13" s="22" t="str">
        <f>Distribución_Elementos!D13</f>
        <v xml:space="preserve">Paquete x 100 </v>
      </c>
      <c r="E13" s="224">
        <v>1</v>
      </c>
      <c r="F13" s="221">
        <v>62623.75</v>
      </c>
      <c r="G13" s="221">
        <v>61047</v>
      </c>
      <c r="H13" s="221">
        <v>83300</v>
      </c>
      <c r="I13" s="221">
        <v>83181</v>
      </c>
      <c r="J13" s="221">
        <v>81858.116666666669</v>
      </c>
      <c r="K13" s="221">
        <v>80920</v>
      </c>
      <c r="L13" s="247">
        <f>AVERAGE(F13,H13,J13)</f>
        <v>75927.288888888885</v>
      </c>
      <c r="M13" s="247">
        <f>AVERAGE(G13,I13,K13)*E1</f>
        <v>77300.813333333324</v>
      </c>
      <c r="N13" s="227">
        <v>52500</v>
      </c>
      <c r="O13" s="119">
        <f t="shared" si="7"/>
        <v>9975</v>
      </c>
      <c r="P13" s="119">
        <f t="shared" si="8"/>
        <v>62475</v>
      </c>
      <c r="Q13" s="115"/>
      <c r="R13" s="115"/>
      <c r="S13" s="11"/>
      <c r="T13" s="247"/>
      <c r="U13" s="247"/>
      <c r="V13" s="247"/>
      <c r="W13" s="17"/>
      <c r="X13" s="11"/>
      <c r="Y13" s="11"/>
      <c r="Z13" s="247"/>
      <c r="AA13" s="247"/>
      <c r="AB13" s="247"/>
      <c r="AC13" s="5"/>
      <c r="AD13" s="22"/>
      <c r="AE13" s="17"/>
      <c r="AF13" s="247"/>
      <c r="AG13" s="247"/>
      <c r="AH13" s="149"/>
      <c r="AI13" s="4"/>
      <c r="AJ13" s="17"/>
      <c r="AK13" s="17"/>
      <c r="AL13" s="102"/>
      <c r="AM13" s="132"/>
      <c r="AN13" s="161"/>
      <c r="AO13" s="115"/>
      <c r="AP13" s="115"/>
      <c r="AQ13" s="17"/>
      <c r="AR13" s="247">
        <v>65000</v>
      </c>
      <c r="AS13" s="247">
        <f>+AR13*0.19</f>
        <v>12350</v>
      </c>
      <c r="AT13" s="247">
        <f>+AR13+AS13</f>
        <v>77350</v>
      </c>
      <c r="AU13" s="17"/>
      <c r="AV13" s="17"/>
      <c r="AW13" s="17"/>
      <c r="AX13" s="247"/>
      <c r="AY13" s="247"/>
      <c r="AZ13" s="247"/>
      <c r="BA13" s="17"/>
      <c r="BB13" s="52"/>
      <c r="BC13" s="17"/>
      <c r="BD13" s="247"/>
      <c r="BE13" s="247"/>
      <c r="BF13" s="247"/>
      <c r="BG13" s="17"/>
      <c r="BH13" s="17"/>
      <c r="BI13" s="17"/>
      <c r="BJ13" s="247">
        <v>85400</v>
      </c>
      <c r="BK13" s="247">
        <f t="shared" si="0"/>
        <v>16226</v>
      </c>
      <c r="BL13" s="247">
        <f t="shared" si="1"/>
        <v>101626</v>
      </c>
      <c r="BM13" s="190" t="s">
        <v>1501</v>
      </c>
      <c r="BN13" s="190" t="s">
        <v>1502</v>
      </c>
      <c r="BO13" s="17"/>
      <c r="BP13" s="247">
        <v>265000</v>
      </c>
      <c r="BQ13" s="247">
        <f>+BP13*19%</f>
        <v>50350</v>
      </c>
      <c r="BR13" s="247">
        <f t="shared" si="9"/>
        <v>315350</v>
      </c>
      <c r="BS13" s="17"/>
      <c r="BT13" s="17"/>
      <c r="BU13" s="17"/>
      <c r="BV13" s="195">
        <v>94224.894400000005</v>
      </c>
      <c r="BW13" s="195">
        <f>+BV13*0.19</f>
        <v>17902.729936</v>
      </c>
      <c r="BX13" s="246">
        <f>+BV13+BW13</f>
        <v>112127.62433600001</v>
      </c>
      <c r="BY13" s="190" t="s">
        <v>1501</v>
      </c>
      <c r="BZ13" s="190" t="s">
        <v>1502</v>
      </c>
      <c r="CA13" s="190"/>
      <c r="CB13" s="247"/>
      <c r="CC13" s="247"/>
      <c r="CD13" s="247"/>
      <c r="CE13" s="17"/>
      <c r="CF13" s="17"/>
      <c r="CG13" s="17"/>
      <c r="CH13" s="247"/>
      <c r="CI13" s="247"/>
      <c r="CJ13" s="247"/>
      <c r="CK13" s="17"/>
      <c r="CL13" s="17"/>
      <c r="CM13" s="17"/>
      <c r="CN13" s="17"/>
      <c r="CO13" s="17"/>
      <c r="CP13" s="11"/>
      <c r="CQ13" s="11"/>
      <c r="CR13" s="11"/>
      <c r="CS13" s="11"/>
      <c r="CT13" s="247"/>
      <c r="CU13" s="247"/>
      <c r="CV13" s="247"/>
      <c r="CW13" s="11"/>
      <c r="CX13" s="11"/>
      <c r="CY13" s="11"/>
      <c r="CZ13" s="11"/>
      <c r="DA13" s="11"/>
      <c r="DB13" s="11"/>
      <c r="DC13" s="11"/>
      <c r="DD13" s="11"/>
      <c r="DE13" s="11"/>
      <c r="DF13" s="11"/>
      <c r="DG13" s="11"/>
      <c r="DH13" s="11"/>
      <c r="DI13" s="11"/>
      <c r="DJ13" s="11"/>
      <c r="DK13" s="11"/>
      <c r="DL13" s="247"/>
      <c r="DM13" s="247"/>
      <c r="DN13" s="247"/>
      <c r="DO13" s="247"/>
      <c r="DP13" s="247"/>
      <c r="DQ13" s="247"/>
      <c r="DR13" s="247"/>
      <c r="DS13" s="247"/>
      <c r="DT13" s="247"/>
      <c r="DU13" s="247"/>
      <c r="DV13" s="247"/>
      <c r="DW13" s="247"/>
      <c r="DX13" s="247"/>
      <c r="DY13" s="247"/>
      <c r="DZ13" s="247"/>
      <c r="EA13" s="247"/>
      <c r="EB13" s="247"/>
      <c r="EC13" s="247"/>
      <c r="ED13" s="17">
        <f t="shared" si="4"/>
        <v>746229.4376693333</v>
      </c>
      <c r="EE13" s="29">
        <f t="shared" si="5"/>
        <v>6</v>
      </c>
      <c r="EF13" s="17">
        <f t="shared" si="6"/>
        <v>124371.57294488889</v>
      </c>
    </row>
    <row r="14" spans="1:136" ht="79.5" customHeight="1" x14ac:dyDescent="0.25">
      <c r="A14" s="25">
        <f>Distribución_Elementos!A14</f>
        <v>12</v>
      </c>
      <c r="B14" s="22" t="str">
        <f>Distribución_Elementos!B14</f>
        <v xml:space="preserve">Algodón dental </v>
      </c>
      <c r="C14" s="22" t="str">
        <f>Distribución_Elementos!C14</f>
        <v>Cualquier marca</v>
      </c>
      <c r="D14" s="22" t="str">
        <f>Distribución_Elementos!D14</f>
        <v xml:space="preserve">Bolsa de 1000 tacos, 50  paquetes /de 20 Unidades  o 20 paquetes/de 50 Unidades </v>
      </c>
      <c r="E14" s="224">
        <v>1</v>
      </c>
      <c r="F14" s="221">
        <v>0</v>
      </c>
      <c r="G14" s="221">
        <v>0</v>
      </c>
      <c r="H14" s="221">
        <v>165950</v>
      </c>
      <c r="I14" s="221">
        <v>0</v>
      </c>
      <c r="J14" s="221">
        <v>87016.666666666672</v>
      </c>
      <c r="K14" s="221">
        <v>59381</v>
      </c>
      <c r="L14" s="247">
        <f>AVERAGE(H14,J14)</f>
        <v>126483.33333333334</v>
      </c>
      <c r="M14" s="247">
        <f>K14*E1</f>
        <v>61162.43</v>
      </c>
      <c r="N14" s="227">
        <v>30000</v>
      </c>
      <c r="O14" s="119">
        <f>+N14*0</f>
        <v>0</v>
      </c>
      <c r="P14" s="119">
        <f t="shared" si="8"/>
        <v>30000</v>
      </c>
      <c r="Q14" s="115"/>
      <c r="R14" s="115"/>
      <c r="S14" s="11"/>
      <c r="T14" s="247"/>
      <c r="U14" s="247"/>
      <c r="V14" s="247"/>
      <c r="W14" s="17"/>
      <c r="X14" s="11"/>
      <c r="Y14" s="11"/>
      <c r="Z14" s="247"/>
      <c r="AA14" s="247"/>
      <c r="AB14" s="247"/>
      <c r="AC14" s="5"/>
      <c r="AD14" s="22"/>
      <c r="AE14" s="17"/>
      <c r="AF14" s="247"/>
      <c r="AG14" s="247"/>
      <c r="AH14" s="109"/>
      <c r="AI14" s="4"/>
      <c r="AJ14" s="17"/>
      <c r="AK14" s="17"/>
      <c r="AL14" s="102"/>
      <c r="AM14" s="132"/>
      <c r="AN14" s="161"/>
      <c r="AO14" s="115"/>
      <c r="AP14" s="115"/>
      <c r="AQ14" s="17"/>
      <c r="AR14" s="247"/>
      <c r="AS14" s="247"/>
      <c r="AT14" s="247"/>
      <c r="AU14" s="17"/>
      <c r="AV14" s="17"/>
      <c r="AW14" s="17"/>
      <c r="AX14" s="247"/>
      <c r="AY14" s="247"/>
      <c r="AZ14" s="247"/>
      <c r="BA14" s="17"/>
      <c r="BB14" s="52"/>
      <c r="BC14" s="17"/>
      <c r="BD14" s="247"/>
      <c r="BE14" s="247"/>
      <c r="BF14" s="247"/>
      <c r="BG14" s="17"/>
      <c r="BH14" s="17"/>
      <c r="BI14" s="17"/>
      <c r="BJ14" s="247">
        <v>49600</v>
      </c>
      <c r="BK14" s="247">
        <f t="shared" si="0"/>
        <v>9424</v>
      </c>
      <c r="BL14" s="247">
        <f t="shared" si="1"/>
        <v>59024</v>
      </c>
      <c r="BM14" s="190" t="s">
        <v>1503</v>
      </c>
      <c r="BN14" s="190" t="s">
        <v>1504</v>
      </c>
      <c r="BO14" s="17"/>
      <c r="BP14" s="247"/>
      <c r="BQ14" s="247"/>
      <c r="BR14" s="247"/>
      <c r="BS14" s="17"/>
      <c r="BT14" s="17"/>
      <c r="BU14" s="17"/>
      <c r="BV14" s="195">
        <v>58511.880000000012</v>
      </c>
      <c r="BW14" s="195">
        <f>+BV14*0.19</f>
        <v>11117.257200000002</v>
      </c>
      <c r="BX14" s="246">
        <f>+BV14+BW14</f>
        <v>69629.137200000012</v>
      </c>
      <c r="BY14" s="190" t="s">
        <v>1503</v>
      </c>
      <c r="BZ14" s="190" t="s">
        <v>1504</v>
      </c>
      <c r="CA14" s="190"/>
      <c r="CB14" s="247"/>
      <c r="CC14" s="247"/>
      <c r="CD14" s="247"/>
      <c r="CE14" s="17"/>
      <c r="CF14" s="17"/>
      <c r="CG14" s="17"/>
      <c r="CH14" s="247"/>
      <c r="CI14" s="247"/>
      <c r="CJ14" s="247"/>
      <c r="CK14" s="17"/>
      <c r="CL14" s="17"/>
      <c r="CM14" s="17"/>
      <c r="CN14" s="17"/>
      <c r="CO14" s="17"/>
      <c r="CP14" s="11"/>
      <c r="CQ14" s="11"/>
      <c r="CR14" s="11"/>
      <c r="CS14" s="11"/>
      <c r="CT14" s="247"/>
      <c r="CU14" s="247"/>
      <c r="CV14" s="247"/>
      <c r="CW14" s="11"/>
      <c r="CX14" s="11"/>
      <c r="CY14" s="11"/>
      <c r="CZ14" s="11"/>
      <c r="DA14" s="11"/>
      <c r="DB14" s="11"/>
      <c r="DC14" s="11"/>
      <c r="DD14" s="11"/>
      <c r="DE14" s="11"/>
      <c r="DF14" s="11"/>
      <c r="DG14" s="11"/>
      <c r="DH14" s="11"/>
      <c r="DI14" s="11"/>
      <c r="DJ14" s="11"/>
      <c r="DK14" s="11"/>
      <c r="DL14" s="247"/>
      <c r="DM14" s="247"/>
      <c r="DN14" s="247"/>
      <c r="DO14" s="247"/>
      <c r="DP14" s="247"/>
      <c r="DQ14" s="247"/>
      <c r="DR14" s="247"/>
      <c r="DS14" s="247"/>
      <c r="DT14" s="247"/>
      <c r="DU14" s="247"/>
      <c r="DV14" s="247"/>
      <c r="DW14" s="247"/>
      <c r="DX14" s="247"/>
      <c r="DY14" s="247"/>
      <c r="DZ14" s="247"/>
      <c r="EA14" s="247"/>
      <c r="EB14" s="247"/>
      <c r="EC14" s="247"/>
      <c r="ED14" s="17">
        <f t="shared" si="4"/>
        <v>219815.56719999999</v>
      </c>
      <c r="EE14" s="29">
        <f t="shared" si="5"/>
        <v>4</v>
      </c>
      <c r="EF14" s="17">
        <f t="shared" si="6"/>
        <v>54953.891799999998</v>
      </c>
    </row>
    <row r="15" spans="1:136" ht="25.5" x14ac:dyDescent="0.25">
      <c r="A15" s="25">
        <f>Distribución_Elementos!A15</f>
        <v>13</v>
      </c>
      <c r="B15" s="22" t="str">
        <f>Distribución_Elementos!B15</f>
        <v>Algodón quirúrgico 100% Natural (Con fecha de vencimiento superior a un año)</v>
      </c>
      <c r="C15" s="22" t="str">
        <f>Distribución_Elementos!C15</f>
        <v>Cualquier marca</v>
      </c>
      <c r="D15" s="22" t="str">
        <f>Distribución_Elementos!D15</f>
        <v>Rollo x 454 gramos</v>
      </c>
      <c r="E15" s="224">
        <v>1</v>
      </c>
      <c r="F15" s="221">
        <v>0</v>
      </c>
      <c r="G15" s="221">
        <v>0</v>
      </c>
      <c r="H15" s="221">
        <v>0</v>
      </c>
      <c r="I15" s="221">
        <v>0</v>
      </c>
      <c r="J15" s="221">
        <v>20883.431111111113</v>
      </c>
      <c r="K15" s="221">
        <v>0</v>
      </c>
      <c r="L15" s="247">
        <f>J15</f>
        <v>20883.431111111113</v>
      </c>
      <c r="M15" s="247"/>
      <c r="N15" s="227">
        <v>14500</v>
      </c>
      <c r="O15" s="119">
        <f>+N15*0</f>
        <v>0</v>
      </c>
      <c r="P15" s="119">
        <f t="shared" si="8"/>
        <v>14500</v>
      </c>
      <c r="Q15" s="115"/>
      <c r="R15" s="115"/>
      <c r="S15" s="11"/>
      <c r="T15" s="247"/>
      <c r="U15" s="247"/>
      <c r="V15" s="247"/>
      <c r="W15" s="17"/>
      <c r="X15" s="11"/>
      <c r="Y15" s="11"/>
      <c r="Z15" s="247"/>
      <c r="AA15" s="247"/>
      <c r="AB15" s="247"/>
      <c r="AC15" s="5"/>
      <c r="AD15" s="22"/>
      <c r="AE15" s="17"/>
      <c r="AF15" s="247"/>
      <c r="AG15" s="247"/>
      <c r="AH15" s="149"/>
      <c r="AI15" s="4"/>
      <c r="AJ15" s="17"/>
      <c r="AK15" s="17"/>
      <c r="AL15" s="102"/>
      <c r="AM15" s="132"/>
      <c r="AN15" s="161"/>
      <c r="AO15" s="115"/>
      <c r="AP15" s="115"/>
      <c r="AQ15" s="17"/>
      <c r="AR15" s="247"/>
      <c r="AS15" s="247"/>
      <c r="AT15" s="247"/>
      <c r="AU15" s="17"/>
      <c r="AV15" s="17"/>
      <c r="AW15" s="17"/>
      <c r="AX15" s="247"/>
      <c r="AY15" s="247"/>
      <c r="AZ15" s="247"/>
      <c r="BA15" s="17"/>
      <c r="BB15" s="52"/>
      <c r="BC15" s="17"/>
      <c r="BD15" s="247"/>
      <c r="BE15" s="247"/>
      <c r="BF15" s="247"/>
      <c r="BG15" s="17"/>
      <c r="BH15" s="17"/>
      <c r="BI15" s="17"/>
      <c r="BJ15" s="247">
        <v>22400</v>
      </c>
      <c r="BK15" s="247">
        <f t="shared" si="0"/>
        <v>4256</v>
      </c>
      <c r="BL15" s="247">
        <f t="shared" si="1"/>
        <v>26656</v>
      </c>
      <c r="BM15" s="190" t="s">
        <v>1505</v>
      </c>
      <c r="BN15" s="190" t="s">
        <v>1506</v>
      </c>
      <c r="BO15" s="17"/>
      <c r="BP15" s="247">
        <v>12500</v>
      </c>
      <c r="BQ15" s="247">
        <v>0</v>
      </c>
      <c r="BR15" s="247">
        <f t="shared" si="9"/>
        <v>12500</v>
      </c>
      <c r="BS15" s="17"/>
      <c r="BT15" s="17"/>
      <c r="BU15" s="17"/>
      <c r="BV15" s="195">
        <v>24945.446400000001</v>
      </c>
      <c r="BW15" s="195">
        <f>+BV15*0.19</f>
        <v>4739.6348159999998</v>
      </c>
      <c r="BX15" s="246">
        <f>+BV15+BW15</f>
        <v>29685.081215999999</v>
      </c>
      <c r="BY15" s="190" t="s">
        <v>1505</v>
      </c>
      <c r="BZ15" s="190" t="s">
        <v>1506</v>
      </c>
      <c r="CA15" s="190"/>
      <c r="CB15" s="247"/>
      <c r="CC15" s="247"/>
      <c r="CD15" s="247"/>
      <c r="CE15" s="17"/>
      <c r="CF15" s="17"/>
      <c r="CG15" s="17"/>
      <c r="CH15" s="247"/>
      <c r="CI15" s="247"/>
      <c r="CJ15" s="247"/>
      <c r="CK15" s="17"/>
      <c r="CL15" s="17"/>
      <c r="CM15" s="17"/>
      <c r="CN15" s="17"/>
      <c r="CO15" s="17"/>
      <c r="CP15" s="11"/>
      <c r="CQ15" s="11"/>
      <c r="CR15" s="11"/>
      <c r="CS15" s="11"/>
      <c r="CT15" s="247"/>
      <c r="CU15" s="247"/>
      <c r="CV15" s="247"/>
      <c r="CW15" s="11"/>
      <c r="CX15" s="11"/>
      <c r="CY15" s="11"/>
      <c r="CZ15" s="11"/>
      <c r="DA15" s="11"/>
      <c r="DB15" s="11"/>
      <c r="DC15" s="11"/>
      <c r="DD15" s="11"/>
      <c r="DE15" s="11"/>
      <c r="DF15" s="11"/>
      <c r="DG15" s="11"/>
      <c r="DH15" s="11"/>
      <c r="DI15" s="11"/>
      <c r="DJ15" s="11"/>
      <c r="DK15" s="11"/>
      <c r="DL15" s="247"/>
      <c r="DM15" s="247"/>
      <c r="DN15" s="247"/>
      <c r="DO15" s="247"/>
      <c r="DP15" s="247"/>
      <c r="DQ15" s="247"/>
      <c r="DR15" s="247"/>
      <c r="DS15" s="247"/>
      <c r="DT15" s="247"/>
      <c r="DU15" s="247"/>
      <c r="DV15" s="247"/>
      <c r="DW15" s="247"/>
      <c r="DX15" s="247"/>
      <c r="DY15" s="247"/>
      <c r="DZ15" s="247"/>
      <c r="EA15" s="247"/>
      <c r="EB15" s="247"/>
      <c r="EC15" s="247"/>
      <c r="ED15" s="17">
        <f t="shared" si="4"/>
        <v>83341.081215999991</v>
      </c>
      <c r="EE15" s="29">
        <f t="shared" si="5"/>
        <v>4</v>
      </c>
      <c r="EF15" s="17">
        <f t="shared" si="6"/>
        <v>20835.270303999998</v>
      </c>
    </row>
    <row r="16" spans="1:136" ht="25.5" x14ac:dyDescent="0.25">
      <c r="A16" s="25">
        <f>Distribución_Elementos!A16</f>
        <v>14</v>
      </c>
      <c r="B16" s="22" t="str">
        <f>Distribución_Elementos!B16</f>
        <v>Anillo de hierro para soporte universal Diametro de 75 milímetros</v>
      </c>
      <c r="C16" s="22" t="str">
        <f>Distribución_Elementos!C16</f>
        <v>Cualquier marca</v>
      </c>
      <c r="D16" s="22" t="str">
        <f>Distribución_Elementos!D16</f>
        <v>Unidad</v>
      </c>
      <c r="E16" s="224">
        <v>1</v>
      </c>
      <c r="F16" s="221">
        <v>0</v>
      </c>
      <c r="G16" s="221">
        <v>0</v>
      </c>
      <c r="H16" s="221">
        <v>21420</v>
      </c>
      <c r="I16" s="221">
        <v>0</v>
      </c>
      <c r="J16" s="221">
        <v>36354.5</v>
      </c>
      <c r="K16" s="221">
        <v>0</v>
      </c>
      <c r="L16" s="247">
        <f>AVERAGE(H16,J16)</f>
        <v>28887.25</v>
      </c>
      <c r="M16" s="247"/>
      <c r="N16" s="227">
        <v>25000</v>
      </c>
      <c r="O16" s="119">
        <f t="shared" si="7"/>
        <v>4750</v>
      </c>
      <c r="P16" s="119">
        <f t="shared" si="8"/>
        <v>29750</v>
      </c>
      <c r="Q16" s="115"/>
      <c r="R16" s="115"/>
      <c r="S16" s="11"/>
      <c r="T16" s="247"/>
      <c r="U16" s="247"/>
      <c r="V16" s="247"/>
      <c r="W16" s="17"/>
      <c r="X16" s="11"/>
      <c r="Y16" s="11"/>
      <c r="Z16" s="247"/>
      <c r="AA16" s="247"/>
      <c r="AB16" s="247"/>
      <c r="AC16" s="43"/>
      <c r="AD16" s="23"/>
      <c r="AE16" s="17"/>
      <c r="AF16" s="247"/>
      <c r="AG16" s="247"/>
      <c r="AH16" s="150"/>
      <c r="AI16" s="24"/>
      <c r="AJ16" s="17"/>
      <c r="AK16" s="17"/>
      <c r="AL16" s="102"/>
      <c r="AM16" s="132"/>
      <c r="AN16" s="161"/>
      <c r="AO16" s="115"/>
      <c r="AP16" s="115"/>
      <c r="AQ16" s="17"/>
      <c r="AR16" s="247"/>
      <c r="AS16" s="247"/>
      <c r="AT16" s="247"/>
      <c r="AU16" s="17"/>
      <c r="AV16" s="17"/>
      <c r="AW16" s="17"/>
      <c r="AX16" s="247"/>
      <c r="AY16" s="247"/>
      <c r="AZ16" s="247"/>
      <c r="BA16" s="17"/>
      <c r="BB16" s="52"/>
      <c r="BC16" s="17"/>
      <c r="BD16" s="247"/>
      <c r="BE16" s="247"/>
      <c r="BF16" s="247"/>
      <c r="BG16" s="17"/>
      <c r="BH16" s="17"/>
      <c r="BI16" s="17"/>
      <c r="BJ16" s="247"/>
      <c r="BK16" s="247"/>
      <c r="BL16" s="247"/>
      <c r="BM16" s="190"/>
      <c r="BN16" s="190"/>
      <c r="BO16" s="17"/>
      <c r="BP16" s="247">
        <v>18500</v>
      </c>
      <c r="BQ16" s="247">
        <f>+BP16*19%</f>
        <v>3515</v>
      </c>
      <c r="BR16" s="247">
        <f t="shared" si="9"/>
        <v>22015</v>
      </c>
      <c r="BS16" s="17"/>
      <c r="BT16" s="17"/>
      <c r="BU16" s="17"/>
      <c r="BV16" s="189"/>
      <c r="BW16" s="197"/>
      <c r="BX16" s="246"/>
      <c r="BY16" s="190"/>
      <c r="BZ16" s="190"/>
      <c r="CA16" s="190"/>
      <c r="CB16" s="247"/>
      <c r="CC16" s="247"/>
      <c r="CD16" s="247"/>
      <c r="CE16" s="17"/>
      <c r="CF16" s="17"/>
      <c r="CG16" s="17"/>
      <c r="CH16" s="247"/>
      <c r="CI16" s="247"/>
      <c r="CJ16" s="247"/>
      <c r="CK16" s="17"/>
      <c r="CL16" s="17"/>
      <c r="CM16" s="17"/>
      <c r="CN16" s="17"/>
      <c r="CO16" s="17"/>
      <c r="CP16" s="11"/>
      <c r="CQ16" s="11"/>
      <c r="CR16" s="11"/>
      <c r="CS16" s="11"/>
      <c r="CT16" s="247"/>
      <c r="CU16" s="247"/>
      <c r="CV16" s="247"/>
      <c r="CW16" s="11"/>
      <c r="CX16" s="11"/>
      <c r="CY16" s="11"/>
      <c r="CZ16" s="11"/>
      <c r="DA16" s="11"/>
      <c r="DB16" s="11"/>
      <c r="DC16" s="11"/>
      <c r="DD16" s="11"/>
      <c r="DE16" s="11"/>
      <c r="DF16" s="11"/>
      <c r="DG16" s="11"/>
      <c r="DH16" s="11"/>
      <c r="DI16" s="11"/>
      <c r="DJ16" s="11"/>
      <c r="DK16" s="11"/>
      <c r="DL16" s="247"/>
      <c r="DM16" s="247"/>
      <c r="DN16" s="247"/>
      <c r="DO16" s="247"/>
      <c r="DP16" s="247"/>
      <c r="DQ16" s="247"/>
      <c r="DR16" s="247"/>
      <c r="DS16" s="247"/>
      <c r="DT16" s="247"/>
      <c r="DU16" s="247"/>
      <c r="DV16" s="247"/>
      <c r="DW16" s="247"/>
      <c r="DX16" s="247"/>
      <c r="DY16" s="247"/>
      <c r="DZ16" s="247"/>
      <c r="EA16" s="247"/>
      <c r="EB16" s="247"/>
      <c r="EC16" s="247"/>
      <c r="ED16" s="17">
        <f t="shared" si="4"/>
        <v>51765</v>
      </c>
      <c r="EE16" s="29">
        <f t="shared" si="5"/>
        <v>2</v>
      </c>
      <c r="EF16" s="17">
        <f t="shared" si="6"/>
        <v>25882.5</v>
      </c>
    </row>
    <row r="17" spans="1:136" x14ac:dyDescent="0.25">
      <c r="A17" s="25">
        <f>Distribución_Elementos!A17</f>
        <v>15</v>
      </c>
      <c r="B17" s="22" t="str">
        <f>Distribución_Elementos!B17</f>
        <v>Anillo de vertido azul tapa GL 32</v>
      </c>
      <c r="C17" s="22" t="str">
        <f>Distribución_Elementos!C17</f>
        <v>Cualquier marca</v>
      </c>
      <c r="D17" s="22" t="str">
        <f>Distribución_Elementos!D17</f>
        <v>Paquete x 10</v>
      </c>
      <c r="E17" s="224">
        <v>1</v>
      </c>
      <c r="F17" s="221">
        <v>47600</v>
      </c>
      <c r="G17" s="221">
        <v>47600</v>
      </c>
      <c r="H17" s="221">
        <v>23312.89333333333</v>
      </c>
      <c r="I17" s="221">
        <v>0</v>
      </c>
      <c r="J17" s="221">
        <v>103082.56</v>
      </c>
      <c r="K17" s="221">
        <v>102340</v>
      </c>
      <c r="L17" s="247">
        <f>AVERAGE(F17,H17,J17)</f>
        <v>57998.484444444439</v>
      </c>
      <c r="M17" s="247">
        <f>AVERAGE(G17,K17)*E1</f>
        <v>77219.100000000006</v>
      </c>
      <c r="N17" s="227"/>
      <c r="O17" s="119">
        <f t="shared" si="7"/>
        <v>0</v>
      </c>
      <c r="P17" s="119">
        <f t="shared" si="8"/>
        <v>0</v>
      </c>
      <c r="Q17" s="115"/>
      <c r="R17" s="115"/>
      <c r="S17" s="11"/>
      <c r="T17" s="247"/>
      <c r="U17" s="247"/>
      <c r="V17" s="247"/>
      <c r="W17" s="17"/>
      <c r="X17" s="11"/>
      <c r="Y17" s="11"/>
      <c r="Z17" s="247"/>
      <c r="AA17" s="247"/>
      <c r="AB17" s="247"/>
      <c r="AC17" s="43"/>
      <c r="AD17" s="22"/>
      <c r="AE17" s="17"/>
      <c r="AF17" s="102">
        <v>27000</v>
      </c>
      <c r="AG17" s="102">
        <f>+AF17*0.19</f>
        <v>5130</v>
      </c>
      <c r="AH17" s="150">
        <f>+AF17+AG17</f>
        <v>32130</v>
      </c>
      <c r="AI17" s="4" t="s">
        <v>1507</v>
      </c>
      <c r="AJ17" s="44" t="s">
        <v>1508</v>
      </c>
      <c r="AK17" s="17"/>
      <c r="AL17" s="102"/>
      <c r="AM17" s="132"/>
      <c r="AN17" s="161"/>
      <c r="AO17" s="115"/>
      <c r="AP17" s="115"/>
      <c r="AQ17" s="17"/>
      <c r="AR17" s="247"/>
      <c r="AS17" s="247"/>
      <c r="AT17" s="247"/>
      <c r="AU17" s="17"/>
      <c r="AV17" s="17"/>
      <c r="AW17" s="17"/>
      <c r="AX17" s="247"/>
      <c r="AY17" s="247"/>
      <c r="AZ17" s="247"/>
      <c r="BA17" s="17"/>
      <c r="BB17" s="52"/>
      <c r="BC17" s="17"/>
      <c r="BD17" s="247"/>
      <c r="BE17" s="247"/>
      <c r="BF17" s="247"/>
      <c r="BG17" s="17"/>
      <c r="BH17" s="17"/>
      <c r="BI17" s="17"/>
      <c r="BJ17" s="247">
        <v>102000</v>
      </c>
      <c r="BK17" s="247">
        <f t="shared" si="0"/>
        <v>19380</v>
      </c>
      <c r="BL17" s="247">
        <f t="shared" si="1"/>
        <v>121380</v>
      </c>
      <c r="BM17" s="190" t="s">
        <v>1509</v>
      </c>
      <c r="BN17" s="190" t="s">
        <v>1510</v>
      </c>
      <c r="BO17" s="17"/>
      <c r="BP17" s="247"/>
      <c r="BQ17" s="247"/>
      <c r="BR17" s="247"/>
      <c r="BS17" s="17"/>
      <c r="BT17" s="17"/>
      <c r="BU17" s="17"/>
      <c r="BV17" s="195">
        <v>121472.82</v>
      </c>
      <c r="BW17" s="195">
        <f t="shared" ref="BW17:BW24" si="10">+BV17*0.19</f>
        <v>23079.835800000001</v>
      </c>
      <c r="BX17" s="246">
        <f t="shared" ref="BX17:BX24" si="11">+BV17+BW17</f>
        <v>144552.65580000001</v>
      </c>
      <c r="BY17" s="190" t="s">
        <v>1509</v>
      </c>
      <c r="BZ17" s="190" t="s">
        <v>1510</v>
      </c>
      <c r="CA17" s="190"/>
      <c r="CB17" s="247"/>
      <c r="CC17" s="247"/>
      <c r="CD17" s="247"/>
      <c r="CE17" s="17"/>
      <c r="CF17" s="17"/>
      <c r="CG17" s="17"/>
      <c r="CH17" s="247"/>
      <c r="CI17" s="247"/>
      <c r="CJ17" s="247"/>
      <c r="CK17" s="17"/>
      <c r="CL17" s="17"/>
      <c r="CM17" s="17"/>
      <c r="CN17" s="17"/>
      <c r="CO17" s="17"/>
      <c r="CP17" s="11"/>
      <c r="CQ17" s="11"/>
      <c r="CR17" s="11"/>
      <c r="CS17" s="11"/>
      <c r="CT17" s="247"/>
      <c r="CU17" s="247"/>
      <c r="CV17" s="247"/>
      <c r="CW17" s="11"/>
      <c r="CX17" s="11"/>
      <c r="CY17" s="11"/>
      <c r="CZ17" s="11"/>
      <c r="DA17" s="11"/>
      <c r="DB17" s="11"/>
      <c r="DC17" s="11"/>
      <c r="DD17" s="11"/>
      <c r="DE17" s="11"/>
      <c r="DF17" s="11"/>
      <c r="DG17" s="11"/>
      <c r="DH17" s="11"/>
      <c r="DI17" s="11"/>
      <c r="DJ17" s="11"/>
      <c r="DK17" s="11"/>
      <c r="DL17" s="247"/>
      <c r="DM17" s="247"/>
      <c r="DN17" s="247"/>
      <c r="DO17" s="247"/>
      <c r="DP17" s="247"/>
      <c r="DQ17" s="247"/>
      <c r="DR17" s="247"/>
      <c r="DS17" s="247"/>
      <c r="DT17" s="247"/>
      <c r="DU17" s="247"/>
      <c r="DV17" s="247"/>
      <c r="DW17" s="247"/>
      <c r="DX17" s="247"/>
      <c r="DY17" s="247"/>
      <c r="DZ17" s="247"/>
      <c r="EA17" s="247"/>
      <c r="EB17" s="247"/>
      <c r="EC17" s="247"/>
      <c r="ED17" s="17">
        <f t="shared" si="4"/>
        <v>375281.75580000004</v>
      </c>
      <c r="EE17" s="29">
        <f t="shared" si="5"/>
        <v>4</v>
      </c>
      <c r="EF17" s="17">
        <f t="shared" si="6"/>
        <v>93820.438950000011</v>
      </c>
    </row>
    <row r="18" spans="1:136" x14ac:dyDescent="0.25">
      <c r="A18" s="25">
        <f>Distribución_Elementos!A18</f>
        <v>16</v>
      </c>
      <c r="B18" s="22" t="str">
        <f>Distribución_Elementos!B18</f>
        <v>Anillo de vertido azul tapa GL 45</v>
      </c>
      <c r="C18" s="22" t="str">
        <f>Distribución_Elementos!C18</f>
        <v>Cualquier marca</v>
      </c>
      <c r="D18" s="22" t="str">
        <f>Distribución_Elementos!D18</f>
        <v>Paquete x 10</v>
      </c>
      <c r="E18" s="224">
        <v>1</v>
      </c>
      <c r="F18" s="221">
        <v>49980</v>
      </c>
      <c r="G18" s="221">
        <v>47481</v>
      </c>
      <c r="H18" s="221">
        <v>20012.399574999999</v>
      </c>
      <c r="I18" s="221">
        <v>0</v>
      </c>
      <c r="J18" s="221">
        <v>80492.261111111133</v>
      </c>
      <c r="K18" s="221">
        <v>79730</v>
      </c>
      <c r="L18" s="247">
        <f>AVERAGE(F18,H18,J18)</f>
        <v>50161.553562037043</v>
      </c>
      <c r="M18" s="247">
        <f>AVERAGE(G18,K18)*E1</f>
        <v>65513.665000000001</v>
      </c>
      <c r="N18" s="227">
        <v>25000</v>
      </c>
      <c r="O18" s="119">
        <f t="shared" si="7"/>
        <v>4750</v>
      </c>
      <c r="P18" s="119">
        <f t="shared" si="8"/>
        <v>29750</v>
      </c>
      <c r="Q18" s="115"/>
      <c r="R18" s="115"/>
      <c r="S18" s="11"/>
      <c r="T18" s="247"/>
      <c r="U18" s="247"/>
      <c r="V18" s="247"/>
      <c r="W18" s="17"/>
      <c r="X18" s="11"/>
      <c r="Y18" s="11"/>
      <c r="Z18" s="247"/>
      <c r="AA18" s="247"/>
      <c r="AB18" s="247"/>
      <c r="AC18" s="43"/>
      <c r="AD18" s="22"/>
      <c r="AE18" s="17"/>
      <c r="AF18" s="102">
        <v>20810</v>
      </c>
      <c r="AG18" s="102">
        <f>+AF18*0.19</f>
        <v>3953.9</v>
      </c>
      <c r="AH18" s="150">
        <f>+AF18+AG18</f>
        <v>24763.9</v>
      </c>
      <c r="AI18" s="4" t="s">
        <v>1507</v>
      </c>
      <c r="AJ18" s="44" t="s">
        <v>1508</v>
      </c>
      <c r="AK18" s="17"/>
      <c r="AL18" s="102"/>
      <c r="AM18" s="132"/>
      <c r="AN18" s="161"/>
      <c r="AO18" s="115"/>
      <c r="AP18" s="115"/>
      <c r="AQ18" s="17"/>
      <c r="AR18" s="247"/>
      <c r="AS18" s="247"/>
      <c r="AT18" s="247"/>
      <c r="AU18" s="17"/>
      <c r="AV18" s="17"/>
      <c r="AW18" s="17"/>
      <c r="AX18" s="247"/>
      <c r="AY18" s="247"/>
      <c r="AZ18" s="247"/>
      <c r="BA18" s="17"/>
      <c r="BB18" s="52"/>
      <c r="BC18" s="17"/>
      <c r="BD18" s="247"/>
      <c r="BE18" s="247"/>
      <c r="BF18" s="247"/>
      <c r="BG18" s="17"/>
      <c r="BH18" s="17"/>
      <c r="BI18" s="17"/>
      <c r="BJ18" s="247">
        <v>111000</v>
      </c>
      <c r="BK18" s="247">
        <f t="shared" si="0"/>
        <v>21090</v>
      </c>
      <c r="BL18" s="247">
        <f t="shared" si="1"/>
        <v>132090</v>
      </c>
      <c r="BM18" s="190" t="s">
        <v>1509</v>
      </c>
      <c r="BN18" s="190" t="s">
        <v>1510</v>
      </c>
      <c r="BO18" s="17"/>
      <c r="BP18" s="247"/>
      <c r="BQ18" s="247"/>
      <c r="BR18" s="247"/>
      <c r="BS18" s="17"/>
      <c r="BT18" s="17"/>
      <c r="BU18" s="17"/>
      <c r="BV18" s="195">
        <v>130932.04800000001</v>
      </c>
      <c r="BW18" s="195">
        <f t="shared" si="10"/>
        <v>24877.089120000001</v>
      </c>
      <c r="BX18" s="246">
        <f t="shared" si="11"/>
        <v>155809.13712</v>
      </c>
      <c r="BY18" s="190" t="s">
        <v>1509</v>
      </c>
      <c r="BZ18" s="190" t="s">
        <v>1510</v>
      </c>
      <c r="CA18" s="190"/>
      <c r="CB18" s="247"/>
      <c r="CC18" s="247"/>
      <c r="CD18" s="247"/>
      <c r="CE18" s="17"/>
      <c r="CF18" s="17"/>
      <c r="CG18" s="17"/>
      <c r="CH18" s="247"/>
      <c r="CI18" s="247"/>
      <c r="CJ18" s="247"/>
      <c r="CK18" s="17"/>
      <c r="CL18" s="17"/>
      <c r="CM18" s="17"/>
      <c r="CN18" s="17"/>
      <c r="CO18" s="17"/>
      <c r="CP18" s="11"/>
      <c r="CQ18" s="11"/>
      <c r="CR18" s="11"/>
      <c r="CS18" s="11"/>
      <c r="CT18" s="247"/>
      <c r="CU18" s="247"/>
      <c r="CV18" s="247"/>
      <c r="CW18" s="11"/>
      <c r="CX18" s="11"/>
      <c r="CY18" s="11"/>
      <c r="CZ18" s="11"/>
      <c r="DA18" s="11"/>
      <c r="DB18" s="11"/>
      <c r="DC18" s="11"/>
      <c r="DD18" s="11"/>
      <c r="DE18" s="11"/>
      <c r="DF18" s="11"/>
      <c r="DG18" s="11"/>
      <c r="DH18" s="11"/>
      <c r="DI18" s="11"/>
      <c r="DJ18" s="11"/>
      <c r="DK18" s="11"/>
      <c r="DL18" s="247"/>
      <c r="DM18" s="247"/>
      <c r="DN18" s="247"/>
      <c r="DO18" s="247"/>
      <c r="DP18" s="247"/>
      <c r="DQ18" s="247"/>
      <c r="DR18" s="247"/>
      <c r="DS18" s="247"/>
      <c r="DT18" s="247"/>
      <c r="DU18" s="247"/>
      <c r="DV18" s="247"/>
      <c r="DW18" s="247"/>
      <c r="DX18" s="247"/>
      <c r="DY18" s="247"/>
      <c r="DZ18" s="247"/>
      <c r="EA18" s="247"/>
      <c r="EB18" s="247"/>
      <c r="EC18" s="247"/>
      <c r="ED18" s="17">
        <f t="shared" si="4"/>
        <v>407926.70212000003</v>
      </c>
      <c r="EE18" s="29">
        <f t="shared" si="5"/>
        <v>5</v>
      </c>
      <c r="EF18" s="17">
        <f t="shared" si="6"/>
        <v>81585.340424000009</v>
      </c>
    </row>
    <row r="19" spans="1:136" ht="24" x14ac:dyDescent="0.25">
      <c r="A19" s="25">
        <f>Distribución_Elementos!A19</f>
        <v>17</v>
      </c>
      <c r="B19" s="22" t="str">
        <f>Distribución_Elementos!B19</f>
        <v>Anillo plástico para inclusión de parafina</v>
      </c>
      <c r="C19" s="22" t="str">
        <f>Distribución_Elementos!C19</f>
        <v>Cualquier marca</v>
      </c>
      <c r="D19" s="22" t="str">
        <f>Distribución_Elementos!D19</f>
        <v>Unidad</v>
      </c>
      <c r="E19" s="224">
        <v>1</v>
      </c>
      <c r="F19" s="221">
        <v>0</v>
      </c>
      <c r="G19" s="221">
        <v>0</v>
      </c>
      <c r="H19" s="221">
        <v>0</v>
      </c>
      <c r="I19" s="221">
        <v>0</v>
      </c>
      <c r="J19" s="221">
        <v>0</v>
      </c>
      <c r="K19" s="221">
        <v>0</v>
      </c>
      <c r="L19" s="247"/>
      <c r="M19" s="247"/>
      <c r="N19" s="227">
        <v>250</v>
      </c>
      <c r="O19" s="119">
        <f t="shared" si="7"/>
        <v>47.5</v>
      </c>
      <c r="P19" s="119">
        <f t="shared" si="8"/>
        <v>297.5</v>
      </c>
      <c r="Q19" s="115"/>
      <c r="R19" s="115"/>
      <c r="S19" s="11"/>
      <c r="T19" s="247"/>
      <c r="U19" s="247"/>
      <c r="V19" s="247"/>
      <c r="W19" s="17"/>
      <c r="X19" s="11"/>
      <c r="Y19" s="11"/>
      <c r="Z19" s="247"/>
      <c r="AA19" s="247"/>
      <c r="AB19" s="247"/>
      <c r="AC19" s="43"/>
      <c r="AD19" s="22"/>
      <c r="AE19" s="17"/>
      <c r="AF19" s="247"/>
      <c r="AG19" s="247"/>
      <c r="AH19" s="150"/>
      <c r="AI19" s="4"/>
      <c r="AJ19" s="17"/>
      <c r="AK19" s="17"/>
      <c r="AL19" s="102"/>
      <c r="AM19" s="132"/>
      <c r="AN19" s="161"/>
      <c r="AO19" s="115"/>
      <c r="AP19" s="115"/>
      <c r="AQ19" s="17"/>
      <c r="AR19" s="247"/>
      <c r="AS19" s="247"/>
      <c r="AT19" s="247"/>
      <c r="AU19" s="17"/>
      <c r="AV19" s="17"/>
      <c r="AW19" s="17"/>
      <c r="AX19" s="247"/>
      <c r="AY19" s="247"/>
      <c r="AZ19" s="247"/>
      <c r="BA19" s="17"/>
      <c r="BB19" s="52"/>
      <c r="BC19" s="17"/>
      <c r="BD19" s="247"/>
      <c r="BE19" s="247"/>
      <c r="BF19" s="247"/>
      <c r="BG19" s="17"/>
      <c r="BH19" s="17"/>
      <c r="BI19" s="17"/>
      <c r="BJ19" s="193">
        <f>930000/1000</f>
        <v>930</v>
      </c>
      <c r="BK19" s="247">
        <f t="shared" si="0"/>
        <v>176.7</v>
      </c>
      <c r="BL19" s="247">
        <f t="shared" si="1"/>
        <v>1106.7</v>
      </c>
      <c r="BM19" s="190" t="s">
        <v>1503</v>
      </c>
      <c r="BN19" s="190" t="s">
        <v>1511</v>
      </c>
      <c r="BO19" s="17"/>
      <c r="BP19" s="247"/>
      <c r="BQ19" s="247"/>
      <c r="BR19" s="247"/>
      <c r="BS19" s="17"/>
      <c r="BT19" s="17"/>
      <c r="BU19" s="17"/>
      <c r="BV19" s="195"/>
      <c r="BW19" s="195"/>
      <c r="BX19" s="246"/>
      <c r="BY19" s="190"/>
      <c r="BZ19" s="190"/>
      <c r="CA19" s="190"/>
      <c r="CB19" s="247"/>
      <c r="CC19" s="247"/>
      <c r="CD19" s="247"/>
      <c r="CE19" s="17"/>
      <c r="CF19" s="17"/>
      <c r="CG19" s="17"/>
      <c r="CH19" s="247"/>
      <c r="CI19" s="247"/>
      <c r="CJ19" s="247"/>
      <c r="CK19" s="17"/>
      <c r="CL19" s="17"/>
      <c r="CM19" s="17"/>
      <c r="CN19" s="17"/>
      <c r="CO19" s="17"/>
      <c r="CP19" s="11"/>
      <c r="CQ19" s="11"/>
      <c r="CR19" s="11"/>
      <c r="CS19" s="11"/>
      <c r="CT19" s="247">
        <v>54</v>
      </c>
      <c r="CU19" s="247">
        <f>+CT19*0.19</f>
        <v>10.26</v>
      </c>
      <c r="CV19" s="247">
        <f>+CU19+CT19</f>
        <v>64.260000000000005</v>
      </c>
      <c r="CW19" s="11"/>
      <c r="CX19" s="11"/>
      <c r="CY19" s="11"/>
      <c r="CZ19" s="11"/>
      <c r="DA19" s="11"/>
      <c r="DB19" s="11"/>
      <c r="DC19" s="11"/>
      <c r="DD19" s="11"/>
      <c r="DE19" s="11"/>
      <c r="DF19" s="11"/>
      <c r="DG19" s="11"/>
      <c r="DH19" s="11"/>
      <c r="DI19" s="11"/>
      <c r="DJ19" s="11"/>
      <c r="DK19" s="11"/>
      <c r="DL19" s="247"/>
      <c r="DM19" s="247"/>
      <c r="DN19" s="247"/>
      <c r="DO19" s="247"/>
      <c r="DP19" s="247"/>
      <c r="DQ19" s="247"/>
      <c r="DR19" s="247"/>
      <c r="DS19" s="247"/>
      <c r="DT19" s="247"/>
      <c r="DU19" s="247"/>
      <c r="DV19" s="247"/>
      <c r="DW19" s="247"/>
      <c r="DX19" s="247"/>
      <c r="DY19" s="247"/>
      <c r="DZ19" s="247"/>
      <c r="EA19" s="247"/>
      <c r="EB19" s="247"/>
      <c r="EC19" s="247"/>
      <c r="ED19" s="17">
        <f t="shared" si="4"/>
        <v>1468.46</v>
      </c>
      <c r="EE19" s="29">
        <f t="shared" si="5"/>
        <v>3</v>
      </c>
      <c r="EF19" s="17">
        <f t="shared" si="6"/>
        <v>489.48666666666668</v>
      </c>
    </row>
    <row r="20" spans="1:136" x14ac:dyDescent="0.25">
      <c r="A20" s="25">
        <f>Distribución_Elementos!A20</f>
        <v>18</v>
      </c>
      <c r="B20" s="22" t="str">
        <f>Distribución_Elementos!B20</f>
        <v>Aplicadores en empaque individual  independiente estériles</v>
      </c>
      <c r="C20" s="22" t="str">
        <f>Distribución_Elementos!C20</f>
        <v>Cualquier marca</v>
      </c>
      <c r="D20" s="22" t="str">
        <f>Distribución_Elementos!D20</f>
        <v>Caja x 100</v>
      </c>
      <c r="E20" s="224">
        <v>1</v>
      </c>
      <c r="F20" s="221">
        <v>0</v>
      </c>
      <c r="G20" s="221">
        <v>0</v>
      </c>
      <c r="H20" s="221">
        <v>0</v>
      </c>
      <c r="I20" s="221">
        <v>0</v>
      </c>
      <c r="J20" s="221">
        <v>257373.2</v>
      </c>
      <c r="K20" s="221">
        <v>0</v>
      </c>
      <c r="L20" s="247">
        <f>J20</f>
        <v>257373.2</v>
      </c>
      <c r="M20" s="247"/>
      <c r="N20" s="227">
        <v>80000</v>
      </c>
      <c r="O20" s="119">
        <f t="shared" si="7"/>
        <v>15200</v>
      </c>
      <c r="P20" s="119">
        <f t="shared" si="8"/>
        <v>95200</v>
      </c>
      <c r="Q20" s="115"/>
      <c r="R20" s="115"/>
      <c r="S20" s="11"/>
      <c r="T20" s="247"/>
      <c r="U20" s="247"/>
      <c r="V20" s="247"/>
      <c r="W20" s="17"/>
      <c r="X20" s="11"/>
      <c r="Y20" s="11"/>
      <c r="Z20" s="247"/>
      <c r="AA20" s="247"/>
      <c r="AB20" s="247"/>
      <c r="AC20" s="43"/>
      <c r="AD20" s="22"/>
      <c r="AE20" s="17"/>
      <c r="AF20" s="247"/>
      <c r="AG20" s="247"/>
      <c r="AH20" s="150"/>
      <c r="AI20" s="22"/>
      <c r="AJ20" s="17"/>
      <c r="AK20" s="17"/>
      <c r="AL20" s="102"/>
      <c r="AM20" s="132"/>
      <c r="AN20" s="161"/>
      <c r="AO20" s="115"/>
      <c r="AP20" s="115"/>
      <c r="AQ20" s="17"/>
      <c r="AR20" s="247"/>
      <c r="AS20" s="247"/>
      <c r="AT20" s="247"/>
      <c r="AU20" s="17"/>
      <c r="AV20" s="17"/>
      <c r="AW20" s="17"/>
      <c r="AX20" s="247"/>
      <c r="AY20" s="247"/>
      <c r="AZ20" s="247"/>
      <c r="BA20" s="17"/>
      <c r="BB20" s="52"/>
      <c r="BC20" s="17"/>
      <c r="BD20" s="247"/>
      <c r="BE20" s="247"/>
      <c r="BF20" s="247"/>
      <c r="BG20" s="17"/>
      <c r="BH20" s="17"/>
      <c r="BI20" s="17"/>
      <c r="BJ20" s="247">
        <v>660000</v>
      </c>
      <c r="BK20" s="247">
        <f t="shared" si="0"/>
        <v>125400</v>
      </c>
      <c r="BL20" s="247">
        <f t="shared" si="1"/>
        <v>785400</v>
      </c>
      <c r="BM20" s="191" t="s">
        <v>1061</v>
      </c>
      <c r="BN20" s="190" t="s">
        <v>1512</v>
      </c>
      <c r="BO20" s="17"/>
      <c r="BP20" s="247">
        <v>6500</v>
      </c>
      <c r="BQ20" s="247">
        <f t="shared" ref="BQ20:BQ82" si="12">+BP20*19%</f>
        <v>1235</v>
      </c>
      <c r="BR20" s="247">
        <f t="shared" si="9"/>
        <v>7735</v>
      </c>
      <c r="BS20" s="17"/>
      <c r="BT20" s="17"/>
      <c r="BU20" s="17"/>
      <c r="BV20" s="195"/>
      <c r="BW20" s="195"/>
      <c r="BX20" s="246"/>
      <c r="BY20" s="191"/>
      <c r="BZ20" s="190"/>
      <c r="CA20" s="190"/>
      <c r="CB20" s="247"/>
      <c r="CC20" s="247"/>
      <c r="CD20" s="247"/>
      <c r="CE20" s="17"/>
      <c r="CF20" s="17"/>
      <c r="CG20" s="17"/>
      <c r="CH20" s="247"/>
      <c r="CI20" s="247"/>
      <c r="CJ20" s="247"/>
      <c r="CK20" s="17"/>
      <c r="CL20" s="17"/>
      <c r="CM20" s="17"/>
      <c r="CN20" s="17"/>
      <c r="CO20" s="17"/>
      <c r="CP20" s="11"/>
      <c r="CQ20" s="11"/>
      <c r="CR20" s="11"/>
      <c r="CS20" s="11"/>
      <c r="CT20" s="247"/>
      <c r="CU20" s="247"/>
      <c r="CV20" s="247"/>
      <c r="CW20" s="11"/>
      <c r="CX20" s="11"/>
      <c r="CY20" s="11"/>
      <c r="CZ20" s="11"/>
      <c r="DA20" s="11"/>
      <c r="DB20" s="11"/>
      <c r="DC20" s="11"/>
      <c r="DD20" s="11"/>
      <c r="DE20" s="11"/>
      <c r="DF20" s="11"/>
      <c r="DG20" s="11"/>
      <c r="DH20" s="11"/>
      <c r="DI20" s="11"/>
      <c r="DJ20" s="11"/>
      <c r="DK20" s="11"/>
      <c r="DL20" s="247"/>
      <c r="DM20" s="247"/>
      <c r="DN20" s="247"/>
      <c r="DO20" s="247"/>
      <c r="DP20" s="247"/>
      <c r="DQ20" s="247"/>
      <c r="DR20" s="247"/>
      <c r="DS20" s="247"/>
      <c r="DT20" s="247"/>
      <c r="DU20" s="247"/>
      <c r="DV20" s="247"/>
      <c r="DW20" s="247"/>
      <c r="DX20" s="247"/>
      <c r="DY20" s="247"/>
      <c r="DZ20" s="247"/>
      <c r="EA20" s="247"/>
      <c r="EB20" s="247"/>
      <c r="EC20" s="247"/>
      <c r="ED20" s="17">
        <f t="shared" si="4"/>
        <v>888335</v>
      </c>
      <c r="EE20" s="29">
        <f t="shared" si="5"/>
        <v>3</v>
      </c>
      <c r="EF20" s="17">
        <f t="shared" si="6"/>
        <v>296111.66666666669</v>
      </c>
    </row>
    <row r="21" spans="1:136" x14ac:dyDescent="0.25">
      <c r="A21" s="25">
        <f>Distribución_Elementos!A21</f>
        <v>19</v>
      </c>
      <c r="B21" s="22" t="str">
        <f>Distribución_Elementos!B21</f>
        <v>Aplicadores sin punta de algodón</v>
      </c>
      <c r="C21" s="22" t="str">
        <f>Distribución_Elementos!C21</f>
        <v>Cualquier marca</v>
      </c>
      <c r="D21" s="22" t="str">
        <f>Distribución_Elementos!D21</f>
        <v>Bolsa x 100</v>
      </c>
      <c r="E21" s="224">
        <v>1</v>
      </c>
      <c r="F21" s="221">
        <v>58417.1</v>
      </c>
      <c r="G21" s="221">
        <v>55454</v>
      </c>
      <c r="H21" s="221">
        <v>0</v>
      </c>
      <c r="I21" s="221">
        <v>0</v>
      </c>
      <c r="J21" s="221">
        <v>45853.675000000003</v>
      </c>
      <c r="K21" s="221">
        <v>31178</v>
      </c>
      <c r="L21" s="247">
        <f>AVERAGE(F21,J21)</f>
        <v>52135.387499999997</v>
      </c>
      <c r="M21" s="247">
        <f>AVERAGE(G21,K21)*E1</f>
        <v>44615.48</v>
      </c>
      <c r="N21" s="227">
        <v>3000</v>
      </c>
      <c r="O21" s="119">
        <f t="shared" si="7"/>
        <v>570</v>
      </c>
      <c r="P21" s="119">
        <f t="shared" si="8"/>
        <v>3570</v>
      </c>
      <c r="Q21" s="115"/>
      <c r="R21" s="115"/>
      <c r="S21" s="11"/>
      <c r="T21" s="247"/>
      <c r="U21" s="247"/>
      <c r="V21" s="247"/>
      <c r="W21" s="17"/>
      <c r="X21" s="11"/>
      <c r="Y21" s="11"/>
      <c r="Z21" s="247"/>
      <c r="AA21" s="247"/>
      <c r="AB21" s="247"/>
      <c r="AC21" s="43"/>
      <c r="AD21" s="22"/>
      <c r="AE21" s="17"/>
      <c r="AF21" s="247"/>
      <c r="AG21" s="247"/>
      <c r="AH21" s="150"/>
      <c r="AI21" s="4"/>
      <c r="AJ21" s="17"/>
      <c r="AK21" s="17"/>
      <c r="AL21" s="102"/>
      <c r="AM21" s="132"/>
      <c r="AN21" s="161"/>
      <c r="AO21" s="115"/>
      <c r="AP21" s="115"/>
      <c r="AQ21" s="17"/>
      <c r="AR21" s="247"/>
      <c r="AS21" s="247"/>
      <c r="AT21" s="247"/>
      <c r="AU21" s="17"/>
      <c r="AV21" s="17"/>
      <c r="AW21" s="17"/>
      <c r="AX21" s="247"/>
      <c r="AY21" s="247"/>
      <c r="AZ21" s="247"/>
      <c r="BA21" s="17"/>
      <c r="BB21" s="52"/>
      <c r="BC21" s="17"/>
      <c r="BD21" s="247"/>
      <c r="BE21" s="247"/>
      <c r="BF21" s="247"/>
      <c r="BG21" s="17"/>
      <c r="BH21" s="17"/>
      <c r="BI21" s="17"/>
      <c r="BJ21" s="247">
        <f>35600/10</f>
        <v>3560</v>
      </c>
      <c r="BK21" s="247">
        <f t="shared" si="0"/>
        <v>676.4</v>
      </c>
      <c r="BL21" s="247">
        <f t="shared" si="1"/>
        <v>4236.3999999999996</v>
      </c>
      <c r="BM21" s="190" t="s">
        <v>1503</v>
      </c>
      <c r="BN21" s="190" t="s">
        <v>1513</v>
      </c>
      <c r="BO21" s="17"/>
      <c r="BP21" s="247">
        <v>28500</v>
      </c>
      <c r="BQ21" s="247">
        <f t="shared" si="12"/>
        <v>5415</v>
      </c>
      <c r="BR21" s="247">
        <f t="shared" si="9"/>
        <v>33915</v>
      </c>
      <c r="BS21" s="17"/>
      <c r="BT21" s="17"/>
      <c r="BU21" s="17"/>
      <c r="BV21" s="195">
        <v>39260.534400000004</v>
      </c>
      <c r="BW21" s="195">
        <f t="shared" si="10"/>
        <v>7459.5015360000007</v>
      </c>
      <c r="BX21" s="246">
        <f t="shared" si="11"/>
        <v>46720.035936000007</v>
      </c>
      <c r="BY21" s="190" t="s">
        <v>1503</v>
      </c>
      <c r="BZ21" s="190" t="s">
        <v>1513</v>
      </c>
      <c r="CA21" s="190"/>
      <c r="CB21" s="247"/>
      <c r="CC21" s="247"/>
      <c r="CD21" s="247"/>
      <c r="CE21" s="17"/>
      <c r="CF21" s="17"/>
      <c r="CG21" s="17"/>
      <c r="CH21" s="247"/>
      <c r="CI21" s="247"/>
      <c r="CJ21" s="247"/>
      <c r="CK21" s="17"/>
      <c r="CL21" s="17"/>
      <c r="CM21" s="17"/>
      <c r="CN21" s="17"/>
      <c r="CO21" s="17"/>
      <c r="CP21" s="11"/>
      <c r="CQ21" s="11"/>
      <c r="CR21" s="11"/>
      <c r="CS21" s="11"/>
      <c r="CT21" s="247"/>
      <c r="CU21" s="247"/>
      <c r="CV21" s="247"/>
      <c r="CW21" s="11"/>
      <c r="CX21" s="11"/>
      <c r="CY21" s="11"/>
      <c r="CZ21" s="11"/>
      <c r="DA21" s="11"/>
      <c r="DB21" s="11"/>
      <c r="DC21" s="11"/>
      <c r="DD21" s="11"/>
      <c r="DE21" s="11"/>
      <c r="DF21" s="11"/>
      <c r="DG21" s="11"/>
      <c r="DH21" s="11"/>
      <c r="DI21" s="11"/>
      <c r="DJ21" s="11"/>
      <c r="DK21" s="11"/>
      <c r="DL21" s="247"/>
      <c r="DM21" s="247"/>
      <c r="DN21" s="247"/>
      <c r="DO21" s="247"/>
      <c r="DP21" s="247"/>
      <c r="DQ21" s="247"/>
      <c r="DR21" s="247"/>
      <c r="DS21" s="247"/>
      <c r="DT21" s="247"/>
      <c r="DU21" s="247"/>
      <c r="DV21" s="247"/>
      <c r="DW21" s="247"/>
      <c r="DX21" s="247"/>
      <c r="DY21" s="247"/>
      <c r="DZ21" s="247"/>
      <c r="EA21" s="247"/>
      <c r="EB21" s="247"/>
      <c r="EC21" s="247"/>
      <c r="ED21" s="17">
        <f t="shared" si="4"/>
        <v>133056.915936</v>
      </c>
      <c r="EE21" s="29">
        <f t="shared" si="5"/>
        <v>5</v>
      </c>
      <c r="EF21" s="17">
        <f t="shared" si="6"/>
        <v>26611.383187200001</v>
      </c>
    </row>
    <row r="22" spans="1:136" x14ac:dyDescent="0.25">
      <c r="A22" s="25">
        <f>Distribución_Elementos!A22</f>
        <v>20</v>
      </c>
      <c r="B22" s="22" t="str">
        <f>Distribución_Elementos!B22</f>
        <v>Asa bacteriológica curva en ferroniquel</v>
      </c>
      <c r="C22" s="22" t="str">
        <f>Distribución_Elementos!C22</f>
        <v>Cualquier marca</v>
      </c>
      <c r="D22" s="22" t="str">
        <f>Distribución_Elementos!D22</f>
        <v>Unidad</v>
      </c>
      <c r="E22" s="224">
        <v>1</v>
      </c>
      <c r="F22" s="221">
        <v>2856</v>
      </c>
      <c r="G22" s="221">
        <v>2856</v>
      </c>
      <c r="H22" s="221">
        <v>3862.2402000000002</v>
      </c>
      <c r="I22" s="221">
        <v>0</v>
      </c>
      <c r="J22" s="221">
        <v>5229.3888888888896</v>
      </c>
      <c r="K22" s="221">
        <v>4522</v>
      </c>
      <c r="L22" s="247">
        <f t="shared" ref="L22:L27" si="13">AVERAGE(F22,H22,J22)</f>
        <v>3982.5430296296304</v>
      </c>
      <c r="M22" s="247">
        <f>AVERAGE(G22,K22)*E1</f>
        <v>3799.67</v>
      </c>
      <c r="N22" s="227">
        <v>1700</v>
      </c>
      <c r="O22" s="119">
        <f t="shared" si="7"/>
        <v>323</v>
      </c>
      <c r="P22" s="119">
        <f t="shared" si="8"/>
        <v>2023</v>
      </c>
      <c r="Q22" s="115"/>
      <c r="R22" s="115"/>
      <c r="S22" s="11"/>
      <c r="T22" s="247">
        <v>1925.0000000000002</v>
      </c>
      <c r="U22" s="247">
        <f>+T22*0.19</f>
        <v>365.75000000000006</v>
      </c>
      <c r="V22" s="247">
        <f>+T22+U22</f>
        <v>2290.7500000000005</v>
      </c>
      <c r="W22" s="17" t="s">
        <v>1514</v>
      </c>
      <c r="X22" s="11" t="s">
        <v>153</v>
      </c>
      <c r="Y22" s="11"/>
      <c r="Z22" s="247"/>
      <c r="AA22" s="247"/>
      <c r="AB22" s="247"/>
      <c r="AC22" s="43"/>
      <c r="AD22" s="22"/>
      <c r="AE22" s="17"/>
      <c r="AF22" s="247"/>
      <c r="AG22" s="247"/>
      <c r="AH22" s="150"/>
      <c r="AI22" s="4"/>
      <c r="AJ22" s="17"/>
      <c r="AK22" s="17"/>
      <c r="AL22" s="102"/>
      <c r="AM22" s="132"/>
      <c r="AN22" s="161"/>
      <c r="AO22" s="115"/>
      <c r="AP22" s="115"/>
      <c r="AQ22" s="17"/>
      <c r="AR22" s="247"/>
      <c r="AS22" s="247"/>
      <c r="AT22" s="247"/>
      <c r="AU22" s="17"/>
      <c r="AV22" s="17"/>
      <c r="AW22" s="17"/>
      <c r="AX22" s="247"/>
      <c r="AY22" s="247"/>
      <c r="AZ22" s="247"/>
      <c r="BA22" s="17"/>
      <c r="BB22" s="52"/>
      <c r="BC22" s="17"/>
      <c r="BD22" s="247"/>
      <c r="BE22" s="247"/>
      <c r="BF22" s="247"/>
      <c r="BG22" s="17"/>
      <c r="BH22" s="17"/>
      <c r="BI22" s="17"/>
      <c r="BJ22" s="247">
        <v>3100</v>
      </c>
      <c r="BK22" s="247">
        <f t="shared" si="0"/>
        <v>589</v>
      </c>
      <c r="BL22" s="247">
        <f t="shared" si="1"/>
        <v>3689</v>
      </c>
      <c r="BM22" s="190" t="s">
        <v>1499</v>
      </c>
      <c r="BN22" s="190" t="s">
        <v>1515</v>
      </c>
      <c r="BO22" s="17"/>
      <c r="BP22" s="247">
        <v>2600</v>
      </c>
      <c r="BQ22" s="247">
        <f t="shared" si="12"/>
        <v>494</v>
      </c>
      <c r="BR22" s="247">
        <f t="shared" si="9"/>
        <v>3094</v>
      </c>
      <c r="BS22" s="17"/>
      <c r="BT22" s="17"/>
      <c r="BU22" s="17"/>
      <c r="BV22" s="195">
        <v>3520.2825000000003</v>
      </c>
      <c r="BW22" s="195">
        <f t="shared" si="10"/>
        <v>668.85367500000007</v>
      </c>
      <c r="BX22" s="246">
        <f t="shared" si="11"/>
        <v>4189.1361750000005</v>
      </c>
      <c r="BY22" s="190" t="s">
        <v>1499</v>
      </c>
      <c r="BZ22" s="190" t="s">
        <v>1515</v>
      </c>
      <c r="CA22" s="190"/>
      <c r="CB22" s="247"/>
      <c r="CC22" s="247"/>
      <c r="CD22" s="247"/>
      <c r="CE22" s="17"/>
      <c r="CF22" s="17"/>
      <c r="CG22" s="17"/>
      <c r="CH22" s="247"/>
      <c r="CI22" s="247"/>
      <c r="CJ22" s="247"/>
      <c r="CK22" s="17"/>
      <c r="CL22" s="17"/>
      <c r="CM22" s="17"/>
      <c r="CN22" s="17"/>
      <c r="CO22" s="17"/>
      <c r="CP22" s="11"/>
      <c r="CQ22" s="11"/>
      <c r="CR22" s="11"/>
      <c r="CS22" s="11"/>
      <c r="CT22" s="247"/>
      <c r="CU22" s="247"/>
      <c r="CV22" s="247"/>
      <c r="CW22" s="11"/>
      <c r="CX22" s="11"/>
      <c r="CY22" s="11"/>
      <c r="CZ22" s="11"/>
      <c r="DA22" s="11"/>
      <c r="DB22" s="11"/>
      <c r="DC22" s="11"/>
      <c r="DD22" s="11"/>
      <c r="DE22" s="11"/>
      <c r="DF22" s="11"/>
      <c r="DG22" s="11"/>
      <c r="DH22" s="11"/>
      <c r="DI22" s="11"/>
      <c r="DJ22" s="11"/>
      <c r="DK22" s="11"/>
      <c r="DL22" s="247"/>
      <c r="DM22" s="247"/>
      <c r="DN22" s="247"/>
      <c r="DO22" s="247"/>
      <c r="DP22" s="247"/>
      <c r="DQ22" s="247"/>
      <c r="DR22" s="247"/>
      <c r="DS22" s="247"/>
      <c r="DT22" s="247"/>
      <c r="DU22" s="247"/>
      <c r="DV22" s="247"/>
      <c r="DW22" s="247"/>
      <c r="DX22" s="247"/>
      <c r="DY22" s="247"/>
      <c r="DZ22" s="247"/>
      <c r="EA22" s="247"/>
      <c r="EB22" s="247"/>
      <c r="EC22" s="247"/>
      <c r="ED22" s="17">
        <f t="shared" si="4"/>
        <v>19085.556175000002</v>
      </c>
      <c r="EE22" s="29">
        <f t="shared" si="5"/>
        <v>6</v>
      </c>
      <c r="EF22" s="17">
        <f t="shared" si="6"/>
        <v>3180.9260291666669</v>
      </c>
    </row>
    <row r="23" spans="1:136" ht="25.5" x14ac:dyDescent="0.25">
      <c r="A23" s="25">
        <f>Distribución_Elementos!A23</f>
        <v>21</v>
      </c>
      <c r="B23" s="22" t="str">
        <f>Distribución_Elementos!B23</f>
        <v>Asa bacteriológica estéril desechable de 10 µl con asa de siembra en un extremo y aguja en el otro</v>
      </c>
      <c r="C23" s="22" t="str">
        <f>Distribución_Elementos!C23</f>
        <v>Cualquier marca</v>
      </c>
      <c r="D23" s="22" t="str">
        <f>Distribución_Elementos!D23</f>
        <v>Paquete x 20 ó Paquete x 50</v>
      </c>
      <c r="E23" s="224">
        <v>1</v>
      </c>
      <c r="F23" s="221">
        <v>18738.533333333333</v>
      </c>
      <c r="G23" s="221">
        <v>17969</v>
      </c>
      <c r="H23" s="221">
        <v>100114.583975</v>
      </c>
      <c r="I23" s="221">
        <v>100079</v>
      </c>
      <c r="J23" s="221">
        <v>12868.362499999999</v>
      </c>
      <c r="K23" s="221">
        <v>0</v>
      </c>
      <c r="L23" s="247">
        <f t="shared" si="13"/>
        <v>43907.159936111108</v>
      </c>
      <c r="M23" s="247">
        <f>AVERAGE(G23,I23)*E1</f>
        <v>60794.720000000001</v>
      </c>
      <c r="N23" s="227">
        <v>10000</v>
      </c>
      <c r="O23" s="119">
        <f>+N23*0.19</f>
        <v>1900</v>
      </c>
      <c r="P23" s="119">
        <f t="shared" si="8"/>
        <v>11900</v>
      </c>
      <c r="Q23" s="115"/>
      <c r="R23" s="115"/>
      <c r="S23" s="11"/>
      <c r="T23" s="247">
        <v>3850.0000000000005</v>
      </c>
      <c r="U23" s="247">
        <f>+T23*0.19</f>
        <v>731.50000000000011</v>
      </c>
      <c r="V23" s="247">
        <f>+T23+U23</f>
        <v>4581.5000000000009</v>
      </c>
      <c r="W23" s="17" t="s">
        <v>1516</v>
      </c>
      <c r="X23" s="11" t="s">
        <v>1517</v>
      </c>
      <c r="Y23" s="11"/>
      <c r="Z23" s="247"/>
      <c r="AA23" s="247"/>
      <c r="AB23" s="247"/>
      <c r="AC23" s="43"/>
      <c r="AD23" s="22"/>
      <c r="AE23" s="17"/>
      <c r="AF23" s="247"/>
      <c r="AG23" s="247"/>
      <c r="AH23" s="150"/>
      <c r="AI23" s="4"/>
      <c r="AJ23" s="17"/>
      <c r="AK23" s="17"/>
      <c r="AL23" s="102"/>
      <c r="AM23" s="132"/>
      <c r="AN23" s="161"/>
      <c r="AO23" s="115"/>
      <c r="AP23" s="115"/>
      <c r="AQ23" s="17"/>
      <c r="AR23" s="247"/>
      <c r="AS23" s="247"/>
      <c r="AT23" s="247"/>
      <c r="AU23" s="17"/>
      <c r="AV23" s="17"/>
      <c r="AW23" s="17"/>
      <c r="AX23" s="247"/>
      <c r="AY23" s="247"/>
      <c r="AZ23" s="247"/>
      <c r="BA23" s="17"/>
      <c r="BB23" s="52"/>
      <c r="BC23" s="17"/>
      <c r="BD23" s="247"/>
      <c r="BE23" s="247"/>
      <c r="BF23" s="247"/>
      <c r="BG23" s="17"/>
      <c r="BH23" s="17"/>
      <c r="BI23" s="17"/>
      <c r="BJ23" s="252">
        <f>492700/20</f>
        <v>24635</v>
      </c>
      <c r="BK23" s="247">
        <f t="shared" si="0"/>
        <v>4680.6499999999996</v>
      </c>
      <c r="BL23" s="247">
        <f t="shared" si="1"/>
        <v>29315.65</v>
      </c>
      <c r="BM23" s="190" t="s">
        <v>1503</v>
      </c>
      <c r="BN23" s="190" t="s">
        <v>316</v>
      </c>
      <c r="BO23" s="17"/>
      <c r="BP23" s="247">
        <v>25600</v>
      </c>
      <c r="BQ23" s="247">
        <f t="shared" si="12"/>
        <v>4864</v>
      </c>
      <c r="BR23" s="247">
        <f t="shared" si="9"/>
        <v>30464</v>
      </c>
      <c r="BS23" s="17"/>
      <c r="BT23" s="17"/>
      <c r="BU23" s="17"/>
      <c r="BV23" s="195">
        <f>564826.353/20</f>
        <v>28241.317650000001</v>
      </c>
      <c r="BW23" s="195">
        <f t="shared" si="10"/>
        <v>5365.8503535</v>
      </c>
      <c r="BX23" s="246">
        <f t="shared" si="11"/>
        <v>33607.168003500003</v>
      </c>
      <c r="BY23" s="190" t="s">
        <v>1503</v>
      </c>
      <c r="BZ23" s="190" t="s">
        <v>316</v>
      </c>
      <c r="CA23" s="190"/>
      <c r="CB23" s="247"/>
      <c r="CC23" s="247"/>
      <c r="CD23" s="247"/>
      <c r="CE23" s="17"/>
      <c r="CF23" s="17"/>
      <c r="CG23" s="17"/>
      <c r="CH23" s="247"/>
      <c r="CI23" s="247"/>
      <c r="CJ23" s="247"/>
      <c r="CK23" s="17"/>
      <c r="CL23" s="17"/>
      <c r="CM23" s="17"/>
      <c r="CN23" s="17"/>
      <c r="CO23" s="17"/>
      <c r="CP23" s="11"/>
      <c r="CQ23" s="11"/>
      <c r="CR23" s="11"/>
      <c r="CS23" s="11"/>
      <c r="CT23" s="247"/>
      <c r="CU23" s="247"/>
      <c r="CV23" s="247"/>
      <c r="CW23" s="11"/>
      <c r="CX23" s="11"/>
      <c r="CY23" s="11"/>
      <c r="CZ23" s="11"/>
      <c r="DA23" s="11"/>
      <c r="DB23" s="11"/>
      <c r="DC23" s="11"/>
      <c r="DD23" s="11"/>
      <c r="DE23" s="11"/>
      <c r="DF23" s="11"/>
      <c r="DG23" s="11"/>
      <c r="DH23" s="11"/>
      <c r="DI23" s="11"/>
      <c r="DJ23" s="11"/>
      <c r="DK23" s="11"/>
      <c r="DL23" s="247"/>
      <c r="DM23" s="247"/>
      <c r="DN23" s="247"/>
      <c r="DO23" s="247"/>
      <c r="DP23" s="247"/>
      <c r="DQ23" s="247"/>
      <c r="DR23" s="247"/>
      <c r="DS23" s="247"/>
      <c r="DT23" s="247"/>
      <c r="DU23" s="247"/>
      <c r="DV23" s="247"/>
      <c r="DW23" s="247"/>
      <c r="DX23" s="247"/>
      <c r="DY23" s="247"/>
      <c r="DZ23" s="247"/>
      <c r="EA23" s="247"/>
      <c r="EB23" s="247"/>
      <c r="EC23" s="247"/>
      <c r="ED23" s="17">
        <f t="shared" si="4"/>
        <v>170663.0380035</v>
      </c>
      <c r="EE23" s="29">
        <f t="shared" si="5"/>
        <v>6</v>
      </c>
      <c r="EF23" s="17">
        <f t="shared" si="6"/>
        <v>28443.839667249998</v>
      </c>
    </row>
    <row r="24" spans="1:136" x14ac:dyDescent="0.25">
      <c r="A24" s="25">
        <f>Distribución_Elementos!A24</f>
        <v>22</v>
      </c>
      <c r="B24" s="22" t="str">
        <f>Distribución_Elementos!B24</f>
        <v>Asa bacteriológica recta en niquel-cromo</v>
      </c>
      <c r="C24" s="22" t="str">
        <f>Distribución_Elementos!C24</f>
        <v>Cualquier marca</v>
      </c>
      <c r="D24" s="22" t="str">
        <f>Distribución_Elementos!D24</f>
        <v>Unidad</v>
      </c>
      <c r="E24" s="224">
        <v>1</v>
      </c>
      <c r="F24" s="221">
        <v>2856</v>
      </c>
      <c r="G24" s="221">
        <v>2856</v>
      </c>
      <c r="H24" s="221">
        <v>3488.1794023945049</v>
      </c>
      <c r="I24" s="221">
        <v>0</v>
      </c>
      <c r="J24" s="221">
        <v>6707.6333333333341</v>
      </c>
      <c r="K24" s="221">
        <v>0</v>
      </c>
      <c r="L24" s="247">
        <f t="shared" si="13"/>
        <v>4350.6042452426127</v>
      </c>
      <c r="M24" s="247">
        <f>G24*E1</f>
        <v>2941.6800000000003</v>
      </c>
      <c r="N24" s="227">
        <v>5000</v>
      </c>
      <c r="O24" s="119">
        <f t="shared" si="7"/>
        <v>950</v>
      </c>
      <c r="P24" s="119">
        <f t="shared" si="8"/>
        <v>5950</v>
      </c>
      <c r="Q24" s="115"/>
      <c r="R24" s="115"/>
      <c r="S24" s="11"/>
      <c r="T24" s="247">
        <v>2145</v>
      </c>
      <c r="U24" s="247">
        <f>+T24*0.19</f>
        <v>407.55</v>
      </c>
      <c r="V24" s="247">
        <f>+T24+U24</f>
        <v>2552.5500000000002</v>
      </c>
      <c r="W24" s="17" t="s">
        <v>1514</v>
      </c>
      <c r="X24" s="11" t="s">
        <v>153</v>
      </c>
      <c r="Y24" s="11"/>
      <c r="Z24" s="247"/>
      <c r="AA24" s="247"/>
      <c r="AB24" s="247"/>
      <c r="AC24" s="43"/>
      <c r="AD24" s="22"/>
      <c r="AE24" s="17"/>
      <c r="AF24" s="247"/>
      <c r="AG24" s="247"/>
      <c r="AH24" s="150"/>
      <c r="AI24" s="4"/>
      <c r="AJ24" s="17"/>
      <c r="AK24" s="17"/>
      <c r="AL24" s="102"/>
      <c r="AM24" s="132"/>
      <c r="AN24" s="161"/>
      <c r="AO24" s="115"/>
      <c r="AP24" s="115"/>
      <c r="AQ24" s="17"/>
      <c r="AR24" s="247"/>
      <c r="AS24" s="247"/>
      <c r="AT24" s="247"/>
      <c r="AU24" s="17"/>
      <c r="AV24" s="17"/>
      <c r="AW24" s="17"/>
      <c r="AX24" s="247"/>
      <c r="AY24" s="247"/>
      <c r="AZ24" s="247"/>
      <c r="BA24" s="17"/>
      <c r="BB24" s="52"/>
      <c r="BC24" s="17"/>
      <c r="BD24" s="247"/>
      <c r="BE24" s="247"/>
      <c r="BF24" s="247"/>
      <c r="BG24" s="17"/>
      <c r="BH24" s="17"/>
      <c r="BI24" s="17"/>
      <c r="BJ24" s="247">
        <v>2500</v>
      </c>
      <c r="BK24" s="247">
        <f t="shared" si="0"/>
        <v>475</v>
      </c>
      <c r="BL24" s="247">
        <f t="shared" si="1"/>
        <v>2975</v>
      </c>
      <c r="BM24" s="190" t="s">
        <v>1499</v>
      </c>
      <c r="BN24" s="190" t="s">
        <v>1518</v>
      </c>
      <c r="BO24" s="17"/>
      <c r="BP24" s="247">
        <v>165000</v>
      </c>
      <c r="BQ24" s="247">
        <f t="shared" si="12"/>
        <v>31350</v>
      </c>
      <c r="BR24" s="247">
        <f t="shared" si="9"/>
        <v>196350</v>
      </c>
      <c r="BS24" s="17"/>
      <c r="BT24" s="17"/>
      <c r="BU24" s="17"/>
      <c r="BV24" s="195">
        <v>2893.0125000000003</v>
      </c>
      <c r="BW24" s="195">
        <f t="shared" si="10"/>
        <v>549.6723750000001</v>
      </c>
      <c r="BX24" s="246">
        <f t="shared" si="11"/>
        <v>3442.6848750000004</v>
      </c>
      <c r="BY24" s="190" t="s">
        <v>1499</v>
      </c>
      <c r="BZ24" s="190" t="s">
        <v>1518</v>
      </c>
      <c r="CA24" s="190"/>
      <c r="CB24" s="247"/>
      <c r="CC24" s="247"/>
      <c r="CD24" s="247"/>
      <c r="CE24" s="17"/>
      <c r="CF24" s="17"/>
      <c r="CG24" s="17"/>
      <c r="CH24" s="247"/>
      <c r="CI24" s="247"/>
      <c r="CJ24" s="247"/>
      <c r="CK24" s="17"/>
      <c r="CL24" s="17"/>
      <c r="CM24" s="17"/>
      <c r="CN24" s="17"/>
      <c r="CO24" s="17"/>
      <c r="CP24" s="11"/>
      <c r="CQ24" s="11"/>
      <c r="CR24" s="11"/>
      <c r="CS24" s="11"/>
      <c r="CT24" s="247"/>
      <c r="CU24" s="247"/>
      <c r="CV24" s="247"/>
      <c r="CW24" s="11"/>
      <c r="CX24" s="11"/>
      <c r="CY24" s="11"/>
      <c r="CZ24" s="11"/>
      <c r="DA24" s="11"/>
      <c r="DB24" s="11"/>
      <c r="DC24" s="11"/>
      <c r="DD24" s="11"/>
      <c r="DE24" s="11"/>
      <c r="DF24" s="11"/>
      <c r="DG24" s="11"/>
      <c r="DH24" s="11"/>
      <c r="DI24" s="11"/>
      <c r="DJ24" s="11"/>
      <c r="DK24" s="11"/>
      <c r="DL24" s="247"/>
      <c r="DM24" s="247"/>
      <c r="DN24" s="247"/>
      <c r="DO24" s="247"/>
      <c r="DP24" s="247"/>
      <c r="DQ24" s="247"/>
      <c r="DR24" s="247"/>
      <c r="DS24" s="247"/>
      <c r="DT24" s="247"/>
      <c r="DU24" s="247"/>
      <c r="DV24" s="247"/>
      <c r="DW24" s="247"/>
      <c r="DX24" s="247"/>
      <c r="DY24" s="247"/>
      <c r="DZ24" s="247"/>
      <c r="EA24" s="247"/>
      <c r="EB24" s="247"/>
      <c r="EC24" s="247"/>
      <c r="ED24" s="17">
        <f t="shared" si="4"/>
        <v>214211.91487500002</v>
      </c>
      <c r="EE24" s="29">
        <f t="shared" si="5"/>
        <v>6</v>
      </c>
      <c r="EF24" s="17">
        <f t="shared" si="6"/>
        <v>35701.985812500003</v>
      </c>
    </row>
    <row r="25" spans="1:136" x14ac:dyDescent="0.25">
      <c r="A25" s="25">
        <f>Distribución_Elementos!A25</f>
        <v>23</v>
      </c>
      <c r="B25" s="22" t="str">
        <f>Distribución_Elementos!B25</f>
        <v>Asa bacteriológica redonda en acero inoxidable</v>
      </c>
      <c r="C25" s="22" t="str">
        <f>Distribución_Elementos!C25</f>
        <v>Cualquier marca</v>
      </c>
      <c r="D25" s="22" t="str">
        <f>Distribución_Elementos!D25</f>
        <v>Unidad</v>
      </c>
      <c r="E25" s="224">
        <v>1</v>
      </c>
      <c r="F25" s="221">
        <v>2184.2449999999999</v>
      </c>
      <c r="G25" s="221">
        <v>2142</v>
      </c>
      <c r="H25" s="221">
        <v>9954.8676500000001</v>
      </c>
      <c r="I25" s="221">
        <v>0</v>
      </c>
      <c r="J25" s="221">
        <v>7436.8388888888903</v>
      </c>
      <c r="K25" s="221">
        <v>0</v>
      </c>
      <c r="L25" s="247">
        <f t="shared" si="13"/>
        <v>6525.3171796296301</v>
      </c>
      <c r="M25" s="247">
        <f>G25*E1</f>
        <v>2206.2600000000002</v>
      </c>
      <c r="N25" s="227">
        <v>1700</v>
      </c>
      <c r="O25" s="119">
        <f t="shared" si="7"/>
        <v>323</v>
      </c>
      <c r="P25" s="119">
        <f t="shared" si="8"/>
        <v>2023</v>
      </c>
      <c r="Q25" s="115"/>
      <c r="R25" s="115"/>
      <c r="S25" s="11"/>
      <c r="T25" s="247"/>
      <c r="U25" s="247"/>
      <c r="V25" s="247"/>
      <c r="W25" s="17"/>
      <c r="X25" s="11"/>
      <c r="Y25" s="11"/>
      <c r="Z25" s="247"/>
      <c r="AA25" s="247"/>
      <c r="AB25" s="247"/>
      <c r="AC25" s="43"/>
      <c r="AD25" s="22"/>
      <c r="AE25" s="17"/>
      <c r="AF25" s="247"/>
      <c r="AG25" s="247"/>
      <c r="AH25" s="150"/>
      <c r="AI25" s="4"/>
      <c r="AJ25" s="17"/>
      <c r="AK25" s="17"/>
      <c r="AL25" s="102"/>
      <c r="AM25" s="132"/>
      <c r="AN25" s="161"/>
      <c r="AO25" s="115"/>
      <c r="AP25" s="115"/>
      <c r="AQ25" s="17"/>
      <c r="AR25" s="247"/>
      <c r="AS25" s="247"/>
      <c r="AT25" s="247"/>
      <c r="AU25" s="17"/>
      <c r="AV25" s="17"/>
      <c r="AW25" s="17"/>
      <c r="AX25" s="247"/>
      <c r="AY25" s="247"/>
      <c r="AZ25" s="247"/>
      <c r="BA25" s="17"/>
      <c r="BB25" s="52"/>
      <c r="BC25" s="17"/>
      <c r="BD25" s="247"/>
      <c r="BE25" s="247"/>
      <c r="BF25" s="247"/>
      <c r="BG25" s="17"/>
      <c r="BH25" s="17"/>
      <c r="BI25" s="17"/>
      <c r="BJ25" s="247"/>
      <c r="BK25" s="247"/>
      <c r="BL25" s="247"/>
      <c r="BM25" s="190"/>
      <c r="BN25" s="190"/>
      <c r="BO25" s="17"/>
      <c r="BP25" s="247">
        <v>2600</v>
      </c>
      <c r="BQ25" s="247">
        <f t="shared" si="12"/>
        <v>494</v>
      </c>
      <c r="BR25" s="247">
        <f t="shared" si="9"/>
        <v>3094</v>
      </c>
      <c r="BS25" s="17"/>
      <c r="BT25" s="17"/>
      <c r="BU25" s="17"/>
      <c r="BV25" s="189"/>
      <c r="BW25" s="197"/>
      <c r="BX25" s="246"/>
      <c r="BY25" s="190"/>
      <c r="BZ25" s="190"/>
      <c r="CA25" s="190"/>
      <c r="CB25" s="247"/>
      <c r="CC25" s="247"/>
      <c r="CD25" s="247"/>
      <c r="CE25" s="17"/>
      <c r="CF25" s="17"/>
      <c r="CG25" s="17"/>
      <c r="CH25" s="247"/>
      <c r="CI25" s="247"/>
      <c r="CJ25" s="247"/>
      <c r="CK25" s="17"/>
      <c r="CL25" s="17"/>
      <c r="CM25" s="17"/>
      <c r="CN25" s="17"/>
      <c r="CO25" s="17"/>
      <c r="CP25" s="11"/>
      <c r="CQ25" s="11"/>
      <c r="CR25" s="11"/>
      <c r="CS25" s="11"/>
      <c r="CT25" s="247"/>
      <c r="CU25" s="247"/>
      <c r="CV25" s="247"/>
      <c r="CW25" s="11"/>
      <c r="CX25" s="11"/>
      <c r="CY25" s="11"/>
      <c r="CZ25" s="11"/>
      <c r="DA25" s="11"/>
      <c r="DB25" s="11"/>
      <c r="DC25" s="11"/>
      <c r="DD25" s="11"/>
      <c r="DE25" s="11"/>
      <c r="DF25" s="11"/>
      <c r="DG25" s="11"/>
      <c r="DH25" s="11"/>
      <c r="DI25" s="11"/>
      <c r="DJ25" s="11"/>
      <c r="DK25" s="11"/>
      <c r="DL25" s="247"/>
      <c r="DM25" s="247"/>
      <c r="DN25" s="247"/>
      <c r="DO25" s="247"/>
      <c r="DP25" s="247"/>
      <c r="DQ25" s="247"/>
      <c r="DR25" s="247"/>
      <c r="DS25" s="247"/>
      <c r="DT25" s="247"/>
      <c r="DU25" s="247"/>
      <c r="DV25" s="247"/>
      <c r="DW25" s="247"/>
      <c r="DX25" s="247"/>
      <c r="DY25" s="247"/>
      <c r="DZ25" s="247"/>
      <c r="EA25" s="247"/>
      <c r="EB25" s="247"/>
      <c r="EC25" s="247"/>
      <c r="ED25" s="17">
        <f t="shared" si="4"/>
        <v>7323.26</v>
      </c>
      <c r="EE25" s="29">
        <f t="shared" si="5"/>
        <v>3</v>
      </c>
      <c r="EF25" s="17">
        <f t="shared" si="6"/>
        <v>2441.0866666666666</v>
      </c>
    </row>
    <row r="26" spans="1:136" x14ac:dyDescent="0.25">
      <c r="A26" s="25">
        <f>Distribución_Elementos!A26</f>
        <v>24</v>
      </c>
      <c r="B26" s="22" t="str">
        <f>Distribución_Elementos!B26</f>
        <v>Asa desechables de 1µl</v>
      </c>
      <c r="C26" s="22" t="str">
        <f>Distribución_Elementos!C26</f>
        <v>Marienfield o equivalente</v>
      </c>
      <c r="D26" s="22" t="str">
        <f>Distribución_Elementos!D26</f>
        <v xml:space="preserve">Caja x 1000 </v>
      </c>
      <c r="E26" s="224">
        <v>1</v>
      </c>
      <c r="F26" s="221">
        <v>253113</v>
      </c>
      <c r="G26" s="221">
        <v>176120</v>
      </c>
      <c r="H26" s="221">
        <v>1364136.6666666667</v>
      </c>
      <c r="I26" s="221">
        <v>0</v>
      </c>
      <c r="J26" s="221">
        <v>501526.21400000004</v>
      </c>
      <c r="K26" s="221">
        <v>374850</v>
      </c>
      <c r="L26" s="247">
        <f t="shared" si="13"/>
        <v>706258.62688888889</v>
      </c>
      <c r="M26" s="247">
        <f>AVERAGE(G26,K26)*E1</f>
        <v>283749.55</v>
      </c>
      <c r="N26" s="227">
        <v>250000</v>
      </c>
      <c r="O26" s="119">
        <f t="shared" si="7"/>
        <v>47500</v>
      </c>
      <c r="P26" s="119">
        <f t="shared" si="8"/>
        <v>297500</v>
      </c>
      <c r="Q26" s="115"/>
      <c r="R26" s="115"/>
      <c r="S26" s="11"/>
      <c r="T26" s="247"/>
      <c r="U26" s="247"/>
      <c r="V26" s="247"/>
      <c r="W26" s="17"/>
      <c r="X26" s="11"/>
      <c r="Y26" s="11"/>
      <c r="Z26" s="247">
        <v>220000</v>
      </c>
      <c r="AA26" s="247">
        <f>+Z26*0.19</f>
        <v>41800</v>
      </c>
      <c r="AB26" s="247">
        <f>+Z26+AA26</f>
        <v>261800</v>
      </c>
      <c r="AC26" s="44" t="s">
        <v>1519</v>
      </c>
      <c r="AD26" s="5" t="s">
        <v>1489</v>
      </c>
      <c r="AE26" s="17"/>
      <c r="AF26" s="247"/>
      <c r="AG26" s="247"/>
      <c r="AH26" s="151"/>
      <c r="AI26" s="22"/>
      <c r="AJ26" s="17"/>
      <c r="AK26" s="17"/>
      <c r="AL26" s="102"/>
      <c r="AM26" s="132"/>
      <c r="AN26" s="132"/>
      <c r="AO26" s="115"/>
      <c r="AP26" s="115"/>
      <c r="AQ26" s="17"/>
      <c r="AR26" s="247"/>
      <c r="AS26" s="247"/>
      <c r="AT26" s="247"/>
      <c r="AU26" s="17"/>
      <c r="AV26" s="17"/>
      <c r="AW26" s="17"/>
      <c r="AX26" s="247"/>
      <c r="AY26" s="247"/>
      <c r="AZ26" s="247"/>
      <c r="BA26" s="17"/>
      <c r="BB26" s="52"/>
      <c r="BC26" s="17"/>
      <c r="BD26" s="247"/>
      <c r="BE26" s="247"/>
      <c r="BF26" s="247"/>
      <c r="BG26" s="17"/>
      <c r="BH26" s="17"/>
      <c r="BI26" s="17"/>
      <c r="BJ26" s="247">
        <v>500000</v>
      </c>
      <c r="BK26" s="247">
        <f t="shared" si="0"/>
        <v>95000</v>
      </c>
      <c r="BL26" s="247">
        <f t="shared" si="1"/>
        <v>595000</v>
      </c>
      <c r="BM26" s="190" t="s">
        <v>1503</v>
      </c>
      <c r="BN26" s="190" t="s">
        <v>316</v>
      </c>
      <c r="BO26" s="17"/>
      <c r="BP26" s="247">
        <v>385000</v>
      </c>
      <c r="BQ26" s="247">
        <f t="shared" si="12"/>
        <v>73150</v>
      </c>
      <c r="BR26" s="247">
        <f t="shared" si="9"/>
        <v>458150</v>
      </c>
      <c r="BS26" s="17"/>
      <c r="BT26" s="17"/>
      <c r="BU26" s="17"/>
      <c r="BV26" s="195">
        <v>595350</v>
      </c>
      <c r="BW26" s="195">
        <f>+BV26*0.19</f>
        <v>113116.5</v>
      </c>
      <c r="BX26" s="246">
        <f>+BV26+BW26</f>
        <v>708466.5</v>
      </c>
      <c r="BY26" s="190" t="s">
        <v>1503</v>
      </c>
      <c r="BZ26" s="190" t="s">
        <v>316</v>
      </c>
      <c r="CA26" s="190"/>
      <c r="CB26" s="247"/>
      <c r="CC26" s="247"/>
      <c r="CD26" s="247"/>
      <c r="CE26" s="17"/>
      <c r="CF26" s="17"/>
      <c r="CG26" s="17"/>
      <c r="CH26" s="247"/>
      <c r="CI26" s="247"/>
      <c r="CJ26" s="247"/>
      <c r="CK26" s="17"/>
      <c r="CL26" s="17"/>
      <c r="CM26" s="17"/>
      <c r="CN26" s="17"/>
      <c r="CO26" s="17"/>
      <c r="CP26" s="11"/>
      <c r="CQ26" s="11"/>
      <c r="CR26" s="11"/>
      <c r="CS26" s="11"/>
      <c r="CT26" s="247"/>
      <c r="CU26" s="247"/>
      <c r="CV26" s="247"/>
      <c r="CW26" s="11"/>
      <c r="CX26" s="11"/>
      <c r="CY26" s="11"/>
      <c r="CZ26" s="11"/>
      <c r="DA26" s="11"/>
      <c r="DB26" s="11"/>
      <c r="DC26" s="11"/>
      <c r="DD26" s="11"/>
      <c r="DE26" s="11"/>
      <c r="DF26" s="11"/>
      <c r="DG26" s="11"/>
      <c r="DH26" s="11"/>
      <c r="DI26" s="11"/>
      <c r="DJ26" s="11"/>
      <c r="DK26" s="11"/>
      <c r="DL26" s="247"/>
      <c r="DM26" s="247"/>
      <c r="DN26" s="247"/>
      <c r="DO26" s="247"/>
      <c r="DP26" s="247"/>
      <c r="DQ26" s="247"/>
      <c r="DR26" s="247"/>
      <c r="DS26" s="247"/>
      <c r="DT26" s="247"/>
      <c r="DU26" s="247"/>
      <c r="DV26" s="247"/>
      <c r="DW26" s="247"/>
      <c r="DX26" s="247"/>
      <c r="DY26" s="247"/>
      <c r="DZ26" s="247"/>
      <c r="EA26" s="247"/>
      <c r="EB26" s="247"/>
      <c r="EC26" s="247"/>
      <c r="ED26" s="17">
        <f t="shared" si="4"/>
        <v>2604666.0499999998</v>
      </c>
      <c r="EE26" s="29">
        <f t="shared" si="5"/>
        <v>6</v>
      </c>
      <c r="EF26" s="17">
        <f t="shared" si="6"/>
        <v>434111.0083333333</v>
      </c>
    </row>
    <row r="27" spans="1:136" x14ac:dyDescent="0.25">
      <c r="A27" s="25">
        <f>Distribución_Elementos!A27</f>
        <v>25</v>
      </c>
      <c r="B27" s="22" t="str">
        <f>Distribución_Elementos!B27</f>
        <v>Asa o espatula en forma de L (Drigalski) desechable.</v>
      </c>
      <c r="C27" s="22" t="str">
        <f>Distribución_Elementos!C27</f>
        <v>VWR o equivalente</v>
      </c>
      <c r="D27" s="22" t="str">
        <f>Distribución_Elementos!D27</f>
        <v>Caja x 500</v>
      </c>
      <c r="E27" s="224">
        <v>1</v>
      </c>
      <c r="F27" s="221">
        <v>1190000</v>
      </c>
      <c r="G27" s="221">
        <v>1130500</v>
      </c>
      <c r="H27" s="221">
        <v>629089.03749999998</v>
      </c>
      <c r="I27" s="221">
        <v>0</v>
      </c>
      <c r="J27" s="221">
        <v>800870</v>
      </c>
      <c r="K27" s="221">
        <v>800870</v>
      </c>
      <c r="L27" s="247">
        <f t="shared" si="13"/>
        <v>873319.6791666667</v>
      </c>
      <c r="M27" s="247">
        <f>AVERAGE(G27,K27)*E1</f>
        <v>994655.55</v>
      </c>
      <c r="N27" s="227">
        <v>400000</v>
      </c>
      <c r="O27" s="119">
        <f t="shared" si="7"/>
        <v>76000</v>
      </c>
      <c r="P27" s="119">
        <f t="shared" si="8"/>
        <v>476000</v>
      </c>
      <c r="Q27" s="115"/>
      <c r="R27" s="115"/>
      <c r="S27" s="11"/>
      <c r="T27" s="247"/>
      <c r="U27" s="247"/>
      <c r="V27" s="247"/>
      <c r="W27" s="17"/>
      <c r="X27" s="11"/>
      <c r="Y27" s="11"/>
      <c r="Z27" s="247"/>
      <c r="AA27" s="247"/>
      <c r="AB27" s="247"/>
      <c r="AC27" s="44"/>
      <c r="AD27" s="22"/>
      <c r="AE27" s="17"/>
      <c r="AF27" s="247"/>
      <c r="AG27" s="247"/>
      <c r="AH27" s="151"/>
      <c r="AI27" s="4"/>
      <c r="AJ27" s="17"/>
      <c r="AK27" s="17"/>
      <c r="AL27" s="102"/>
      <c r="AM27" s="132"/>
      <c r="AN27" s="161"/>
      <c r="AO27" s="115"/>
      <c r="AP27" s="115"/>
      <c r="AQ27" s="17"/>
      <c r="AR27" s="247"/>
      <c r="AS27" s="247"/>
      <c r="AT27" s="247"/>
      <c r="AU27" s="17"/>
      <c r="AV27" s="17"/>
      <c r="AW27" s="17"/>
      <c r="AX27" s="247"/>
      <c r="AY27" s="247"/>
      <c r="AZ27" s="247"/>
      <c r="BA27" s="17"/>
      <c r="BB27" s="52"/>
      <c r="BC27" s="17"/>
      <c r="BD27" s="247"/>
      <c r="BE27" s="247"/>
      <c r="BF27" s="247"/>
      <c r="BG27" s="17"/>
      <c r="BH27" s="17"/>
      <c r="BI27" s="17"/>
      <c r="BJ27" s="247">
        <v>350000</v>
      </c>
      <c r="BK27" s="247">
        <f t="shared" si="0"/>
        <v>66500</v>
      </c>
      <c r="BL27" s="247">
        <f t="shared" si="1"/>
        <v>416500</v>
      </c>
      <c r="BM27" s="190" t="s">
        <v>1520</v>
      </c>
      <c r="BN27" s="190" t="s">
        <v>316</v>
      </c>
      <c r="BO27" s="17"/>
      <c r="BP27" s="247">
        <v>326000</v>
      </c>
      <c r="BQ27" s="247">
        <f t="shared" si="12"/>
        <v>61940</v>
      </c>
      <c r="BR27" s="247">
        <f t="shared" si="9"/>
        <v>387940</v>
      </c>
      <c r="BS27" s="17"/>
      <c r="BT27" s="17"/>
      <c r="BU27" s="17"/>
      <c r="BV27" s="195">
        <v>412886.25</v>
      </c>
      <c r="BW27" s="195">
        <f>+BV27*0.19</f>
        <v>78448.387499999997</v>
      </c>
      <c r="BX27" s="246">
        <f>+BV27+BW27</f>
        <v>491334.63750000001</v>
      </c>
      <c r="BY27" s="190" t="s">
        <v>1520</v>
      </c>
      <c r="BZ27" s="190" t="s">
        <v>316</v>
      </c>
      <c r="CA27" s="190"/>
      <c r="CB27" s="247"/>
      <c r="CC27" s="247"/>
      <c r="CD27" s="247"/>
      <c r="CE27" s="17"/>
      <c r="CF27" s="17"/>
      <c r="CG27" s="17"/>
      <c r="CH27" s="247"/>
      <c r="CI27" s="247"/>
      <c r="CJ27" s="247"/>
      <c r="CK27" s="17"/>
      <c r="CL27" s="17"/>
      <c r="CM27" s="17"/>
      <c r="CN27" s="17"/>
      <c r="CO27" s="17"/>
      <c r="CP27" s="11"/>
      <c r="CQ27" s="11"/>
      <c r="CR27" s="11"/>
      <c r="CS27" s="11"/>
      <c r="CT27" s="247"/>
      <c r="CU27" s="247"/>
      <c r="CV27" s="247"/>
      <c r="CW27" s="11"/>
      <c r="CX27" s="11"/>
      <c r="CY27" s="11"/>
      <c r="CZ27" s="11"/>
      <c r="DA27" s="11"/>
      <c r="DB27" s="11"/>
      <c r="DC27" s="11"/>
      <c r="DD27" s="11"/>
      <c r="DE27" s="11"/>
      <c r="DF27" s="11"/>
      <c r="DG27" s="11"/>
      <c r="DH27" s="11"/>
      <c r="DI27" s="11"/>
      <c r="DJ27" s="11"/>
      <c r="DK27" s="11"/>
      <c r="DL27" s="247"/>
      <c r="DM27" s="247"/>
      <c r="DN27" s="247"/>
      <c r="DO27" s="247"/>
      <c r="DP27" s="247"/>
      <c r="DQ27" s="247"/>
      <c r="DR27" s="247"/>
      <c r="DS27" s="247"/>
      <c r="DT27" s="247"/>
      <c r="DU27" s="247"/>
      <c r="DV27" s="247"/>
      <c r="DW27" s="247"/>
      <c r="DX27" s="247"/>
      <c r="DY27" s="247"/>
      <c r="DZ27" s="247"/>
      <c r="EA27" s="247"/>
      <c r="EB27" s="247"/>
      <c r="EC27" s="247"/>
      <c r="ED27" s="17">
        <f t="shared" si="4"/>
        <v>2766430.1875</v>
      </c>
      <c r="EE27" s="29">
        <f t="shared" si="5"/>
        <v>5</v>
      </c>
      <c r="EF27" s="17">
        <f t="shared" si="6"/>
        <v>553286.03749999998</v>
      </c>
    </row>
    <row r="28" spans="1:136" x14ac:dyDescent="0.25">
      <c r="A28" s="25">
        <f>Distribución_Elementos!A28</f>
        <v>26</v>
      </c>
      <c r="B28" s="22" t="str">
        <f>Distribución_Elementos!B28</f>
        <v>Atomizador plástico (PP) con dispersión tipo spray de 250 ml</v>
      </c>
      <c r="C28" s="22" t="str">
        <f>Distribución_Elementos!C28</f>
        <v>Cualquier marca</v>
      </c>
      <c r="D28" s="22" t="str">
        <f>Distribución_Elementos!D28</f>
        <v>Unidad</v>
      </c>
      <c r="E28" s="224">
        <v>1</v>
      </c>
      <c r="F28" s="221">
        <v>0</v>
      </c>
      <c r="G28" s="221">
        <v>0</v>
      </c>
      <c r="H28" s="221">
        <v>0</v>
      </c>
      <c r="I28" s="221">
        <v>0</v>
      </c>
      <c r="J28" s="221">
        <v>0</v>
      </c>
      <c r="K28" s="221">
        <v>0</v>
      </c>
      <c r="L28" s="247"/>
      <c r="M28" s="247"/>
      <c r="N28" s="227">
        <v>4000</v>
      </c>
      <c r="O28" s="119">
        <f t="shared" si="7"/>
        <v>760</v>
      </c>
      <c r="P28" s="119">
        <f t="shared" si="8"/>
        <v>4760</v>
      </c>
      <c r="Q28" s="115"/>
      <c r="R28" s="115"/>
      <c r="S28" s="11"/>
      <c r="T28" s="247"/>
      <c r="U28" s="247"/>
      <c r="V28" s="247"/>
      <c r="W28" s="17"/>
      <c r="X28" s="11"/>
      <c r="Y28" s="11"/>
      <c r="Z28" s="247"/>
      <c r="AA28" s="247"/>
      <c r="AB28" s="247"/>
      <c r="AC28" s="44"/>
      <c r="AD28" s="22"/>
      <c r="AE28" s="17"/>
      <c r="AF28" s="247"/>
      <c r="AG28" s="247"/>
      <c r="AH28" s="151"/>
      <c r="AI28" s="4"/>
      <c r="AJ28" s="17"/>
      <c r="AK28" s="17"/>
      <c r="AL28" s="102"/>
      <c r="AM28" s="132"/>
      <c r="AN28" s="161"/>
      <c r="AO28" s="115"/>
      <c r="AP28" s="115"/>
      <c r="AQ28" s="17"/>
      <c r="AR28" s="247">
        <v>4500</v>
      </c>
      <c r="AS28" s="247">
        <f>+AR28*0.19</f>
        <v>855</v>
      </c>
      <c r="AT28" s="247">
        <f>+AR28+AS28</f>
        <v>5355</v>
      </c>
      <c r="AU28" s="17"/>
      <c r="AV28" s="17"/>
      <c r="AW28" s="17"/>
      <c r="AX28" s="247"/>
      <c r="AY28" s="247"/>
      <c r="AZ28" s="247"/>
      <c r="BA28" s="17"/>
      <c r="BB28" s="52"/>
      <c r="BC28" s="17"/>
      <c r="BD28" s="247"/>
      <c r="BE28" s="247"/>
      <c r="BF28" s="247"/>
      <c r="BG28" s="17"/>
      <c r="BH28" s="17"/>
      <c r="BI28" s="17"/>
      <c r="BJ28" s="247"/>
      <c r="BK28" s="247"/>
      <c r="BL28" s="247"/>
      <c r="BM28" s="190"/>
      <c r="BN28" s="190"/>
      <c r="BO28" s="17"/>
      <c r="BP28" s="247">
        <v>3800</v>
      </c>
      <c r="BQ28" s="247">
        <f t="shared" si="12"/>
        <v>722</v>
      </c>
      <c r="BR28" s="247">
        <f t="shared" si="9"/>
        <v>4522</v>
      </c>
      <c r="BS28" s="17"/>
      <c r="BT28" s="17"/>
      <c r="BU28" s="17"/>
      <c r="BV28" s="189"/>
      <c r="BW28" s="197"/>
      <c r="BX28" s="246"/>
      <c r="BY28" s="190"/>
      <c r="BZ28" s="190"/>
      <c r="CA28" s="190"/>
      <c r="CB28" s="247"/>
      <c r="CC28" s="247"/>
      <c r="CD28" s="247"/>
      <c r="CE28" s="17"/>
      <c r="CF28" s="17"/>
      <c r="CG28" s="17"/>
      <c r="CH28" s="247"/>
      <c r="CI28" s="247"/>
      <c r="CJ28" s="247"/>
      <c r="CK28" s="17"/>
      <c r="CL28" s="17"/>
      <c r="CM28" s="17"/>
      <c r="CN28" s="17"/>
      <c r="CO28" s="17"/>
      <c r="CP28" s="11"/>
      <c r="CQ28" s="11"/>
      <c r="CR28" s="11"/>
      <c r="CS28" s="11"/>
      <c r="CT28" s="247"/>
      <c r="CU28" s="247"/>
      <c r="CV28" s="247"/>
      <c r="CW28" s="11"/>
      <c r="CX28" s="11"/>
      <c r="CY28" s="11"/>
      <c r="CZ28" s="11"/>
      <c r="DA28" s="11"/>
      <c r="DB28" s="11"/>
      <c r="DC28" s="11"/>
      <c r="DD28" s="11"/>
      <c r="DE28" s="11"/>
      <c r="DF28" s="11"/>
      <c r="DG28" s="11"/>
      <c r="DH28" s="11"/>
      <c r="DI28" s="11"/>
      <c r="DJ28" s="11"/>
      <c r="DK28" s="11"/>
      <c r="DL28" s="247"/>
      <c r="DM28" s="247"/>
      <c r="DN28" s="247"/>
      <c r="DO28" s="247"/>
      <c r="DP28" s="247"/>
      <c r="DQ28" s="247"/>
      <c r="DR28" s="247"/>
      <c r="DS28" s="247"/>
      <c r="DT28" s="247"/>
      <c r="DU28" s="247"/>
      <c r="DV28" s="247"/>
      <c r="DW28" s="247"/>
      <c r="DX28" s="247"/>
      <c r="DY28" s="247"/>
      <c r="DZ28" s="247"/>
      <c r="EA28" s="247"/>
      <c r="EB28" s="247"/>
      <c r="EC28" s="247"/>
      <c r="ED28" s="17">
        <f t="shared" si="4"/>
        <v>14637</v>
      </c>
      <c r="EE28" s="29">
        <f t="shared" si="5"/>
        <v>3</v>
      </c>
      <c r="EF28" s="17">
        <f t="shared" si="6"/>
        <v>4879</v>
      </c>
    </row>
    <row r="29" spans="1:136" ht="25.5" x14ac:dyDescent="0.25">
      <c r="A29" s="25">
        <f>Distribución_Elementos!A29</f>
        <v>27</v>
      </c>
      <c r="B29" s="22" t="str">
        <f>Distribución_Elementos!B29</f>
        <v>Atomizador plástico (PP) con dispersión tipo Spray de 400 - 500 ml</v>
      </c>
      <c r="C29" s="22" t="str">
        <f>Distribución_Elementos!C29</f>
        <v>Cualquier marca</v>
      </c>
      <c r="D29" s="22" t="str">
        <f>Distribución_Elementos!D29</f>
        <v>Unidad</v>
      </c>
      <c r="E29" s="224">
        <v>1</v>
      </c>
      <c r="F29" s="221">
        <v>0</v>
      </c>
      <c r="G29" s="221">
        <v>0</v>
      </c>
      <c r="H29" s="221">
        <v>0</v>
      </c>
      <c r="I29" s="221">
        <v>0</v>
      </c>
      <c r="J29" s="221">
        <v>0</v>
      </c>
      <c r="K29" s="221">
        <v>0</v>
      </c>
      <c r="L29" s="247"/>
      <c r="M29" s="247"/>
      <c r="N29" s="227">
        <v>5500</v>
      </c>
      <c r="O29" s="119">
        <f t="shared" si="7"/>
        <v>1045</v>
      </c>
      <c r="P29" s="119">
        <f t="shared" si="8"/>
        <v>6545</v>
      </c>
      <c r="Q29" s="115"/>
      <c r="R29" s="115"/>
      <c r="S29" s="11"/>
      <c r="T29" s="247"/>
      <c r="U29" s="247"/>
      <c r="V29" s="247"/>
      <c r="W29" s="17"/>
      <c r="X29" s="11"/>
      <c r="Y29" s="11"/>
      <c r="Z29" s="247"/>
      <c r="AA29" s="247"/>
      <c r="AB29" s="247"/>
      <c r="AC29" s="44"/>
      <c r="AD29" s="22"/>
      <c r="AE29" s="17"/>
      <c r="AF29" s="247"/>
      <c r="AG29" s="247"/>
      <c r="AH29" s="151"/>
      <c r="AI29" s="4"/>
      <c r="AJ29" s="17"/>
      <c r="AK29" s="17"/>
      <c r="AL29" s="102"/>
      <c r="AM29" s="132"/>
      <c r="AN29" s="161"/>
      <c r="AO29" s="115"/>
      <c r="AP29" s="115"/>
      <c r="AQ29" s="17"/>
      <c r="AR29" s="247">
        <v>5800</v>
      </c>
      <c r="AS29" s="247">
        <f>+AR29*0.19</f>
        <v>1102</v>
      </c>
      <c r="AT29" s="247">
        <f>+AR29+AS29</f>
        <v>6902</v>
      </c>
      <c r="AU29" s="17"/>
      <c r="AV29" s="17"/>
      <c r="AW29" s="17"/>
      <c r="AX29" s="247"/>
      <c r="AY29" s="247"/>
      <c r="AZ29" s="247"/>
      <c r="BA29" s="17"/>
      <c r="BB29" s="52"/>
      <c r="BC29" s="17"/>
      <c r="BD29" s="247"/>
      <c r="BE29" s="247"/>
      <c r="BF29" s="247"/>
      <c r="BG29" s="17"/>
      <c r="BH29" s="17"/>
      <c r="BI29" s="17"/>
      <c r="BJ29" s="247"/>
      <c r="BK29" s="247"/>
      <c r="BL29" s="247"/>
      <c r="BM29" s="190"/>
      <c r="BN29" s="190"/>
      <c r="BO29" s="17"/>
      <c r="BP29" s="247">
        <v>4200</v>
      </c>
      <c r="BQ29" s="247">
        <f t="shared" si="12"/>
        <v>798</v>
      </c>
      <c r="BR29" s="247">
        <f t="shared" si="9"/>
        <v>4998</v>
      </c>
      <c r="BS29" s="17"/>
      <c r="BT29" s="17"/>
      <c r="BU29" s="17"/>
      <c r="BV29" s="189"/>
      <c r="BW29" s="197"/>
      <c r="BX29" s="246"/>
      <c r="BY29" s="190"/>
      <c r="BZ29" s="190"/>
      <c r="CA29" s="190"/>
      <c r="CB29" s="247"/>
      <c r="CC29" s="247"/>
      <c r="CD29" s="247"/>
      <c r="CE29" s="17"/>
      <c r="CF29" s="17"/>
      <c r="CG29" s="17"/>
      <c r="CH29" s="247"/>
      <c r="CI29" s="247"/>
      <c r="CJ29" s="247"/>
      <c r="CK29" s="17"/>
      <c r="CL29" s="17"/>
      <c r="CM29" s="17"/>
      <c r="CN29" s="17"/>
      <c r="CO29" s="17"/>
      <c r="CP29" s="11"/>
      <c r="CQ29" s="11"/>
      <c r="CR29" s="11"/>
      <c r="CS29" s="11"/>
      <c r="CT29" s="247"/>
      <c r="CU29" s="247"/>
      <c r="CV29" s="247"/>
      <c r="CW29" s="11"/>
      <c r="CX29" s="11"/>
      <c r="CY29" s="11"/>
      <c r="CZ29" s="11"/>
      <c r="DA29" s="11"/>
      <c r="DB29" s="11"/>
      <c r="DC29" s="11"/>
      <c r="DD29" s="11"/>
      <c r="DE29" s="11"/>
      <c r="DF29" s="11"/>
      <c r="DG29" s="11"/>
      <c r="DH29" s="11"/>
      <c r="DI29" s="11"/>
      <c r="DJ29" s="11"/>
      <c r="DK29" s="11"/>
      <c r="DL29" s="247"/>
      <c r="DM29" s="247"/>
      <c r="DN29" s="247"/>
      <c r="DO29" s="247"/>
      <c r="DP29" s="247"/>
      <c r="DQ29" s="247"/>
      <c r="DR29" s="247"/>
      <c r="DS29" s="247"/>
      <c r="DT29" s="247"/>
      <c r="DU29" s="247"/>
      <c r="DV29" s="247"/>
      <c r="DW29" s="247"/>
      <c r="DX29" s="247"/>
      <c r="DY29" s="247"/>
      <c r="DZ29" s="247"/>
      <c r="EA29" s="247"/>
      <c r="EB29" s="247"/>
      <c r="EC29" s="247"/>
      <c r="ED29" s="17">
        <f t="shared" si="4"/>
        <v>18445</v>
      </c>
      <c r="EE29" s="29">
        <f t="shared" si="5"/>
        <v>3</v>
      </c>
      <c r="EF29" s="17">
        <f t="shared" si="6"/>
        <v>6148.333333333333</v>
      </c>
    </row>
    <row r="30" spans="1:136" ht="89.25" x14ac:dyDescent="0.25">
      <c r="A30" s="25">
        <f>Distribución_Elementos!A30</f>
        <v>28</v>
      </c>
      <c r="B30" s="22" t="str">
        <f>Distribución_Elementos!B30</f>
        <v>Balón aforado de 10 ml clase A Antiactínico, con certificado de fábrica (calidad y rastreabilidad), borosilicato 3.3 que cumpla con los estándares DIN en ISO 1042, impresión en cerámica que cumpla con la norma ISO 12 600. Control y garantía de calidad NCA menor o igual a 0,4 y certificación del fabricante que resiste temperaturas hasta de 250°C sin perder la volumetria.</v>
      </c>
      <c r="C30" s="22" t="str">
        <f>Distribución_Elementos!C30</f>
        <v>Brand, Pyrex, Corning, Kymax o equivalente</v>
      </c>
      <c r="D30" s="22" t="str">
        <f>Distribución_Elementos!D30</f>
        <v>Unidad</v>
      </c>
      <c r="E30" s="224">
        <v>1</v>
      </c>
      <c r="F30" s="221">
        <v>0</v>
      </c>
      <c r="G30" s="221">
        <v>0</v>
      </c>
      <c r="H30" s="221">
        <v>0</v>
      </c>
      <c r="I30" s="221">
        <v>0</v>
      </c>
      <c r="J30" s="221">
        <v>0</v>
      </c>
      <c r="K30" s="221">
        <v>0</v>
      </c>
      <c r="L30" s="247"/>
      <c r="M30" s="247"/>
      <c r="N30" s="227">
        <v>65000</v>
      </c>
      <c r="O30" s="119">
        <f t="shared" si="7"/>
        <v>12350</v>
      </c>
      <c r="P30" s="119">
        <f t="shared" si="8"/>
        <v>77350</v>
      </c>
      <c r="Q30" s="115"/>
      <c r="R30" s="115"/>
      <c r="S30" s="11"/>
      <c r="T30" s="247"/>
      <c r="U30" s="247"/>
      <c r="V30" s="247"/>
      <c r="W30" s="17"/>
      <c r="X30" s="11"/>
      <c r="Y30" s="11"/>
      <c r="Z30" s="247"/>
      <c r="AA30" s="247"/>
      <c r="AB30" s="247"/>
      <c r="AC30" s="5"/>
      <c r="AD30" s="22"/>
      <c r="AE30" s="17"/>
      <c r="AF30" s="102">
        <v>25593.600000000002</v>
      </c>
      <c r="AG30" s="102">
        <f t="shared" ref="AG30:AG38" si="14">+AF30*0.19</f>
        <v>4862.7840000000006</v>
      </c>
      <c r="AH30" s="150">
        <f t="shared" ref="AH30:AH38" si="15">+AF30+AG30</f>
        <v>30456.384000000002</v>
      </c>
      <c r="AI30" s="44" t="s">
        <v>140</v>
      </c>
      <c r="AJ30" s="44" t="s">
        <v>1508</v>
      </c>
      <c r="AK30" s="17"/>
      <c r="AL30" s="102"/>
      <c r="AM30" s="132"/>
      <c r="AN30" s="161"/>
      <c r="AO30" s="115"/>
      <c r="AP30" s="115"/>
      <c r="AQ30" s="17"/>
      <c r="AR30" s="247"/>
      <c r="AS30" s="247"/>
      <c r="AT30" s="247"/>
      <c r="AU30" s="17"/>
      <c r="AV30" s="17"/>
      <c r="AW30" s="17"/>
      <c r="AX30" s="247"/>
      <c r="AY30" s="247"/>
      <c r="AZ30" s="247"/>
      <c r="BA30" s="17"/>
      <c r="BB30" s="52"/>
      <c r="BC30" s="17"/>
      <c r="BD30" s="247"/>
      <c r="BE30" s="247"/>
      <c r="BF30" s="247"/>
      <c r="BG30" s="17"/>
      <c r="BH30" s="17"/>
      <c r="BI30" s="17"/>
      <c r="BJ30" s="247">
        <v>68900</v>
      </c>
      <c r="BK30" s="247">
        <f t="shared" si="0"/>
        <v>13091</v>
      </c>
      <c r="BL30" s="247">
        <f t="shared" si="1"/>
        <v>81991</v>
      </c>
      <c r="BM30" s="190" t="s">
        <v>1499</v>
      </c>
      <c r="BN30" s="190" t="s">
        <v>1510</v>
      </c>
      <c r="BO30" s="17"/>
      <c r="BP30" s="247">
        <v>45200</v>
      </c>
      <c r="BQ30" s="247">
        <f t="shared" si="12"/>
        <v>8588</v>
      </c>
      <c r="BR30" s="247">
        <f t="shared" si="9"/>
        <v>53788</v>
      </c>
      <c r="BS30" s="17"/>
      <c r="BT30" s="17"/>
      <c r="BU30" s="17"/>
      <c r="BV30" s="195">
        <v>82053.699000000008</v>
      </c>
      <c r="BW30" s="195">
        <f t="shared" ref="BW30:BW38" si="16">+BV30*0.19</f>
        <v>15590.202810000003</v>
      </c>
      <c r="BX30" s="246">
        <f t="shared" ref="BX30:BX38" si="17">+BV30+BW30</f>
        <v>97643.90181000001</v>
      </c>
      <c r="BY30" s="190" t="s">
        <v>1499</v>
      </c>
      <c r="BZ30" s="190" t="s">
        <v>1510</v>
      </c>
      <c r="CA30" s="190"/>
      <c r="CB30" s="247"/>
      <c r="CC30" s="247"/>
      <c r="CD30" s="247"/>
      <c r="CE30" s="17"/>
      <c r="CF30" s="17"/>
      <c r="CG30" s="17"/>
      <c r="CH30" s="247"/>
      <c r="CI30" s="247"/>
      <c r="CJ30" s="247"/>
      <c r="CK30" s="17"/>
      <c r="CL30" s="115"/>
      <c r="CM30" s="115"/>
      <c r="CN30" s="115"/>
      <c r="CO30" s="115"/>
      <c r="CP30" s="11"/>
      <c r="CQ30" s="11"/>
      <c r="CR30" s="11"/>
      <c r="CS30" s="11"/>
      <c r="CT30" s="247"/>
      <c r="CU30" s="247"/>
      <c r="CV30" s="247"/>
      <c r="CW30" s="11"/>
      <c r="CX30" s="11"/>
      <c r="CY30" s="11"/>
      <c r="CZ30" s="11"/>
      <c r="DA30" s="11"/>
      <c r="DB30" s="11"/>
      <c r="DC30" s="11"/>
      <c r="DD30" s="11"/>
      <c r="DE30" s="11"/>
      <c r="DF30" s="11"/>
      <c r="DG30" s="11"/>
      <c r="DH30" s="11"/>
      <c r="DI30" s="11"/>
      <c r="DJ30" s="11"/>
      <c r="DK30" s="11"/>
      <c r="DL30" s="247"/>
      <c r="DM30" s="247"/>
      <c r="DN30" s="247"/>
      <c r="DO30" s="247"/>
      <c r="DP30" s="247"/>
      <c r="DQ30" s="247"/>
      <c r="DR30" s="247"/>
      <c r="DS30" s="247"/>
      <c r="DT30" s="247"/>
      <c r="DU30" s="247"/>
      <c r="DV30" s="247"/>
      <c r="DW30" s="247"/>
      <c r="DX30" s="247"/>
      <c r="DY30" s="247"/>
      <c r="DZ30" s="247"/>
      <c r="EA30" s="247"/>
      <c r="EB30" s="247"/>
      <c r="EC30" s="247"/>
      <c r="ED30" s="17">
        <f t="shared" si="4"/>
        <v>341229.28581000003</v>
      </c>
      <c r="EE30" s="29">
        <f t="shared" si="5"/>
        <v>5</v>
      </c>
      <c r="EF30" s="17">
        <f t="shared" si="6"/>
        <v>68245.857162</v>
      </c>
    </row>
    <row r="31" spans="1:136" ht="102" x14ac:dyDescent="0.25">
      <c r="A31" s="25">
        <f>Distribución_Elementos!A31</f>
        <v>29</v>
      </c>
      <c r="B31" s="22" t="str">
        <f>Distribución_Elementos!B31</f>
        <v>Balón aforado de 100 ml clase A, con tapa esmerilada, certificado de fábrica (calidad y rastreabilidad), borosilicato 3.3 que cumpla con los estándares DIN en ISO 1042, impresión en cerámica que cumpla con la norma ISO 12 600. Control y garantía de calidad NCA menor o igual a 0,4 y certificación del fabricante que resiste temperaturas hasta de 250°C sin perder la volumetria. Normatividad ASTM E-438 certificado por Unidad.</v>
      </c>
      <c r="C31" s="22" t="str">
        <f>Distribución_Elementos!C31</f>
        <v>Brand, Pyrex, Corning, Kymax o equivalente</v>
      </c>
      <c r="D31" s="22" t="str">
        <f>Distribución_Elementos!D31</f>
        <v>Unidad</v>
      </c>
      <c r="E31" s="224">
        <v>1</v>
      </c>
      <c r="F31" s="221">
        <v>0</v>
      </c>
      <c r="G31" s="221">
        <v>0</v>
      </c>
      <c r="H31" s="221">
        <v>0</v>
      </c>
      <c r="I31" s="221">
        <v>0</v>
      </c>
      <c r="J31" s="221">
        <v>0</v>
      </c>
      <c r="K31" s="221">
        <v>0</v>
      </c>
      <c r="L31" s="247"/>
      <c r="M31" s="247"/>
      <c r="N31" s="227">
        <v>52000</v>
      </c>
      <c r="O31" s="119">
        <f t="shared" si="7"/>
        <v>9880</v>
      </c>
      <c r="P31" s="119">
        <f t="shared" si="8"/>
        <v>61880</v>
      </c>
      <c r="Q31" s="115"/>
      <c r="R31" s="115"/>
      <c r="S31" s="11"/>
      <c r="T31" s="247">
        <v>34650</v>
      </c>
      <c r="U31" s="247">
        <f>+T31*0.19</f>
        <v>6583.5</v>
      </c>
      <c r="V31" s="247">
        <f>+T31+U31</f>
        <v>41233.5</v>
      </c>
      <c r="W31" s="17" t="s">
        <v>1514</v>
      </c>
      <c r="X31" s="11" t="s">
        <v>1521</v>
      </c>
      <c r="Y31" s="11"/>
      <c r="Z31" s="247"/>
      <c r="AA31" s="247"/>
      <c r="AB31" s="247"/>
      <c r="AC31" s="5"/>
      <c r="AD31" s="22"/>
      <c r="AE31" s="17"/>
      <c r="AF31" s="102">
        <v>41486.400000000001</v>
      </c>
      <c r="AG31" s="102">
        <f t="shared" si="14"/>
        <v>7882.4160000000002</v>
      </c>
      <c r="AH31" s="150">
        <f t="shared" si="15"/>
        <v>49368.815999999999</v>
      </c>
      <c r="AI31" s="44" t="s">
        <v>140</v>
      </c>
      <c r="AJ31" s="44" t="s">
        <v>1508</v>
      </c>
      <c r="AK31" s="17"/>
      <c r="AL31" s="102"/>
      <c r="AM31" s="132"/>
      <c r="AN31" s="161"/>
      <c r="AO31" s="115"/>
      <c r="AP31" s="115"/>
      <c r="AQ31" s="17"/>
      <c r="AR31" s="247"/>
      <c r="AS31" s="247"/>
      <c r="AT31" s="247"/>
      <c r="AU31" s="17"/>
      <c r="AV31" s="17"/>
      <c r="AW31" s="17"/>
      <c r="AX31" s="247"/>
      <c r="AY31" s="247"/>
      <c r="AZ31" s="247"/>
      <c r="BA31" s="17"/>
      <c r="BB31" s="52"/>
      <c r="BC31" s="17"/>
      <c r="BD31" s="247"/>
      <c r="BE31" s="247"/>
      <c r="BF31" s="247"/>
      <c r="BG31" s="17"/>
      <c r="BH31" s="17"/>
      <c r="BI31" s="17"/>
      <c r="BJ31" s="247">
        <v>97700</v>
      </c>
      <c r="BK31" s="247">
        <f t="shared" si="0"/>
        <v>18563</v>
      </c>
      <c r="BL31" s="247">
        <f t="shared" si="1"/>
        <v>116263</v>
      </c>
      <c r="BM31" s="190" t="s">
        <v>1499</v>
      </c>
      <c r="BN31" s="190" t="s">
        <v>1510</v>
      </c>
      <c r="BO31" s="17"/>
      <c r="BP31" s="247">
        <v>49500</v>
      </c>
      <c r="BQ31" s="247">
        <f t="shared" si="12"/>
        <v>9405</v>
      </c>
      <c r="BR31" s="247">
        <f t="shared" si="9"/>
        <v>58905</v>
      </c>
      <c r="BS31" s="17"/>
      <c r="BT31" s="17"/>
      <c r="BU31" s="17"/>
      <c r="BV31" s="195">
        <v>115086.98510000003</v>
      </c>
      <c r="BW31" s="195">
        <f t="shared" si="16"/>
        <v>21866.527169000008</v>
      </c>
      <c r="BX31" s="246">
        <f t="shared" si="17"/>
        <v>136953.51226900006</v>
      </c>
      <c r="BY31" s="190" t="s">
        <v>1499</v>
      </c>
      <c r="BZ31" s="190" t="s">
        <v>1510</v>
      </c>
      <c r="CA31" s="190"/>
      <c r="CB31" s="247"/>
      <c r="CC31" s="247"/>
      <c r="CD31" s="247"/>
      <c r="CE31" s="17"/>
      <c r="CF31" s="17"/>
      <c r="CG31" s="17"/>
      <c r="CH31" s="247"/>
      <c r="CI31" s="247"/>
      <c r="CJ31" s="247"/>
      <c r="CK31" s="17"/>
      <c r="CL31" s="115"/>
      <c r="CM31" s="115"/>
      <c r="CN31" s="115"/>
      <c r="CO31" s="115"/>
      <c r="CP31" s="11"/>
      <c r="CQ31" s="11"/>
      <c r="CR31" s="11"/>
      <c r="CS31" s="11"/>
      <c r="CT31" s="247"/>
      <c r="CU31" s="247"/>
      <c r="CV31" s="247"/>
      <c r="CW31" s="11"/>
      <c r="CX31" s="11"/>
      <c r="CY31" s="11"/>
      <c r="CZ31" s="11"/>
      <c r="DA31" s="11"/>
      <c r="DB31" s="11"/>
      <c r="DC31" s="11"/>
      <c r="DD31" s="11"/>
      <c r="DE31" s="11"/>
      <c r="DF31" s="11"/>
      <c r="DG31" s="11"/>
      <c r="DH31" s="11"/>
      <c r="DI31" s="11"/>
      <c r="DJ31" s="11"/>
      <c r="DK31" s="11"/>
      <c r="DL31" s="247"/>
      <c r="DM31" s="247"/>
      <c r="DN31" s="247"/>
      <c r="DO31" s="247"/>
      <c r="DP31" s="247"/>
      <c r="DQ31" s="247"/>
      <c r="DR31" s="247"/>
      <c r="DS31" s="247"/>
      <c r="DT31" s="247"/>
      <c r="DU31" s="247"/>
      <c r="DV31" s="247"/>
      <c r="DW31" s="247"/>
      <c r="DX31" s="247"/>
      <c r="DY31" s="247"/>
      <c r="DZ31" s="247"/>
      <c r="EA31" s="247"/>
      <c r="EB31" s="247"/>
      <c r="EC31" s="247"/>
      <c r="ED31" s="17">
        <f t="shared" si="4"/>
        <v>464603.82826900005</v>
      </c>
      <c r="EE31" s="29">
        <f t="shared" si="5"/>
        <v>6</v>
      </c>
      <c r="EF31" s="17">
        <f t="shared" si="6"/>
        <v>77433.97137816668</v>
      </c>
    </row>
    <row r="32" spans="1:136" ht="38.25" x14ac:dyDescent="0.25">
      <c r="A32" s="25">
        <f>Distribución_Elementos!A32</f>
        <v>30</v>
      </c>
      <c r="B32" s="22" t="str">
        <f>Distribución_Elementos!B32</f>
        <v>Balon aforado de 1000 ml clase B en vidrio con tapa, normatividad ASTM E-438 ó DIN EN ISO 1042 Certificado por lote</v>
      </c>
      <c r="C32" s="22" t="str">
        <f>Distribución_Elementos!C32</f>
        <v>Brand, Pyrex, Corning, Kymax o equivalente</v>
      </c>
      <c r="D32" s="22" t="str">
        <f>Distribución_Elementos!D32</f>
        <v>Unidad</v>
      </c>
      <c r="E32" s="224">
        <v>1</v>
      </c>
      <c r="F32" s="221">
        <v>0</v>
      </c>
      <c r="G32" s="221">
        <v>0</v>
      </c>
      <c r="H32" s="221">
        <v>0</v>
      </c>
      <c r="I32" s="221">
        <v>0</v>
      </c>
      <c r="J32" s="221">
        <v>162377.68166666664</v>
      </c>
      <c r="K32" s="221">
        <v>161840</v>
      </c>
      <c r="L32" s="247">
        <f>J32</f>
        <v>162377.68166666664</v>
      </c>
      <c r="M32" s="247">
        <f>K32*E1</f>
        <v>166695.20000000001</v>
      </c>
      <c r="N32" s="227">
        <v>120000</v>
      </c>
      <c r="O32" s="119">
        <f t="shared" si="7"/>
        <v>22800</v>
      </c>
      <c r="P32" s="119">
        <f t="shared" si="8"/>
        <v>142800</v>
      </c>
      <c r="Q32" s="115"/>
      <c r="R32" s="115"/>
      <c r="S32" s="11"/>
      <c r="T32" s="247"/>
      <c r="U32" s="247"/>
      <c r="V32" s="247"/>
      <c r="W32" s="17"/>
      <c r="X32" s="11"/>
      <c r="Y32" s="11"/>
      <c r="Z32" s="247"/>
      <c r="AA32" s="247"/>
      <c r="AB32" s="247"/>
      <c r="AC32" s="5"/>
      <c r="AD32" s="22"/>
      <c r="AE32" s="17"/>
      <c r="AF32" s="102">
        <v>84520.8</v>
      </c>
      <c r="AG32" s="102">
        <f t="shared" si="14"/>
        <v>16058.952000000001</v>
      </c>
      <c r="AH32" s="150">
        <f t="shared" si="15"/>
        <v>100579.75200000001</v>
      </c>
      <c r="AI32" s="44" t="s">
        <v>140</v>
      </c>
      <c r="AJ32" s="44" t="s">
        <v>1508</v>
      </c>
      <c r="AK32" s="17"/>
      <c r="AL32" s="102"/>
      <c r="AM32" s="132"/>
      <c r="AN32" s="161"/>
      <c r="AO32" s="115"/>
      <c r="AP32" s="115"/>
      <c r="AQ32" s="17"/>
      <c r="AR32" s="247"/>
      <c r="AS32" s="247"/>
      <c r="AT32" s="247"/>
      <c r="AU32" s="17"/>
      <c r="AV32" s="17"/>
      <c r="AW32" s="17"/>
      <c r="AX32" s="247"/>
      <c r="AY32" s="247"/>
      <c r="AZ32" s="247"/>
      <c r="BA32" s="17"/>
      <c r="BB32" s="52"/>
      <c r="BC32" s="17"/>
      <c r="BD32" s="247"/>
      <c r="BE32" s="247"/>
      <c r="BF32" s="247"/>
      <c r="BG32" s="17"/>
      <c r="BH32" s="17"/>
      <c r="BI32" s="17"/>
      <c r="BJ32" s="247">
        <v>231300</v>
      </c>
      <c r="BK32" s="247">
        <f t="shared" si="0"/>
        <v>43947</v>
      </c>
      <c r="BL32" s="247">
        <f t="shared" si="1"/>
        <v>275247</v>
      </c>
      <c r="BM32" s="190" t="s">
        <v>1499</v>
      </c>
      <c r="BN32" s="190" t="s">
        <v>1510</v>
      </c>
      <c r="BO32" s="17"/>
      <c r="BP32" s="247">
        <v>135200</v>
      </c>
      <c r="BQ32" s="247">
        <f t="shared" si="12"/>
        <v>25688</v>
      </c>
      <c r="BR32" s="247">
        <f t="shared" si="9"/>
        <v>160888</v>
      </c>
      <c r="BS32" s="17"/>
      <c r="BT32" s="17"/>
      <c r="BU32" s="17"/>
      <c r="BV32" s="195">
        <v>262563.20190000004</v>
      </c>
      <c r="BW32" s="195">
        <f t="shared" si="16"/>
        <v>49887.008361000007</v>
      </c>
      <c r="BX32" s="246">
        <f t="shared" si="17"/>
        <v>312450.21026100003</v>
      </c>
      <c r="BY32" s="190" t="s">
        <v>1499</v>
      </c>
      <c r="BZ32" s="190" t="s">
        <v>1510</v>
      </c>
      <c r="CA32" s="190"/>
      <c r="CB32" s="247"/>
      <c r="CC32" s="247"/>
      <c r="CD32" s="247"/>
      <c r="CE32" s="17"/>
      <c r="CF32" s="17"/>
      <c r="CG32" s="17"/>
      <c r="CH32" s="247"/>
      <c r="CI32" s="247"/>
      <c r="CJ32" s="247"/>
      <c r="CK32" s="17"/>
      <c r="CL32" s="17"/>
      <c r="CM32" s="115"/>
      <c r="CN32" s="115"/>
      <c r="CO32" s="115"/>
      <c r="CP32" s="11"/>
      <c r="CQ32" s="11"/>
      <c r="CR32" s="11"/>
      <c r="CS32" s="11"/>
      <c r="CT32" s="247"/>
      <c r="CU32" s="247"/>
      <c r="CV32" s="247"/>
      <c r="CW32" s="11"/>
      <c r="CX32" s="11"/>
      <c r="CY32" s="11"/>
      <c r="CZ32" s="11"/>
      <c r="DA32" s="11"/>
      <c r="DB32" s="11"/>
      <c r="DC32" s="11"/>
      <c r="DD32" s="11"/>
      <c r="DE32" s="11"/>
      <c r="DF32" s="11"/>
      <c r="DG32" s="11"/>
      <c r="DH32" s="11"/>
      <c r="DI32" s="11"/>
      <c r="DJ32" s="11"/>
      <c r="DK32" s="11"/>
      <c r="DL32" s="247"/>
      <c r="DM32" s="247"/>
      <c r="DN32" s="247"/>
      <c r="DO32" s="247"/>
      <c r="DP32" s="247"/>
      <c r="DQ32" s="247"/>
      <c r="DR32" s="247"/>
      <c r="DS32" s="247"/>
      <c r="DT32" s="247"/>
      <c r="DU32" s="247"/>
      <c r="DV32" s="247"/>
      <c r="DW32" s="247"/>
      <c r="DX32" s="247"/>
      <c r="DY32" s="247"/>
      <c r="DZ32" s="247"/>
      <c r="EA32" s="247"/>
      <c r="EB32" s="247"/>
      <c r="EC32" s="247"/>
      <c r="ED32" s="17">
        <f t="shared" si="4"/>
        <v>1158660.1622610001</v>
      </c>
      <c r="EE32" s="29">
        <f t="shared" si="5"/>
        <v>6</v>
      </c>
      <c r="EF32" s="17">
        <f t="shared" si="6"/>
        <v>193110.02704350001</v>
      </c>
    </row>
    <row r="33" spans="1:136" ht="38.25" x14ac:dyDescent="0.25">
      <c r="A33" s="25">
        <f>Distribución_Elementos!A33</f>
        <v>31</v>
      </c>
      <c r="B33" s="22" t="str">
        <f>Distribución_Elementos!B33</f>
        <v>Balon aforado de 200 ml clase B en vidrio con tapa, normatividad ASTM E-438 o DIN EN ISO 1042 Certificado por lote.</v>
      </c>
      <c r="C33" s="22" t="str">
        <f>Distribución_Elementos!C33</f>
        <v>Brand, Pyrex, Corning, Kymax o equivalente</v>
      </c>
      <c r="D33" s="22" t="str">
        <f>Distribución_Elementos!D33</f>
        <v>Unidad</v>
      </c>
      <c r="E33" s="224">
        <v>1</v>
      </c>
      <c r="F33" s="221">
        <v>0</v>
      </c>
      <c r="G33" s="221">
        <v>0</v>
      </c>
      <c r="H33" s="221">
        <v>0</v>
      </c>
      <c r="I33" s="221">
        <v>0</v>
      </c>
      <c r="J33" s="221">
        <v>162875.82888888891</v>
      </c>
      <c r="K33" s="221">
        <v>80325</v>
      </c>
      <c r="L33" s="247">
        <f>J33</f>
        <v>162875.82888888891</v>
      </c>
      <c r="M33" s="247">
        <f>K33*E1</f>
        <v>82734.75</v>
      </c>
      <c r="N33" s="227">
        <v>80000</v>
      </c>
      <c r="O33" s="119">
        <f t="shared" si="7"/>
        <v>15200</v>
      </c>
      <c r="P33" s="119">
        <f t="shared" si="8"/>
        <v>95200</v>
      </c>
      <c r="Q33" s="115"/>
      <c r="R33" s="115"/>
      <c r="S33" s="11"/>
      <c r="T33" s="247"/>
      <c r="U33" s="247"/>
      <c r="V33" s="247"/>
      <c r="W33" s="17"/>
      <c r="X33" s="11"/>
      <c r="Y33" s="11"/>
      <c r="Z33" s="247"/>
      <c r="AA33" s="247"/>
      <c r="AB33" s="247"/>
      <c r="AC33" s="5"/>
      <c r="AD33" s="22"/>
      <c r="AE33" s="17"/>
      <c r="AF33" s="102">
        <v>46207.80000000001</v>
      </c>
      <c r="AG33" s="102">
        <f t="shared" si="14"/>
        <v>8779.4820000000018</v>
      </c>
      <c r="AH33" s="150">
        <f t="shared" si="15"/>
        <v>54987.282000000014</v>
      </c>
      <c r="AI33" s="44" t="s">
        <v>140</v>
      </c>
      <c r="AJ33" s="44" t="s">
        <v>1508</v>
      </c>
      <c r="AK33" s="17"/>
      <c r="AL33" s="102"/>
      <c r="AM33" s="132"/>
      <c r="AN33" s="161"/>
      <c r="AO33" s="115"/>
      <c r="AP33" s="115"/>
      <c r="AQ33" s="17"/>
      <c r="AR33" s="247"/>
      <c r="AS33" s="247"/>
      <c r="AT33" s="247"/>
      <c r="AU33" s="17"/>
      <c r="AV33" s="17"/>
      <c r="AW33" s="17"/>
      <c r="AX33" s="247"/>
      <c r="AY33" s="247"/>
      <c r="AZ33" s="247"/>
      <c r="BA33" s="17"/>
      <c r="BB33" s="52"/>
      <c r="BC33" s="17"/>
      <c r="BD33" s="247"/>
      <c r="BE33" s="247"/>
      <c r="BF33" s="247"/>
      <c r="BG33" s="17"/>
      <c r="BH33" s="17"/>
      <c r="BI33" s="17"/>
      <c r="BJ33" s="247">
        <v>109800</v>
      </c>
      <c r="BK33" s="247">
        <f t="shared" si="0"/>
        <v>20862</v>
      </c>
      <c r="BL33" s="247">
        <f t="shared" si="1"/>
        <v>130662</v>
      </c>
      <c r="BM33" s="190" t="s">
        <v>1499</v>
      </c>
      <c r="BN33" s="190" t="s">
        <v>1510</v>
      </c>
      <c r="BO33" s="17"/>
      <c r="BP33" s="247">
        <v>65000</v>
      </c>
      <c r="BQ33" s="247">
        <f t="shared" si="12"/>
        <v>12350</v>
      </c>
      <c r="BR33" s="247">
        <f t="shared" si="9"/>
        <v>77350</v>
      </c>
      <c r="BS33" s="17"/>
      <c r="BT33" s="17"/>
      <c r="BU33" s="17"/>
      <c r="BV33" s="195">
        <v>116509.4388</v>
      </c>
      <c r="BW33" s="195">
        <f t="shared" si="16"/>
        <v>22136.793372</v>
      </c>
      <c r="BX33" s="246">
        <f t="shared" si="17"/>
        <v>138646.23217199999</v>
      </c>
      <c r="BY33" s="190" t="s">
        <v>1499</v>
      </c>
      <c r="BZ33" s="190" t="s">
        <v>1510</v>
      </c>
      <c r="CA33" s="190"/>
      <c r="CB33" s="247"/>
      <c r="CC33" s="247"/>
      <c r="CD33" s="247"/>
      <c r="CE33" s="17"/>
      <c r="CF33" s="17"/>
      <c r="CG33" s="17"/>
      <c r="CH33" s="247"/>
      <c r="CI33" s="247"/>
      <c r="CJ33" s="247"/>
      <c r="CK33" s="17"/>
      <c r="CL33" s="17"/>
      <c r="CM33" s="17"/>
      <c r="CN33" s="17"/>
      <c r="CO33" s="17"/>
      <c r="CP33" s="11"/>
      <c r="CQ33" s="11"/>
      <c r="CR33" s="11"/>
      <c r="CS33" s="11"/>
      <c r="CT33" s="247"/>
      <c r="CU33" s="247"/>
      <c r="CV33" s="247"/>
      <c r="CW33" s="11"/>
      <c r="CX33" s="11"/>
      <c r="CY33" s="11"/>
      <c r="CZ33" s="11"/>
      <c r="DA33" s="11"/>
      <c r="DB33" s="11"/>
      <c r="DC33" s="11"/>
      <c r="DD33" s="11"/>
      <c r="DE33" s="11"/>
      <c r="DF33" s="11"/>
      <c r="DG33" s="11"/>
      <c r="DH33" s="11"/>
      <c r="DI33" s="11"/>
      <c r="DJ33" s="11"/>
      <c r="DK33" s="11"/>
      <c r="DL33" s="247"/>
      <c r="DM33" s="247"/>
      <c r="DN33" s="247"/>
      <c r="DO33" s="247"/>
      <c r="DP33" s="247"/>
      <c r="DQ33" s="247"/>
      <c r="DR33" s="247"/>
      <c r="DS33" s="247"/>
      <c r="DT33" s="247"/>
      <c r="DU33" s="247"/>
      <c r="DV33" s="247"/>
      <c r="DW33" s="247"/>
      <c r="DX33" s="247"/>
      <c r="DY33" s="247"/>
      <c r="DZ33" s="247"/>
      <c r="EA33" s="247"/>
      <c r="EB33" s="247"/>
      <c r="EC33" s="247"/>
      <c r="ED33" s="17">
        <f t="shared" si="4"/>
        <v>579580.264172</v>
      </c>
      <c r="EE33" s="29">
        <f t="shared" si="5"/>
        <v>6</v>
      </c>
      <c r="EF33" s="17">
        <f t="shared" si="6"/>
        <v>96596.710695333328</v>
      </c>
    </row>
    <row r="34" spans="1:136" ht="63.75" x14ac:dyDescent="0.25">
      <c r="A34" s="25">
        <f>Distribución_Elementos!A34</f>
        <v>32</v>
      </c>
      <c r="B34" s="22" t="str">
        <f>Distribución_Elementos!B34</f>
        <v>Balón aforado de 25 ml clase A Antiactínico, borosilicato 3.3 que cumpla con los estándares DIN en ISO 1042, impresión en cerámica que cumpla con la norma ISO4796-1:2000. NCA menor o igual a 0,4 y certificación del fabricante que resiste temperaturas hasta de 250°C sin perder la volumetria.</v>
      </c>
      <c r="C34" s="22" t="str">
        <f>Distribución_Elementos!C34</f>
        <v>Brand, Pyrex, Corning, Kymax o equivalente</v>
      </c>
      <c r="D34" s="22" t="str">
        <f>Distribución_Elementos!D34</f>
        <v>Unidad</v>
      </c>
      <c r="E34" s="224">
        <v>1</v>
      </c>
      <c r="F34" s="221">
        <v>0</v>
      </c>
      <c r="G34" s="221">
        <v>0</v>
      </c>
      <c r="H34" s="221">
        <v>0</v>
      </c>
      <c r="I34" s="221">
        <v>0</v>
      </c>
      <c r="J34" s="221">
        <v>0</v>
      </c>
      <c r="K34" s="221">
        <v>0</v>
      </c>
      <c r="L34" s="247"/>
      <c r="M34" s="247"/>
      <c r="N34" s="227">
        <v>70000</v>
      </c>
      <c r="O34" s="119">
        <f>+N34*0.19</f>
        <v>13300</v>
      </c>
      <c r="P34" s="119">
        <f t="shared" si="8"/>
        <v>83300</v>
      </c>
      <c r="Q34" s="115"/>
      <c r="R34" s="115"/>
      <c r="S34" s="11"/>
      <c r="T34" s="247"/>
      <c r="U34" s="247"/>
      <c r="V34" s="247"/>
      <c r="W34" s="17"/>
      <c r="X34" s="11"/>
      <c r="Y34" s="11"/>
      <c r="Z34" s="247"/>
      <c r="AA34" s="247"/>
      <c r="AB34" s="247"/>
      <c r="AC34" s="5"/>
      <c r="AD34" s="22"/>
      <c r="AE34" s="17"/>
      <c r="AF34" s="102">
        <v>27864.000000000007</v>
      </c>
      <c r="AG34" s="102">
        <f t="shared" si="14"/>
        <v>5294.1600000000017</v>
      </c>
      <c r="AH34" s="150">
        <f t="shared" si="15"/>
        <v>33158.160000000011</v>
      </c>
      <c r="AI34" s="44" t="s">
        <v>140</v>
      </c>
      <c r="AJ34" s="44" t="s">
        <v>1508</v>
      </c>
      <c r="AK34" s="17"/>
      <c r="AL34" s="102"/>
      <c r="AM34" s="132"/>
      <c r="AN34" s="161"/>
      <c r="AO34" s="115"/>
      <c r="AP34" s="115"/>
      <c r="AQ34" s="17"/>
      <c r="AR34" s="247"/>
      <c r="AS34" s="247"/>
      <c r="AT34" s="247"/>
      <c r="AU34" s="17"/>
      <c r="AV34" s="17"/>
      <c r="AW34" s="17"/>
      <c r="AX34" s="247"/>
      <c r="AY34" s="247"/>
      <c r="AZ34" s="247"/>
      <c r="BA34" s="17"/>
      <c r="BB34" s="52"/>
      <c r="BC34" s="17"/>
      <c r="BD34" s="247"/>
      <c r="BE34" s="247"/>
      <c r="BF34" s="247"/>
      <c r="BG34" s="17"/>
      <c r="BH34" s="17"/>
      <c r="BI34" s="17"/>
      <c r="BJ34" s="247">
        <v>70200</v>
      </c>
      <c r="BK34" s="247">
        <f t="shared" si="0"/>
        <v>13338</v>
      </c>
      <c r="BL34" s="247">
        <f t="shared" si="1"/>
        <v>83538</v>
      </c>
      <c r="BM34" s="190" t="s">
        <v>1499</v>
      </c>
      <c r="BN34" s="190" t="s">
        <v>1510</v>
      </c>
      <c r="BO34" s="17"/>
      <c r="BP34" s="247">
        <v>52000</v>
      </c>
      <c r="BQ34" s="247">
        <f t="shared" si="12"/>
        <v>9880</v>
      </c>
      <c r="BR34" s="247">
        <f t="shared" si="9"/>
        <v>61880</v>
      </c>
      <c r="BS34" s="17"/>
      <c r="BT34" s="17"/>
      <c r="BU34" s="17"/>
      <c r="BV34" s="195">
        <v>80476.578000000009</v>
      </c>
      <c r="BW34" s="195">
        <f t="shared" si="16"/>
        <v>15290.549820000002</v>
      </c>
      <c r="BX34" s="246">
        <f t="shared" si="17"/>
        <v>95767.127820000009</v>
      </c>
      <c r="BY34" s="190" t="s">
        <v>1499</v>
      </c>
      <c r="BZ34" s="190" t="s">
        <v>1510</v>
      </c>
      <c r="CA34" s="190"/>
      <c r="CB34" s="247"/>
      <c r="CC34" s="247"/>
      <c r="CD34" s="247"/>
      <c r="CE34" s="17"/>
      <c r="CF34" s="17"/>
      <c r="CG34" s="17"/>
      <c r="CH34" s="247"/>
      <c r="CI34" s="247"/>
      <c r="CJ34" s="247"/>
      <c r="CK34" s="17"/>
      <c r="CL34" s="17"/>
      <c r="CM34" s="115"/>
      <c r="CN34" s="115"/>
      <c r="CO34" s="115"/>
      <c r="CP34" s="11"/>
      <c r="CQ34" s="11"/>
      <c r="CR34" s="11"/>
      <c r="CS34" s="11"/>
      <c r="CT34" s="247"/>
      <c r="CU34" s="247"/>
      <c r="CV34" s="247"/>
      <c r="CW34" s="11"/>
      <c r="CX34" s="11"/>
      <c r="CY34" s="11"/>
      <c r="CZ34" s="11"/>
      <c r="DA34" s="11"/>
      <c r="DB34" s="11"/>
      <c r="DC34" s="11"/>
      <c r="DD34" s="11"/>
      <c r="DE34" s="11"/>
      <c r="DF34" s="11"/>
      <c r="DG34" s="11"/>
      <c r="DH34" s="11"/>
      <c r="DI34" s="11"/>
      <c r="DJ34" s="11"/>
      <c r="DK34" s="11"/>
      <c r="DL34" s="247"/>
      <c r="DM34" s="247"/>
      <c r="DN34" s="247"/>
      <c r="DO34" s="247"/>
      <c r="DP34" s="247"/>
      <c r="DQ34" s="247"/>
      <c r="DR34" s="247"/>
      <c r="DS34" s="247"/>
      <c r="DT34" s="247"/>
      <c r="DU34" s="247"/>
      <c r="DV34" s="247"/>
      <c r="DW34" s="247"/>
      <c r="DX34" s="247"/>
      <c r="DY34" s="247"/>
      <c r="DZ34" s="247"/>
      <c r="EA34" s="247"/>
      <c r="EB34" s="247"/>
      <c r="EC34" s="247"/>
      <c r="ED34" s="17">
        <f t="shared" si="4"/>
        <v>357643.28782000003</v>
      </c>
      <c r="EE34" s="29">
        <f t="shared" si="5"/>
        <v>5</v>
      </c>
      <c r="EF34" s="17">
        <f t="shared" si="6"/>
        <v>71528.657564000008</v>
      </c>
    </row>
    <row r="35" spans="1:136" ht="63.75" x14ac:dyDescent="0.25">
      <c r="A35" s="25">
        <f>Distribución_Elementos!A35</f>
        <v>33</v>
      </c>
      <c r="B35" s="22" t="str">
        <f>Distribución_Elementos!B35</f>
        <v>Balón aforado de 5 ml clase A Antiactínico, borosilicato 3.3 que cumpla con los estándares DIN en ISO 1042, impresión en cerámica que cumpla con la norma ISO4796-1:2000. NCA menor o igual a 0,4 y certificación del fabricante que resiste temperaturas hasta de 250°C sin perder la volumetria.</v>
      </c>
      <c r="C35" s="22" t="str">
        <f>Distribución_Elementos!C35</f>
        <v>Brand, Pyrex, Corning, Kymax o equivalente</v>
      </c>
      <c r="D35" s="22" t="str">
        <f>Distribución_Elementos!D35</f>
        <v>Unidad</v>
      </c>
      <c r="E35" s="224">
        <v>1</v>
      </c>
      <c r="F35" s="221">
        <v>0</v>
      </c>
      <c r="G35" s="221">
        <v>0</v>
      </c>
      <c r="H35" s="221">
        <v>0</v>
      </c>
      <c r="I35" s="221">
        <v>0</v>
      </c>
      <c r="J35" s="221">
        <v>0</v>
      </c>
      <c r="K35" s="221">
        <v>0</v>
      </c>
      <c r="L35" s="247"/>
      <c r="M35" s="247"/>
      <c r="N35" s="227"/>
      <c r="O35" s="119"/>
      <c r="P35" s="119"/>
      <c r="Q35" s="11"/>
      <c r="R35" s="11"/>
      <c r="S35" s="11"/>
      <c r="T35" s="247"/>
      <c r="U35" s="247"/>
      <c r="V35" s="247"/>
      <c r="W35" s="11"/>
      <c r="X35" s="11"/>
      <c r="Y35" s="11"/>
      <c r="Z35" s="247"/>
      <c r="AA35" s="247"/>
      <c r="AB35" s="247"/>
      <c r="AC35" s="11"/>
      <c r="AD35" s="11"/>
      <c r="AE35" s="11"/>
      <c r="AF35" s="102">
        <v>25077.600000000006</v>
      </c>
      <c r="AG35" s="102">
        <f t="shared" si="14"/>
        <v>4764.7440000000015</v>
      </c>
      <c r="AH35" s="150">
        <f t="shared" si="15"/>
        <v>29842.344000000008</v>
      </c>
      <c r="AI35" s="44" t="s">
        <v>140</v>
      </c>
      <c r="AJ35" s="44" t="s">
        <v>1508</v>
      </c>
      <c r="AK35" s="11"/>
      <c r="AL35" s="102"/>
      <c r="AM35" s="102"/>
      <c r="AN35" s="102"/>
      <c r="AO35" s="44"/>
      <c r="AP35" s="44"/>
      <c r="AQ35" s="11"/>
      <c r="AR35" s="247"/>
      <c r="AS35" s="247"/>
      <c r="AT35" s="247"/>
      <c r="AU35" s="11"/>
      <c r="AV35" s="11"/>
      <c r="AW35" s="11"/>
      <c r="AX35" s="247"/>
      <c r="AY35" s="247"/>
      <c r="AZ35" s="247"/>
      <c r="BA35" s="11"/>
      <c r="BB35" s="11"/>
      <c r="BC35" s="11"/>
      <c r="BD35" s="247"/>
      <c r="BE35" s="247"/>
      <c r="BF35" s="247"/>
      <c r="BG35" s="11"/>
      <c r="BH35" s="11"/>
      <c r="BI35" s="11"/>
      <c r="BJ35" s="247">
        <v>68000</v>
      </c>
      <c r="BK35" s="247">
        <f t="shared" si="0"/>
        <v>12920</v>
      </c>
      <c r="BL35" s="247">
        <f t="shared" si="1"/>
        <v>80920</v>
      </c>
      <c r="BM35" s="190" t="s">
        <v>1499</v>
      </c>
      <c r="BN35" s="190" t="s">
        <v>1510</v>
      </c>
      <c r="BO35" s="11"/>
      <c r="BP35" s="247">
        <v>65000</v>
      </c>
      <c r="BQ35" s="247">
        <f t="shared" si="12"/>
        <v>12350</v>
      </c>
      <c r="BR35" s="247">
        <f t="shared" si="9"/>
        <v>77350</v>
      </c>
      <c r="BS35" s="11"/>
      <c r="BT35" s="11"/>
      <c r="BU35" s="11"/>
      <c r="BV35" s="195">
        <v>72155.207999999999</v>
      </c>
      <c r="BW35" s="195">
        <f t="shared" si="16"/>
        <v>13709.489519999999</v>
      </c>
      <c r="BX35" s="246">
        <f t="shared" si="17"/>
        <v>85864.697520000002</v>
      </c>
      <c r="BY35" s="190" t="s">
        <v>1499</v>
      </c>
      <c r="BZ35" s="190" t="s">
        <v>1510</v>
      </c>
      <c r="CA35" s="190"/>
      <c r="CB35" s="247"/>
      <c r="CC35" s="247"/>
      <c r="CD35" s="247"/>
      <c r="CE35" s="37"/>
      <c r="CF35" s="37"/>
      <c r="CG35" s="37"/>
      <c r="CH35" s="247"/>
      <c r="CI35" s="247"/>
      <c r="CJ35" s="247"/>
      <c r="CK35" s="11"/>
      <c r="CL35" s="11"/>
      <c r="CM35" s="11"/>
      <c r="CN35" s="11"/>
      <c r="CO35" s="11"/>
      <c r="CP35" s="11"/>
      <c r="CQ35" s="11"/>
      <c r="CR35" s="11"/>
      <c r="CS35" s="11"/>
      <c r="CT35" s="247"/>
      <c r="CU35" s="247"/>
      <c r="CV35" s="247"/>
      <c r="CW35" s="11"/>
      <c r="CX35" s="11"/>
      <c r="CY35" s="11"/>
      <c r="CZ35" s="11"/>
      <c r="DA35" s="11"/>
      <c r="DB35" s="11"/>
      <c r="DC35" s="11"/>
      <c r="DD35" s="11"/>
      <c r="DE35" s="11"/>
      <c r="DF35" s="11"/>
      <c r="DG35" s="11"/>
      <c r="DH35" s="11"/>
      <c r="DI35" s="11"/>
      <c r="DJ35" s="11"/>
      <c r="DK35" s="11"/>
      <c r="DL35" s="247"/>
      <c r="DM35" s="247"/>
      <c r="DN35" s="247"/>
      <c r="DO35" s="247"/>
      <c r="DP35" s="247"/>
      <c r="DQ35" s="247"/>
      <c r="DR35" s="247"/>
      <c r="DS35" s="247"/>
      <c r="DT35" s="247"/>
      <c r="DU35" s="247"/>
      <c r="DV35" s="247"/>
      <c r="DW35" s="247"/>
      <c r="DX35" s="247"/>
      <c r="DY35" s="247"/>
      <c r="DZ35" s="247"/>
      <c r="EA35" s="247"/>
      <c r="EB35" s="247"/>
      <c r="EC35" s="247"/>
      <c r="ED35" s="17">
        <f t="shared" si="4"/>
        <v>273977.04152000003</v>
      </c>
      <c r="EE35" s="29">
        <f t="shared" si="5"/>
        <v>4</v>
      </c>
      <c r="EF35" s="17">
        <f t="shared" si="6"/>
        <v>68494.260380000007</v>
      </c>
    </row>
    <row r="36" spans="1:136" ht="89.25" x14ac:dyDescent="0.25">
      <c r="A36" s="25">
        <f>Distribución_Elementos!A36</f>
        <v>34</v>
      </c>
      <c r="B36" s="22" t="str">
        <f>Distribución_Elementos!B36</f>
        <v>Balón aforado de 50 ml clase A, con certificado de fábrica (calidad y rastreabilidad), borosilicato 3.3 que cumpla con los estándares DIN en ISO 1042, impresión en cerámica que cumpla con la norma ISO 12 600. Control y garantía de calidad NCA menor o igual a 0.4 y certificación del fabricante que resiste temperaturas hasta de 250°C sin perder la volumetria. Normatividad ASTM E-438 certificado por Unidad.</v>
      </c>
      <c r="C36" s="22" t="str">
        <f>Distribución_Elementos!C36</f>
        <v>Brand, Pyrex, Corning, Kymax o equivalente</v>
      </c>
      <c r="D36" s="22" t="str">
        <f>Distribución_Elementos!D36</f>
        <v>Unidad</v>
      </c>
      <c r="E36" s="224">
        <v>1</v>
      </c>
      <c r="F36" s="221">
        <v>0</v>
      </c>
      <c r="G36" s="221">
        <v>0</v>
      </c>
      <c r="H36" s="221">
        <v>0</v>
      </c>
      <c r="I36" s="221">
        <v>0</v>
      </c>
      <c r="J36" s="221">
        <v>0</v>
      </c>
      <c r="K36" s="221">
        <v>0</v>
      </c>
      <c r="L36" s="247"/>
      <c r="M36" s="247"/>
      <c r="N36" s="227">
        <v>40000</v>
      </c>
      <c r="O36" s="119">
        <f>+N36*0.19</f>
        <v>7600</v>
      </c>
      <c r="P36" s="119">
        <f>+N36+O36</f>
        <v>47600</v>
      </c>
      <c r="Q36" s="115"/>
      <c r="R36" s="115"/>
      <c r="S36" s="11"/>
      <c r="T36" s="247">
        <v>30800.000000000004</v>
      </c>
      <c r="U36" s="247">
        <f>+T36*0.19</f>
        <v>5852.0000000000009</v>
      </c>
      <c r="V36" s="247">
        <f>+T36+U36</f>
        <v>36652.000000000007</v>
      </c>
      <c r="W36" s="17" t="s">
        <v>1514</v>
      </c>
      <c r="X36" s="11" t="s">
        <v>1521</v>
      </c>
      <c r="Y36" s="11"/>
      <c r="Z36" s="247"/>
      <c r="AA36" s="247"/>
      <c r="AB36" s="247"/>
      <c r="AC36" s="5"/>
      <c r="AD36" s="22"/>
      <c r="AE36" s="17"/>
      <c r="AF36" s="102">
        <v>37487.400000000009</v>
      </c>
      <c r="AG36" s="102">
        <f t="shared" si="14"/>
        <v>7122.6060000000016</v>
      </c>
      <c r="AH36" s="150">
        <f t="shared" si="15"/>
        <v>44610.006000000008</v>
      </c>
      <c r="AI36" s="44" t="s">
        <v>140</v>
      </c>
      <c r="AJ36" s="44" t="s">
        <v>1508</v>
      </c>
      <c r="AK36" s="17"/>
      <c r="AL36" s="102"/>
      <c r="AM36" s="132"/>
      <c r="AN36" s="161"/>
      <c r="AO36" s="115"/>
      <c r="AP36" s="115"/>
      <c r="AQ36" s="17"/>
      <c r="AR36" s="247"/>
      <c r="AS36" s="247"/>
      <c r="AT36" s="247"/>
      <c r="AU36" s="17"/>
      <c r="AV36" s="17"/>
      <c r="AW36" s="17"/>
      <c r="AX36" s="247"/>
      <c r="AY36" s="247"/>
      <c r="AZ36" s="247"/>
      <c r="BA36" s="17"/>
      <c r="BB36" s="52"/>
      <c r="BC36" s="17"/>
      <c r="BD36" s="247"/>
      <c r="BE36" s="247"/>
      <c r="BF36" s="247"/>
      <c r="BG36" s="17"/>
      <c r="BH36" s="17"/>
      <c r="BI36" s="17"/>
      <c r="BJ36" s="247">
        <v>77400</v>
      </c>
      <c r="BK36" s="247">
        <f t="shared" si="0"/>
        <v>14706</v>
      </c>
      <c r="BL36" s="247">
        <f t="shared" si="1"/>
        <v>92106</v>
      </c>
      <c r="BM36" s="190" t="s">
        <v>1499</v>
      </c>
      <c r="BN36" s="190" t="s">
        <v>1510</v>
      </c>
      <c r="BO36" s="17"/>
      <c r="BP36" s="247">
        <v>49600</v>
      </c>
      <c r="BQ36" s="247">
        <f t="shared" si="12"/>
        <v>9424</v>
      </c>
      <c r="BR36" s="247">
        <f t="shared" si="9"/>
        <v>59024</v>
      </c>
      <c r="BS36" s="17"/>
      <c r="BT36" s="17"/>
      <c r="BU36" s="17"/>
      <c r="BV36" s="195">
        <v>84545.181000000011</v>
      </c>
      <c r="BW36" s="195">
        <f t="shared" si="16"/>
        <v>16063.584390000002</v>
      </c>
      <c r="BX36" s="246">
        <f t="shared" si="17"/>
        <v>100608.76539000002</v>
      </c>
      <c r="BY36" s="190" t="s">
        <v>1499</v>
      </c>
      <c r="BZ36" s="190" t="s">
        <v>1510</v>
      </c>
      <c r="CA36" s="190"/>
      <c r="CB36" s="247"/>
      <c r="CC36" s="247"/>
      <c r="CD36" s="247"/>
      <c r="CE36" s="17"/>
      <c r="CF36" s="17"/>
      <c r="CG36" s="17"/>
      <c r="CH36" s="247"/>
      <c r="CI36" s="247"/>
      <c r="CJ36" s="247"/>
      <c r="CK36" s="17"/>
      <c r="CL36" s="17"/>
      <c r="CM36" s="17"/>
      <c r="CN36" s="115"/>
      <c r="CO36" s="17"/>
      <c r="CP36" s="11"/>
      <c r="CQ36" s="11"/>
      <c r="CR36" s="11"/>
      <c r="CS36" s="11"/>
      <c r="CT36" s="247"/>
      <c r="CU36" s="247"/>
      <c r="CV36" s="247"/>
      <c r="CW36" s="11"/>
      <c r="CX36" s="11"/>
      <c r="CY36" s="11"/>
      <c r="CZ36" s="11"/>
      <c r="DA36" s="11"/>
      <c r="DB36" s="11"/>
      <c r="DC36" s="11"/>
      <c r="DD36" s="11"/>
      <c r="DE36" s="11"/>
      <c r="DF36" s="11"/>
      <c r="DG36" s="11"/>
      <c r="DH36" s="11"/>
      <c r="DI36" s="11"/>
      <c r="DJ36" s="11"/>
      <c r="DK36" s="11"/>
      <c r="DL36" s="247"/>
      <c r="DM36" s="247"/>
      <c r="DN36" s="247"/>
      <c r="DO36" s="247"/>
      <c r="DP36" s="247"/>
      <c r="DQ36" s="247"/>
      <c r="DR36" s="247"/>
      <c r="DS36" s="247"/>
      <c r="DT36" s="247"/>
      <c r="DU36" s="247"/>
      <c r="DV36" s="247"/>
      <c r="DW36" s="247"/>
      <c r="DX36" s="247"/>
      <c r="DY36" s="247"/>
      <c r="DZ36" s="247"/>
      <c r="EA36" s="247"/>
      <c r="EB36" s="247"/>
      <c r="EC36" s="247"/>
      <c r="ED36" s="17">
        <f t="shared" si="4"/>
        <v>380600.77139000001</v>
      </c>
      <c r="EE36" s="29">
        <f t="shared" si="5"/>
        <v>6</v>
      </c>
      <c r="EF36" s="17">
        <f t="shared" si="6"/>
        <v>63433.461898333335</v>
      </c>
    </row>
    <row r="37" spans="1:136" ht="38.25" x14ac:dyDescent="0.25">
      <c r="A37" s="25">
        <f>Distribución_Elementos!A37</f>
        <v>35</v>
      </c>
      <c r="B37" s="22" t="str">
        <f>Distribución_Elementos!B37</f>
        <v>Balon aforado de 50 ml clase B en vidrio con tapa, normatividad ASTM E-438 DIN en ISO 1042 Y Certificado por lote</v>
      </c>
      <c r="C37" s="22" t="str">
        <f>Distribución_Elementos!C37</f>
        <v>Brand, Pyrex, Corning, Kymax o equivalente</v>
      </c>
      <c r="D37" s="22" t="str">
        <f>Distribución_Elementos!D37</f>
        <v>Unidad</v>
      </c>
      <c r="E37" s="224">
        <v>1</v>
      </c>
      <c r="F37" s="221">
        <v>51485.35</v>
      </c>
      <c r="G37" s="221">
        <v>50694</v>
      </c>
      <c r="H37" s="221">
        <v>60871.160840000004</v>
      </c>
      <c r="I37" s="221">
        <v>60809</v>
      </c>
      <c r="J37" s="221">
        <v>0</v>
      </c>
      <c r="K37" s="221">
        <v>0</v>
      </c>
      <c r="L37" s="247">
        <f>AVERAGE(F37,H37)</f>
        <v>56178.255420000001</v>
      </c>
      <c r="M37" s="247">
        <f>AVERAGE(G37,I37)*E1</f>
        <v>57424.044999999998</v>
      </c>
      <c r="N37" s="227"/>
      <c r="O37" s="119"/>
      <c r="P37" s="119"/>
      <c r="Q37" s="115"/>
      <c r="R37" s="115"/>
      <c r="S37" s="11"/>
      <c r="T37" s="247"/>
      <c r="U37" s="247"/>
      <c r="V37" s="247"/>
      <c r="W37" s="17"/>
      <c r="X37" s="11"/>
      <c r="Y37" s="11"/>
      <c r="Z37" s="247"/>
      <c r="AA37" s="247"/>
      <c r="AB37" s="247"/>
      <c r="AC37" s="5"/>
      <c r="AD37" s="22"/>
      <c r="AE37" s="17"/>
      <c r="AF37" s="102">
        <v>37487.400000000009</v>
      </c>
      <c r="AG37" s="102">
        <f t="shared" si="14"/>
        <v>7122.6060000000016</v>
      </c>
      <c r="AH37" s="150">
        <f t="shared" si="15"/>
        <v>44610.006000000008</v>
      </c>
      <c r="AI37" s="44" t="s">
        <v>140</v>
      </c>
      <c r="AJ37" s="44" t="s">
        <v>1508</v>
      </c>
      <c r="AK37" s="17"/>
      <c r="AL37" s="102"/>
      <c r="AM37" s="132"/>
      <c r="AN37" s="161"/>
      <c r="AO37" s="115"/>
      <c r="AP37" s="115"/>
      <c r="AQ37" s="17"/>
      <c r="AR37" s="247"/>
      <c r="AS37" s="247"/>
      <c r="AT37" s="247"/>
      <c r="AU37" s="17"/>
      <c r="AV37" s="17"/>
      <c r="AW37" s="17"/>
      <c r="AX37" s="247"/>
      <c r="AY37" s="247"/>
      <c r="AZ37" s="247"/>
      <c r="BA37" s="17"/>
      <c r="BB37" s="52"/>
      <c r="BC37" s="17"/>
      <c r="BD37" s="247"/>
      <c r="BE37" s="247"/>
      <c r="BF37" s="247"/>
      <c r="BG37" s="17"/>
      <c r="BH37" s="17"/>
      <c r="BI37" s="17"/>
      <c r="BJ37" s="247">
        <v>88100</v>
      </c>
      <c r="BK37" s="247">
        <f t="shared" si="0"/>
        <v>16739</v>
      </c>
      <c r="BL37" s="247">
        <f t="shared" si="1"/>
        <v>104839</v>
      </c>
      <c r="BM37" s="190" t="s">
        <v>1499</v>
      </c>
      <c r="BN37" s="190" t="s">
        <v>1510</v>
      </c>
      <c r="BO37" s="17"/>
      <c r="BP37" s="247">
        <v>52000</v>
      </c>
      <c r="BQ37" s="247">
        <f t="shared" si="12"/>
        <v>9880</v>
      </c>
      <c r="BR37" s="247">
        <f t="shared" si="9"/>
        <v>61880</v>
      </c>
      <c r="BS37" s="17"/>
      <c r="BT37" s="17"/>
      <c r="BU37" s="17"/>
      <c r="BV37" s="195">
        <v>101838.7545</v>
      </c>
      <c r="BW37" s="195">
        <f t="shared" si="16"/>
        <v>19349.363354999998</v>
      </c>
      <c r="BX37" s="246">
        <f t="shared" si="17"/>
        <v>121188.11785499999</v>
      </c>
      <c r="BY37" s="190" t="s">
        <v>1499</v>
      </c>
      <c r="BZ37" s="190" t="s">
        <v>1510</v>
      </c>
      <c r="CA37" s="190"/>
      <c r="CB37" s="247"/>
      <c r="CC37" s="247"/>
      <c r="CD37" s="247"/>
      <c r="CE37" s="17"/>
      <c r="CF37" s="17"/>
      <c r="CG37" s="17"/>
      <c r="CH37" s="247"/>
      <c r="CI37" s="247"/>
      <c r="CJ37" s="247"/>
      <c r="CK37" s="17"/>
      <c r="CL37" s="17"/>
      <c r="CM37" s="17"/>
      <c r="CN37" s="17"/>
      <c r="CO37" s="17"/>
      <c r="CP37" s="11"/>
      <c r="CQ37" s="11"/>
      <c r="CR37" s="11"/>
      <c r="CS37" s="11"/>
      <c r="CT37" s="247"/>
      <c r="CU37" s="247"/>
      <c r="CV37" s="247"/>
      <c r="CW37" s="11"/>
      <c r="CX37" s="11"/>
      <c r="CY37" s="11"/>
      <c r="CZ37" s="11"/>
      <c r="DA37" s="11"/>
      <c r="DB37" s="11"/>
      <c r="DC37" s="11"/>
      <c r="DD37" s="11"/>
      <c r="DE37" s="11"/>
      <c r="DF37" s="11"/>
      <c r="DG37" s="11"/>
      <c r="DH37" s="11"/>
      <c r="DI37" s="11"/>
      <c r="DJ37" s="11"/>
      <c r="DK37" s="11"/>
      <c r="DL37" s="247"/>
      <c r="DM37" s="247"/>
      <c r="DN37" s="247"/>
      <c r="DO37" s="247"/>
      <c r="DP37" s="247"/>
      <c r="DQ37" s="247"/>
      <c r="DR37" s="247"/>
      <c r="DS37" s="247"/>
      <c r="DT37" s="247"/>
      <c r="DU37" s="247"/>
      <c r="DV37" s="247"/>
      <c r="DW37" s="247"/>
      <c r="DX37" s="247"/>
      <c r="DY37" s="247"/>
      <c r="DZ37" s="247"/>
      <c r="EA37" s="247"/>
      <c r="EB37" s="247"/>
      <c r="EC37" s="247"/>
      <c r="ED37" s="17">
        <f t="shared" si="4"/>
        <v>389941.16885499994</v>
      </c>
      <c r="EE37" s="29">
        <f t="shared" si="5"/>
        <v>5</v>
      </c>
      <c r="EF37" s="17">
        <f t="shared" si="6"/>
        <v>77988.233770999985</v>
      </c>
    </row>
    <row r="38" spans="1:136" ht="38.25" x14ac:dyDescent="0.25">
      <c r="A38" s="25">
        <f>Distribución_Elementos!A38</f>
        <v>36</v>
      </c>
      <c r="B38" s="22" t="str">
        <f>Distribución_Elementos!B38</f>
        <v>Balon aforado de 500 ml clase B en vidrio con tapa, normatividad ASTM E-438  o DIN EN ISO 1042 Certificado por lote.</v>
      </c>
      <c r="C38" s="22" t="str">
        <f>Distribución_Elementos!C38</f>
        <v>Brand, Pyrex, Corning, Kymax o equivalente</v>
      </c>
      <c r="D38" s="22" t="str">
        <f>Distribución_Elementos!D38</f>
        <v>Unidad</v>
      </c>
      <c r="E38" s="224">
        <v>1</v>
      </c>
      <c r="F38" s="221">
        <v>0</v>
      </c>
      <c r="G38" s="221">
        <v>0</v>
      </c>
      <c r="H38" s="221">
        <v>0</v>
      </c>
      <c r="I38" s="221">
        <v>0</v>
      </c>
      <c r="J38" s="221">
        <v>50054.97</v>
      </c>
      <c r="K38" s="221">
        <v>49980</v>
      </c>
      <c r="L38" s="247">
        <f>J38</f>
        <v>50054.97</v>
      </c>
      <c r="M38" s="247">
        <f>K38*E1</f>
        <v>51479.4</v>
      </c>
      <c r="N38" s="227"/>
      <c r="O38" s="119"/>
      <c r="P38" s="119"/>
      <c r="Q38" s="115"/>
      <c r="R38" s="115"/>
      <c r="S38" s="11"/>
      <c r="T38" s="247"/>
      <c r="U38" s="247"/>
      <c r="V38" s="247"/>
      <c r="W38" s="17"/>
      <c r="X38" s="11"/>
      <c r="Y38" s="11"/>
      <c r="Z38" s="247"/>
      <c r="AA38" s="247"/>
      <c r="AB38" s="247"/>
      <c r="AC38" s="5"/>
      <c r="AD38" s="22"/>
      <c r="AE38" s="17"/>
      <c r="AF38" s="102">
        <v>56785.80000000001</v>
      </c>
      <c r="AG38" s="102">
        <f t="shared" si="14"/>
        <v>10789.302000000001</v>
      </c>
      <c r="AH38" s="150">
        <f t="shared" si="15"/>
        <v>67575.102000000014</v>
      </c>
      <c r="AI38" s="44" t="s">
        <v>140</v>
      </c>
      <c r="AJ38" s="44" t="s">
        <v>1508</v>
      </c>
      <c r="AK38" s="17"/>
      <c r="AL38" s="102"/>
      <c r="AM38" s="132"/>
      <c r="AN38" s="161"/>
      <c r="AO38" s="115"/>
      <c r="AP38" s="115"/>
      <c r="AQ38" s="17"/>
      <c r="AR38" s="247"/>
      <c r="AS38" s="247"/>
      <c r="AT38" s="247"/>
      <c r="AU38" s="17"/>
      <c r="AV38" s="17"/>
      <c r="AW38" s="17"/>
      <c r="AX38" s="247"/>
      <c r="AY38" s="247"/>
      <c r="AZ38" s="247"/>
      <c r="BA38" s="17"/>
      <c r="BB38" s="52"/>
      <c r="BC38" s="17"/>
      <c r="BD38" s="247"/>
      <c r="BE38" s="247"/>
      <c r="BF38" s="247"/>
      <c r="BG38" s="17"/>
      <c r="BH38" s="17"/>
      <c r="BI38" s="17"/>
      <c r="BJ38" s="247">
        <v>138300</v>
      </c>
      <c r="BK38" s="247">
        <f t="shared" si="0"/>
        <v>26277</v>
      </c>
      <c r="BL38" s="247">
        <f t="shared" si="1"/>
        <v>164577</v>
      </c>
      <c r="BM38" s="190" t="s">
        <v>1499</v>
      </c>
      <c r="BN38" s="190" t="s">
        <v>1510</v>
      </c>
      <c r="BO38" s="17"/>
      <c r="BP38" s="247">
        <v>49500</v>
      </c>
      <c r="BQ38" s="247">
        <f t="shared" si="12"/>
        <v>9405</v>
      </c>
      <c r="BR38" s="247">
        <f t="shared" si="9"/>
        <v>58905</v>
      </c>
      <c r="BS38" s="17"/>
      <c r="BT38" s="17"/>
      <c r="BU38" s="17"/>
      <c r="BV38" s="195">
        <v>154015.85880000002</v>
      </c>
      <c r="BW38" s="195">
        <f t="shared" si="16"/>
        <v>29263.013172000003</v>
      </c>
      <c r="BX38" s="246">
        <f t="shared" si="17"/>
        <v>183278.87197200002</v>
      </c>
      <c r="BY38" s="190" t="s">
        <v>1499</v>
      </c>
      <c r="BZ38" s="190" t="s">
        <v>1510</v>
      </c>
      <c r="CA38" s="190"/>
      <c r="CB38" s="247"/>
      <c r="CC38" s="247"/>
      <c r="CD38" s="247"/>
      <c r="CE38" s="17"/>
      <c r="CF38" s="17"/>
      <c r="CG38" s="17"/>
      <c r="CH38" s="247"/>
      <c r="CI38" s="247"/>
      <c r="CJ38" s="247"/>
      <c r="CK38" s="17"/>
      <c r="CL38" s="17"/>
      <c r="CM38" s="17"/>
      <c r="CN38" s="17"/>
      <c r="CO38" s="17"/>
      <c r="CP38" s="11"/>
      <c r="CQ38" s="11"/>
      <c r="CR38" s="11"/>
      <c r="CS38" s="11"/>
      <c r="CT38" s="247"/>
      <c r="CU38" s="247"/>
      <c r="CV38" s="247"/>
      <c r="CW38" s="11"/>
      <c r="CX38" s="11"/>
      <c r="CY38" s="11"/>
      <c r="CZ38" s="11"/>
      <c r="DA38" s="11"/>
      <c r="DB38" s="11"/>
      <c r="DC38" s="11"/>
      <c r="DD38" s="11"/>
      <c r="DE38" s="11"/>
      <c r="DF38" s="11"/>
      <c r="DG38" s="11"/>
      <c r="DH38" s="11"/>
      <c r="DI38" s="11"/>
      <c r="DJ38" s="11"/>
      <c r="DK38" s="11"/>
      <c r="DL38" s="247"/>
      <c r="DM38" s="247"/>
      <c r="DN38" s="247"/>
      <c r="DO38" s="247"/>
      <c r="DP38" s="247"/>
      <c r="DQ38" s="247"/>
      <c r="DR38" s="247"/>
      <c r="DS38" s="247"/>
      <c r="DT38" s="247"/>
      <c r="DU38" s="247"/>
      <c r="DV38" s="247"/>
      <c r="DW38" s="247"/>
      <c r="DX38" s="247"/>
      <c r="DY38" s="247"/>
      <c r="DZ38" s="247"/>
      <c r="EA38" s="247"/>
      <c r="EB38" s="247"/>
      <c r="EC38" s="247"/>
      <c r="ED38" s="17">
        <f t="shared" si="4"/>
        <v>525815.37397199997</v>
      </c>
      <c r="EE38" s="29">
        <f t="shared" si="5"/>
        <v>5</v>
      </c>
      <c r="EF38" s="17">
        <f t="shared" si="6"/>
        <v>105163.07479439999</v>
      </c>
    </row>
    <row r="39" spans="1:136" ht="25.5" x14ac:dyDescent="0.25">
      <c r="A39" s="25">
        <f>Distribución_Elementos!A39</f>
        <v>37</v>
      </c>
      <c r="B39" s="22" t="str">
        <f>Distribución_Elementos!B39</f>
        <v>Balones de fondo redondo de 250 mL con cabeza de vidrio esmerilado boca 24/40</v>
      </c>
      <c r="C39" s="22" t="str">
        <f>Distribución_Elementos!C39</f>
        <v>Cualquier marca</v>
      </c>
      <c r="D39" s="22" t="str">
        <f>Distribución_Elementos!D39</f>
        <v>Unidad</v>
      </c>
      <c r="E39" s="224">
        <v>1</v>
      </c>
      <c r="F39" s="221">
        <v>0</v>
      </c>
      <c r="G39" s="221">
        <v>0</v>
      </c>
      <c r="H39" s="221">
        <v>0</v>
      </c>
      <c r="I39" s="221">
        <v>0</v>
      </c>
      <c r="J39" s="221">
        <v>42959</v>
      </c>
      <c r="K39" s="221">
        <v>0</v>
      </c>
      <c r="L39" s="247">
        <f>J39</f>
        <v>42959</v>
      </c>
      <c r="M39" s="247"/>
      <c r="N39" s="227">
        <v>34000</v>
      </c>
      <c r="O39" s="119">
        <f>+N39*0.19</f>
        <v>6460</v>
      </c>
      <c r="P39" s="119">
        <f>+N39+O39</f>
        <v>40460</v>
      </c>
      <c r="Q39" s="11"/>
      <c r="R39" s="11"/>
      <c r="S39" s="11"/>
      <c r="T39" s="247"/>
      <c r="U39" s="247"/>
      <c r="V39" s="247"/>
      <c r="W39" s="11"/>
      <c r="X39" s="11"/>
      <c r="Y39" s="11"/>
      <c r="Z39" s="247"/>
      <c r="AA39" s="247"/>
      <c r="AB39" s="247"/>
      <c r="AC39" s="11"/>
      <c r="AD39" s="11"/>
      <c r="AE39" s="11"/>
      <c r="AF39" s="247"/>
      <c r="AG39" s="247"/>
      <c r="AH39" s="150"/>
      <c r="AI39" s="11"/>
      <c r="AJ39" s="11"/>
      <c r="AK39" s="11"/>
      <c r="AL39" s="102"/>
      <c r="AM39" s="102"/>
      <c r="AN39" s="102"/>
      <c r="AO39" s="44"/>
      <c r="AP39" s="44"/>
      <c r="AQ39" s="11"/>
      <c r="AR39" s="247"/>
      <c r="AS39" s="247"/>
      <c r="AT39" s="247"/>
      <c r="AU39" s="11"/>
      <c r="AV39" s="11"/>
      <c r="AW39" s="11"/>
      <c r="AX39" s="247"/>
      <c r="AY39" s="247"/>
      <c r="AZ39" s="247"/>
      <c r="BA39" s="11"/>
      <c r="BB39" s="11"/>
      <c r="BC39" s="11"/>
      <c r="BD39" s="247"/>
      <c r="BE39" s="247"/>
      <c r="BF39" s="247"/>
      <c r="BG39" s="11"/>
      <c r="BH39" s="11"/>
      <c r="BI39" s="11"/>
      <c r="BJ39" s="247"/>
      <c r="BK39" s="247"/>
      <c r="BL39" s="247"/>
      <c r="BM39" s="190"/>
      <c r="BN39" s="190"/>
      <c r="BO39" s="11"/>
      <c r="BP39" s="247">
        <v>45200</v>
      </c>
      <c r="BQ39" s="247">
        <f t="shared" si="12"/>
        <v>8588</v>
      </c>
      <c r="BR39" s="247">
        <f t="shared" si="9"/>
        <v>53788</v>
      </c>
      <c r="BS39" s="11"/>
      <c r="BT39" s="11"/>
      <c r="BU39" s="11"/>
      <c r="BV39" s="189"/>
      <c r="BW39" s="197"/>
      <c r="BX39" s="246"/>
      <c r="BY39" s="190"/>
      <c r="BZ39" s="190"/>
      <c r="CA39" s="190"/>
      <c r="CB39" s="247"/>
      <c r="CC39" s="247"/>
      <c r="CD39" s="247"/>
      <c r="CE39" s="11"/>
      <c r="CF39" s="11"/>
      <c r="CG39" s="11"/>
      <c r="CH39" s="247"/>
      <c r="CI39" s="247"/>
      <c r="CJ39" s="247"/>
      <c r="CK39" s="11"/>
      <c r="CL39" s="11"/>
      <c r="CM39" s="11"/>
      <c r="CN39" s="11"/>
      <c r="CO39" s="11"/>
      <c r="CP39" s="11"/>
      <c r="CQ39" s="11"/>
      <c r="CR39" s="11"/>
      <c r="CS39" s="11"/>
      <c r="CT39" s="247"/>
      <c r="CU39" s="247"/>
      <c r="CV39" s="247"/>
      <c r="CW39" s="11"/>
      <c r="CX39" s="11"/>
      <c r="CY39" s="11"/>
      <c r="CZ39" s="11"/>
      <c r="DA39" s="11"/>
      <c r="DB39" s="11"/>
      <c r="DC39" s="11"/>
      <c r="DD39" s="11"/>
      <c r="DE39" s="11"/>
      <c r="DF39" s="11"/>
      <c r="DG39" s="11"/>
      <c r="DH39" s="11"/>
      <c r="DI39" s="11"/>
      <c r="DJ39" s="11"/>
      <c r="DK39" s="11"/>
      <c r="DL39" s="247"/>
      <c r="DM39" s="247"/>
      <c r="DN39" s="247"/>
      <c r="DO39" s="247"/>
      <c r="DP39" s="247"/>
      <c r="DQ39" s="247"/>
      <c r="DR39" s="247"/>
      <c r="DS39" s="247"/>
      <c r="DT39" s="247"/>
      <c r="DU39" s="247"/>
      <c r="DV39" s="247"/>
      <c r="DW39" s="247"/>
      <c r="DX39" s="247"/>
      <c r="DY39" s="247"/>
      <c r="DZ39" s="247"/>
      <c r="EA39" s="247"/>
      <c r="EB39" s="247"/>
      <c r="EC39" s="247"/>
      <c r="ED39" s="17">
        <f t="shared" si="4"/>
        <v>94248</v>
      </c>
      <c r="EE39" s="29">
        <f t="shared" si="5"/>
        <v>2</v>
      </c>
      <c r="EF39" s="17">
        <f t="shared" si="6"/>
        <v>47124</v>
      </c>
    </row>
    <row r="40" spans="1:136" ht="25.5" x14ac:dyDescent="0.25">
      <c r="A40" s="25">
        <f>Distribución_Elementos!A40</f>
        <v>38</v>
      </c>
      <c r="B40" s="22" t="str">
        <f>Distribución_Elementos!B40</f>
        <v>Bandeja en acero inoxidable, resistente a ácidos y bases 26 a  28 (largo) x 17  a 19 (ancho) x 5 a 6 cm (profundidad)</v>
      </c>
      <c r="C40" s="22" t="str">
        <f>Distribución_Elementos!C40</f>
        <v>Cualquier marca</v>
      </c>
      <c r="D40" s="22" t="str">
        <f>Distribución_Elementos!D40</f>
        <v>Unidad</v>
      </c>
      <c r="E40" s="224">
        <v>1</v>
      </c>
      <c r="F40" s="221">
        <v>0</v>
      </c>
      <c r="G40" s="221">
        <v>0</v>
      </c>
      <c r="H40" s="221">
        <v>0</v>
      </c>
      <c r="I40" s="221">
        <v>0</v>
      </c>
      <c r="J40" s="221">
        <v>0</v>
      </c>
      <c r="K40" s="221">
        <v>0</v>
      </c>
      <c r="L40" s="247"/>
      <c r="M40" s="247"/>
      <c r="N40" s="227">
        <v>65000</v>
      </c>
      <c r="O40" s="119">
        <f>+N40*0.19</f>
        <v>12350</v>
      </c>
      <c r="P40" s="119">
        <f>+N40+O40</f>
        <v>77350</v>
      </c>
      <c r="Q40" s="115"/>
      <c r="R40" s="115"/>
      <c r="S40" s="11"/>
      <c r="T40" s="247"/>
      <c r="U40" s="247"/>
      <c r="V40" s="247"/>
      <c r="W40" s="17"/>
      <c r="X40" s="11"/>
      <c r="Y40" s="11"/>
      <c r="Z40" s="247"/>
      <c r="AA40" s="247"/>
      <c r="AB40" s="247"/>
      <c r="AC40" s="44"/>
      <c r="AD40" s="22"/>
      <c r="AE40" s="17"/>
      <c r="AF40" s="247"/>
      <c r="AG40" s="247"/>
      <c r="AH40" s="151"/>
      <c r="AI40" s="4"/>
      <c r="AJ40" s="17"/>
      <c r="AK40" s="17"/>
      <c r="AL40" s="102"/>
      <c r="AM40" s="132"/>
      <c r="AN40" s="161"/>
      <c r="AO40" s="115"/>
      <c r="AP40" s="115"/>
      <c r="AQ40" s="17"/>
      <c r="AR40" s="247"/>
      <c r="AS40" s="247"/>
      <c r="AT40" s="247"/>
      <c r="AU40" s="17"/>
      <c r="AV40" s="17"/>
      <c r="AW40" s="17"/>
      <c r="AX40" s="247"/>
      <c r="AY40" s="247"/>
      <c r="AZ40" s="247"/>
      <c r="BA40" s="17"/>
      <c r="BB40" s="52"/>
      <c r="BC40" s="17"/>
      <c r="BD40" s="247"/>
      <c r="BE40" s="247"/>
      <c r="BF40" s="247"/>
      <c r="BG40" s="17"/>
      <c r="BH40" s="17"/>
      <c r="BI40" s="17"/>
      <c r="BJ40" s="247">
        <v>69500</v>
      </c>
      <c r="BK40" s="247">
        <f t="shared" si="0"/>
        <v>13205</v>
      </c>
      <c r="BL40" s="247">
        <f t="shared" si="1"/>
        <v>82705</v>
      </c>
      <c r="BM40" s="190" t="s">
        <v>375</v>
      </c>
      <c r="BN40" s="190" t="s">
        <v>153</v>
      </c>
      <c r="BO40" s="17"/>
      <c r="BP40" s="247">
        <v>125000</v>
      </c>
      <c r="BQ40" s="247">
        <f t="shared" si="12"/>
        <v>23750</v>
      </c>
      <c r="BR40" s="247">
        <f t="shared" si="9"/>
        <v>148750</v>
      </c>
      <c r="BS40" s="17"/>
      <c r="BT40" s="17"/>
      <c r="BU40" s="17"/>
      <c r="BV40" s="195">
        <v>75859.736499999999</v>
      </c>
      <c r="BW40" s="195">
        <f>+BV40*0.19</f>
        <v>14413.349935</v>
      </c>
      <c r="BX40" s="246">
        <f>+BV40+BW40</f>
        <v>90273.086435000005</v>
      </c>
      <c r="BY40" s="190" t="s">
        <v>375</v>
      </c>
      <c r="BZ40" s="190" t="s">
        <v>153</v>
      </c>
      <c r="CA40" s="190"/>
      <c r="CB40" s="247"/>
      <c r="CC40" s="247"/>
      <c r="CD40" s="247"/>
      <c r="CE40" s="17"/>
      <c r="CF40" s="17"/>
      <c r="CG40" s="17"/>
      <c r="CH40" s="247"/>
      <c r="CI40" s="247"/>
      <c r="CJ40" s="247"/>
      <c r="CK40" s="17"/>
      <c r="CL40" s="17"/>
      <c r="CM40" s="17"/>
      <c r="CN40" s="17"/>
      <c r="CO40" s="17"/>
      <c r="CP40" s="11"/>
      <c r="CQ40" s="11"/>
      <c r="CR40" s="11"/>
      <c r="CS40" s="11"/>
      <c r="CT40" s="247"/>
      <c r="CU40" s="247"/>
      <c r="CV40" s="247"/>
      <c r="CW40" s="11"/>
      <c r="CX40" s="11"/>
      <c r="CY40" s="11"/>
      <c r="CZ40" s="11"/>
      <c r="DA40" s="11"/>
      <c r="DB40" s="11"/>
      <c r="DC40" s="11"/>
      <c r="DD40" s="11"/>
      <c r="DE40" s="11"/>
      <c r="DF40" s="11"/>
      <c r="DG40" s="11"/>
      <c r="DH40" s="11"/>
      <c r="DI40" s="11"/>
      <c r="DJ40" s="11"/>
      <c r="DK40" s="11"/>
      <c r="DL40" s="247"/>
      <c r="DM40" s="247"/>
      <c r="DN40" s="247"/>
      <c r="DO40" s="247"/>
      <c r="DP40" s="247"/>
      <c r="DQ40" s="247"/>
      <c r="DR40" s="247"/>
      <c r="DS40" s="247"/>
      <c r="DT40" s="247"/>
      <c r="DU40" s="247"/>
      <c r="DV40" s="247"/>
      <c r="DW40" s="247"/>
      <c r="DX40" s="247"/>
      <c r="DY40" s="247"/>
      <c r="DZ40" s="247"/>
      <c r="EA40" s="247"/>
      <c r="EB40" s="247"/>
      <c r="EC40" s="247"/>
      <c r="ED40" s="17">
        <f t="shared" si="4"/>
        <v>399078.086435</v>
      </c>
      <c r="EE40" s="29">
        <f t="shared" si="5"/>
        <v>4</v>
      </c>
      <c r="EF40" s="17">
        <f t="shared" si="6"/>
        <v>99769.521608750001</v>
      </c>
    </row>
    <row r="41" spans="1:136" ht="25.5" x14ac:dyDescent="0.25">
      <c r="A41" s="25">
        <f>Distribución_Elementos!A41</f>
        <v>39</v>
      </c>
      <c r="B41" s="22" t="str">
        <f>Distribución_Elementos!B41</f>
        <v>Bandeja en acero inoxidable, resistente a ácidos y bases 48 a 52 (largo) x 38 a 42 (ancho) x 18 a 22 cm (profundidad)</v>
      </c>
      <c r="C41" s="22" t="str">
        <f>Distribución_Elementos!C41</f>
        <v>Cualquier marca</v>
      </c>
      <c r="D41" s="22" t="str">
        <f>Distribución_Elementos!D41</f>
        <v>Unidad</v>
      </c>
      <c r="E41" s="224">
        <v>1</v>
      </c>
      <c r="F41" s="221">
        <v>0</v>
      </c>
      <c r="G41" s="221">
        <v>0</v>
      </c>
      <c r="H41" s="221">
        <v>0</v>
      </c>
      <c r="I41" s="221">
        <v>0</v>
      </c>
      <c r="J41" s="221">
        <v>0</v>
      </c>
      <c r="K41" s="221">
        <v>0</v>
      </c>
      <c r="L41" s="247"/>
      <c r="M41" s="247"/>
      <c r="N41" s="227">
        <v>100000</v>
      </c>
      <c r="O41" s="119">
        <f>+N41*0.19</f>
        <v>19000</v>
      </c>
      <c r="P41" s="119">
        <f>+N41+O41</f>
        <v>119000</v>
      </c>
      <c r="Q41" s="115"/>
      <c r="R41" s="115"/>
      <c r="S41" s="11"/>
      <c r="T41" s="247"/>
      <c r="U41" s="247"/>
      <c r="V41" s="247"/>
      <c r="W41" s="17"/>
      <c r="X41" s="11"/>
      <c r="Y41" s="11"/>
      <c r="Z41" s="247"/>
      <c r="AA41" s="247"/>
      <c r="AB41" s="247"/>
      <c r="AC41" s="44"/>
      <c r="AD41" s="22"/>
      <c r="AE41" s="17"/>
      <c r="AF41" s="247"/>
      <c r="AG41" s="247"/>
      <c r="AH41" s="151"/>
      <c r="AI41" s="4"/>
      <c r="AJ41" s="17"/>
      <c r="AK41" s="17"/>
      <c r="AL41" s="102"/>
      <c r="AM41" s="132"/>
      <c r="AN41" s="161"/>
      <c r="AO41" s="115"/>
      <c r="AP41" s="115"/>
      <c r="AQ41" s="17"/>
      <c r="AR41" s="247"/>
      <c r="AS41" s="247"/>
      <c r="AT41" s="247"/>
      <c r="AU41" s="17"/>
      <c r="AV41" s="17"/>
      <c r="AW41" s="17"/>
      <c r="AX41" s="247"/>
      <c r="AY41" s="247"/>
      <c r="AZ41" s="247"/>
      <c r="BA41" s="17"/>
      <c r="BB41" s="52"/>
      <c r="BC41" s="17"/>
      <c r="BD41" s="247"/>
      <c r="BE41" s="247"/>
      <c r="BF41" s="247"/>
      <c r="BG41" s="17"/>
      <c r="BH41" s="17"/>
      <c r="BI41" s="17"/>
      <c r="BJ41" s="247">
        <v>108500</v>
      </c>
      <c r="BK41" s="247">
        <f t="shared" si="0"/>
        <v>20615</v>
      </c>
      <c r="BL41" s="247">
        <f t="shared" si="1"/>
        <v>129115</v>
      </c>
      <c r="BM41" s="190" t="s">
        <v>1499</v>
      </c>
      <c r="BN41" s="190" t="s">
        <v>1522</v>
      </c>
      <c r="BO41" s="17"/>
      <c r="BP41" s="247">
        <v>145200</v>
      </c>
      <c r="BQ41" s="247">
        <f t="shared" si="12"/>
        <v>27588</v>
      </c>
      <c r="BR41" s="247">
        <f t="shared" si="9"/>
        <v>172788</v>
      </c>
      <c r="BS41" s="17"/>
      <c r="BT41" s="17"/>
      <c r="BU41" s="17"/>
      <c r="BV41" s="195">
        <v>124225.55600000003</v>
      </c>
      <c r="BW41" s="195">
        <f>+BV41*0.19</f>
        <v>23602.855640000005</v>
      </c>
      <c r="BX41" s="246">
        <f>+BV41+BW41</f>
        <v>147828.41164000003</v>
      </c>
      <c r="BY41" s="190" t="s">
        <v>1499</v>
      </c>
      <c r="BZ41" s="190" t="s">
        <v>1522</v>
      </c>
      <c r="CA41" s="190"/>
      <c r="CB41" s="247"/>
      <c r="CC41" s="247"/>
      <c r="CD41" s="247"/>
      <c r="CE41" s="17"/>
      <c r="CF41" s="17"/>
      <c r="CG41" s="17"/>
      <c r="CH41" s="247"/>
      <c r="CI41" s="247"/>
      <c r="CJ41" s="247"/>
      <c r="CK41" s="17"/>
      <c r="CL41" s="17"/>
      <c r="CM41" s="17"/>
      <c r="CN41" s="17"/>
      <c r="CO41" s="17"/>
      <c r="CP41" s="11"/>
      <c r="CQ41" s="11"/>
      <c r="CR41" s="11"/>
      <c r="CS41" s="11"/>
      <c r="CT41" s="247"/>
      <c r="CU41" s="247"/>
      <c r="CV41" s="247"/>
      <c r="CW41" s="11"/>
      <c r="CX41" s="11"/>
      <c r="CY41" s="11"/>
      <c r="CZ41" s="11"/>
      <c r="DA41" s="11"/>
      <c r="DB41" s="11"/>
      <c r="DC41" s="11"/>
      <c r="DD41" s="11"/>
      <c r="DE41" s="11"/>
      <c r="DF41" s="11"/>
      <c r="DG41" s="11"/>
      <c r="DH41" s="11"/>
      <c r="DI41" s="11"/>
      <c r="DJ41" s="11"/>
      <c r="DK41" s="11"/>
      <c r="DL41" s="247"/>
      <c r="DM41" s="247"/>
      <c r="DN41" s="247"/>
      <c r="DO41" s="247"/>
      <c r="DP41" s="247"/>
      <c r="DQ41" s="247"/>
      <c r="DR41" s="247"/>
      <c r="DS41" s="247"/>
      <c r="DT41" s="247"/>
      <c r="DU41" s="247"/>
      <c r="DV41" s="247"/>
      <c r="DW41" s="247"/>
      <c r="DX41" s="247"/>
      <c r="DY41" s="247"/>
      <c r="DZ41" s="247"/>
      <c r="EA41" s="247"/>
      <c r="EB41" s="247"/>
      <c r="EC41" s="247"/>
      <c r="ED41" s="17">
        <f t="shared" si="4"/>
        <v>568731.41164000006</v>
      </c>
      <c r="EE41" s="29">
        <f t="shared" si="5"/>
        <v>4</v>
      </c>
      <c r="EF41" s="17">
        <f t="shared" si="6"/>
        <v>142182.85291000002</v>
      </c>
    </row>
    <row r="42" spans="1:136" ht="25.5" x14ac:dyDescent="0.25">
      <c r="A42" s="25">
        <f>Distribución_Elementos!A42</f>
        <v>40</v>
      </c>
      <c r="B42" s="22" t="str">
        <f>Distribución_Elementos!B42</f>
        <v>Bandeja Plastica de polipropileno  31 a 33 (Largo) x 46 a 48 (Ancho)  x 6 a 8 cm (Profundidad)</v>
      </c>
      <c r="C42" s="22" t="str">
        <f>Distribución_Elementos!C42</f>
        <v>Vaniplast o Equvalente</v>
      </c>
      <c r="D42" s="22" t="str">
        <f>Distribución_Elementos!D42</f>
        <v>Unidad</v>
      </c>
      <c r="E42" s="224">
        <v>1</v>
      </c>
      <c r="F42" s="221">
        <v>0</v>
      </c>
      <c r="G42" s="221">
        <v>0</v>
      </c>
      <c r="H42" s="221">
        <v>0</v>
      </c>
      <c r="I42" s="221">
        <v>0</v>
      </c>
      <c r="J42" s="221">
        <v>0</v>
      </c>
      <c r="K42" s="221">
        <v>0</v>
      </c>
      <c r="L42" s="247"/>
      <c r="M42" s="247"/>
      <c r="N42" s="227">
        <v>35000</v>
      </c>
      <c r="O42" s="119">
        <f>+N42*0.19</f>
        <v>6650</v>
      </c>
      <c r="P42" s="119">
        <f>+N42+O42</f>
        <v>41650</v>
      </c>
      <c r="Q42" s="115"/>
      <c r="R42" s="115"/>
      <c r="S42" s="11"/>
      <c r="T42" s="247"/>
      <c r="U42" s="247"/>
      <c r="V42" s="247"/>
      <c r="W42" s="17"/>
      <c r="X42" s="11"/>
      <c r="Y42" s="11"/>
      <c r="Z42" s="247"/>
      <c r="AA42" s="247"/>
      <c r="AB42" s="247"/>
      <c r="AC42" s="44"/>
      <c r="AD42" s="22"/>
      <c r="AE42" s="17"/>
      <c r="AF42" s="247"/>
      <c r="AG42" s="247"/>
      <c r="AH42" s="97"/>
      <c r="AI42" s="4"/>
      <c r="AJ42" s="17"/>
      <c r="AK42" s="17"/>
      <c r="AL42" s="102"/>
      <c r="AM42" s="132"/>
      <c r="AN42" s="161"/>
      <c r="AO42" s="115"/>
      <c r="AP42" s="115"/>
      <c r="AQ42" s="17"/>
      <c r="AR42" s="247"/>
      <c r="AS42" s="247"/>
      <c r="AT42" s="247"/>
      <c r="AU42" s="17"/>
      <c r="AV42" s="17"/>
      <c r="AW42" s="17"/>
      <c r="AX42" s="247"/>
      <c r="AY42" s="247"/>
      <c r="AZ42" s="247"/>
      <c r="BA42" s="17"/>
      <c r="BB42" s="52"/>
      <c r="BC42" s="17"/>
      <c r="BD42" s="247"/>
      <c r="BE42" s="247"/>
      <c r="BF42" s="247"/>
      <c r="BG42" s="17"/>
      <c r="BH42" s="17"/>
      <c r="BI42" s="17"/>
      <c r="BJ42" s="247"/>
      <c r="BK42" s="247"/>
      <c r="BL42" s="247"/>
      <c r="BM42" s="190"/>
      <c r="BN42" s="190"/>
      <c r="BO42" s="17"/>
      <c r="BP42" s="247">
        <v>65000</v>
      </c>
      <c r="BQ42" s="247">
        <f t="shared" si="12"/>
        <v>12350</v>
      </c>
      <c r="BR42" s="247">
        <f t="shared" si="9"/>
        <v>77350</v>
      </c>
      <c r="BS42" s="17"/>
      <c r="BT42" s="17"/>
      <c r="BU42" s="17"/>
      <c r="BV42" s="189"/>
      <c r="BW42" s="197"/>
      <c r="BX42" s="246"/>
      <c r="BY42" s="190"/>
      <c r="BZ42" s="190"/>
      <c r="CA42" s="190"/>
      <c r="CB42" s="247"/>
      <c r="CC42" s="247"/>
      <c r="CD42" s="247"/>
      <c r="CE42" s="17"/>
      <c r="CF42" s="17"/>
      <c r="CG42" s="17"/>
      <c r="CH42" s="247"/>
      <c r="CI42" s="247"/>
      <c r="CJ42" s="247"/>
      <c r="CK42" s="17"/>
      <c r="CL42" s="17"/>
      <c r="CM42" s="17"/>
      <c r="CN42" s="17"/>
      <c r="CO42" s="17"/>
      <c r="CP42" s="11"/>
      <c r="CQ42" s="11"/>
      <c r="CR42" s="11"/>
      <c r="CS42" s="11"/>
      <c r="CT42" s="247"/>
      <c r="CU42" s="247"/>
      <c r="CV42" s="247"/>
      <c r="CW42" s="11"/>
      <c r="CX42" s="11"/>
      <c r="CY42" s="11"/>
      <c r="CZ42" s="11"/>
      <c r="DA42" s="11"/>
      <c r="DB42" s="11"/>
      <c r="DC42" s="11"/>
      <c r="DD42" s="11"/>
      <c r="DE42" s="11"/>
      <c r="DF42" s="11"/>
      <c r="DG42" s="11"/>
      <c r="DH42" s="11"/>
      <c r="DI42" s="11"/>
      <c r="DJ42" s="11"/>
      <c r="DK42" s="11"/>
      <c r="DL42" s="247"/>
      <c r="DM42" s="247"/>
      <c r="DN42" s="247"/>
      <c r="DO42" s="247"/>
      <c r="DP42" s="247"/>
      <c r="DQ42" s="247"/>
      <c r="DR42" s="247"/>
      <c r="DS42" s="247"/>
      <c r="DT42" s="247"/>
      <c r="DU42" s="247"/>
      <c r="DV42" s="247"/>
      <c r="DW42" s="247"/>
      <c r="DX42" s="247"/>
      <c r="DY42" s="247"/>
      <c r="DZ42" s="247"/>
      <c r="EA42" s="247"/>
      <c r="EB42" s="247"/>
      <c r="EC42" s="247"/>
      <c r="ED42" s="17">
        <f t="shared" si="4"/>
        <v>119000</v>
      </c>
      <c r="EE42" s="29">
        <f t="shared" si="5"/>
        <v>2</v>
      </c>
      <c r="EF42" s="17">
        <f t="shared" si="6"/>
        <v>59500</v>
      </c>
    </row>
    <row r="43" spans="1:136" ht="25.5" x14ac:dyDescent="0.25">
      <c r="A43" s="25">
        <f>Distribución_Elementos!A43</f>
        <v>41</v>
      </c>
      <c r="B43" s="22" t="str">
        <f>Distribución_Elementos!B43</f>
        <v>Barra agitadora magnética forma cilíndrica con anillo central 20 mm x 6 mm (longitud x diámetro) medidas aproximadas</v>
      </c>
      <c r="C43" s="22" t="str">
        <f>Distribución_Elementos!C43</f>
        <v>Fischer Scientific o equivalente</v>
      </c>
      <c r="D43" s="22" t="str">
        <f>Distribución_Elementos!D43</f>
        <v>Unidad</v>
      </c>
      <c r="E43" s="224">
        <v>1</v>
      </c>
      <c r="F43" s="221">
        <v>14751.24</v>
      </c>
      <c r="G43" s="221">
        <v>14161</v>
      </c>
      <c r="H43" s="221">
        <v>9010.7152289826627</v>
      </c>
      <c r="I43" s="221">
        <v>8925</v>
      </c>
      <c r="J43" s="221">
        <v>25583.512500000001</v>
      </c>
      <c r="K43" s="221">
        <v>24990</v>
      </c>
      <c r="L43" s="247">
        <f>AVERAGE(F43,H43,J43)</f>
        <v>16448.489242994223</v>
      </c>
      <c r="M43" s="247">
        <f>AVERAGE(G43,I43,K43)*E1</f>
        <v>16506.093333333334</v>
      </c>
      <c r="N43" s="227">
        <v>18000</v>
      </c>
      <c r="O43" s="119">
        <f t="shared" ref="O43:O58" si="18">+N43*0.19</f>
        <v>3420</v>
      </c>
      <c r="P43" s="119">
        <f t="shared" ref="P43:P58" si="19">+N43+O43</f>
        <v>21420</v>
      </c>
      <c r="Q43" s="115"/>
      <c r="R43" s="115"/>
      <c r="S43" s="11"/>
      <c r="T43" s="247">
        <v>5830.0000000000009</v>
      </c>
      <c r="U43" s="247">
        <f>+T43*0.19</f>
        <v>1107.7000000000003</v>
      </c>
      <c r="V43" s="247">
        <f>+T43+U43</f>
        <v>6937.7000000000007</v>
      </c>
      <c r="W43" s="17" t="s">
        <v>1514</v>
      </c>
      <c r="X43" s="11" t="s">
        <v>1523</v>
      </c>
      <c r="Y43" s="11"/>
      <c r="Z43" s="247"/>
      <c r="AA43" s="247"/>
      <c r="AB43" s="247"/>
      <c r="AC43" s="44"/>
      <c r="AD43" s="22"/>
      <c r="AE43" s="17"/>
      <c r="AF43" s="247"/>
      <c r="AG43" s="247"/>
      <c r="AH43" s="151"/>
      <c r="AI43" s="4"/>
      <c r="AJ43" s="17"/>
      <c r="AK43" s="17"/>
      <c r="AL43" s="102"/>
      <c r="AM43" s="132"/>
      <c r="AN43" s="161"/>
      <c r="AO43" s="115"/>
      <c r="AP43" s="115"/>
      <c r="AQ43" s="17"/>
      <c r="AR43" s="247"/>
      <c r="AS43" s="247"/>
      <c r="AT43" s="247"/>
      <c r="AU43" s="17"/>
      <c r="AV43" s="17"/>
      <c r="AW43" s="17"/>
      <c r="AX43" s="247"/>
      <c r="AY43" s="247"/>
      <c r="AZ43" s="247"/>
      <c r="BA43" s="17"/>
      <c r="BB43" s="52"/>
      <c r="BC43" s="17"/>
      <c r="BD43" s="247"/>
      <c r="BE43" s="247"/>
      <c r="BF43" s="247"/>
      <c r="BG43" s="17"/>
      <c r="BH43" s="17"/>
      <c r="BI43" s="17"/>
      <c r="BJ43" s="247">
        <v>19000</v>
      </c>
      <c r="BK43" s="247">
        <f t="shared" si="0"/>
        <v>3610</v>
      </c>
      <c r="BL43" s="247">
        <f t="shared" si="1"/>
        <v>22610</v>
      </c>
      <c r="BM43" s="190" t="s">
        <v>1499</v>
      </c>
      <c r="BN43" s="190" t="s">
        <v>1510</v>
      </c>
      <c r="BO43" s="17"/>
      <c r="BP43" s="247">
        <v>8600</v>
      </c>
      <c r="BQ43" s="247">
        <f t="shared" si="12"/>
        <v>1634</v>
      </c>
      <c r="BR43" s="247">
        <f t="shared" si="9"/>
        <v>10234</v>
      </c>
      <c r="BS43" s="17"/>
      <c r="BT43" s="17"/>
      <c r="BU43" s="17"/>
      <c r="BV43" s="195">
        <v>22403.736000000004</v>
      </c>
      <c r="BW43" s="195">
        <f>+BV43*0.19</f>
        <v>4256.7098400000004</v>
      </c>
      <c r="BX43" s="246">
        <f t="shared" ref="BX43:BX51" si="20">+BV43+BW43</f>
        <v>26660.445840000004</v>
      </c>
      <c r="BY43" s="190" t="s">
        <v>1499</v>
      </c>
      <c r="BZ43" s="190" t="s">
        <v>1510</v>
      </c>
      <c r="CA43" s="190"/>
      <c r="CB43" s="247"/>
      <c r="CC43" s="247"/>
      <c r="CD43" s="247"/>
      <c r="CE43" s="17"/>
      <c r="CF43" s="17"/>
      <c r="CG43" s="17"/>
      <c r="CH43" s="247"/>
      <c r="CI43" s="247"/>
      <c r="CJ43" s="247"/>
      <c r="CK43" s="17"/>
      <c r="CL43" s="17"/>
      <c r="CM43" s="115"/>
      <c r="CN43" s="115"/>
      <c r="CO43" s="115"/>
      <c r="CP43" s="11"/>
      <c r="CQ43" s="11"/>
      <c r="CR43" s="11"/>
      <c r="CS43" s="11"/>
      <c r="CT43" s="247"/>
      <c r="CU43" s="247"/>
      <c r="CV43" s="247"/>
      <c r="CW43" s="11"/>
      <c r="CX43" s="11"/>
      <c r="CY43" s="11"/>
      <c r="CZ43" s="11"/>
      <c r="DA43" s="11"/>
      <c r="DB43" s="11"/>
      <c r="DC43" s="11"/>
      <c r="DD43" s="11"/>
      <c r="DE43" s="11"/>
      <c r="DF43" s="11"/>
      <c r="DG43" s="11"/>
      <c r="DH43" s="11"/>
      <c r="DI43" s="11"/>
      <c r="DJ43" s="11"/>
      <c r="DK43" s="11"/>
      <c r="DL43" s="247"/>
      <c r="DM43" s="247"/>
      <c r="DN43" s="247"/>
      <c r="DO43" s="247"/>
      <c r="DP43" s="247"/>
      <c r="DQ43" s="247"/>
      <c r="DR43" s="247"/>
      <c r="DS43" s="247"/>
      <c r="DT43" s="247"/>
      <c r="DU43" s="247"/>
      <c r="DV43" s="247"/>
      <c r="DW43" s="247"/>
      <c r="DX43" s="247"/>
      <c r="DY43" s="247"/>
      <c r="DZ43" s="247"/>
      <c r="EA43" s="247"/>
      <c r="EB43" s="247"/>
      <c r="EC43" s="247"/>
      <c r="ED43" s="17">
        <f t="shared" si="4"/>
        <v>104368.23917333334</v>
      </c>
      <c r="EE43" s="29">
        <f t="shared" si="5"/>
        <v>6</v>
      </c>
      <c r="EF43" s="17">
        <f t="shared" si="6"/>
        <v>17394.706528888888</v>
      </c>
    </row>
    <row r="44" spans="1:136" ht="25.5" x14ac:dyDescent="0.25">
      <c r="A44" s="25">
        <f>Distribución_Elementos!A44</f>
        <v>42</v>
      </c>
      <c r="B44" s="22" t="str">
        <f>Distribución_Elementos!B44</f>
        <v>Barra agitadora magnética forma cilíndrica con anillo central 40 mm x 8mm (longitud x diámetro) medidas aproximadas</v>
      </c>
      <c r="C44" s="22" t="str">
        <f>Distribución_Elementos!C44</f>
        <v>Fischer Scientific o equivalente</v>
      </c>
      <c r="D44" s="22" t="str">
        <f>Distribución_Elementos!D44</f>
        <v>Unidad</v>
      </c>
      <c r="E44" s="224">
        <v>1</v>
      </c>
      <c r="F44" s="221">
        <v>23377.682222222222</v>
      </c>
      <c r="G44" s="221">
        <v>22729</v>
      </c>
      <c r="H44" s="221">
        <v>14996.811895649329</v>
      </c>
      <c r="I44" s="221">
        <v>0</v>
      </c>
      <c r="J44" s="221">
        <v>35940.974999999999</v>
      </c>
      <c r="K44" s="221">
        <v>28084</v>
      </c>
      <c r="L44" s="247">
        <f>AVERAGE(F44,H44,J44)</f>
        <v>24771.823039290513</v>
      </c>
      <c r="M44" s="247">
        <f>AVERAGE(G44,K44)*E1</f>
        <v>26168.695</v>
      </c>
      <c r="N44" s="227">
        <v>25000</v>
      </c>
      <c r="O44" s="119">
        <f t="shared" si="18"/>
        <v>4750</v>
      </c>
      <c r="P44" s="119">
        <f t="shared" si="19"/>
        <v>29750</v>
      </c>
      <c r="Q44" s="115"/>
      <c r="R44" s="115"/>
      <c r="S44" s="11"/>
      <c r="T44" s="247">
        <v>8360</v>
      </c>
      <c r="U44" s="247">
        <f>+T44*0.19</f>
        <v>1588.4</v>
      </c>
      <c r="V44" s="247">
        <f>+T44+U44</f>
        <v>9948.4</v>
      </c>
      <c r="W44" s="17" t="s">
        <v>1514</v>
      </c>
      <c r="X44" s="11" t="s">
        <v>1517</v>
      </c>
      <c r="Y44" s="11"/>
      <c r="Z44" s="247"/>
      <c r="AA44" s="247"/>
      <c r="AB44" s="247"/>
      <c r="AC44" s="44"/>
      <c r="AD44" s="22"/>
      <c r="AE44" s="17"/>
      <c r="AF44" s="247"/>
      <c r="AG44" s="247"/>
      <c r="AH44" s="151"/>
      <c r="AI44" s="4"/>
      <c r="AJ44" s="17"/>
      <c r="AK44" s="17"/>
      <c r="AL44" s="102"/>
      <c r="AM44" s="132"/>
      <c r="AN44" s="161"/>
      <c r="AO44" s="115"/>
      <c r="AP44" s="115"/>
      <c r="AQ44" s="17"/>
      <c r="AR44" s="247"/>
      <c r="AS44" s="247"/>
      <c r="AT44" s="247"/>
      <c r="AU44" s="17"/>
      <c r="AV44" s="17"/>
      <c r="AW44" s="17"/>
      <c r="AX44" s="247"/>
      <c r="AY44" s="247"/>
      <c r="AZ44" s="247"/>
      <c r="BA44" s="17"/>
      <c r="BB44" s="52"/>
      <c r="BC44" s="17"/>
      <c r="BD44" s="247"/>
      <c r="BE44" s="247"/>
      <c r="BF44" s="247"/>
      <c r="BG44" s="17"/>
      <c r="BH44" s="17"/>
      <c r="BI44" s="17"/>
      <c r="BJ44" s="247">
        <v>38500</v>
      </c>
      <c r="BK44" s="247">
        <f t="shared" si="0"/>
        <v>7315</v>
      </c>
      <c r="BL44" s="247">
        <f t="shared" si="1"/>
        <v>45815</v>
      </c>
      <c r="BM44" s="190" t="s">
        <v>375</v>
      </c>
      <c r="BN44" s="190" t="s">
        <v>1510</v>
      </c>
      <c r="BO44" s="17"/>
      <c r="BP44" s="247">
        <v>9600</v>
      </c>
      <c r="BQ44" s="247">
        <f t="shared" si="12"/>
        <v>1824</v>
      </c>
      <c r="BR44" s="247">
        <f t="shared" si="9"/>
        <v>11424</v>
      </c>
      <c r="BS44" s="17"/>
      <c r="BT44" s="17"/>
      <c r="BU44" s="17"/>
      <c r="BV44" s="195">
        <v>43279.004999999997</v>
      </c>
      <c r="BW44" s="195">
        <f>+BV44*0.19</f>
        <v>8223.0109499999999</v>
      </c>
      <c r="BX44" s="246">
        <f t="shared" si="20"/>
        <v>51502.015950000001</v>
      </c>
      <c r="BY44" s="190" t="s">
        <v>375</v>
      </c>
      <c r="BZ44" s="190" t="s">
        <v>1510</v>
      </c>
      <c r="CA44" s="190"/>
      <c r="CB44" s="247"/>
      <c r="CC44" s="247"/>
      <c r="CD44" s="247"/>
      <c r="CE44" s="17"/>
      <c r="CF44" s="17"/>
      <c r="CG44" s="17"/>
      <c r="CH44" s="247"/>
      <c r="CI44" s="247"/>
      <c r="CJ44" s="247"/>
      <c r="CK44" s="17"/>
      <c r="CL44" s="17"/>
      <c r="CM44" s="115"/>
      <c r="CN44" s="115"/>
      <c r="CO44" s="115"/>
      <c r="CP44" s="11"/>
      <c r="CQ44" s="11"/>
      <c r="CR44" s="11"/>
      <c r="CS44" s="11"/>
      <c r="CT44" s="247"/>
      <c r="CU44" s="247"/>
      <c r="CV44" s="247"/>
      <c r="CW44" s="11"/>
      <c r="CX44" s="11"/>
      <c r="CY44" s="11"/>
      <c r="CZ44" s="11"/>
      <c r="DA44" s="11"/>
      <c r="DB44" s="11"/>
      <c r="DC44" s="11"/>
      <c r="DD44" s="11"/>
      <c r="DE44" s="11"/>
      <c r="DF44" s="11"/>
      <c r="DG44" s="11"/>
      <c r="DH44" s="11"/>
      <c r="DI44" s="11"/>
      <c r="DJ44" s="11"/>
      <c r="DK44" s="11"/>
      <c r="DL44" s="247"/>
      <c r="DM44" s="247"/>
      <c r="DN44" s="247"/>
      <c r="DO44" s="247"/>
      <c r="DP44" s="247"/>
      <c r="DQ44" s="247"/>
      <c r="DR44" s="247"/>
      <c r="DS44" s="247"/>
      <c r="DT44" s="247"/>
      <c r="DU44" s="247"/>
      <c r="DV44" s="247"/>
      <c r="DW44" s="247"/>
      <c r="DX44" s="247"/>
      <c r="DY44" s="247"/>
      <c r="DZ44" s="247"/>
      <c r="EA44" s="247"/>
      <c r="EB44" s="247"/>
      <c r="EC44" s="247"/>
      <c r="ED44" s="17">
        <f t="shared" si="4"/>
        <v>174608.11095</v>
      </c>
      <c r="EE44" s="29">
        <f t="shared" si="5"/>
        <v>6</v>
      </c>
      <c r="EF44" s="17">
        <f t="shared" si="6"/>
        <v>29101.351825000002</v>
      </c>
    </row>
    <row r="45" spans="1:136" ht="38.25" x14ac:dyDescent="0.25">
      <c r="A45" s="25">
        <f>Distribución_Elementos!A45</f>
        <v>43</v>
      </c>
      <c r="B45" s="22" t="str">
        <f>Distribución_Elementos!B45</f>
        <v>Barra agitadora magnética forma cilíndrica con anillo central 70- 80 mm x 8.5- 9 mm (longitud x diámetro) medidas aproximadas</v>
      </c>
      <c r="C45" s="22" t="str">
        <f>Distribución_Elementos!C45</f>
        <v>Fischer Scientific o equivalente</v>
      </c>
      <c r="D45" s="22" t="str">
        <f>Distribución_Elementos!D45</f>
        <v>Unidad</v>
      </c>
      <c r="E45" s="224">
        <v>1</v>
      </c>
      <c r="F45" s="221">
        <v>84015.19</v>
      </c>
      <c r="G45" s="221">
        <v>83300</v>
      </c>
      <c r="H45" s="221">
        <v>33230.75</v>
      </c>
      <c r="I45" s="221">
        <v>33082</v>
      </c>
      <c r="J45" s="221">
        <v>157972.5</v>
      </c>
      <c r="K45" s="221">
        <v>0</v>
      </c>
      <c r="L45" s="247">
        <f>AVERAGE(F45,H45,J45)</f>
        <v>91739.48</v>
      </c>
      <c r="M45" s="247">
        <f>AVERAGE(G45,I45)*E1</f>
        <v>59936.73</v>
      </c>
      <c r="N45" s="227">
        <v>25000</v>
      </c>
      <c r="O45" s="119">
        <f t="shared" si="18"/>
        <v>4750</v>
      </c>
      <c r="P45" s="119">
        <f t="shared" si="19"/>
        <v>29750</v>
      </c>
      <c r="Q45" s="115"/>
      <c r="R45" s="115"/>
      <c r="S45" s="11"/>
      <c r="T45" s="247"/>
      <c r="U45" s="247"/>
      <c r="V45" s="247"/>
      <c r="W45" s="17"/>
      <c r="X45" s="11"/>
      <c r="Y45" s="11"/>
      <c r="Z45" s="247"/>
      <c r="AA45" s="247"/>
      <c r="AB45" s="247"/>
      <c r="AC45" s="44"/>
      <c r="AD45" s="22"/>
      <c r="AE45" s="17"/>
      <c r="AF45" s="247"/>
      <c r="AG45" s="247"/>
      <c r="AH45" s="151"/>
      <c r="AI45" s="4"/>
      <c r="AJ45" s="17"/>
      <c r="AK45" s="17"/>
      <c r="AL45" s="102"/>
      <c r="AM45" s="132"/>
      <c r="AN45" s="161"/>
      <c r="AO45" s="115"/>
      <c r="AP45" s="115"/>
      <c r="AQ45" s="17"/>
      <c r="AR45" s="247"/>
      <c r="AS45" s="247"/>
      <c r="AT45" s="247"/>
      <c r="AU45" s="17"/>
      <c r="AV45" s="17"/>
      <c r="AW45" s="17"/>
      <c r="AX45" s="247"/>
      <c r="AY45" s="247"/>
      <c r="AZ45" s="247"/>
      <c r="BA45" s="17"/>
      <c r="BB45" s="52"/>
      <c r="BC45" s="17"/>
      <c r="BD45" s="247"/>
      <c r="BE45" s="247"/>
      <c r="BF45" s="247"/>
      <c r="BG45" s="17"/>
      <c r="BH45" s="17"/>
      <c r="BI45" s="17"/>
      <c r="BJ45" s="247">
        <v>63300</v>
      </c>
      <c r="BK45" s="247">
        <f t="shared" si="0"/>
        <v>12027</v>
      </c>
      <c r="BL45" s="247">
        <f t="shared" si="1"/>
        <v>75327</v>
      </c>
      <c r="BM45" s="191" t="s">
        <v>140</v>
      </c>
      <c r="BN45" s="190" t="s">
        <v>1510</v>
      </c>
      <c r="BO45" s="17"/>
      <c r="BP45" s="247">
        <v>13500</v>
      </c>
      <c r="BQ45" s="247">
        <f t="shared" si="12"/>
        <v>2565</v>
      </c>
      <c r="BR45" s="247">
        <f t="shared" si="9"/>
        <v>16065</v>
      </c>
      <c r="BS45" s="17"/>
      <c r="BT45" s="17"/>
      <c r="BU45" s="17"/>
      <c r="BV45" s="195">
        <v>71875.377600000007</v>
      </c>
      <c r="BW45" s="195">
        <f>+BV45*0.19</f>
        <v>13656.321744000001</v>
      </c>
      <c r="BX45" s="246">
        <f t="shared" si="20"/>
        <v>85531.699344000008</v>
      </c>
      <c r="BY45" s="191" t="s">
        <v>140</v>
      </c>
      <c r="BZ45" s="190" t="s">
        <v>1510</v>
      </c>
      <c r="CA45" s="190"/>
      <c r="CB45" s="247"/>
      <c r="CC45" s="247"/>
      <c r="CD45" s="247"/>
      <c r="CE45" s="17"/>
      <c r="CF45" s="17"/>
      <c r="CG45" s="17"/>
      <c r="CH45" s="247"/>
      <c r="CI45" s="247"/>
      <c r="CJ45" s="247"/>
      <c r="CK45" s="17"/>
      <c r="CL45" s="17"/>
      <c r="CM45" s="17"/>
      <c r="CN45" s="115"/>
      <c r="CO45" s="115"/>
      <c r="CP45" s="11"/>
      <c r="CQ45" s="11"/>
      <c r="CR45" s="11"/>
      <c r="CS45" s="11"/>
      <c r="CT45" s="247"/>
      <c r="CU45" s="247"/>
      <c r="CV45" s="247"/>
      <c r="CW45" s="11"/>
      <c r="CX45" s="11"/>
      <c r="CY45" s="11"/>
      <c r="CZ45" s="11"/>
      <c r="DA45" s="11"/>
      <c r="DB45" s="11"/>
      <c r="DC45" s="11"/>
      <c r="DD45" s="11"/>
      <c r="DE45" s="11"/>
      <c r="DF45" s="11"/>
      <c r="DG45" s="11"/>
      <c r="DH45" s="11"/>
      <c r="DI45" s="11"/>
      <c r="DJ45" s="11"/>
      <c r="DK45" s="11"/>
      <c r="DL45" s="247"/>
      <c r="DM45" s="247"/>
      <c r="DN45" s="247"/>
      <c r="DO45" s="247"/>
      <c r="DP45" s="247"/>
      <c r="DQ45" s="247"/>
      <c r="DR45" s="247"/>
      <c r="DS45" s="247"/>
      <c r="DT45" s="247"/>
      <c r="DU45" s="247"/>
      <c r="DV45" s="247"/>
      <c r="DW45" s="247"/>
      <c r="DX45" s="247"/>
      <c r="DY45" s="247"/>
      <c r="DZ45" s="247"/>
      <c r="EA45" s="247"/>
      <c r="EB45" s="247"/>
      <c r="EC45" s="247"/>
      <c r="ED45" s="17">
        <f t="shared" si="4"/>
        <v>266610.429344</v>
      </c>
      <c r="EE45" s="29">
        <f t="shared" si="5"/>
        <v>5</v>
      </c>
      <c r="EF45" s="17">
        <f t="shared" si="6"/>
        <v>53322.085868800001</v>
      </c>
    </row>
    <row r="46" spans="1:136" ht="25.5" x14ac:dyDescent="0.25">
      <c r="A46" s="25">
        <f>Distribución_Elementos!A46</f>
        <v>44</v>
      </c>
      <c r="B46" s="22" t="str">
        <f>Distribución_Elementos!B46</f>
        <v>Barra magnética para agitación de 1 cm de longitud cubierta de teflon</v>
      </c>
      <c r="C46" s="22" t="str">
        <f>Distribución_Elementos!C46</f>
        <v>Fischer Scientific o equivalente</v>
      </c>
      <c r="D46" s="22" t="str">
        <f>Distribución_Elementos!D46</f>
        <v>Unidad</v>
      </c>
      <c r="E46" s="224">
        <v>1</v>
      </c>
      <c r="F46" s="221">
        <v>125887.05888888889</v>
      </c>
      <c r="G46" s="221">
        <v>119476</v>
      </c>
      <c r="H46" s="221">
        <v>9698.5</v>
      </c>
      <c r="I46" s="221">
        <v>0</v>
      </c>
      <c r="J46" s="221">
        <v>62548.78</v>
      </c>
      <c r="K46" s="221">
        <v>62475</v>
      </c>
      <c r="L46" s="247">
        <f>AVERAGE(F46,H46,J46)</f>
        <v>66044.779629629629</v>
      </c>
      <c r="M46" s="247">
        <f>AVERAGE(G46,K46)*E1</f>
        <v>93704.764999999999</v>
      </c>
      <c r="N46" s="227">
        <v>25000</v>
      </c>
      <c r="O46" s="119">
        <f t="shared" si="18"/>
        <v>4750</v>
      </c>
      <c r="P46" s="119">
        <f t="shared" si="19"/>
        <v>29750</v>
      </c>
      <c r="Q46" s="115"/>
      <c r="R46" s="115"/>
      <c r="S46" s="11"/>
      <c r="T46" s="247"/>
      <c r="U46" s="247"/>
      <c r="V46" s="247"/>
      <c r="W46" s="17"/>
      <c r="X46" s="11"/>
      <c r="Y46" s="11"/>
      <c r="Z46" s="247"/>
      <c r="AA46" s="247"/>
      <c r="AB46" s="247"/>
      <c r="AC46" s="44"/>
      <c r="AD46" s="22"/>
      <c r="AE46" s="17"/>
      <c r="AF46" s="247"/>
      <c r="AG46" s="247"/>
      <c r="AH46" s="151"/>
      <c r="AI46" s="22"/>
      <c r="AJ46" s="17"/>
      <c r="AK46" s="17"/>
      <c r="AL46" s="102"/>
      <c r="AM46" s="132"/>
      <c r="AN46" s="161"/>
      <c r="AO46" s="115"/>
      <c r="AP46" s="115"/>
      <c r="AQ46" s="17"/>
      <c r="AR46" s="247"/>
      <c r="AS46" s="247"/>
      <c r="AT46" s="247"/>
      <c r="AU46" s="17"/>
      <c r="AV46" s="17"/>
      <c r="AW46" s="17"/>
      <c r="AX46" s="247"/>
      <c r="AY46" s="247"/>
      <c r="AZ46" s="247"/>
      <c r="BA46" s="17"/>
      <c r="BB46" s="52"/>
      <c r="BC46" s="17"/>
      <c r="BD46" s="247"/>
      <c r="BE46" s="247"/>
      <c r="BF46" s="247"/>
      <c r="BG46" s="17"/>
      <c r="BH46" s="17"/>
      <c r="BI46" s="17"/>
      <c r="BJ46" s="247">
        <v>21100</v>
      </c>
      <c r="BK46" s="247">
        <f t="shared" si="0"/>
        <v>4009</v>
      </c>
      <c r="BL46" s="247">
        <f t="shared" si="1"/>
        <v>25109</v>
      </c>
      <c r="BM46" s="190" t="s">
        <v>1499</v>
      </c>
      <c r="BN46" s="190" t="s">
        <v>1510</v>
      </c>
      <c r="BO46" s="17"/>
      <c r="BP46" s="247">
        <v>14500</v>
      </c>
      <c r="BQ46" s="247">
        <f t="shared" si="12"/>
        <v>2755</v>
      </c>
      <c r="BR46" s="247">
        <f t="shared" si="9"/>
        <v>17255</v>
      </c>
      <c r="BS46" s="17"/>
      <c r="BT46" s="17"/>
      <c r="BU46" s="17"/>
      <c r="BV46" s="195">
        <v>23497.7196</v>
      </c>
      <c r="BW46" s="195">
        <f>+BV46*0.19</f>
        <v>4464.5667240000002</v>
      </c>
      <c r="BX46" s="246">
        <f t="shared" si="20"/>
        <v>27962.286324000001</v>
      </c>
      <c r="BY46" s="190" t="s">
        <v>1499</v>
      </c>
      <c r="BZ46" s="190" t="s">
        <v>1510</v>
      </c>
      <c r="CA46" s="190"/>
      <c r="CB46" s="247"/>
      <c r="CC46" s="247"/>
      <c r="CD46" s="247"/>
      <c r="CE46" s="17"/>
      <c r="CF46" s="17"/>
      <c r="CG46" s="17"/>
      <c r="CH46" s="247"/>
      <c r="CI46" s="247"/>
      <c r="CJ46" s="247"/>
      <c r="CK46" s="17"/>
      <c r="CL46" s="17"/>
      <c r="CM46" s="17"/>
      <c r="CN46" s="17"/>
      <c r="CO46" s="17"/>
      <c r="CP46" s="11"/>
      <c r="CQ46" s="11"/>
      <c r="CR46" s="11"/>
      <c r="CS46" s="11"/>
      <c r="CT46" s="247"/>
      <c r="CU46" s="247"/>
      <c r="CV46" s="247"/>
      <c r="CW46" s="11"/>
      <c r="CX46" s="11"/>
      <c r="CY46" s="11"/>
      <c r="CZ46" s="11"/>
      <c r="DA46" s="11"/>
      <c r="DB46" s="11"/>
      <c r="DC46" s="11"/>
      <c r="DD46" s="11"/>
      <c r="DE46" s="11"/>
      <c r="DF46" s="11"/>
      <c r="DG46" s="11"/>
      <c r="DH46" s="11"/>
      <c r="DI46" s="11"/>
      <c r="DJ46" s="11"/>
      <c r="DK46" s="11"/>
      <c r="DL46" s="247"/>
      <c r="DM46" s="247"/>
      <c r="DN46" s="247"/>
      <c r="DO46" s="247"/>
      <c r="DP46" s="247"/>
      <c r="DQ46" s="247"/>
      <c r="DR46" s="247"/>
      <c r="DS46" s="247"/>
      <c r="DT46" s="247"/>
      <c r="DU46" s="247"/>
      <c r="DV46" s="247"/>
      <c r="DW46" s="247"/>
      <c r="DX46" s="247"/>
      <c r="DY46" s="247"/>
      <c r="DZ46" s="247"/>
      <c r="EA46" s="247"/>
      <c r="EB46" s="247"/>
      <c r="EC46" s="247"/>
      <c r="ED46" s="17">
        <f t="shared" si="4"/>
        <v>193781.051324</v>
      </c>
      <c r="EE46" s="29">
        <f t="shared" si="5"/>
        <v>5</v>
      </c>
      <c r="EF46" s="17">
        <f t="shared" si="6"/>
        <v>38756.2102648</v>
      </c>
    </row>
    <row r="47" spans="1:136" ht="25.5" x14ac:dyDescent="0.25">
      <c r="A47" s="25">
        <f>Distribución_Elementos!A47</f>
        <v>45</v>
      </c>
      <c r="B47" s="22" t="str">
        <f>Distribución_Elementos!B47</f>
        <v>Barra magnética para agitación de 3 cm de longitud cubierta de teflon</v>
      </c>
      <c r="C47" s="22" t="str">
        <f>Distribución_Elementos!C47</f>
        <v>Fischer Scientific o equivalente</v>
      </c>
      <c r="D47" s="22" t="str">
        <f>Distribución_Elementos!D47</f>
        <v>Unidad</v>
      </c>
      <c r="E47" s="224">
        <v>1</v>
      </c>
      <c r="F47" s="221">
        <v>38900.802499999998</v>
      </c>
      <c r="G47" s="221">
        <v>6497</v>
      </c>
      <c r="H47" s="221">
        <v>12227.25</v>
      </c>
      <c r="I47" s="221">
        <v>12138</v>
      </c>
      <c r="J47" s="221">
        <v>18861.295833333334</v>
      </c>
      <c r="K47" s="221">
        <v>18802</v>
      </c>
      <c r="L47" s="247">
        <f>AVERAGE(F47,H47,J47)</f>
        <v>23329.782777777775</v>
      </c>
      <c r="M47" s="247">
        <f>AVERAGE(G47,I47,K47)*E1</f>
        <v>12853.37</v>
      </c>
      <c r="N47" s="227">
        <v>12000</v>
      </c>
      <c r="O47" s="119">
        <f t="shared" si="18"/>
        <v>2280</v>
      </c>
      <c r="P47" s="119">
        <f t="shared" si="19"/>
        <v>14280</v>
      </c>
      <c r="Q47" s="115"/>
      <c r="R47" s="115"/>
      <c r="S47" s="11"/>
      <c r="T47" s="247">
        <v>7590.0000000000009</v>
      </c>
      <c r="U47" s="247">
        <f>+T47*0.19</f>
        <v>1442.1000000000001</v>
      </c>
      <c r="V47" s="247">
        <f>+T47+U47</f>
        <v>9032.1</v>
      </c>
      <c r="W47" s="17" t="s">
        <v>1514</v>
      </c>
      <c r="X47" s="11" t="s">
        <v>1523</v>
      </c>
      <c r="Y47" s="11"/>
      <c r="Z47" s="247"/>
      <c r="AA47" s="247"/>
      <c r="AB47" s="247"/>
      <c r="AC47" s="44"/>
      <c r="AD47" s="22"/>
      <c r="AE47" s="17"/>
      <c r="AF47" s="247"/>
      <c r="AG47" s="247"/>
      <c r="AH47" s="151"/>
      <c r="AI47" s="22"/>
      <c r="AJ47" s="17"/>
      <c r="AK47" s="17"/>
      <c r="AL47" s="102"/>
      <c r="AM47" s="132"/>
      <c r="AN47" s="161"/>
      <c r="AO47" s="115"/>
      <c r="AP47" s="115"/>
      <c r="AQ47" s="17"/>
      <c r="AR47" s="247"/>
      <c r="AS47" s="247"/>
      <c r="AT47" s="247"/>
      <c r="AU47" s="17"/>
      <c r="AV47" s="17"/>
      <c r="AW47" s="17"/>
      <c r="AX47" s="247"/>
      <c r="AY47" s="247"/>
      <c r="AZ47" s="247"/>
      <c r="BA47" s="17"/>
      <c r="BB47" s="52"/>
      <c r="BC47" s="17"/>
      <c r="BD47" s="247"/>
      <c r="BE47" s="247"/>
      <c r="BF47" s="247"/>
      <c r="BG47" s="17"/>
      <c r="BH47" s="17"/>
      <c r="BI47" s="17"/>
      <c r="BJ47" s="247">
        <v>49900</v>
      </c>
      <c r="BK47" s="247">
        <f t="shared" si="0"/>
        <v>9481</v>
      </c>
      <c r="BL47" s="247">
        <f t="shared" si="1"/>
        <v>59381</v>
      </c>
      <c r="BM47" s="190" t="s">
        <v>1499</v>
      </c>
      <c r="BN47" s="190" t="s">
        <v>316</v>
      </c>
      <c r="BO47" s="17"/>
      <c r="BP47" s="247">
        <v>12600</v>
      </c>
      <c r="BQ47" s="247">
        <f t="shared" si="12"/>
        <v>2394</v>
      </c>
      <c r="BR47" s="247">
        <f t="shared" si="9"/>
        <v>14994</v>
      </c>
      <c r="BS47" s="17"/>
      <c r="BT47" s="17"/>
      <c r="BU47" s="17"/>
      <c r="BV47" s="195">
        <v>55035.707999999999</v>
      </c>
      <c r="BW47" s="195">
        <f>+BV47*0.19</f>
        <v>10456.784519999999</v>
      </c>
      <c r="BX47" s="246">
        <f t="shared" si="20"/>
        <v>65492.49252</v>
      </c>
      <c r="BY47" s="190" t="s">
        <v>1499</v>
      </c>
      <c r="BZ47" s="190" t="s">
        <v>316</v>
      </c>
      <c r="CA47" s="190"/>
      <c r="CB47" s="247"/>
      <c r="CC47" s="247"/>
      <c r="CD47" s="247"/>
      <c r="CE47" s="17"/>
      <c r="CF47" s="17"/>
      <c r="CG47" s="17"/>
      <c r="CH47" s="247"/>
      <c r="CI47" s="247"/>
      <c r="CJ47" s="247"/>
      <c r="CK47" s="17"/>
      <c r="CL47" s="17"/>
      <c r="CM47" s="17"/>
      <c r="CN47" s="17"/>
      <c r="CO47" s="17"/>
      <c r="CP47" s="11"/>
      <c r="CQ47" s="11"/>
      <c r="CR47" s="11"/>
      <c r="CS47" s="11"/>
      <c r="CT47" s="247"/>
      <c r="CU47" s="247"/>
      <c r="CV47" s="247"/>
      <c r="CW47" s="11"/>
      <c r="CX47" s="11"/>
      <c r="CY47" s="11"/>
      <c r="CZ47" s="11"/>
      <c r="DA47" s="11"/>
      <c r="DB47" s="11"/>
      <c r="DC47" s="11"/>
      <c r="DD47" s="11"/>
      <c r="DE47" s="11"/>
      <c r="DF47" s="11"/>
      <c r="DG47" s="11"/>
      <c r="DH47" s="11"/>
      <c r="DI47" s="11"/>
      <c r="DJ47" s="11"/>
      <c r="DK47" s="11"/>
      <c r="DL47" s="247"/>
      <c r="DM47" s="247"/>
      <c r="DN47" s="247"/>
      <c r="DO47" s="247"/>
      <c r="DP47" s="247"/>
      <c r="DQ47" s="247"/>
      <c r="DR47" s="247"/>
      <c r="DS47" s="247"/>
      <c r="DT47" s="247"/>
      <c r="DU47" s="247"/>
      <c r="DV47" s="247"/>
      <c r="DW47" s="247"/>
      <c r="DX47" s="247"/>
      <c r="DY47" s="247"/>
      <c r="DZ47" s="247"/>
      <c r="EA47" s="247"/>
      <c r="EB47" s="247"/>
      <c r="EC47" s="247"/>
      <c r="ED47" s="17">
        <f t="shared" si="4"/>
        <v>176032.96252</v>
      </c>
      <c r="EE47" s="29">
        <f t="shared" si="5"/>
        <v>6</v>
      </c>
      <c r="EF47" s="17">
        <f t="shared" si="6"/>
        <v>29338.827086666668</v>
      </c>
    </row>
    <row r="48" spans="1:136" ht="38.25" x14ac:dyDescent="0.25">
      <c r="A48" s="25">
        <f>Distribución_Elementos!A48</f>
        <v>46</v>
      </c>
      <c r="B48" s="22" t="str">
        <f>Distribución_Elementos!B48</f>
        <v>Batas de laboratorio antifluidos con puño resortado, manga larga  y botones a presión o tipo snaps. Largas hasta rodillas.  Talla L</v>
      </c>
      <c r="C48" s="22" t="str">
        <f>Distribución_Elementos!C48</f>
        <v>Cualquier Marca</v>
      </c>
      <c r="D48" s="22" t="str">
        <f>Distribución_Elementos!D48</f>
        <v>Unidad</v>
      </c>
      <c r="E48" s="224">
        <v>1</v>
      </c>
      <c r="F48" s="221">
        <v>0</v>
      </c>
      <c r="G48" s="221">
        <v>0</v>
      </c>
      <c r="H48" s="221">
        <v>0</v>
      </c>
      <c r="I48" s="221">
        <v>0</v>
      </c>
      <c r="J48" s="221">
        <v>22848</v>
      </c>
      <c r="K48" s="221">
        <v>0</v>
      </c>
      <c r="L48" s="247">
        <f>J48</f>
        <v>22848</v>
      </c>
      <c r="M48" s="247"/>
      <c r="N48" s="227">
        <v>45000</v>
      </c>
      <c r="O48" s="119">
        <f t="shared" si="18"/>
        <v>8550</v>
      </c>
      <c r="P48" s="119">
        <f t="shared" si="19"/>
        <v>53550</v>
      </c>
      <c r="Q48" s="11"/>
      <c r="R48" s="11"/>
      <c r="S48" s="11"/>
      <c r="T48" s="247"/>
      <c r="U48" s="247"/>
      <c r="V48" s="247"/>
      <c r="W48" s="11"/>
      <c r="X48" s="11"/>
      <c r="Y48" s="11"/>
      <c r="Z48" s="247"/>
      <c r="AA48" s="247"/>
      <c r="AB48" s="247"/>
      <c r="AC48" s="11"/>
      <c r="AD48" s="11"/>
      <c r="AE48" s="11"/>
      <c r="AF48" s="247"/>
      <c r="AG48" s="247"/>
      <c r="AH48" s="247"/>
      <c r="AI48" s="11"/>
      <c r="AJ48" s="11"/>
      <c r="AK48" s="11"/>
      <c r="AL48" s="102"/>
      <c r="AM48" s="102"/>
      <c r="AN48" s="102"/>
      <c r="AO48" s="44"/>
      <c r="AP48" s="44"/>
      <c r="AQ48" s="11"/>
      <c r="AR48" s="247"/>
      <c r="AS48" s="247"/>
      <c r="AT48" s="247"/>
      <c r="AU48" s="11"/>
      <c r="AV48" s="11"/>
      <c r="AW48" s="11"/>
      <c r="AX48" s="247"/>
      <c r="AY48" s="247"/>
      <c r="AZ48" s="247"/>
      <c r="BA48" s="11"/>
      <c r="BB48" s="11"/>
      <c r="BC48" s="11"/>
      <c r="BD48" s="247"/>
      <c r="BE48" s="247"/>
      <c r="BF48" s="247"/>
      <c r="BG48" s="11"/>
      <c r="BH48" s="11"/>
      <c r="BI48" s="11"/>
      <c r="BJ48" s="247">
        <v>100000</v>
      </c>
      <c r="BK48" s="247">
        <f>+BJ48*0</f>
        <v>0</v>
      </c>
      <c r="BL48" s="247">
        <f t="shared" si="1"/>
        <v>100000</v>
      </c>
      <c r="BM48" s="191" t="s">
        <v>140</v>
      </c>
      <c r="BN48" s="190" t="s">
        <v>153</v>
      </c>
      <c r="BO48" s="11"/>
      <c r="BP48" s="247">
        <v>65200</v>
      </c>
      <c r="BQ48" s="247">
        <f t="shared" si="12"/>
        <v>12388</v>
      </c>
      <c r="BR48" s="247">
        <f t="shared" si="9"/>
        <v>77588</v>
      </c>
      <c r="BS48" s="11"/>
      <c r="BT48" s="11"/>
      <c r="BU48" s="11"/>
      <c r="BV48" s="195">
        <v>238182</v>
      </c>
      <c r="BW48" s="198">
        <f>+BV48*0</f>
        <v>0</v>
      </c>
      <c r="BX48" s="246">
        <f t="shared" si="20"/>
        <v>238182</v>
      </c>
      <c r="BY48" s="191" t="s">
        <v>140</v>
      </c>
      <c r="BZ48" s="190" t="s">
        <v>153</v>
      </c>
      <c r="CA48" s="190"/>
      <c r="CB48" s="247"/>
      <c r="CC48" s="247"/>
      <c r="CD48" s="247"/>
      <c r="CE48" s="11"/>
      <c r="CF48" s="11"/>
      <c r="CG48" s="11"/>
      <c r="CH48" s="247"/>
      <c r="CI48" s="247"/>
      <c r="CJ48" s="247"/>
      <c r="CK48" s="11"/>
      <c r="CL48" s="11"/>
      <c r="CM48" s="11"/>
      <c r="CN48" s="11"/>
      <c r="CO48" s="11"/>
      <c r="CP48" s="11"/>
      <c r="CQ48" s="11"/>
      <c r="CR48" s="11"/>
      <c r="CS48" s="11"/>
      <c r="CT48" s="247"/>
      <c r="CU48" s="247"/>
      <c r="CV48" s="247"/>
      <c r="CW48" s="11"/>
      <c r="CX48" s="11"/>
      <c r="CY48" s="11"/>
      <c r="CZ48" s="11"/>
      <c r="DA48" s="11"/>
      <c r="DB48" s="11"/>
      <c r="DC48" s="11"/>
      <c r="DD48" s="11"/>
      <c r="DE48" s="11"/>
      <c r="DF48" s="11"/>
      <c r="DG48" s="11"/>
      <c r="DH48" s="11"/>
      <c r="DI48" s="11"/>
      <c r="DJ48" s="11"/>
      <c r="DK48" s="11"/>
      <c r="DL48" s="247"/>
      <c r="DM48" s="247"/>
      <c r="DN48" s="247"/>
      <c r="DO48" s="247"/>
      <c r="DP48" s="247"/>
      <c r="DQ48" s="247"/>
      <c r="DR48" s="247"/>
      <c r="DS48" s="247"/>
      <c r="DT48" s="247"/>
      <c r="DU48" s="247"/>
      <c r="DV48" s="247"/>
      <c r="DW48" s="247"/>
      <c r="DX48" s="247"/>
      <c r="DY48" s="247"/>
      <c r="DZ48" s="247"/>
      <c r="EA48" s="247"/>
      <c r="EB48" s="247"/>
      <c r="EC48" s="247"/>
      <c r="ED48" s="17">
        <f t="shared" si="4"/>
        <v>469320</v>
      </c>
      <c r="EE48" s="29">
        <f t="shared" si="5"/>
        <v>4</v>
      </c>
      <c r="EF48" s="17">
        <f t="shared" si="6"/>
        <v>117330</v>
      </c>
    </row>
    <row r="49" spans="1:136" ht="38.25" x14ac:dyDescent="0.25">
      <c r="A49" s="25">
        <f>Distribución_Elementos!A49</f>
        <v>47</v>
      </c>
      <c r="B49" s="22" t="str">
        <f>Distribución_Elementos!B49</f>
        <v>Batas de laboratorio antifluidos con puño resortado, manga larga y botones a presión o tipo snaps. Largas hasta rodillas.  Talla M</v>
      </c>
      <c r="C49" s="22" t="str">
        <f>Distribución_Elementos!C49</f>
        <v>Cualquier marca</v>
      </c>
      <c r="D49" s="22" t="str">
        <f>Distribución_Elementos!D49</f>
        <v>Unidad</v>
      </c>
      <c r="E49" s="224">
        <v>1</v>
      </c>
      <c r="F49" s="221">
        <v>0</v>
      </c>
      <c r="G49" s="221">
        <v>0</v>
      </c>
      <c r="H49" s="221">
        <v>0</v>
      </c>
      <c r="I49" s="221">
        <v>0</v>
      </c>
      <c r="J49" s="221">
        <v>22848</v>
      </c>
      <c r="K49" s="221">
        <v>0</v>
      </c>
      <c r="L49" s="247">
        <f>J49</f>
        <v>22848</v>
      </c>
      <c r="M49" s="247"/>
      <c r="N49" s="227">
        <v>45000</v>
      </c>
      <c r="O49" s="119">
        <f t="shared" si="18"/>
        <v>8550</v>
      </c>
      <c r="P49" s="119">
        <f t="shared" si="19"/>
        <v>53550</v>
      </c>
      <c r="Q49" s="11"/>
      <c r="R49" s="11"/>
      <c r="S49" s="11"/>
      <c r="T49" s="247"/>
      <c r="U49" s="247"/>
      <c r="V49" s="247"/>
      <c r="W49" s="11"/>
      <c r="X49" s="11"/>
      <c r="Y49" s="11"/>
      <c r="Z49" s="247"/>
      <c r="AA49" s="247"/>
      <c r="AB49" s="247"/>
      <c r="AC49" s="11"/>
      <c r="AD49" s="11"/>
      <c r="AE49" s="11"/>
      <c r="AF49" s="247"/>
      <c r="AG49" s="247"/>
      <c r="AH49" s="247"/>
      <c r="AI49" s="11"/>
      <c r="AJ49" s="11"/>
      <c r="AK49" s="11"/>
      <c r="AL49" s="102"/>
      <c r="AM49" s="102"/>
      <c r="AN49" s="102"/>
      <c r="AO49" s="44"/>
      <c r="AP49" s="44"/>
      <c r="AQ49" s="11"/>
      <c r="AR49" s="247"/>
      <c r="AS49" s="247"/>
      <c r="AT49" s="247"/>
      <c r="AU49" s="11"/>
      <c r="AV49" s="11"/>
      <c r="AW49" s="11"/>
      <c r="AX49" s="247"/>
      <c r="AY49" s="247"/>
      <c r="AZ49" s="247"/>
      <c r="BA49" s="11"/>
      <c r="BB49" s="11"/>
      <c r="BC49" s="11"/>
      <c r="BD49" s="247"/>
      <c r="BE49" s="247"/>
      <c r="BF49" s="247"/>
      <c r="BG49" s="11"/>
      <c r="BH49" s="11"/>
      <c r="BI49" s="11"/>
      <c r="BJ49" s="247">
        <v>90000</v>
      </c>
      <c r="BK49" s="247">
        <f>+BJ49*0</f>
        <v>0</v>
      </c>
      <c r="BL49" s="247">
        <f t="shared" si="1"/>
        <v>90000</v>
      </c>
      <c r="BM49" s="191" t="s">
        <v>140</v>
      </c>
      <c r="BN49" s="190" t="s">
        <v>153</v>
      </c>
      <c r="BO49" s="11"/>
      <c r="BP49" s="247">
        <v>65500</v>
      </c>
      <c r="BQ49" s="247">
        <f t="shared" si="12"/>
        <v>12445</v>
      </c>
      <c r="BR49" s="247">
        <f t="shared" si="9"/>
        <v>77945</v>
      </c>
      <c r="BS49" s="11"/>
      <c r="BT49" s="11"/>
      <c r="BU49" s="11"/>
      <c r="BV49" s="195">
        <v>212190.30000000002</v>
      </c>
      <c r="BW49" s="198">
        <f>+BV49*0</f>
        <v>0</v>
      </c>
      <c r="BX49" s="246">
        <f t="shared" si="20"/>
        <v>212190.30000000002</v>
      </c>
      <c r="BY49" s="191" t="s">
        <v>140</v>
      </c>
      <c r="BZ49" s="190" t="s">
        <v>153</v>
      </c>
      <c r="CA49" s="190"/>
      <c r="CB49" s="247"/>
      <c r="CC49" s="247"/>
      <c r="CD49" s="247"/>
      <c r="CE49" s="11"/>
      <c r="CF49" s="11"/>
      <c r="CG49" s="11"/>
      <c r="CH49" s="247"/>
      <c r="CI49" s="247"/>
      <c r="CJ49" s="247"/>
      <c r="CK49" s="11"/>
      <c r="CL49" s="11"/>
      <c r="CM49" s="11"/>
      <c r="CN49" s="11"/>
      <c r="CO49" s="11"/>
      <c r="CP49" s="11"/>
      <c r="CQ49" s="11"/>
      <c r="CR49" s="11"/>
      <c r="CS49" s="11"/>
      <c r="CT49" s="247"/>
      <c r="CU49" s="247"/>
      <c r="CV49" s="247"/>
      <c r="CW49" s="11"/>
      <c r="CX49" s="11"/>
      <c r="CY49" s="11"/>
      <c r="CZ49" s="11"/>
      <c r="DA49" s="11"/>
      <c r="DB49" s="11"/>
      <c r="DC49" s="11"/>
      <c r="DD49" s="11"/>
      <c r="DE49" s="11"/>
      <c r="DF49" s="11"/>
      <c r="DG49" s="11"/>
      <c r="DH49" s="11"/>
      <c r="DI49" s="11"/>
      <c r="DJ49" s="11"/>
      <c r="DK49" s="11"/>
      <c r="DL49" s="247"/>
      <c r="DM49" s="247"/>
      <c r="DN49" s="247"/>
      <c r="DO49" s="247"/>
      <c r="DP49" s="247"/>
      <c r="DQ49" s="247"/>
      <c r="DR49" s="247"/>
      <c r="DS49" s="247"/>
      <c r="DT49" s="247"/>
      <c r="DU49" s="247"/>
      <c r="DV49" s="247"/>
      <c r="DW49" s="247"/>
      <c r="DX49" s="247"/>
      <c r="DY49" s="247"/>
      <c r="DZ49" s="247"/>
      <c r="EA49" s="247"/>
      <c r="EB49" s="247"/>
      <c r="EC49" s="247"/>
      <c r="ED49" s="17">
        <f t="shared" si="4"/>
        <v>433685.30000000005</v>
      </c>
      <c r="EE49" s="29">
        <f t="shared" si="5"/>
        <v>4</v>
      </c>
      <c r="EF49" s="17">
        <f t="shared" si="6"/>
        <v>108421.32500000001</v>
      </c>
    </row>
    <row r="50" spans="1:136" ht="25.5" x14ac:dyDescent="0.25">
      <c r="A50" s="25">
        <f>Distribución_Elementos!A50</f>
        <v>48</v>
      </c>
      <c r="B50" s="22" t="str">
        <f>Distribución_Elementos!B50</f>
        <v>Batas desechables con cremallera o botones  desechables en tela quirúrgica color azul. Talla M.</v>
      </c>
      <c r="C50" s="22" t="str">
        <f>Distribución_Elementos!C50</f>
        <v>Cualquier marca</v>
      </c>
      <c r="D50" s="22" t="str">
        <f>Distribución_Elementos!D50</f>
        <v>Unidad</v>
      </c>
      <c r="E50" s="224">
        <v>1</v>
      </c>
      <c r="F50" s="221">
        <v>0</v>
      </c>
      <c r="G50" s="221">
        <v>0</v>
      </c>
      <c r="H50" s="221">
        <v>0</v>
      </c>
      <c r="I50" s="221">
        <v>0</v>
      </c>
      <c r="J50" s="221">
        <v>0</v>
      </c>
      <c r="K50" s="221">
        <v>0</v>
      </c>
      <c r="L50" s="247"/>
      <c r="M50" s="247"/>
      <c r="N50" s="227">
        <v>6000</v>
      </c>
      <c r="O50" s="119">
        <f t="shared" si="18"/>
        <v>1140</v>
      </c>
      <c r="P50" s="119">
        <f t="shared" si="19"/>
        <v>7140</v>
      </c>
      <c r="Q50" s="115"/>
      <c r="R50" s="115"/>
      <c r="S50" s="11"/>
      <c r="T50" s="247"/>
      <c r="U50" s="247"/>
      <c r="V50" s="247"/>
      <c r="W50" s="17"/>
      <c r="X50" s="11"/>
      <c r="Y50" s="11"/>
      <c r="Z50" s="247"/>
      <c r="AA50" s="247"/>
      <c r="AB50" s="247"/>
      <c r="AC50" s="44"/>
      <c r="AD50" s="22"/>
      <c r="AE50" s="17"/>
      <c r="AF50" s="247"/>
      <c r="AG50" s="247"/>
      <c r="AH50" s="151"/>
      <c r="AI50" s="22"/>
      <c r="AJ50" s="17"/>
      <c r="AK50" s="17"/>
      <c r="AL50" s="102"/>
      <c r="AM50" s="132"/>
      <c r="AN50" s="161"/>
      <c r="AO50" s="115"/>
      <c r="AP50" s="115"/>
      <c r="AQ50" s="17"/>
      <c r="AR50" s="247"/>
      <c r="AS50" s="247"/>
      <c r="AT50" s="247"/>
      <c r="AU50" s="17"/>
      <c r="AV50" s="17"/>
      <c r="AW50" s="17"/>
      <c r="AX50" s="247"/>
      <c r="AY50" s="247"/>
      <c r="AZ50" s="247"/>
      <c r="BA50" s="17"/>
      <c r="BB50" s="52"/>
      <c r="BC50" s="17"/>
      <c r="BD50" s="247"/>
      <c r="BE50" s="247"/>
      <c r="BF50" s="247"/>
      <c r="BG50" s="17"/>
      <c r="BH50" s="17"/>
      <c r="BI50" s="17"/>
      <c r="BJ50" s="247">
        <v>240000</v>
      </c>
      <c r="BK50" s="247">
        <f>+BJ50*0</f>
        <v>0</v>
      </c>
      <c r="BL50" s="247">
        <f t="shared" si="1"/>
        <v>240000</v>
      </c>
      <c r="BM50" s="191" t="s">
        <v>140</v>
      </c>
      <c r="BN50" s="190" t="s">
        <v>153</v>
      </c>
      <c r="BO50" s="17"/>
      <c r="BP50" s="247">
        <v>12800</v>
      </c>
      <c r="BQ50" s="247">
        <f t="shared" si="12"/>
        <v>2432</v>
      </c>
      <c r="BR50" s="247">
        <f t="shared" si="9"/>
        <v>15232</v>
      </c>
      <c r="BS50" s="17"/>
      <c r="BT50" s="17"/>
      <c r="BU50" s="17"/>
      <c r="BV50" s="195">
        <v>267149.04000000004</v>
      </c>
      <c r="BW50" s="198">
        <f>+BV50*0</f>
        <v>0</v>
      </c>
      <c r="BX50" s="246">
        <f t="shared" si="20"/>
        <v>267149.04000000004</v>
      </c>
      <c r="BY50" s="191" t="s">
        <v>140</v>
      </c>
      <c r="BZ50" s="190" t="s">
        <v>153</v>
      </c>
      <c r="CA50" s="190"/>
      <c r="CB50" s="247"/>
      <c r="CC50" s="247"/>
      <c r="CD50" s="247"/>
      <c r="CE50" s="17"/>
      <c r="CF50" s="17"/>
      <c r="CG50" s="17"/>
      <c r="CH50" s="247"/>
      <c r="CI50" s="247"/>
      <c r="CJ50" s="247"/>
      <c r="CK50" s="17"/>
      <c r="CL50" s="17"/>
      <c r="CM50" s="17"/>
      <c r="CN50" s="17"/>
      <c r="CO50" s="17"/>
      <c r="CP50" s="11"/>
      <c r="CQ50" s="11"/>
      <c r="CR50" s="11"/>
      <c r="CS50" s="11"/>
      <c r="CT50" s="247"/>
      <c r="CU50" s="247"/>
      <c r="CV50" s="247"/>
      <c r="CW50" s="11"/>
      <c r="CX50" s="11"/>
      <c r="CY50" s="11"/>
      <c r="CZ50" s="11"/>
      <c r="DA50" s="11"/>
      <c r="DB50" s="11"/>
      <c r="DC50" s="11"/>
      <c r="DD50" s="11"/>
      <c r="DE50" s="11"/>
      <c r="DF50" s="11"/>
      <c r="DG50" s="11"/>
      <c r="DH50" s="11"/>
      <c r="DI50" s="11"/>
      <c r="DJ50" s="11"/>
      <c r="DK50" s="11"/>
      <c r="DL50" s="247"/>
      <c r="DM50" s="247"/>
      <c r="DN50" s="247"/>
      <c r="DO50" s="247"/>
      <c r="DP50" s="247"/>
      <c r="DQ50" s="247"/>
      <c r="DR50" s="247"/>
      <c r="DS50" s="247"/>
      <c r="DT50" s="247"/>
      <c r="DU50" s="247"/>
      <c r="DV50" s="247"/>
      <c r="DW50" s="247"/>
      <c r="DX50" s="247"/>
      <c r="DY50" s="247"/>
      <c r="DZ50" s="247"/>
      <c r="EA50" s="247"/>
      <c r="EB50" s="247"/>
      <c r="EC50" s="247"/>
      <c r="ED50" s="17">
        <f t="shared" si="4"/>
        <v>529521.04</v>
      </c>
      <c r="EE50" s="29">
        <f t="shared" si="5"/>
        <v>4</v>
      </c>
      <c r="EF50" s="17">
        <f t="shared" si="6"/>
        <v>132380.26</v>
      </c>
    </row>
    <row r="51" spans="1:136" ht="25.5" x14ac:dyDescent="0.25">
      <c r="A51" s="25">
        <f>Distribución_Elementos!A51</f>
        <v>49</v>
      </c>
      <c r="B51" s="22" t="str">
        <f>Distribución_Elementos!B51</f>
        <v>Batas desechables con cremallera o botones desechables en tela quirúrgica color azul. Talla L.</v>
      </c>
      <c r="C51" s="22" t="str">
        <f>Distribución_Elementos!C51</f>
        <v>Cualquier marca</v>
      </c>
      <c r="D51" s="22" t="str">
        <f>Distribución_Elementos!D51</f>
        <v>Unidad</v>
      </c>
      <c r="E51" s="224">
        <v>1</v>
      </c>
      <c r="F51" s="221">
        <v>0</v>
      </c>
      <c r="G51" s="221">
        <v>0</v>
      </c>
      <c r="H51" s="221">
        <v>0</v>
      </c>
      <c r="I51" s="221">
        <v>0</v>
      </c>
      <c r="J51" s="221">
        <v>0</v>
      </c>
      <c r="K51" s="221">
        <v>0</v>
      </c>
      <c r="L51" s="247"/>
      <c r="M51" s="247"/>
      <c r="N51" s="227">
        <v>6000</v>
      </c>
      <c r="O51" s="119">
        <f t="shared" si="18"/>
        <v>1140</v>
      </c>
      <c r="P51" s="119">
        <f t="shared" si="19"/>
        <v>7140</v>
      </c>
      <c r="Q51" s="115"/>
      <c r="R51" s="115"/>
      <c r="S51" s="11"/>
      <c r="T51" s="247"/>
      <c r="U51" s="247"/>
      <c r="V51" s="247"/>
      <c r="W51" s="17"/>
      <c r="X51" s="11"/>
      <c r="Y51" s="11"/>
      <c r="Z51" s="247"/>
      <c r="AA51" s="247"/>
      <c r="AB51" s="247"/>
      <c r="AC51" s="44"/>
      <c r="AD51" s="22"/>
      <c r="AE51" s="17"/>
      <c r="AF51" s="247"/>
      <c r="AG51" s="247"/>
      <c r="AH51" s="151"/>
      <c r="AI51" s="22"/>
      <c r="AJ51" s="17"/>
      <c r="AK51" s="17"/>
      <c r="AL51" s="102"/>
      <c r="AM51" s="132"/>
      <c r="AN51" s="161"/>
      <c r="AO51" s="115"/>
      <c r="AP51" s="115"/>
      <c r="AQ51" s="17"/>
      <c r="AR51" s="247"/>
      <c r="AS51" s="247"/>
      <c r="AT51" s="247"/>
      <c r="AU51" s="17"/>
      <c r="AV51" s="17"/>
      <c r="AW51" s="17"/>
      <c r="AX51" s="247"/>
      <c r="AY51" s="247"/>
      <c r="AZ51" s="247"/>
      <c r="BA51" s="17"/>
      <c r="BB51" s="52"/>
      <c r="BC51" s="17"/>
      <c r="BD51" s="247"/>
      <c r="BE51" s="247"/>
      <c r="BF51" s="247"/>
      <c r="BG51" s="17"/>
      <c r="BH51" s="17"/>
      <c r="BI51" s="17"/>
      <c r="BJ51" s="247">
        <v>240000</v>
      </c>
      <c r="BK51" s="247">
        <f>+BJ51*0</f>
        <v>0</v>
      </c>
      <c r="BL51" s="247">
        <f t="shared" si="1"/>
        <v>240000</v>
      </c>
      <c r="BM51" s="191" t="s">
        <v>140</v>
      </c>
      <c r="BN51" s="190" t="s">
        <v>153</v>
      </c>
      <c r="BO51" s="17"/>
      <c r="BP51" s="247">
        <v>12800</v>
      </c>
      <c r="BQ51" s="247">
        <f t="shared" si="12"/>
        <v>2432</v>
      </c>
      <c r="BR51" s="247">
        <f t="shared" si="9"/>
        <v>15232</v>
      </c>
      <c r="BS51" s="17"/>
      <c r="BT51" s="17"/>
      <c r="BU51" s="17"/>
      <c r="BV51" s="195">
        <v>277652.16000000003</v>
      </c>
      <c r="BW51" s="198">
        <f>+BV51*0</f>
        <v>0</v>
      </c>
      <c r="BX51" s="246">
        <f t="shared" si="20"/>
        <v>277652.16000000003</v>
      </c>
      <c r="BY51" s="191" t="s">
        <v>140</v>
      </c>
      <c r="BZ51" s="190" t="s">
        <v>153</v>
      </c>
      <c r="CA51" s="190"/>
      <c r="CB51" s="247"/>
      <c r="CC51" s="247"/>
      <c r="CD51" s="247"/>
      <c r="CE51" s="17"/>
      <c r="CF51" s="17"/>
      <c r="CG51" s="17"/>
      <c r="CH51" s="247"/>
      <c r="CI51" s="247"/>
      <c r="CJ51" s="247"/>
      <c r="CK51" s="17"/>
      <c r="CL51" s="17"/>
      <c r="CM51" s="17"/>
      <c r="CN51" s="17"/>
      <c r="CO51" s="17"/>
      <c r="CP51" s="11"/>
      <c r="CQ51" s="11"/>
      <c r="CR51" s="11"/>
      <c r="CS51" s="11"/>
      <c r="CT51" s="247"/>
      <c r="CU51" s="247"/>
      <c r="CV51" s="247"/>
      <c r="CW51" s="11"/>
      <c r="CX51" s="11"/>
      <c r="CY51" s="11"/>
      <c r="CZ51" s="11"/>
      <c r="DA51" s="11"/>
      <c r="DB51" s="11"/>
      <c r="DC51" s="11"/>
      <c r="DD51" s="11"/>
      <c r="DE51" s="11"/>
      <c r="DF51" s="11"/>
      <c r="DG51" s="11"/>
      <c r="DH51" s="11"/>
      <c r="DI51" s="11"/>
      <c r="DJ51" s="11"/>
      <c r="DK51" s="11"/>
      <c r="DL51" s="247"/>
      <c r="DM51" s="247"/>
      <c r="DN51" s="247"/>
      <c r="DO51" s="247"/>
      <c r="DP51" s="247"/>
      <c r="DQ51" s="247"/>
      <c r="DR51" s="247"/>
      <c r="DS51" s="247"/>
      <c r="DT51" s="247"/>
      <c r="DU51" s="247"/>
      <c r="DV51" s="247"/>
      <c r="DW51" s="247"/>
      <c r="DX51" s="247"/>
      <c r="DY51" s="247"/>
      <c r="DZ51" s="247"/>
      <c r="EA51" s="247"/>
      <c r="EB51" s="247"/>
      <c r="EC51" s="247"/>
      <c r="ED51" s="17">
        <f t="shared" si="4"/>
        <v>540024.16</v>
      </c>
      <c r="EE51" s="29">
        <f t="shared" si="5"/>
        <v>4</v>
      </c>
      <c r="EF51" s="17">
        <f t="shared" si="6"/>
        <v>135006.04</v>
      </c>
    </row>
    <row r="52" spans="1:136" ht="25.5" x14ac:dyDescent="0.25">
      <c r="A52" s="25">
        <f>Distribución_Elementos!A52</f>
        <v>50</v>
      </c>
      <c r="B52" s="22" t="str">
        <f>Distribución_Elementos!B52</f>
        <v>Bidones de 20 galones doble tapa (tapón y rosca) plástico alta densidad opaco para residuos</v>
      </c>
      <c r="C52" s="22" t="str">
        <f>Distribución_Elementos!C52</f>
        <v>Cualquier marca</v>
      </c>
      <c r="D52" s="22" t="str">
        <f>Distribución_Elementos!D52</f>
        <v>Unidades</v>
      </c>
      <c r="E52" s="224">
        <v>1</v>
      </c>
      <c r="F52" s="221">
        <v>0</v>
      </c>
      <c r="G52" s="221">
        <v>0</v>
      </c>
      <c r="H52" s="221">
        <v>86096.5</v>
      </c>
      <c r="I52" s="221">
        <v>0</v>
      </c>
      <c r="J52" s="221">
        <v>57120</v>
      </c>
      <c r="K52" s="221">
        <v>0</v>
      </c>
      <c r="L52" s="247">
        <f>AVERAGE(H52,J52)</f>
        <v>71608.25</v>
      </c>
      <c r="M52" s="247"/>
      <c r="N52" s="227">
        <v>22500</v>
      </c>
      <c r="O52" s="119">
        <f t="shared" si="18"/>
        <v>4275</v>
      </c>
      <c r="P52" s="119">
        <f t="shared" si="19"/>
        <v>26775</v>
      </c>
      <c r="Q52" s="115"/>
      <c r="R52" s="115"/>
      <c r="S52" s="11"/>
      <c r="T52" s="247"/>
      <c r="U52" s="247"/>
      <c r="V52" s="247"/>
      <c r="W52" s="17"/>
      <c r="X52" s="11"/>
      <c r="Y52" s="11"/>
      <c r="Z52" s="247"/>
      <c r="AA52" s="247"/>
      <c r="AB52" s="247"/>
      <c r="AC52" s="44"/>
      <c r="AD52" s="22"/>
      <c r="AE52" s="17"/>
      <c r="AF52" s="247"/>
      <c r="AG52" s="247"/>
      <c r="AH52" s="151"/>
      <c r="AI52" s="4"/>
      <c r="AJ52" s="17"/>
      <c r="AK52" s="17"/>
      <c r="AL52" s="102"/>
      <c r="AM52" s="132"/>
      <c r="AN52" s="161"/>
      <c r="AO52" s="115"/>
      <c r="AP52" s="115"/>
      <c r="AQ52" s="17"/>
      <c r="AR52" s="247"/>
      <c r="AS52" s="247"/>
      <c r="AT52" s="247"/>
      <c r="AU52" s="17"/>
      <c r="AV52" s="17"/>
      <c r="AW52" s="17"/>
      <c r="AX52" s="247"/>
      <c r="AY52" s="247"/>
      <c r="AZ52" s="247"/>
      <c r="BA52" s="17"/>
      <c r="BB52" s="52"/>
      <c r="BC52" s="17"/>
      <c r="BD52" s="247"/>
      <c r="BE52" s="247"/>
      <c r="BF52" s="247"/>
      <c r="BG52" s="17"/>
      <c r="BH52" s="17"/>
      <c r="BI52" s="17"/>
      <c r="BJ52" s="247"/>
      <c r="BK52" s="247"/>
      <c r="BL52" s="247"/>
      <c r="BM52" s="190"/>
      <c r="BN52" s="190"/>
      <c r="BO52" s="17"/>
      <c r="BP52" s="247">
        <v>18000</v>
      </c>
      <c r="BQ52" s="247">
        <f t="shared" si="12"/>
        <v>3420</v>
      </c>
      <c r="BR52" s="247">
        <f t="shared" si="9"/>
        <v>21420</v>
      </c>
      <c r="BS52" s="17"/>
      <c r="BT52" s="17"/>
      <c r="BU52" s="17"/>
      <c r="BV52" s="189"/>
      <c r="BW52" s="197"/>
      <c r="BX52" s="246"/>
      <c r="BY52" s="190"/>
      <c r="BZ52" s="190"/>
      <c r="CA52" s="190"/>
      <c r="CB52" s="247"/>
      <c r="CC52" s="247"/>
      <c r="CD52" s="247"/>
      <c r="CE52" s="17"/>
      <c r="CF52" s="17"/>
      <c r="CG52" s="17"/>
      <c r="CH52" s="247"/>
      <c r="CI52" s="247"/>
      <c r="CJ52" s="247"/>
      <c r="CK52" s="17"/>
      <c r="CL52" s="17"/>
      <c r="CM52" s="17"/>
      <c r="CN52" s="17"/>
      <c r="CO52" s="17"/>
      <c r="CP52" s="11"/>
      <c r="CQ52" s="11"/>
      <c r="CR52" s="11"/>
      <c r="CS52" s="11"/>
      <c r="CT52" s="247"/>
      <c r="CU52" s="247"/>
      <c r="CV52" s="247"/>
      <c r="CW52" s="11"/>
      <c r="CX52" s="11"/>
      <c r="CY52" s="11"/>
      <c r="CZ52" s="11"/>
      <c r="DA52" s="11"/>
      <c r="DB52" s="11"/>
      <c r="DC52" s="11"/>
      <c r="DD52" s="11"/>
      <c r="DE52" s="11"/>
      <c r="DF52" s="11"/>
      <c r="DG52" s="11"/>
      <c r="DH52" s="11"/>
      <c r="DI52" s="11"/>
      <c r="DJ52" s="11"/>
      <c r="DK52" s="11"/>
      <c r="DL52" s="247"/>
      <c r="DM52" s="247"/>
      <c r="DN52" s="247"/>
      <c r="DO52" s="247"/>
      <c r="DP52" s="247"/>
      <c r="DQ52" s="247"/>
      <c r="DR52" s="247"/>
      <c r="DS52" s="247"/>
      <c r="DT52" s="247"/>
      <c r="DU52" s="247"/>
      <c r="DV52" s="247"/>
      <c r="DW52" s="247"/>
      <c r="DX52" s="247"/>
      <c r="DY52" s="247"/>
      <c r="DZ52" s="247"/>
      <c r="EA52" s="247"/>
      <c r="EB52" s="247"/>
      <c r="EC52" s="247"/>
      <c r="ED52" s="17">
        <f t="shared" si="4"/>
        <v>48195</v>
      </c>
      <c r="EE52" s="29">
        <f t="shared" si="5"/>
        <v>2</v>
      </c>
      <c r="EF52" s="17">
        <f t="shared" si="6"/>
        <v>24097.5</v>
      </c>
    </row>
    <row r="53" spans="1:136" ht="25.5" x14ac:dyDescent="0.25">
      <c r="A53" s="25">
        <f>Distribución_Elementos!A53</f>
        <v>51</v>
      </c>
      <c r="B53" s="22" t="str">
        <f>Distribución_Elementos!B53</f>
        <v>Bisturí industrial para trabajo pesado con 5 cuchillas de acero SK4</v>
      </c>
      <c r="C53" s="22" t="str">
        <f>Distribución_Elementos!C53</f>
        <v>Cualquier marca</v>
      </c>
      <c r="D53" s="22" t="str">
        <f>Distribución_Elementos!D53</f>
        <v>Unidad</v>
      </c>
      <c r="E53" s="224">
        <v>1</v>
      </c>
      <c r="F53" s="221">
        <v>0</v>
      </c>
      <c r="G53" s="221">
        <v>0</v>
      </c>
      <c r="H53" s="221">
        <v>0</v>
      </c>
      <c r="I53" s="221">
        <v>0</v>
      </c>
      <c r="J53" s="221">
        <v>0</v>
      </c>
      <c r="K53" s="221">
        <v>0</v>
      </c>
      <c r="L53" s="247"/>
      <c r="M53" s="247"/>
      <c r="N53" s="227">
        <v>20000</v>
      </c>
      <c r="O53" s="119">
        <f t="shared" si="18"/>
        <v>3800</v>
      </c>
      <c r="P53" s="119">
        <f t="shared" si="19"/>
        <v>23800</v>
      </c>
      <c r="Q53" s="115"/>
      <c r="R53" s="115"/>
      <c r="S53" s="11"/>
      <c r="T53" s="247"/>
      <c r="U53" s="247"/>
      <c r="V53" s="247"/>
      <c r="W53" s="17"/>
      <c r="X53" s="11"/>
      <c r="Y53" s="11"/>
      <c r="Z53" s="247"/>
      <c r="AA53" s="247"/>
      <c r="AB53" s="247"/>
      <c r="AC53" s="44"/>
      <c r="AD53" s="22"/>
      <c r="AE53" s="17"/>
      <c r="AF53" s="247"/>
      <c r="AG53" s="247"/>
      <c r="AH53" s="151"/>
      <c r="AI53" s="4"/>
      <c r="AJ53" s="17"/>
      <c r="AK53" s="17"/>
      <c r="AL53" s="102"/>
      <c r="AM53" s="132"/>
      <c r="AN53" s="161"/>
      <c r="AO53" s="115"/>
      <c r="AP53" s="115"/>
      <c r="AQ53" s="17"/>
      <c r="AR53" s="247"/>
      <c r="AS53" s="247"/>
      <c r="AT53" s="247"/>
      <c r="AU53" s="17"/>
      <c r="AV53" s="17"/>
      <c r="AW53" s="17"/>
      <c r="AX53" s="247"/>
      <c r="AY53" s="247"/>
      <c r="AZ53" s="247"/>
      <c r="BA53" s="17"/>
      <c r="BB53" s="52"/>
      <c r="BC53" s="17"/>
      <c r="BD53" s="247"/>
      <c r="BE53" s="247"/>
      <c r="BF53" s="247"/>
      <c r="BG53" s="17"/>
      <c r="BH53" s="17"/>
      <c r="BI53" s="17"/>
      <c r="BJ53" s="247">
        <v>61000</v>
      </c>
      <c r="BK53" s="247">
        <f t="shared" si="0"/>
        <v>11590</v>
      </c>
      <c r="BL53" s="247">
        <f t="shared" si="1"/>
        <v>72590</v>
      </c>
      <c r="BM53" s="190" t="s">
        <v>1499</v>
      </c>
      <c r="BN53" s="190" t="s">
        <v>1522</v>
      </c>
      <c r="BO53" s="17"/>
      <c r="BP53" s="247">
        <v>26500</v>
      </c>
      <c r="BQ53" s="247">
        <f t="shared" si="12"/>
        <v>5035</v>
      </c>
      <c r="BR53" s="247">
        <f t="shared" si="9"/>
        <v>31535</v>
      </c>
      <c r="BS53" s="17"/>
      <c r="BT53" s="17"/>
      <c r="BU53" s="17"/>
      <c r="BV53" s="195">
        <v>66581.927000000011</v>
      </c>
      <c r="BW53" s="195">
        <f>+BV53*0.19</f>
        <v>12650.566130000003</v>
      </c>
      <c r="BX53" s="246">
        <f>+BV53+BW53</f>
        <v>79232.493130000017</v>
      </c>
      <c r="BY53" s="190" t="s">
        <v>1499</v>
      </c>
      <c r="BZ53" s="190" t="s">
        <v>1522</v>
      </c>
      <c r="CA53" s="190"/>
      <c r="CB53" s="247"/>
      <c r="CC53" s="247"/>
      <c r="CD53" s="247"/>
      <c r="CE53" s="17"/>
      <c r="CF53" s="17"/>
      <c r="CG53" s="17"/>
      <c r="CH53" s="247"/>
      <c r="CI53" s="247"/>
      <c r="CJ53" s="247"/>
      <c r="CK53" s="17"/>
      <c r="CL53" s="17"/>
      <c r="CM53" s="17"/>
      <c r="CN53" s="17"/>
      <c r="CO53" s="17"/>
      <c r="CP53" s="11"/>
      <c r="CQ53" s="11"/>
      <c r="CR53" s="11"/>
      <c r="CS53" s="11"/>
      <c r="CT53" s="247"/>
      <c r="CU53" s="247"/>
      <c r="CV53" s="247"/>
      <c r="CW53" s="11"/>
      <c r="CX53" s="11"/>
      <c r="CY53" s="11"/>
      <c r="CZ53" s="11"/>
      <c r="DA53" s="11"/>
      <c r="DB53" s="11"/>
      <c r="DC53" s="11"/>
      <c r="DD53" s="11"/>
      <c r="DE53" s="11"/>
      <c r="DF53" s="11"/>
      <c r="DG53" s="11"/>
      <c r="DH53" s="11"/>
      <c r="DI53" s="11"/>
      <c r="DJ53" s="11"/>
      <c r="DK53" s="11"/>
      <c r="DL53" s="247"/>
      <c r="DM53" s="247"/>
      <c r="DN53" s="247"/>
      <c r="DO53" s="247"/>
      <c r="DP53" s="247"/>
      <c r="DQ53" s="247"/>
      <c r="DR53" s="247"/>
      <c r="DS53" s="247"/>
      <c r="DT53" s="247"/>
      <c r="DU53" s="247"/>
      <c r="DV53" s="247"/>
      <c r="DW53" s="247"/>
      <c r="DX53" s="247"/>
      <c r="DY53" s="247"/>
      <c r="DZ53" s="247"/>
      <c r="EA53" s="247"/>
      <c r="EB53" s="247"/>
      <c r="EC53" s="247"/>
      <c r="ED53" s="17">
        <f t="shared" si="4"/>
        <v>207157.49313000002</v>
      </c>
      <c r="EE53" s="29">
        <f t="shared" si="5"/>
        <v>4</v>
      </c>
      <c r="EF53" s="17">
        <f t="shared" si="6"/>
        <v>51789.373282500004</v>
      </c>
    </row>
    <row r="54" spans="1:136" x14ac:dyDescent="0.25">
      <c r="A54" s="25">
        <f>Distribución_Elementos!A54</f>
        <v>52</v>
      </c>
      <c r="B54" s="22" t="str">
        <f>Distribución_Elementos!B54</f>
        <v>Bolsa   de cierre hermetico 30*45 cm</v>
      </c>
      <c r="C54" s="22" t="str">
        <f>Distribución_Elementos!C54</f>
        <v>ziploc o marca equivalente</v>
      </c>
      <c r="D54" s="22" t="str">
        <f>Distribución_Elementos!D54</f>
        <v>Paquete x 100</v>
      </c>
      <c r="E54" s="224">
        <v>1</v>
      </c>
      <c r="F54" s="221">
        <v>0</v>
      </c>
      <c r="G54" s="221">
        <v>0</v>
      </c>
      <c r="H54" s="221">
        <v>95200</v>
      </c>
      <c r="I54" s="221">
        <v>0</v>
      </c>
      <c r="J54" s="221">
        <v>99930.25</v>
      </c>
      <c r="K54" s="221">
        <v>59500</v>
      </c>
      <c r="L54" s="247">
        <f>AVERAGE(H54,J54)</f>
        <v>97565.125</v>
      </c>
      <c r="M54" s="247">
        <f>K54*E1</f>
        <v>61285</v>
      </c>
      <c r="N54" s="227">
        <v>85000</v>
      </c>
      <c r="O54" s="119">
        <f t="shared" si="18"/>
        <v>16150</v>
      </c>
      <c r="P54" s="119">
        <f t="shared" si="19"/>
        <v>101150</v>
      </c>
      <c r="Q54" s="115"/>
      <c r="R54" s="115"/>
      <c r="S54" s="11"/>
      <c r="T54" s="247"/>
      <c r="U54" s="247"/>
      <c r="V54" s="247"/>
      <c r="W54" s="17"/>
      <c r="X54" s="11"/>
      <c r="Y54" s="11"/>
      <c r="Z54" s="247"/>
      <c r="AA54" s="247"/>
      <c r="AB54" s="247"/>
      <c r="AC54" s="44"/>
      <c r="AD54" s="22"/>
      <c r="AE54" s="17"/>
      <c r="AF54" s="247"/>
      <c r="AG54" s="247"/>
      <c r="AH54" s="97"/>
      <c r="AI54" s="4"/>
      <c r="AJ54" s="17"/>
      <c r="AK54" s="17"/>
      <c r="AL54" s="102"/>
      <c r="AM54" s="132"/>
      <c r="AN54" s="161"/>
      <c r="AO54" s="115"/>
      <c r="AP54" s="115"/>
      <c r="AQ54" s="17"/>
      <c r="AR54" s="247"/>
      <c r="AS54" s="247"/>
      <c r="AT54" s="247"/>
      <c r="AU54" s="17"/>
      <c r="AV54" s="17"/>
      <c r="AW54" s="17"/>
      <c r="AX54" s="247"/>
      <c r="AY54" s="247"/>
      <c r="AZ54" s="247"/>
      <c r="BA54" s="17"/>
      <c r="BB54" s="52"/>
      <c r="BC54" s="17"/>
      <c r="BD54" s="247"/>
      <c r="BE54" s="247"/>
      <c r="BF54" s="247"/>
      <c r="BG54" s="17"/>
      <c r="BH54" s="17"/>
      <c r="BI54" s="17"/>
      <c r="BJ54" s="247"/>
      <c r="BK54" s="247"/>
      <c r="BL54" s="247"/>
      <c r="BM54" s="190"/>
      <c r="BN54" s="190"/>
      <c r="BO54" s="17"/>
      <c r="BP54" s="247">
        <v>68500</v>
      </c>
      <c r="BQ54" s="247">
        <f t="shared" si="12"/>
        <v>13015</v>
      </c>
      <c r="BR54" s="247">
        <f t="shared" si="9"/>
        <v>81515</v>
      </c>
      <c r="BS54" s="17"/>
      <c r="BT54" s="17"/>
      <c r="BU54" s="17"/>
      <c r="BV54" s="189"/>
      <c r="BW54" s="197"/>
      <c r="BX54" s="246"/>
      <c r="BY54" s="190"/>
      <c r="BZ54" s="190"/>
      <c r="CA54" s="190"/>
      <c r="CB54" s="247"/>
      <c r="CC54" s="247"/>
      <c r="CD54" s="247"/>
      <c r="CE54" s="17"/>
      <c r="CF54" s="17"/>
      <c r="CG54" s="17"/>
      <c r="CH54" s="247"/>
      <c r="CI54" s="247"/>
      <c r="CJ54" s="247"/>
      <c r="CK54" s="17"/>
      <c r="CL54" s="17"/>
      <c r="CM54" s="17"/>
      <c r="CN54" s="17"/>
      <c r="CO54" s="17"/>
      <c r="CP54" s="11"/>
      <c r="CQ54" s="11"/>
      <c r="CR54" s="11"/>
      <c r="CS54" s="11"/>
      <c r="CT54" s="247"/>
      <c r="CU54" s="247"/>
      <c r="CV54" s="247"/>
      <c r="CW54" s="11"/>
      <c r="CX54" s="11"/>
      <c r="CY54" s="11"/>
      <c r="CZ54" s="11"/>
      <c r="DA54" s="11"/>
      <c r="DB54" s="11"/>
      <c r="DC54" s="11"/>
      <c r="DD54" s="11"/>
      <c r="DE54" s="11"/>
      <c r="DF54" s="11"/>
      <c r="DG54" s="11"/>
      <c r="DH54" s="11"/>
      <c r="DI54" s="11"/>
      <c r="DJ54" s="11"/>
      <c r="DK54" s="11"/>
      <c r="DL54" s="247"/>
      <c r="DM54" s="247"/>
      <c r="DN54" s="247"/>
      <c r="DO54" s="247"/>
      <c r="DP54" s="247"/>
      <c r="DQ54" s="247"/>
      <c r="DR54" s="247"/>
      <c r="DS54" s="247"/>
      <c r="DT54" s="247"/>
      <c r="DU54" s="247"/>
      <c r="DV54" s="247"/>
      <c r="DW54" s="247"/>
      <c r="DX54" s="247"/>
      <c r="DY54" s="247"/>
      <c r="DZ54" s="247"/>
      <c r="EA54" s="247"/>
      <c r="EB54" s="247"/>
      <c r="EC54" s="247"/>
      <c r="ED54" s="17">
        <f t="shared" si="4"/>
        <v>243950</v>
      </c>
      <c r="EE54" s="29">
        <f t="shared" si="5"/>
        <v>3</v>
      </c>
      <c r="EF54" s="17">
        <f t="shared" si="6"/>
        <v>81316.666666666672</v>
      </c>
    </row>
    <row r="55" spans="1:136" ht="25.5" x14ac:dyDescent="0.25">
      <c r="A55" s="25">
        <f>Distribución_Elementos!A55</f>
        <v>53</v>
      </c>
      <c r="B55" s="22" t="str">
        <f>Distribución_Elementos!B55</f>
        <v>Bolsa autoclavable roja con logo de riesgo biológico 14 X 19" (36 x 48 cm)</v>
      </c>
      <c r="C55" s="22" t="str">
        <f>Distribución_Elementos!C55</f>
        <v>Fisher 01-828B o equivalente</v>
      </c>
      <c r="D55" s="22" t="str">
        <f>Distribución_Elementos!D55</f>
        <v xml:space="preserve">Caja x 200 </v>
      </c>
      <c r="E55" s="224">
        <v>1</v>
      </c>
      <c r="F55" s="221">
        <v>691866</v>
      </c>
      <c r="G55" s="221">
        <v>671041</v>
      </c>
      <c r="H55" s="221">
        <v>268003.86666666664</v>
      </c>
      <c r="I55" s="221">
        <v>267988</v>
      </c>
      <c r="J55" s="221">
        <v>575421.52500000002</v>
      </c>
      <c r="K55" s="221">
        <v>571200</v>
      </c>
      <c r="L55" s="247">
        <f>AVERAGE(F55,H55,J55)</f>
        <v>511763.7972222222</v>
      </c>
      <c r="M55" s="247">
        <f>AVERAGE(G55,I55,K55)*E1</f>
        <v>518511.95666666672</v>
      </c>
      <c r="N55" s="227">
        <v>375000</v>
      </c>
      <c r="O55" s="119">
        <f t="shared" si="18"/>
        <v>71250</v>
      </c>
      <c r="P55" s="119">
        <f t="shared" si="19"/>
        <v>446250</v>
      </c>
      <c r="Q55" s="115"/>
      <c r="R55" s="115"/>
      <c r="S55" s="11"/>
      <c r="T55" s="247"/>
      <c r="U55" s="247"/>
      <c r="V55" s="247"/>
      <c r="W55" s="17"/>
      <c r="X55" s="11"/>
      <c r="Y55" s="11"/>
      <c r="Z55" s="247"/>
      <c r="AA55" s="247"/>
      <c r="AB55" s="247"/>
      <c r="AC55" s="44"/>
      <c r="AD55" s="22"/>
      <c r="AE55" s="17"/>
      <c r="AF55" s="247"/>
      <c r="AG55" s="247"/>
      <c r="AH55" s="151"/>
      <c r="AI55" s="4"/>
      <c r="AJ55" s="17"/>
      <c r="AK55" s="17"/>
      <c r="AL55" s="102"/>
      <c r="AM55" s="132"/>
      <c r="AN55" s="161"/>
      <c r="AO55" s="115"/>
      <c r="AP55" s="115"/>
      <c r="AQ55" s="17"/>
      <c r="AR55" s="247"/>
      <c r="AS55" s="247"/>
      <c r="AT55" s="247"/>
      <c r="AU55" s="17"/>
      <c r="AV55" s="17"/>
      <c r="AW55" s="17"/>
      <c r="AX55" s="247"/>
      <c r="AY55" s="247"/>
      <c r="AZ55" s="247"/>
      <c r="BA55" s="17"/>
      <c r="BB55" s="52"/>
      <c r="BC55" s="17"/>
      <c r="BD55" s="247"/>
      <c r="BE55" s="247"/>
      <c r="BF55" s="247"/>
      <c r="BG55" s="17"/>
      <c r="BH55" s="17"/>
      <c r="BI55" s="17"/>
      <c r="BJ55" s="247">
        <v>969800</v>
      </c>
      <c r="BK55" s="247">
        <f t="shared" si="0"/>
        <v>184262</v>
      </c>
      <c r="BL55" s="247">
        <f t="shared" si="1"/>
        <v>1154062</v>
      </c>
      <c r="BM55" s="190" t="s">
        <v>1524</v>
      </c>
      <c r="BN55" s="190" t="s">
        <v>316</v>
      </c>
      <c r="BO55" s="17"/>
      <c r="BP55" s="247">
        <v>520000</v>
      </c>
      <c r="BQ55" s="247">
        <f t="shared" si="12"/>
        <v>98800</v>
      </c>
      <c r="BR55" s="247">
        <f t="shared" si="9"/>
        <v>618800</v>
      </c>
      <c r="BS55" s="17"/>
      <c r="BT55" s="17"/>
      <c r="BU55" s="17"/>
      <c r="BV55" s="199"/>
      <c r="BW55" s="195"/>
      <c r="BX55" s="246"/>
      <c r="BY55" s="190"/>
      <c r="BZ55" s="190"/>
      <c r="CA55" s="190"/>
      <c r="CB55" s="247"/>
      <c r="CC55" s="247"/>
      <c r="CD55" s="247"/>
      <c r="CE55" s="17"/>
      <c r="CF55" s="17"/>
      <c r="CG55" s="17"/>
      <c r="CH55" s="247"/>
      <c r="CI55" s="247"/>
      <c r="CJ55" s="247"/>
      <c r="CK55" s="17"/>
      <c r="CL55" s="17"/>
      <c r="CM55" s="17"/>
      <c r="CN55" s="17"/>
      <c r="CO55" s="17"/>
      <c r="CP55" s="11"/>
      <c r="CQ55" s="11"/>
      <c r="CR55" s="11"/>
      <c r="CS55" s="11"/>
      <c r="CT55" s="247"/>
      <c r="CU55" s="247"/>
      <c r="CV55" s="247"/>
      <c r="CW55" s="11"/>
      <c r="CX55" s="11"/>
      <c r="CY55" s="11"/>
      <c r="CZ55" s="11"/>
      <c r="DA55" s="11"/>
      <c r="DB55" s="11"/>
      <c r="DC55" s="11"/>
      <c r="DD55" s="11"/>
      <c r="DE55" s="11"/>
      <c r="DF55" s="11"/>
      <c r="DG55" s="11"/>
      <c r="DH55" s="11"/>
      <c r="DI55" s="11"/>
      <c r="DJ55" s="11"/>
      <c r="DK55" s="11"/>
      <c r="DL55" s="247"/>
      <c r="DM55" s="247"/>
      <c r="DN55" s="247"/>
      <c r="DO55" s="247"/>
      <c r="DP55" s="247"/>
      <c r="DQ55" s="247"/>
      <c r="DR55" s="247"/>
      <c r="DS55" s="247"/>
      <c r="DT55" s="247"/>
      <c r="DU55" s="247"/>
      <c r="DV55" s="247"/>
      <c r="DW55" s="247"/>
      <c r="DX55" s="247"/>
      <c r="DY55" s="247"/>
      <c r="DZ55" s="247"/>
      <c r="EA55" s="247"/>
      <c r="EB55" s="247"/>
      <c r="EC55" s="247"/>
      <c r="ED55" s="17">
        <f t="shared" si="4"/>
        <v>2737623.956666667</v>
      </c>
      <c r="EE55" s="29">
        <f t="shared" si="5"/>
        <v>4</v>
      </c>
      <c r="EF55" s="17">
        <f t="shared" si="6"/>
        <v>684405.98916666675</v>
      </c>
    </row>
    <row r="56" spans="1:136" ht="25.5" x14ac:dyDescent="0.25">
      <c r="A56" s="25">
        <f>Distribución_Elementos!A56</f>
        <v>54</v>
      </c>
      <c r="B56" s="22" t="str">
        <f>Distribución_Elementos!B56</f>
        <v>Bolsa autoclavable roja con logo de riesgo biológico 8 x 12" (20x30 cm)</v>
      </c>
      <c r="C56" s="22" t="str">
        <f>Distribución_Elementos!C56</f>
        <v>Fisher 01-828A o equivalente</v>
      </c>
      <c r="D56" s="22" t="str">
        <f>Distribución_Elementos!D56</f>
        <v xml:space="preserve">Caja x 200 </v>
      </c>
      <c r="E56" s="224">
        <v>1</v>
      </c>
      <c r="F56" s="221">
        <v>395341.8</v>
      </c>
      <c r="G56" s="221">
        <v>238000</v>
      </c>
      <c r="H56" s="221">
        <v>133835.33333333334</v>
      </c>
      <c r="I56" s="221">
        <v>0</v>
      </c>
      <c r="J56" s="221">
        <v>273700</v>
      </c>
      <c r="K56" s="221">
        <v>273700</v>
      </c>
      <c r="L56" s="247">
        <f>AVERAGE(F56,H56,J56)</f>
        <v>267625.7111111111</v>
      </c>
      <c r="M56" s="247">
        <f>AVERAGE(G56,K56)*E1</f>
        <v>263525.5</v>
      </c>
      <c r="N56" s="227">
        <v>250000</v>
      </c>
      <c r="O56" s="119">
        <f t="shared" si="18"/>
        <v>47500</v>
      </c>
      <c r="P56" s="119">
        <f t="shared" si="19"/>
        <v>297500</v>
      </c>
      <c r="Q56" s="115"/>
      <c r="R56" s="115"/>
      <c r="S56" s="11"/>
      <c r="T56" s="247"/>
      <c r="U56" s="247"/>
      <c r="V56" s="247"/>
      <c r="W56" s="17"/>
      <c r="X56" s="11"/>
      <c r="Y56" s="11"/>
      <c r="Z56" s="247"/>
      <c r="AA56" s="247"/>
      <c r="AB56" s="247"/>
      <c r="AC56" s="44"/>
      <c r="AD56" s="22"/>
      <c r="AE56" s="17"/>
      <c r="AF56" s="247"/>
      <c r="AG56" s="247"/>
      <c r="AH56" s="151"/>
      <c r="AI56" s="4"/>
      <c r="AJ56" s="17"/>
      <c r="AK56" s="17"/>
      <c r="AL56" s="102">
        <f>+(1286232/500)*200</f>
        <v>514492.8</v>
      </c>
      <c r="AM56" s="132">
        <f>+AL56*0.19</f>
        <v>97753.631999999998</v>
      </c>
      <c r="AN56" s="132">
        <f>+AL56+AM56</f>
        <v>612246.43200000003</v>
      </c>
      <c r="AO56" s="115" t="s">
        <v>1525</v>
      </c>
      <c r="AP56" s="115" t="s">
        <v>1526</v>
      </c>
      <c r="AQ56" s="17"/>
      <c r="AR56" s="247"/>
      <c r="AS56" s="247"/>
      <c r="AT56" s="247"/>
      <c r="AU56" s="17"/>
      <c r="AV56" s="17"/>
      <c r="AW56" s="17"/>
      <c r="AX56" s="247"/>
      <c r="AY56" s="247"/>
      <c r="AZ56" s="247"/>
      <c r="BA56" s="17"/>
      <c r="BB56" s="52"/>
      <c r="BC56" s="17"/>
      <c r="BD56" s="247"/>
      <c r="BE56" s="247"/>
      <c r="BF56" s="247"/>
      <c r="BG56" s="17"/>
      <c r="BH56" s="17"/>
      <c r="BI56" s="17"/>
      <c r="BJ56" s="144">
        <f>1302500/2</f>
        <v>651250</v>
      </c>
      <c r="BK56" s="247">
        <f t="shared" si="0"/>
        <v>123737.5</v>
      </c>
      <c r="BL56" s="247">
        <f t="shared" si="1"/>
        <v>774987.5</v>
      </c>
      <c r="BM56" s="190" t="s">
        <v>1527</v>
      </c>
      <c r="BN56" s="190" t="s">
        <v>316</v>
      </c>
      <c r="BO56" s="17"/>
      <c r="BP56" s="247">
        <v>550000</v>
      </c>
      <c r="BQ56" s="247">
        <f t="shared" si="12"/>
        <v>104500</v>
      </c>
      <c r="BR56" s="247">
        <f t="shared" si="9"/>
        <v>654500</v>
      </c>
      <c r="BS56" s="17"/>
      <c r="BT56" s="17"/>
      <c r="BU56" s="17"/>
      <c r="BV56" s="199"/>
      <c r="BW56" s="195"/>
      <c r="BX56" s="246"/>
      <c r="BY56" s="190"/>
      <c r="BZ56" s="190"/>
      <c r="CA56" s="190"/>
      <c r="CB56" s="247"/>
      <c r="CC56" s="247"/>
      <c r="CD56" s="247"/>
      <c r="CE56" s="17"/>
      <c r="CF56" s="17"/>
      <c r="CG56" s="17"/>
      <c r="CH56" s="247"/>
      <c r="CI56" s="247"/>
      <c r="CJ56" s="247"/>
      <c r="CK56" s="17"/>
      <c r="CL56" s="17"/>
      <c r="CM56" s="17"/>
      <c r="CN56" s="17"/>
      <c r="CO56" s="17"/>
      <c r="CP56" s="11"/>
      <c r="CQ56" s="11"/>
      <c r="CR56" s="11"/>
      <c r="CS56" s="11"/>
      <c r="CT56" s="247"/>
      <c r="CU56" s="247"/>
      <c r="CV56" s="247"/>
      <c r="CW56" s="11"/>
      <c r="CX56" s="11"/>
      <c r="CY56" s="11"/>
      <c r="CZ56" s="11"/>
      <c r="DA56" s="11"/>
      <c r="DB56" s="11"/>
      <c r="DC56" s="11"/>
      <c r="DD56" s="11"/>
      <c r="DE56" s="11"/>
      <c r="DF56" s="11"/>
      <c r="DG56" s="11"/>
      <c r="DH56" s="11"/>
      <c r="DI56" s="11"/>
      <c r="DJ56" s="11"/>
      <c r="DK56" s="11"/>
      <c r="DL56" s="247"/>
      <c r="DM56" s="247"/>
      <c r="DN56" s="247"/>
      <c r="DO56" s="247"/>
      <c r="DP56" s="247"/>
      <c r="DQ56" s="247"/>
      <c r="DR56" s="247"/>
      <c r="DS56" s="247"/>
      <c r="DT56" s="247"/>
      <c r="DU56" s="247"/>
      <c r="DV56" s="247"/>
      <c r="DW56" s="247"/>
      <c r="DX56" s="247"/>
      <c r="DY56" s="247"/>
      <c r="DZ56" s="247"/>
      <c r="EA56" s="247"/>
      <c r="EB56" s="247"/>
      <c r="EC56" s="247"/>
      <c r="ED56" s="17">
        <f t="shared" si="4"/>
        <v>2602759.432</v>
      </c>
      <c r="EE56" s="29">
        <f t="shared" si="5"/>
        <v>5</v>
      </c>
      <c r="EF56" s="17">
        <f t="shared" si="6"/>
        <v>520551.88640000002</v>
      </c>
    </row>
    <row r="57" spans="1:136" ht="25.5" x14ac:dyDescent="0.25">
      <c r="A57" s="25">
        <f>Distribución_Elementos!A57</f>
        <v>55</v>
      </c>
      <c r="B57" s="22" t="str">
        <f>Distribución_Elementos!B57</f>
        <v>Bolsa autoclavable roja en polipropileno de  37 a 38 x 48" (94 x 122 cm)</v>
      </c>
      <c r="C57" s="22" t="str">
        <f>Distribución_Elementos!C57</f>
        <v>Fisher 01-828E o equivalente</v>
      </c>
      <c r="D57" s="22" t="str">
        <f>Distribución_Elementos!D57</f>
        <v xml:space="preserve">Caja x 100 </v>
      </c>
      <c r="E57" s="224">
        <v>1</v>
      </c>
      <c r="F57" s="221">
        <v>0</v>
      </c>
      <c r="G57" s="221">
        <v>0</v>
      </c>
      <c r="H57" s="221">
        <v>0</v>
      </c>
      <c r="I57" s="221">
        <v>0</v>
      </c>
      <c r="J57" s="221">
        <v>1483510.5250000001</v>
      </c>
      <c r="K57" s="221">
        <v>1011500</v>
      </c>
      <c r="L57" s="247">
        <f>J57</f>
        <v>1483510.5250000001</v>
      </c>
      <c r="M57" s="247">
        <f>K57*E1</f>
        <v>1041845</v>
      </c>
      <c r="N57" s="227">
        <v>700000</v>
      </c>
      <c r="O57" s="119">
        <f t="shared" si="18"/>
        <v>133000</v>
      </c>
      <c r="P57" s="119">
        <f t="shared" si="19"/>
        <v>833000</v>
      </c>
      <c r="Q57" s="115"/>
      <c r="R57" s="115"/>
      <c r="S57" s="11"/>
      <c r="T57" s="247"/>
      <c r="U57" s="247"/>
      <c r="V57" s="247"/>
      <c r="W57" s="17"/>
      <c r="X57" s="11"/>
      <c r="Y57" s="11"/>
      <c r="Z57" s="247"/>
      <c r="AA57" s="247"/>
      <c r="AB57" s="247"/>
      <c r="AC57" s="44"/>
      <c r="AD57" s="22"/>
      <c r="AE57" s="17"/>
      <c r="AF57" s="247"/>
      <c r="AG57" s="247"/>
      <c r="AH57" s="151"/>
      <c r="AI57" s="4"/>
      <c r="AJ57" s="17"/>
      <c r="AK57" s="17"/>
      <c r="AL57" s="102"/>
      <c r="AM57" s="132"/>
      <c r="AN57" s="161"/>
      <c r="AO57" s="115"/>
      <c r="AP57" s="115"/>
      <c r="AQ57" s="17"/>
      <c r="AR57" s="247"/>
      <c r="AS57" s="247"/>
      <c r="AT57" s="247"/>
      <c r="AU57" s="17"/>
      <c r="AV57" s="17"/>
      <c r="AW57" s="17"/>
      <c r="AX57" s="247"/>
      <c r="AY57" s="247"/>
      <c r="AZ57" s="247"/>
      <c r="BA57" s="17"/>
      <c r="BB57" s="52"/>
      <c r="BC57" s="17"/>
      <c r="BD57" s="247"/>
      <c r="BE57" s="247"/>
      <c r="BF57" s="247"/>
      <c r="BG57" s="17"/>
      <c r="BH57" s="17"/>
      <c r="BI57" s="17"/>
      <c r="BJ57" s="144">
        <v>1600000</v>
      </c>
      <c r="BK57" s="247">
        <f>+BJ57*0.19</f>
        <v>304000</v>
      </c>
      <c r="BL57" s="247">
        <f>+BJ57+BK57</f>
        <v>1904000</v>
      </c>
      <c r="BM57" s="190" t="s">
        <v>1496</v>
      </c>
      <c r="BN57" s="190" t="s">
        <v>316</v>
      </c>
      <c r="BO57" s="17"/>
      <c r="BP57" s="247">
        <v>600000</v>
      </c>
      <c r="BQ57" s="247">
        <f t="shared" si="12"/>
        <v>114000</v>
      </c>
      <c r="BR57" s="247">
        <f t="shared" si="9"/>
        <v>714000</v>
      </c>
      <c r="BS57" s="17"/>
      <c r="BT57" s="17"/>
      <c r="BU57" s="17"/>
      <c r="BV57" s="199"/>
      <c r="BW57" s="195"/>
      <c r="BX57" s="246"/>
      <c r="BY57" s="190"/>
      <c r="BZ57" s="190"/>
      <c r="CA57" s="190"/>
      <c r="CB57" s="247"/>
      <c r="CC57" s="247"/>
      <c r="CD57" s="247"/>
      <c r="CE57" s="17"/>
      <c r="CF57" s="17"/>
      <c r="CG57" s="17"/>
      <c r="CH57" s="247"/>
      <c r="CI57" s="247"/>
      <c r="CJ57" s="247"/>
      <c r="CK57" s="17"/>
      <c r="CL57" s="17"/>
      <c r="CM57" s="17"/>
      <c r="CN57" s="17"/>
      <c r="CO57" s="17"/>
      <c r="CP57" s="11"/>
      <c r="CQ57" s="11"/>
      <c r="CR57" s="11"/>
      <c r="CS57" s="11"/>
      <c r="CT57" s="247"/>
      <c r="CU57" s="247"/>
      <c r="CV57" s="247"/>
      <c r="CW57" s="11"/>
      <c r="CX57" s="11"/>
      <c r="CY57" s="11"/>
      <c r="CZ57" s="11"/>
      <c r="DA57" s="11"/>
      <c r="DB57" s="11"/>
      <c r="DC57" s="11"/>
      <c r="DD57" s="11"/>
      <c r="DE57" s="11"/>
      <c r="DF57" s="11"/>
      <c r="DG57" s="11"/>
      <c r="DH57" s="11"/>
      <c r="DI57" s="11"/>
      <c r="DJ57" s="11"/>
      <c r="DK57" s="11"/>
      <c r="DL57" s="247"/>
      <c r="DM57" s="247"/>
      <c r="DN57" s="247"/>
      <c r="DO57" s="247"/>
      <c r="DP57" s="247"/>
      <c r="DQ57" s="247"/>
      <c r="DR57" s="247"/>
      <c r="DS57" s="247"/>
      <c r="DT57" s="247"/>
      <c r="DU57" s="247"/>
      <c r="DV57" s="247"/>
      <c r="DW57" s="247"/>
      <c r="DX57" s="247"/>
      <c r="DY57" s="247"/>
      <c r="DZ57" s="247"/>
      <c r="EA57" s="247"/>
      <c r="EB57" s="247"/>
      <c r="EC57" s="247"/>
      <c r="ED57" s="17">
        <f t="shared" si="4"/>
        <v>4492845</v>
      </c>
      <c r="EE57" s="29">
        <f t="shared" si="5"/>
        <v>4</v>
      </c>
      <c r="EF57" s="17">
        <f t="shared" ref="EF57:EF106" si="21">IFERROR(ED57/EE57," ")</f>
        <v>1123211.25</v>
      </c>
    </row>
    <row r="58" spans="1:136" ht="25.5" x14ac:dyDescent="0.25">
      <c r="A58" s="25">
        <f>Distribución_Elementos!A58</f>
        <v>56</v>
      </c>
      <c r="B58" s="22" t="str">
        <f>Distribución_Elementos!B58</f>
        <v>Bolsa autoclavable roja en polipropileno tamaño 19 x 23" (48 x 58 cm)</v>
      </c>
      <c r="C58" s="22" t="str">
        <f>Distribución_Elementos!C58</f>
        <v>Fisher 01-814B o equivalente</v>
      </c>
      <c r="D58" s="22" t="str">
        <f>Distribución_Elementos!D58</f>
        <v xml:space="preserve">Caja x 200 </v>
      </c>
      <c r="E58" s="224">
        <v>1</v>
      </c>
      <c r="F58" s="221">
        <v>1512014</v>
      </c>
      <c r="G58" s="221">
        <v>1466556</v>
      </c>
      <c r="H58" s="221">
        <v>0</v>
      </c>
      <c r="I58" s="221">
        <v>0</v>
      </c>
      <c r="J58" s="221">
        <v>1067441.8999999999</v>
      </c>
      <c r="K58" s="221">
        <v>892500</v>
      </c>
      <c r="L58" s="247">
        <f>AVERAGE(F58,J58)</f>
        <v>1289727.95</v>
      </c>
      <c r="M58" s="247">
        <f>AVERAGE(G58,K58)*E1</f>
        <v>1214913.8400000001</v>
      </c>
      <c r="N58" s="227">
        <v>500000</v>
      </c>
      <c r="O58" s="119">
        <f t="shared" si="18"/>
        <v>95000</v>
      </c>
      <c r="P58" s="119">
        <f t="shared" si="19"/>
        <v>595000</v>
      </c>
      <c r="Q58" s="115"/>
      <c r="R58" s="115"/>
      <c r="S58" s="11"/>
      <c r="T58" s="247"/>
      <c r="U58" s="247"/>
      <c r="V58" s="247"/>
      <c r="W58" s="17"/>
      <c r="X58" s="11"/>
      <c r="Y58" s="11"/>
      <c r="Z58" s="247"/>
      <c r="AA58" s="247"/>
      <c r="AB58" s="247"/>
      <c r="AC58" s="44"/>
      <c r="AD58" s="22"/>
      <c r="AE58" s="17"/>
      <c r="AF58" s="247"/>
      <c r="AG58" s="247"/>
      <c r="AH58" s="151"/>
      <c r="AI58" s="4"/>
      <c r="AJ58" s="17"/>
      <c r="AK58" s="17"/>
      <c r="AL58" s="102"/>
      <c r="AM58" s="132"/>
      <c r="AN58" s="161"/>
      <c r="AO58" s="115"/>
      <c r="AP58" s="115"/>
      <c r="AQ58" s="17"/>
      <c r="AR58" s="247"/>
      <c r="AS58" s="247"/>
      <c r="AT58" s="247"/>
      <c r="AU58" s="17"/>
      <c r="AV58" s="17"/>
      <c r="AW58" s="17"/>
      <c r="AX58" s="247"/>
      <c r="AY58" s="247"/>
      <c r="AZ58" s="247"/>
      <c r="BA58" s="17"/>
      <c r="BB58" s="52"/>
      <c r="BC58" s="17"/>
      <c r="BD58" s="247"/>
      <c r="BE58" s="247"/>
      <c r="BF58" s="247"/>
      <c r="BG58" s="17"/>
      <c r="BH58" s="17"/>
      <c r="BI58" s="17"/>
      <c r="BJ58" s="144">
        <v>1400000</v>
      </c>
      <c r="BK58" s="247">
        <f>+BJ58*0.19</f>
        <v>266000</v>
      </c>
      <c r="BL58" s="247">
        <f>+BJ58+BK58</f>
        <v>1666000</v>
      </c>
      <c r="BM58" s="190" t="s">
        <v>1524</v>
      </c>
      <c r="BN58" s="190" t="s">
        <v>316</v>
      </c>
      <c r="BO58" s="17"/>
      <c r="BP58" s="247">
        <v>550000</v>
      </c>
      <c r="BQ58" s="247">
        <f t="shared" si="12"/>
        <v>104500</v>
      </c>
      <c r="BR58" s="247">
        <f t="shared" si="9"/>
        <v>654500</v>
      </c>
      <c r="BS58" s="17"/>
      <c r="BT58" s="17"/>
      <c r="BU58" s="17"/>
      <c r="BV58" s="199"/>
      <c r="BW58" s="195"/>
      <c r="BX58" s="246"/>
      <c r="BY58" s="190"/>
      <c r="BZ58" s="190"/>
      <c r="CA58" s="190"/>
      <c r="CB58" s="247"/>
      <c r="CC58" s="247"/>
      <c r="CD58" s="247"/>
      <c r="CE58" s="17"/>
      <c r="CF58" s="17"/>
      <c r="CG58" s="17"/>
      <c r="CH58" s="247"/>
      <c r="CI58" s="247"/>
      <c r="CJ58" s="247"/>
      <c r="CK58" s="17"/>
      <c r="CL58" s="17"/>
      <c r="CM58" s="17"/>
      <c r="CN58" s="17"/>
      <c r="CO58" s="17"/>
      <c r="CP58" s="11"/>
      <c r="CQ58" s="11"/>
      <c r="CR58" s="11"/>
      <c r="CS58" s="11"/>
      <c r="CT58" s="247"/>
      <c r="CU58" s="247"/>
      <c r="CV58" s="247"/>
      <c r="CW58" s="11"/>
      <c r="CX58" s="11"/>
      <c r="CY58" s="11"/>
      <c r="CZ58" s="11"/>
      <c r="DA58" s="11"/>
      <c r="DB58" s="11"/>
      <c r="DC58" s="11"/>
      <c r="DD58" s="11"/>
      <c r="DE58" s="11"/>
      <c r="DF58" s="11"/>
      <c r="DG58" s="11"/>
      <c r="DH58" s="11"/>
      <c r="DI58" s="11"/>
      <c r="DJ58" s="11"/>
      <c r="DK58" s="11"/>
      <c r="DL58" s="247"/>
      <c r="DM58" s="247"/>
      <c r="DN58" s="247"/>
      <c r="DO58" s="247"/>
      <c r="DP58" s="247"/>
      <c r="DQ58" s="247"/>
      <c r="DR58" s="247"/>
      <c r="DS58" s="247"/>
      <c r="DT58" s="247"/>
      <c r="DU58" s="247"/>
      <c r="DV58" s="247"/>
      <c r="DW58" s="247"/>
      <c r="DX58" s="247"/>
      <c r="DY58" s="247"/>
      <c r="DZ58" s="247"/>
      <c r="EA58" s="247"/>
      <c r="EB58" s="247"/>
      <c r="EC58" s="247"/>
      <c r="ED58" s="17">
        <f t="shared" ref="ED58:ED107" si="22">SUM(M58,P58,V58,AB58,AH58,AN58,AT58,AZ58,BF58,BL58,BR58,BX58,CD58,CJ58,CP58,CV58,DB58,DH58,DN58,DT58,DZ58)</f>
        <v>4130413.84</v>
      </c>
      <c r="EE58" s="29">
        <f t="shared" ref="EE58:EE107" si="23">COUNTA(M58,N58,T58,Z58,AF58,AL58,AR58,AX58,BD58,BJ58,BP58,BV58,CB58,CH58,CN58,CT58,CZ58,DF58,DL58,DR58,DX58)</f>
        <v>4</v>
      </c>
      <c r="EF58" s="17">
        <f t="shared" si="21"/>
        <v>1032603.46</v>
      </c>
    </row>
    <row r="59" spans="1:136" x14ac:dyDescent="0.25">
      <c r="A59" s="25">
        <f>Distribución_Elementos!A59</f>
        <v>57</v>
      </c>
      <c r="B59" s="22" t="str">
        <f>Distribución_Elementos!B59</f>
        <v xml:space="preserve">Bolsa Hermética de 18x20 Cm </v>
      </c>
      <c r="C59" s="22" t="str">
        <f>Distribución_Elementos!C59</f>
        <v>Cualquier marca</v>
      </c>
      <c r="D59" s="22" t="str">
        <f>Distribución_Elementos!D59</f>
        <v xml:space="preserve">Bolsa x 100 </v>
      </c>
      <c r="E59" s="224">
        <v>1</v>
      </c>
      <c r="F59" s="221">
        <v>0</v>
      </c>
      <c r="G59" s="221">
        <v>0</v>
      </c>
      <c r="H59" s="221">
        <v>0</v>
      </c>
      <c r="I59" s="221">
        <v>0</v>
      </c>
      <c r="J59" s="221">
        <v>54740</v>
      </c>
      <c r="K59" s="221">
        <v>53431</v>
      </c>
      <c r="L59" s="247">
        <f>J59</f>
        <v>54740</v>
      </c>
      <c r="M59" s="247">
        <f>K59*E1</f>
        <v>55033.93</v>
      </c>
      <c r="N59" s="227"/>
      <c r="O59" s="119"/>
      <c r="P59" s="119"/>
      <c r="Q59" s="115"/>
      <c r="R59" s="115"/>
      <c r="S59" s="11"/>
      <c r="T59" s="247"/>
      <c r="U59" s="247"/>
      <c r="V59" s="247"/>
      <c r="W59" s="17"/>
      <c r="X59" s="11"/>
      <c r="Y59" s="11"/>
      <c r="Z59" s="247"/>
      <c r="AA59" s="247"/>
      <c r="AB59" s="247"/>
      <c r="AC59" s="44"/>
      <c r="AD59" s="22"/>
      <c r="AE59" s="17"/>
      <c r="AF59" s="247"/>
      <c r="AG59" s="247"/>
      <c r="AH59" s="151"/>
      <c r="AI59" s="4"/>
      <c r="AJ59" s="17"/>
      <c r="AK59" s="17"/>
      <c r="AL59" s="102">
        <f>534421/5</f>
        <v>106884.2</v>
      </c>
      <c r="AM59" s="132">
        <f>+AL59*0.19</f>
        <v>20307.998</v>
      </c>
      <c r="AN59" s="132">
        <f>+AL59+AM59</f>
        <v>127192.198</v>
      </c>
      <c r="AO59" s="115" t="s">
        <v>1528</v>
      </c>
      <c r="AP59" s="115" t="s">
        <v>1526</v>
      </c>
      <c r="AQ59" s="17"/>
      <c r="AR59" s="247"/>
      <c r="AS59" s="247"/>
      <c r="AT59" s="247"/>
      <c r="AU59" s="17"/>
      <c r="AV59" s="17"/>
      <c r="AW59" s="17"/>
      <c r="AX59" s="247"/>
      <c r="AY59" s="247"/>
      <c r="AZ59" s="247"/>
      <c r="BA59" s="17"/>
      <c r="BB59" s="52"/>
      <c r="BC59" s="17"/>
      <c r="BD59" s="247"/>
      <c r="BE59" s="247"/>
      <c r="BF59" s="247"/>
      <c r="BG59" s="17"/>
      <c r="BH59" s="17"/>
      <c r="BI59" s="17"/>
      <c r="BJ59" s="247"/>
      <c r="BK59" s="247"/>
      <c r="BL59" s="247"/>
      <c r="BM59" s="190"/>
      <c r="BN59" s="190"/>
      <c r="BO59" s="17"/>
      <c r="BP59" s="247">
        <v>38500</v>
      </c>
      <c r="BQ59" s="247">
        <f t="shared" si="12"/>
        <v>7315</v>
      </c>
      <c r="BR59" s="247">
        <f t="shared" si="9"/>
        <v>45815</v>
      </c>
      <c r="BS59" s="17"/>
      <c r="BT59" s="17"/>
      <c r="BU59" s="17"/>
      <c r="BV59" s="189"/>
      <c r="BW59" s="197"/>
      <c r="BX59" s="246"/>
      <c r="BY59" s="190"/>
      <c r="BZ59" s="190"/>
      <c r="CA59" s="190"/>
      <c r="CB59" s="247"/>
      <c r="CC59" s="247"/>
      <c r="CD59" s="247"/>
      <c r="CE59" s="17"/>
      <c r="CF59" s="17"/>
      <c r="CG59" s="17"/>
      <c r="CH59" s="247"/>
      <c r="CI59" s="247"/>
      <c r="CJ59" s="247"/>
      <c r="CK59" s="17"/>
      <c r="CL59" s="17"/>
      <c r="CM59" s="17"/>
      <c r="CN59" s="17"/>
      <c r="CO59" s="17"/>
      <c r="CP59" s="11"/>
      <c r="CQ59" s="11"/>
      <c r="CR59" s="11"/>
      <c r="CS59" s="11"/>
      <c r="CT59" s="247"/>
      <c r="CU59" s="247"/>
      <c r="CV59" s="247"/>
      <c r="CW59" s="11"/>
      <c r="CX59" s="11"/>
      <c r="CY59" s="11"/>
      <c r="CZ59" s="11"/>
      <c r="DA59" s="11"/>
      <c r="DB59" s="11"/>
      <c r="DC59" s="11"/>
      <c r="DD59" s="11"/>
      <c r="DE59" s="11"/>
      <c r="DF59" s="11"/>
      <c r="DG59" s="11"/>
      <c r="DH59" s="11"/>
      <c r="DI59" s="11"/>
      <c r="DJ59" s="11"/>
      <c r="DK59" s="11"/>
      <c r="DL59" s="247"/>
      <c r="DM59" s="247"/>
      <c r="DN59" s="247"/>
      <c r="DO59" s="247"/>
      <c r="DP59" s="247"/>
      <c r="DQ59" s="247"/>
      <c r="DR59" s="247"/>
      <c r="DS59" s="247"/>
      <c r="DT59" s="247"/>
      <c r="DU59" s="247"/>
      <c r="DV59" s="247"/>
      <c r="DW59" s="247"/>
      <c r="DX59" s="247"/>
      <c r="DY59" s="247"/>
      <c r="DZ59" s="247"/>
      <c r="EA59" s="247"/>
      <c r="EB59" s="247"/>
      <c r="EC59" s="247"/>
      <c r="ED59" s="17">
        <f t="shared" si="22"/>
        <v>228041.128</v>
      </c>
      <c r="EE59" s="29">
        <f t="shared" si="23"/>
        <v>3</v>
      </c>
      <c r="EF59" s="17">
        <f t="shared" si="21"/>
        <v>76013.709333333332</v>
      </c>
    </row>
    <row r="60" spans="1:136" ht="24" x14ac:dyDescent="0.25">
      <c r="A60" s="25">
        <f>Distribución_Elementos!A60</f>
        <v>58</v>
      </c>
      <c r="B60" s="22" t="str">
        <f>Distribución_Elementos!B60</f>
        <v>Bolsa plástica cierre hermético 14 cm x 10 cm</v>
      </c>
      <c r="C60" s="22" t="str">
        <f>Distribución_Elementos!C60</f>
        <v>Cualquier marca</v>
      </c>
      <c r="D60" s="22" t="str">
        <f>Distribución_Elementos!D60</f>
        <v xml:space="preserve">Bolsa x 100 </v>
      </c>
      <c r="E60" s="224">
        <v>1</v>
      </c>
      <c r="F60" s="221">
        <v>7854</v>
      </c>
      <c r="G60" s="221">
        <v>7616</v>
      </c>
      <c r="H60" s="221">
        <v>0</v>
      </c>
      <c r="I60" s="221">
        <v>0</v>
      </c>
      <c r="J60" s="221">
        <v>12714.488888888889</v>
      </c>
      <c r="K60" s="221">
        <v>8925</v>
      </c>
      <c r="L60" s="247">
        <f>AVERAGE(F60,J60)</f>
        <v>10284.244444444445</v>
      </c>
      <c r="M60" s="247">
        <f>AVERAGE(G60,K60)*E1</f>
        <v>8518.6149999999998</v>
      </c>
      <c r="N60" s="227">
        <v>12000</v>
      </c>
      <c r="O60" s="119">
        <f t="shared" ref="O60:O67" si="24">+N60*0.19</f>
        <v>2280</v>
      </c>
      <c r="P60" s="119">
        <f t="shared" ref="P60:P67" si="25">+N60+O60</f>
        <v>14280</v>
      </c>
      <c r="Q60" s="115"/>
      <c r="R60" s="115"/>
      <c r="S60" s="11"/>
      <c r="T60" s="247"/>
      <c r="U60" s="247"/>
      <c r="V60" s="247"/>
      <c r="W60" s="17"/>
      <c r="X60" s="11"/>
      <c r="Y60" s="11"/>
      <c r="Z60" s="247"/>
      <c r="AA60" s="247"/>
      <c r="AB60" s="247"/>
      <c r="AC60" s="44"/>
      <c r="AD60" s="22"/>
      <c r="AE60" s="17"/>
      <c r="AF60" s="247"/>
      <c r="AG60" s="247"/>
      <c r="AH60" s="151"/>
      <c r="AI60" s="4"/>
      <c r="AJ60" s="17"/>
      <c r="AK60" s="17"/>
      <c r="AL60" s="102">
        <f>483333/5</f>
        <v>96666.6</v>
      </c>
      <c r="AM60" s="132">
        <f>+AL60*0.19</f>
        <v>18366.654000000002</v>
      </c>
      <c r="AN60" s="132">
        <f>+AL60+AM60</f>
        <v>115033.25400000002</v>
      </c>
      <c r="AO60" s="115" t="s">
        <v>1528</v>
      </c>
      <c r="AP60" s="115" t="s">
        <v>1526</v>
      </c>
      <c r="AQ60" s="17"/>
      <c r="AR60" s="247"/>
      <c r="AS60" s="247"/>
      <c r="AT60" s="247"/>
      <c r="AU60" s="17"/>
      <c r="AV60" s="17"/>
      <c r="AW60" s="17"/>
      <c r="AX60" s="247"/>
      <c r="AY60" s="247"/>
      <c r="AZ60" s="247"/>
      <c r="BA60" s="17"/>
      <c r="BB60" s="52"/>
      <c r="BC60" s="17"/>
      <c r="BD60" s="247"/>
      <c r="BE60" s="247"/>
      <c r="BF60" s="247"/>
      <c r="BG60" s="17"/>
      <c r="BH60" s="17"/>
      <c r="BI60" s="17"/>
      <c r="BJ60" s="247">
        <v>10000</v>
      </c>
      <c r="BK60" s="247">
        <f>+BJ60*0.19</f>
        <v>1900</v>
      </c>
      <c r="BL60" s="247">
        <f>+BJ60+BK60</f>
        <v>11900</v>
      </c>
      <c r="BM60" s="191" t="s">
        <v>1529</v>
      </c>
      <c r="BN60" s="190" t="s">
        <v>1522</v>
      </c>
      <c r="BO60" s="17"/>
      <c r="BP60" s="247">
        <v>32000</v>
      </c>
      <c r="BQ60" s="247">
        <f t="shared" si="12"/>
        <v>6080</v>
      </c>
      <c r="BR60" s="247">
        <f t="shared" ref="BR60:BR107" si="26">+BQ60+BP60</f>
        <v>38080</v>
      </c>
      <c r="BS60" s="17"/>
      <c r="BT60" s="17"/>
      <c r="BU60" s="17"/>
      <c r="BV60" s="189">
        <v>10926.24</v>
      </c>
      <c r="BW60" s="195">
        <f>+BV60*0.19</f>
        <v>2075.9856</v>
      </c>
      <c r="BX60" s="246">
        <f>+BV60+BW60</f>
        <v>13002.2256</v>
      </c>
      <c r="BY60" s="191" t="s">
        <v>1529</v>
      </c>
      <c r="BZ60" s="190" t="s">
        <v>1522</v>
      </c>
      <c r="CA60" s="190"/>
      <c r="CB60" s="247"/>
      <c r="CC60" s="247"/>
      <c r="CD60" s="247"/>
      <c r="CE60" s="17"/>
      <c r="CF60" s="17"/>
      <c r="CG60" s="17"/>
      <c r="CH60" s="247"/>
      <c r="CI60" s="247"/>
      <c r="CJ60" s="247"/>
      <c r="CK60" s="17"/>
      <c r="CL60" s="17"/>
      <c r="CM60" s="17"/>
      <c r="CN60" s="17"/>
      <c r="CO60" s="17"/>
      <c r="CP60" s="11"/>
      <c r="CQ60" s="11"/>
      <c r="CR60" s="11"/>
      <c r="CS60" s="11"/>
      <c r="CT60" s="247"/>
      <c r="CU60" s="247"/>
      <c r="CV60" s="247"/>
      <c r="CW60" s="11"/>
      <c r="CX60" s="11"/>
      <c r="CY60" s="11"/>
      <c r="CZ60" s="11"/>
      <c r="DA60" s="11"/>
      <c r="DB60" s="11"/>
      <c r="DC60" s="11"/>
      <c r="DD60" s="11"/>
      <c r="DE60" s="11"/>
      <c r="DF60" s="11"/>
      <c r="DG60" s="11"/>
      <c r="DH60" s="11"/>
      <c r="DI60" s="11"/>
      <c r="DJ60" s="11"/>
      <c r="DK60" s="11"/>
      <c r="DL60" s="247"/>
      <c r="DM60" s="247"/>
      <c r="DN60" s="247"/>
      <c r="DO60" s="247"/>
      <c r="DP60" s="247"/>
      <c r="DQ60" s="247"/>
      <c r="DR60" s="247"/>
      <c r="DS60" s="247"/>
      <c r="DT60" s="247"/>
      <c r="DU60" s="247"/>
      <c r="DV60" s="247"/>
      <c r="DW60" s="247"/>
      <c r="DX60" s="247"/>
      <c r="DY60" s="247"/>
      <c r="DZ60" s="247"/>
      <c r="EA60" s="247"/>
      <c r="EB60" s="247"/>
      <c r="EC60" s="247"/>
      <c r="ED60" s="17">
        <f t="shared" si="22"/>
        <v>200814.09460000001</v>
      </c>
      <c r="EE60" s="29">
        <f t="shared" si="23"/>
        <v>6</v>
      </c>
      <c r="EF60" s="17">
        <f t="shared" si="21"/>
        <v>33469.015766666671</v>
      </c>
    </row>
    <row r="61" spans="1:136" x14ac:dyDescent="0.25">
      <c r="A61" s="25">
        <f>Distribución_Elementos!A61</f>
        <v>59</v>
      </c>
      <c r="B61" s="22" t="str">
        <f>Distribución_Elementos!B61</f>
        <v>Bolsa plástica cierre hermético 17 X 22 cm Calibre 2</v>
      </c>
      <c r="C61" s="22" t="str">
        <f>Distribución_Elementos!C61</f>
        <v>Cualquier marca</v>
      </c>
      <c r="D61" s="22" t="str">
        <f>Distribución_Elementos!D61</f>
        <v>Paquete x 30</v>
      </c>
      <c r="E61" s="224">
        <v>1</v>
      </c>
      <c r="F61" s="221">
        <v>6545</v>
      </c>
      <c r="G61" s="221">
        <v>6188</v>
      </c>
      <c r="H61" s="221">
        <v>0</v>
      </c>
      <c r="I61" s="221">
        <v>0</v>
      </c>
      <c r="J61" s="221">
        <v>9793.7000000000007</v>
      </c>
      <c r="K61" s="221">
        <v>9520</v>
      </c>
      <c r="L61" s="247">
        <f>AVERAGE(F61,J61)</f>
        <v>8169.35</v>
      </c>
      <c r="M61" s="247">
        <f>AVERAGE(G61,K61)*E1</f>
        <v>8089.62</v>
      </c>
      <c r="N61" s="227">
        <v>110000</v>
      </c>
      <c r="O61" s="119">
        <f t="shared" si="24"/>
        <v>20900</v>
      </c>
      <c r="P61" s="119">
        <f t="shared" si="25"/>
        <v>130900</v>
      </c>
      <c r="Q61" s="115"/>
      <c r="R61" s="115"/>
      <c r="S61" s="11"/>
      <c r="T61" s="247"/>
      <c r="U61" s="247"/>
      <c r="V61" s="247"/>
      <c r="W61" s="17"/>
      <c r="X61" s="11"/>
      <c r="Y61" s="11"/>
      <c r="Z61" s="247"/>
      <c r="AA61" s="247"/>
      <c r="AB61" s="247"/>
      <c r="AC61" s="44"/>
      <c r="AD61" s="22"/>
      <c r="AE61" s="17"/>
      <c r="AF61" s="247"/>
      <c r="AG61" s="247"/>
      <c r="AH61" s="151"/>
      <c r="AI61" s="4"/>
      <c r="AJ61" s="17"/>
      <c r="AK61" s="17"/>
      <c r="AL61" s="102">
        <f>+(416667/500)*30</f>
        <v>25000.019999999997</v>
      </c>
      <c r="AM61" s="132">
        <f>+AL61*0.19</f>
        <v>4750.0037999999995</v>
      </c>
      <c r="AN61" s="132">
        <f>+AL61+AM61</f>
        <v>29750.023799999995</v>
      </c>
      <c r="AO61" s="115" t="s">
        <v>1528</v>
      </c>
      <c r="AP61" s="115" t="s">
        <v>1526</v>
      </c>
      <c r="AQ61" s="17"/>
      <c r="AR61" s="247"/>
      <c r="AS61" s="247"/>
      <c r="AT61" s="247"/>
      <c r="AU61" s="17"/>
      <c r="AV61" s="17"/>
      <c r="AW61" s="17"/>
      <c r="AX61" s="247"/>
      <c r="AY61" s="247"/>
      <c r="AZ61" s="247"/>
      <c r="BA61" s="17"/>
      <c r="BB61" s="52"/>
      <c r="BC61" s="17"/>
      <c r="BD61" s="247"/>
      <c r="BE61" s="247"/>
      <c r="BF61" s="247"/>
      <c r="BG61" s="17"/>
      <c r="BH61" s="17"/>
      <c r="BI61" s="17"/>
      <c r="BJ61" s="247"/>
      <c r="BK61" s="247"/>
      <c r="BL61" s="247"/>
      <c r="BM61" s="190"/>
      <c r="BN61" s="190"/>
      <c r="BO61" s="17"/>
      <c r="BP61" s="247">
        <v>30000</v>
      </c>
      <c r="BQ61" s="247">
        <f t="shared" si="12"/>
        <v>5700</v>
      </c>
      <c r="BR61" s="247">
        <f t="shared" si="26"/>
        <v>35700</v>
      </c>
      <c r="BS61" s="17"/>
      <c r="BT61" s="17"/>
      <c r="BU61" s="17"/>
      <c r="BV61" s="189"/>
      <c r="BW61" s="197"/>
      <c r="BX61" s="246"/>
      <c r="BY61" s="190"/>
      <c r="BZ61" s="190"/>
      <c r="CA61" s="190"/>
      <c r="CB61" s="247"/>
      <c r="CC61" s="247"/>
      <c r="CD61" s="247"/>
      <c r="CE61" s="17"/>
      <c r="CF61" s="17"/>
      <c r="CG61" s="17"/>
      <c r="CH61" s="247"/>
      <c r="CI61" s="247"/>
      <c r="CJ61" s="247"/>
      <c r="CK61" s="17"/>
      <c r="CL61" s="17"/>
      <c r="CM61" s="17"/>
      <c r="CN61" s="17"/>
      <c r="CO61" s="17"/>
      <c r="CP61" s="11"/>
      <c r="CQ61" s="11"/>
      <c r="CR61" s="11"/>
      <c r="CS61" s="11"/>
      <c r="CT61" s="247"/>
      <c r="CU61" s="247"/>
      <c r="CV61" s="247"/>
      <c r="CW61" s="11"/>
      <c r="CX61" s="11"/>
      <c r="CY61" s="11"/>
      <c r="CZ61" s="11"/>
      <c r="DA61" s="11"/>
      <c r="DB61" s="11"/>
      <c r="DC61" s="11"/>
      <c r="DD61" s="11"/>
      <c r="DE61" s="11"/>
      <c r="DF61" s="11"/>
      <c r="DG61" s="11"/>
      <c r="DH61" s="11"/>
      <c r="DI61" s="11"/>
      <c r="DJ61" s="11"/>
      <c r="DK61" s="11"/>
      <c r="DL61" s="247"/>
      <c r="DM61" s="247"/>
      <c r="DN61" s="247"/>
      <c r="DO61" s="247"/>
      <c r="DP61" s="247"/>
      <c r="DQ61" s="247"/>
      <c r="DR61" s="247"/>
      <c r="DS61" s="247"/>
      <c r="DT61" s="247"/>
      <c r="DU61" s="247"/>
      <c r="DV61" s="247"/>
      <c r="DW61" s="247"/>
      <c r="DX61" s="247"/>
      <c r="DY61" s="247"/>
      <c r="DZ61" s="247"/>
      <c r="EA61" s="247"/>
      <c r="EB61" s="247"/>
      <c r="EC61" s="247"/>
      <c r="ED61" s="17">
        <f t="shared" si="22"/>
        <v>204439.64379999999</v>
      </c>
      <c r="EE61" s="29">
        <f t="shared" si="23"/>
        <v>4</v>
      </c>
      <c r="EF61" s="17">
        <f t="shared" si="21"/>
        <v>51109.910949999998</v>
      </c>
    </row>
    <row r="62" spans="1:136" x14ac:dyDescent="0.25">
      <c r="A62" s="25">
        <f>Distribución_Elementos!A62</f>
        <v>60</v>
      </c>
      <c r="B62" s="22" t="str">
        <f>Distribución_Elementos!B62</f>
        <v>Bolsa plástica cierre hermético 20 cm x 20 cm</v>
      </c>
      <c r="C62" s="22" t="str">
        <f>Distribución_Elementos!C62</f>
        <v>Cualquier marca</v>
      </c>
      <c r="D62" s="22" t="str">
        <f>Distribución_Elementos!D62</f>
        <v>Unidad</v>
      </c>
      <c r="E62" s="224">
        <v>1</v>
      </c>
      <c r="F62" s="221">
        <v>7794.5</v>
      </c>
      <c r="G62" s="221">
        <v>7378</v>
      </c>
      <c r="H62" s="221">
        <v>1804.67308</v>
      </c>
      <c r="I62" s="221">
        <v>1666</v>
      </c>
      <c r="J62" s="221">
        <v>15923.522222222224</v>
      </c>
      <c r="K62" s="221">
        <v>238</v>
      </c>
      <c r="L62" s="247">
        <f>AVERAGE(F62,H62,J62)</f>
        <v>8507.5651007407414</v>
      </c>
      <c r="M62" s="247">
        <f>AVERAGE(G62,I62,K62)*E1</f>
        <v>3186.82</v>
      </c>
      <c r="N62" s="227">
        <v>300</v>
      </c>
      <c r="O62" s="119">
        <f t="shared" si="24"/>
        <v>57</v>
      </c>
      <c r="P62" s="119">
        <f t="shared" si="25"/>
        <v>357</v>
      </c>
      <c r="Q62" s="115"/>
      <c r="R62" s="115"/>
      <c r="S62" s="11"/>
      <c r="T62" s="247"/>
      <c r="U62" s="247"/>
      <c r="V62" s="247"/>
      <c r="W62" s="17"/>
      <c r="X62" s="11"/>
      <c r="Y62" s="11"/>
      <c r="Z62" s="247"/>
      <c r="AA62" s="247"/>
      <c r="AB62" s="247"/>
      <c r="AC62" s="44"/>
      <c r="AD62" s="22"/>
      <c r="AE62" s="17"/>
      <c r="AF62" s="247"/>
      <c r="AG62" s="247"/>
      <c r="AH62" s="151"/>
      <c r="AI62" s="4"/>
      <c r="AJ62" s="17"/>
      <c r="AK62" s="17"/>
      <c r="AL62" s="102"/>
      <c r="AM62" s="132"/>
      <c r="AN62" s="161"/>
      <c r="AO62" s="115"/>
      <c r="AP62" s="115"/>
      <c r="AQ62" s="17"/>
      <c r="AR62" s="247"/>
      <c r="AS62" s="247"/>
      <c r="AT62" s="247"/>
      <c r="AU62" s="17"/>
      <c r="AV62" s="17"/>
      <c r="AW62" s="17"/>
      <c r="AX62" s="247"/>
      <c r="AY62" s="247"/>
      <c r="AZ62" s="247"/>
      <c r="BA62" s="17"/>
      <c r="BB62" s="52"/>
      <c r="BC62" s="17"/>
      <c r="BD62" s="247"/>
      <c r="BE62" s="247"/>
      <c r="BF62" s="247"/>
      <c r="BG62" s="17"/>
      <c r="BH62" s="17"/>
      <c r="BI62" s="17"/>
      <c r="BJ62" s="247"/>
      <c r="BK62" s="247"/>
      <c r="BL62" s="247"/>
      <c r="BM62" s="190"/>
      <c r="BN62" s="190"/>
      <c r="BO62" s="17"/>
      <c r="BP62" s="247">
        <v>30000</v>
      </c>
      <c r="BQ62" s="247">
        <f t="shared" si="12"/>
        <v>5700</v>
      </c>
      <c r="BR62" s="247">
        <f t="shared" si="26"/>
        <v>35700</v>
      </c>
      <c r="BS62" s="17"/>
      <c r="BT62" s="17"/>
      <c r="BU62" s="17"/>
      <c r="BV62" s="189"/>
      <c r="BW62" s="197"/>
      <c r="BX62" s="246"/>
      <c r="BY62" s="190"/>
      <c r="BZ62" s="190"/>
      <c r="CA62" s="190"/>
      <c r="CB62" s="247"/>
      <c r="CC62" s="247"/>
      <c r="CD62" s="247"/>
      <c r="CE62" s="17"/>
      <c r="CF62" s="17"/>
      <c r="CG62" s="17"/>
      <c r="CH62" s="247"/>
      <c r="CI62" s="247"/>
      <c r="CJ62" s="247"/>
      <c r="CK62" s="17"/>
      <c r="CL62" s="17"/>
      <c r="CM62" s="17"/>
      <c r="CN62" s="17"/>
      <c r="CO62" s="17"/>
      <c r="CP62" s="11"/>
      <c r="CQ62" s="11"/>
      <c r="CR62" s="11"/>
      <c r="CS62" s="11"/>
      <c r="CT62" s="247"/>
      <c r="CU62" s="247"/>
      <c r="CV62" s="247"/>
      <c r="CW62" s="11"/>
      <c r="CX62" s="11"/>
      <c r="CY62" s="11"/>
      <c r="CZ62" s="11"/>
      <c r="DA62" s="11"/>
      <c r="DB62" s="11"/>
      <c r="DC62" s="11"/>
      <c r="DD62" s="11"/>
      <c r="DE62" s="11"/>
      <c r="DF62" s="11"/>
      <c r="DG62" s="11"/>
      <c r="DH62" s="11"/>
      <c r="DI62" s="11"/>
      <c r="DJ62" s="11"/>
      <c r="DK62" s="11"/>
      <c r="DL62" s="247"/>
      <c r="DM62" s="247"/>
      <c r="DN62" s="247"/>
      <c r="DO62" s="247"/>
      <c r="DP62" s="247"/>
      <c r="DQ62" s="247"/>
      <c r="DR62" s="247"/>
      <c r="DS62" s="247"/>
      <c r="DT62" s="247"/>
      <c r="DU62" s="247"/>
      <c r="DV62" s="247"/>
      <c r="DW62" s="247"/>
      <c r="DX62" s="247"/>
      <c r="DY62" s="247"/>
      <c r="DZ62" s="247"/>
      <c r="EA62" s="247"/>
      <c r="EB62" s="247"/>
      <c r="EC62" s="247"/>
      <c r="ED62" s="17">
        <f t="shared" si="22"/>
        <v>39243.82</v>
      </c>
      <c r="EE62" s="29">
        <f t="shared" si="23"/>
        <v>3</v>
      </c>
      <c r="EF62" s="17">
        <f t="shared" si="21"/>
        <v>13081.273333333333</v>
      </c>
    </row>
    <row r="63" spans="1:136" x14ac:dyDescent="0.25">
      <c r="A63" s="25">
        <f>Distribución_Elementos!A63</f>
        <v>61</v>
      </c>
      <c r="B63" s="22" t="str">
        <f>Distribución_Elementos!B63</f>
        <v>Bolsa plástica cierre hermético 22 cm x 18 cm</v>
      </c>
      <c r="C63" s="22" t="str">
        <f>Distribución_Elementos!C63</f>
        <v>Cualquier marca</v>
      </c>
      <c r="D63" s="22" t="str">
        <f>Distribución_Elementos!D63</f>
        <v xml:space="preserve">Paquete x 50 </v>
      </c>
      <c r="E63" s="224">
        <v>1</v>
      </c>
      <c r="F63" s="221">
        <v>9520</v>
      </c>
      <c r="G63" s="221">
        <v>9163</v>
      </c>
      <c r="H63" s="221">
        <v>13676.458179999998</v>
      </c>
      <c r="I63" s="221">
        <v>13566</v>
      </c>
      <c r="J63" s="221">
        <v>21519.82777777778</v>
      </c>
      <c r="K63" s="221">
        <v>21420</v>
      </c>
      <c r="L63" s="247">
        <f>AVERAGE(F63,H63,J63)</f>
        <v>14905.428652592593</v>
      </c>
      <c r="M63" s="247">
        <f>AVERAGE(G63,I63,K63)*E1</f>
        <v>15157.823333333334</v>
      </c>
      <c r="N63" s="227">
        <v>12000</v>
      </c>
      <c r="O63" s="119">
        <f t="shared" si="24"/>
        <v>2280</v>
      </c>
      <c r="P63" s="119">
        <f t="shared" si="25"/>
        <v>14280</v>
      </c>
      <c r="Q63" s="115"/>
      <c r="R63" s="115"/>
      <c r="S63" s="11"/>
      <c r="T63" s="247"/>
      <c r="U63" s="247"/>
      <c r="V63" s="247"/>
      <c r="W63" s="17"/>
      <c r="X63" s="11"/>
      <c r="Y63" s="11"/>
      <c r="Z63" s="247"/>
      <c r="AA63" s="247"/>
      <c r="AB63" s="247"/>
      <c r="AC63" s="44"/>
      <c r="AD63" s="22"/>
      <c r="AE63" s="17"/>
      <c r="AF63" s="247"/>
      <c r="AG63" s="247"/>
      <c r="AH63" s="151"/>
      <c r="AI63" s="4"/>
      <c r="AJ63" s="17"/>
      <c r="AK63" s="17"/>
      <c r="AL63" s="102"/>
      <c r="AM63" s="132"/>
      <c r="AN63" s="161"/>
      <c r="AO63" s="115"/>
      <c r="AP63" s="115"/>
      <c r="AQ63" s="17"/>
      <c r="AR63" s="247"/>
      <c r="AS63" s="247"/>
      <c r="AT63" s="247"/>
      <c r="AU63" s="17"/>
      <c r="AV63" s="17"/>
      <c r="AW63" s="17"/>
      <c r="AX63" s="247"/>
      <c r="AY63" s="247"/>
      <c r="AZ63" s="247"/>
      <c r="BA63" s="17"/>
      <c r="BB63" s="52"/>
      <c r="BC63" s="17"/>
      <c r="BD63" s="247"/>
      <c r="BE63" s="247"/>
      <c r="BF63" s="247"/>
      <c r="BG63" s="17"/>
      <c r="BH63" s="17"/>
      <c r="BI63" s="17"/>
      <c r="BJ63" s="247"/>
      <c r="BK63" s="247"/>
      <c r="BL63" s="247"/>
      <c r="BM63" s="190"/>
      <c r="BN63" s="190"/>
      <c r="BO63" s="17"/>
      <c r="BP63" s="247">
        <v>35000</v>
      </c>
      <c r="BQ63" s="247">
        <f t="shared" si="12"/>
        <v>6650</v>
      </c>
      <c r="BR63" s="247">
        <f t="shared" si="26"/>
        <v>41650</v>
      </c>
      <c r="BS63" s="17"/>
      <c r="BT63" s="17"/>
      <c r="BU63" s="17"/>
      <c r="BV63" s="189"/>
      <c r="BW63" s="197"/>
      <c r="BX63" s="246"/>
      <c r="BY63" s="190"/>
      <c r="BZ63" s="190"/>
      <c r="CA63" s="190"/>
      <c r="CB63" s="247"/>
      <c r="CC63" s="247"/>
      <c r="CD63" s="247"/>
      <c r="CE63" s="17"/>
      <c r="CF63" s="17"/>
      <c r="CG63" s="17"/>
      <c r="CH63" s="247"/>
      <c r="CI63" s="247"/>
      <c r="CJ63" s="247"/>
      <c r="CK63" s="17"/>
      <c r="CL63" s="17"/>
      <c r="CM63" s="17"/>
      <c r="CN63" s="17"/>
      <c r="CO63" s="17"/>
      <c r="CP63" s="11"/>
      <c r="CQ63" s="11"/>
      <c r="CR63" s="11"/>
      <c r="CS63" s="11"/>
      <c r="CT63" s="247"/>
      <c r="CU63" s="247"/>
      <c r="CV63" s="247"/>
      <c r="CW63" s="11"/>
      <c r="CX63" s="11"/>
      <c r="CY63" s="11"/>
      <c r="CZ63" s="11"/>
      <c r="DA63" s="11"/>
      <c r="DB63" s="11"/>
      <c r="DC63" s="11"/>
      <c r="DD63" s="11"/>
      <c r="DE63" s="11"/>
      <c r="DF63" s="11"/>
      <c r="DG63" s="11"/>
      <c r="DH63" s="11"/>
      <c r="DI63" s="11"/>
      <c r="DJ63" s="11"/>
      <c r="DK63" s="11"/>
      <c r="DL63" s="247"/>
      <c r="DM63" s="247"/>
      <c r="DN63" s="247"/>
      <c r="DO63" s="247"/>
      <c r="DP63" s="247"/>
      <c r="DQ63" s="247"/>
      <c r="DR63" s="247"/>
      <c r="DS63" s="247"/>
      <c r="DT63" s="247"/>
      <c r="DU63" s="247"/>
      <c r="DV63" s="247"/>
      <c r="DW63" s="247"/>
      <c r="DX63" s="247"/>
      <c r="DY63" s="247"/>
      <c r="DZ63" s="247"/>
      <c r="EA63" s="247"/>
      <c r="EB63" s="247"/>
      <c r="EC63" s="247"/>
      <c r="ED63" s="17">
        <f t="shared" si="22"/>
        <v>71087.823333333334</v>
      </c>
      <c r="EE63" s="29">
        <f t="shared" si="23"/>
        <v>3</v>
      </c>
      <c r="EF63" s="17">
        <f t="shared" si="21"/>
        <v>23695.941111111111</v>
      </c>
    </row>
    <row r="64" spans="1:136" x14ac:dyDescent="0.25">
      <c r="A64" s="25">
        <f>Distribución_Elementos!A64</f>
        <v>62</v>
      </c>
      <c r="B64" s="22" t="str">
        <f>Distribución_Elementos!B64</f>
        <v>Bolsa plástica cierre hermético 40 cm x 40 cm</v>
      </c>
      <c r="C64" s="22" t="str">
        <f>Distribución_Elementos!C64</f>
        <v>Cualquier marca</v>
      </c>
      <c r="D64" s="22" t="str">
        <f>Distribución_Elementos!D64</f>
        <v>Paquete x 100</v>
      </c>
      <c r="E64" s="224">
        <v>1</v>
      </c>
      <c r="F64" s="221">
        <v>862.75</v>
      </c>
      <c r="G64" s="221">
        <v>833</v>
      </c>
      <c r="H64" s="221">
        <v>1338.5143800000001</v>
      </c>
      <c r="I64" s="221">
        <v>0</v>
      </c>
      <c r="J64" s="221">
        <v>1282.2249999999999</v>
      </c>
      <c r="K64" s="221">
        <v>0</v>
      </c>
      <c r="L64" s="247">
        <f>AVERAGE(F64,H64,J64)</f>
        <v>1161.1631266666666</v>
      </c>
      <c r="M64" s="144">
        <f>G64*E1</f>
        <v>857.99</v>
      </c>
      <c r="N64" s="227">
        <v>70000</v>
      </c>
      <c r="O64" s="119">
        <f t="shared" si="24"/>
        <v>13300</v>
      </c>
      <c r="P64" s="119">
        <f t="shared" si="25"/>
        <v>83300</v>
      </c>
      <c r="Q64" s="115"/>
      <c r="R64" s="115"/>
      <c r="S64" s="11"/>
      <c r="T64" s="247"/>
      <c r="U64" s="247"/>
      <c r="V64" s="247"/>
      <c r="W64" s="17"/>
      <c r="X64" s="11"/>
      <c r="Y64" s="11"/>
      <c r="Z64" s="247"/>
      <c r="AA64" s="247"/>
      <c r="AB64" s="247"/>
      <c r="AC64" s="44"/>
      <c r="AD64" s="22"/>
      <c r="AE64" s="17"/>
      <c r="AF64" s="247"/>
      <c r="AG64" s="247"/>
      <c r="AH64" s="151"/>
      <c r="AI64" s="4"/>
      <c r="AJ64" s="17"/>
      <c r="AK64" s="17"/>
      <c r="AL64" s="102"/>
      <c r="AM64" s="132"/>
      <c r="AN64" s="161"/>
      <c r="AO64" s="115"/>
      <c r="AP64" s="115"/>
      <c r="AQ64" s="17"/>
      <c r="AR64" s="247"/>
      <c r="AS64" s="247"/>
      <c r="AT64" s="247"/>
      <c r="AU64" s="17"/>
      <c r="AV64" s="17"/>
      <c r="AW64" s="17"/>
      <c r="AX64" s="247"/>
      <c r="AY64" s="247"/>
      <c r="AZ64" s="247"/>
      <c r="BA64" s="17"/>
      <c r="BB64" s="52"/>
      <c r="BC64" s="17"/>
      <c r="BD64" s="247"/>
      <c r="BE64" s="247"/>
      <c r="BF64" s="247"/>
      <c r="BG64" s="17"/>
      <c r="BH64" s="17"/>
      <c r="BI64" s="17"/>
      <c r="BJ64" s="247"/>
      <c r="BK64" s="247"/>
      <c r="BL64" s="247"/>
      <c r="BM64" s="190"/>
      <c r="BN64" s="190"/>
      <c r="BO64" s="17"/>
      <c r="BP64" s="247">
        <v>35000</v>
      </c>
      <c r="BQ64" s="247">
        <f t="shared" si="12"/>
        <v>6650</v>
      </c>
      <c r="BR64" s="247">
        <f t="shared" si="26"/>
        <v>41650</v>
      </c>
      <c r="BS64" s="17"/>
      <c r="BT64" s="17"/>
      <c r="BU64" s="17"/>
      <c r="BV64" s="189"/>
      <c r="BW64" s="197"/>
      <c r="BX64" s="246"/>
      <c r="BY64" s="190"/>
      <c r="BZ64" s="190"/>
      <c r="CA64" s="190"/>
      <c r="CB64" s="247"/>
      <c r="CC64" s="247"/>
      <c r="CD64" s="247"/>
      <c r="CE64" s="17"/>
      <c r="CF64" s="17"/>
      <c r="CG64" s="17"/>
      <c r="CH64" s="247"/>
      <c r="CI64" s="247"/>
      <c r="CJ64" s="247"/>
      <c r="CK64" s="17"/>
      <c r="CL64" s="17"/>
      <c r="CM64" s="17"/>
      <c r="CN64" s="17"/>
      <c r="CO64" s="17"/>
      <c r="CP64" s="11"/>
      <c r="CQ64" s="11"/>
      <c r="CR64" s="11"/>
      <c r="CS64" s="11"/>
      <c r="CT64" s="247"/>
      <c r="CU64" s="247"/>
      <c r="CV64" s="247"/>
      <c r="CW64" s="11"/>
      <c r="CX64" s="11"/>
      <c r="CY64" s="11"/>
      <c r="CZ64" s="11"/>
      <c r="DA64" s="11"/>
      <c r="DB64" s="11"/>
      <c r="DC64" s="11"/>
      <c r="DD64" s="11"/>
      <c r="DE64" s="11"/>
      <c r="DF64" s="11"/>
      <c r="DG64" s="11"/>
      <c r="DH64" s="11"/>
      <c r="DI64" s="11"/>
      <c r="DJ64" s="11"/>
      <c r="DK64" s="11"/>
      <c r="DL64" s="247"/>
      <c r="DM64" s="247"/>
      <c r="DN64" s="247"/>
      <c r="DO64" s="247"/>
      <c r="DP64" s="247"/>
      <c r="DQ64" s="247"/>
      <c r="DR64" s="247"/>
      <c r="DS64" s="247"/>
      <c r="DT64" s="247"/>
      <c r="DU64" s="247"/>
      <c r="DV64" s="247"/>
      <c r="DW64" s="247"/>
      <c r="DX64" s="247"/>
      <c r="DY64" s="247"/>
      <c r="DZ64" s="247"/>
      <c r="EA64" s="247"/>
      <c r="EB64" s="247"/>
      <c r="EC64" s="247"/>
      <c r="ED64" s="17">
        <f t="shared" si="22"/>
        <v>125807.99</v>
      </c>
      <c r="EE64" s="29">
        <f t="shared" si="23"/>
        <v>3</v>
      </c>
      <c r="EF64" s="17">
        <f t="shared" si="21"/>
        <v>41935.996666666666</v>
      </c>
    </row>
    <row r="65" spans="1:136" x14ac:dyDescent="0.25">
      <c r="A65" s="25">
        <f>Distribución_Elementos!A65</f>
        <v>63</v>
      </c>
      <c r="B65" s="22" t="str">
        <f>Distribución_Elementos!B65</f>
        <v>Bolsa plástica cierre hermético 40 cm x 48 cm</v>
      </c>
      <c r="C65" s="22" t="str">
        <f>Distribución_Elementos!C65</f>
        <v>Cualquier marca</v>
      </c>
      <c r="D65" s="22" t="str">
        <f>Distribución_Elementos!D65</f>
        <v xml:space="preserve">Paquete x 50 </v>
      </c>
      <c r="E65" s="224">
        <v>1</v>
      </c>
      <c r="F65" s="221">
        <v>50575</v>
      </c>
      <c r="G65" s="221">
        <v>49028</v>
      </c>
      <c r="H65" s="221">
        <v>54171.932079999999</v>
      </c>
      <c r="I65" s="221">
        <v>54026</v>
      </c>
      <c r="J65" s="221">
        <v>61439.7</v>
      </c>
      <c r="K65" s="221">
        <v>50575</v>
      </c>
      <c r="L65" s="247">
        <f>AVERAGE(F65,H65,J65)</f>
        <v>55395.54402666667</v>
      </c>
      <c r="M65" s="247">
        <f>AVERAGE(G65,I65,K65)*E1</f>
        <v>52745.956666666665</v>
      </c>
      <c r="N65" s="227">
        <v>50000</v>
      </c>
      <c r="O65" s="119">
        <f t="shared" si="24"/>
        <v>9500</v>
      </c>
      <c r="P65" s="119">
        <f t="shared" si="25"/>
        <v>59500</v>
      </c>
      <c r="Q65" s="115"/>
      <c r="R65" s="115"/>
      <c r="S65" s="11"/>
      <c r="T65" s="247"/>
      <c r="U65" s="247"/>
      <c r="V65" s="247"/>
      <c r="W65" s="17"/>
      <c r="X65" s="11"/>
      <c r="Y65" s="11"/>
      <c r="Z65" s="247"/>
      <c r="AA65" s="247"/>
      <c r="AB65" s="247"/>
      <c r="AC65" s="44"/>
      <c r="AD65" s="22"/>
      <c r="AE65" s="17"/>
      <c r="AF65" s="247"/>
      <c r="AG65" s="247"/>
      <c r="AH65" s="151"/>
      <c r="AI65" s="4"/>
      <c r="AJ65" s="17"/>
      <c r="AK65" s="17"/>
      <c r="AL65" s="102"/>
      <c r="AM65" s="132"/>
      <c r="AN65" s="161"/>
      <c r="AO65" s="115"/>
      <c r="AP65" s="115"/>
      <c r="AQ65" s="17"/>
      <c r="AR65" s="247"/>
      <c r="AS65" s="247"/>
      <c r="AT65" s="247"/>
      <c r="AU65" s="17"/>
      <c r="AV65" s="17"/>
      <c r="AW65" s="17"/>
      <c r="AX65" s="247"/>
      <c r="AY65" s="247"/>
      <c r="AZ65" s="247"/>
      <c r="BA65" s="17"/>
      <c r="BB65" s="52"/>
      <c r="BC65" s="17"/>
      <c r="BD65" s="247"/>
      <c r="BE65" s="247"/>
      <c r="BF65" s="247"/>
      <c r="BG65" s="17"/>
      <c r="BH65" s="17"/>
      <c r="BI65" s="17"/>
      <c r="BJ65" s="247"/>
      <c r="BK65" s="247"/>
      <c r="BL65" s="247"/>
      <c r="BM65" s="190"/>
      <c r="BN65" s="190"/>
      <c r="BO65" s="17"/>
      <c r="BP65" s="247">
        <v>38000</v>
      </c>
      <c r="BQ65" s="247">
        <f t="shared" si="12"/>
        <v>7220</v>
      </c>
      <c r="BR65" s="247">
        <f t="shared" si="26"/>
        <v>45220</v>
      </c>
      <c r="BS65" s="17"/>
      <c r="BT65" s="17"/>
      <c r="BU65" s="17"/>
      <c r="BV65" s="189"/>
      <c r="BW65" s="197"/>
      <c r="BX65" s="246"/>
      <c r="BY65" s="190"/>
      <c r="BZ65" s="190"/>
      <c r="CA65" s="190"/>
      <c r="CB65" s="247"/>
      <c r="CC65" s="247"/>
      <c r="CD65" s="247"/>
      <c r="CE65" s="17"/>
      <c r="CF65" s="17"/>
      <c r="CG65" s="17"/>
      <c r="CH65" s="247"/>
      <c r="CI65" s="247"/>
      <c r="CJ65" s="247"/>
      <c r="CK65" s="17"/>
      <c r="CL65" s="17"/>
      <c r="CM65" s="17"/>
      <c r="CN65" s="17"/>
      <c r="CO65" s="17"/>
      <c r="CP65" s="11"/>
      <c r="CQ65" s="11"/>
      <c r="CR65" s="11"/>
      <c r="CS65" s="11"/>
      <c r="CT65" s="247"/>
      <c r="CU65" s="247"/>
      <c r="CV65" s="247"/>
      <c r="CW65" s="11"/>
      <c r="CX65" s="11"/>
      <c r="CY65" s="11"/>
      <c r="CZ65" s="11"/>
      <c r="DA65" s="11"/>
      <c r="DB65" s="11"/>
      <c r="DC65" s="11"/>
      <c r="DD65" s="11"/>
      <c r="DE65" s="11"/>
      <c r="DF65" s="11"/>
      <c r="DG65" s="11"/>
      <c r="DH65" s="11"/>
      <c r="DI65" s="11"/>
      <c r="DJ65" s="11"/>
      <c r="DK65" s="11"/>
      <c r="DL65" s="247"/>
      <c r="DM65" s="247"/>
      <c r="DN65" s="247"/>
      <c r="DO65" s="247"/>
      <c r="DP65" s="247"/>
      <c r="DQ65" s="247"/>
      <c r="DR65" s="247"/>
      <c r="DS65" s="247"/>
      <c r="DT65" s="247"/>
      <c r="DU65" s="247"/>
      <c r="DV65" s="247"/>
      <c r="DW65" s="247"/>
      <c r="DX65" s="247"/>
      <c r="DY65" s="247"/>
      <c r="DZ65" s="247"/>
      <c r="EA65" s="247"/>
      <c r="EB65" s="247"/>
      <c r="EC65" s="247"/>
      <c r="ED65" s="17">
        <f t="shared" si="22"/>
        <v>157465.95666666667</v>
      </c>
      <c r="EE65" s="29">
        <f t="shared" si="23"/>
        <v>3</v>
      </c>
      <c r="EF65" s="17">
        <f t="shared" si="21"/>
        <v>52488.652222222219</v>
      </c>
    </row>
    <row r="66" spans="1:136" x14ac:dyDescent="0.25">
      <c r="A66" s="25">
        <f>Distribución_Elementos!A66</f>
        <v>64</v>
      </c>
      <c r="B66" s="22" t="str">
        <f>Distribución_Elementos!B66</f>
        <v>Bolsa plástica cierre hermético 5 cm x 5 cm</v>
      </c>
      <c r="C66" s="22" t="str">
        <f>Distribución_Elementos!C66</f>
        <v>Cualquier marca</v>
      </c>
      <c r="D66" s="22" t="str">
        <f>Distribución_Elementos!D66</f>
        <v>Paquete x 100</v>
      </c>
      <c r="E66" s="224">
        <v>1</v>
      </c>
      <c r="F66" s="221">
        <v>0</v>
      </c>
      <c r="G66" s="221">
        <v>0</v>
      </c>
      <c r="H66" s="221">
        <v>7288.75</v>
      </c>
      <c r="I66" s="221">
        <v>7140</v>
      </c>
      <c r="J66" s="221">
        <v>10216.033333333333</v>
      </c>
      <c r="K66" s="221">
        <v>7497</v>
      </c>
      <c r="L66" s="247">
        <f>AVERAGE(H66,J66)</f>
        <v>8752.3916666666664</v>
      </c>
      <c r="M66" s="247">
        <f>AVERAGE(I66,K66)*E1</f>
        <v>7538.0550000000003</v>
      </c>
      <c r="N66" s="227">
        <v>8500</v>
      </c>
      <c r="O66" s="119">
        <f t="shared" si="24"/>
        <v>1615</v>
      </c>
      <c r="P66" s="119">
        <f t="shared" si="25"/>
        <v>10115</v>
      </c>
      <c r="Q66" s="115"/>
      <c r="R66" s="115"/>
      <c r="S66" s="11"/>
      <c r="T66" s="247"/>
      <c r="U66" s="247"/>
      <c r="V66" s="247"/>
      <c r="W66" s="17"/>
      <c r="X66" s="11"/>
      <c r="Y66" s="11"/>
      <c r="Z66" s="247"/>
      <c r="AA66" s="247"/>
      <c r="AB66" s="247"/>
      <c r="AC66" s="44"/>
      <c r="AD66" s="22"/>
      <c r="AE66" s="17"/>
      <c r="AF66" s="247"/>
      <c r="AG66" s="247"/>
      <c r="AH66" s="151"/>
      <c r="AI66" s="4"/>
      <c r="AJ66" s="17"/>
      <c r="AK66" s="17"/>
      <c r="AL66" s="102"/>
      <c r="AM66" s="132"/>
      <c r="AN66" s="161"/>
      <c r="AO66" s="115"/>
      <c r="AP66" s="115"/>
      <c r="AQ66" s="17"/>
      <c r="AR66" s="247"/>
      <c r="AS66" s="247"/>
      <c r="AT66" s="247"/>
      <c r="AU66" s="17"/>
      <c r="AV66" s="17"/>
      <c r="AW66" s="17"/>
      <c r="AX66" s="247"/>
      <c r="AY66" s="247"/>
      <c r="AZ66" s="247"/>
      <c r="BA66" s="17"/>
      <c r="BB66" s="52"/>
      <c r="BC66" s="17"/>
      <c r="BD66" s="247"/>
      <c r="BE66" s="247"/>
      <c r="BF66" s="247"/>
      <c r="BG66" s="17"/>
      <c r="BH66" s="17"/>
      <c r="BI66" s="17"/>
      <c r="BJ66" s="247"/>
      <c r="BK66" s="247"/>
      <c r="BL66" s="247"/>
      <c r="BM66" s="190"/>
      <c r="BN66" s="190"/>
      <c r="BO66" s="17"/>
      <c r="BP66" s="247">
        <v>28500</v>
      </c>
      <c r="BQ66" s="247">
        <f t="shared" si="12"/>
        <v>5415</v>
      </c>
      <c r="BR66" s="247">
        <f t="shared" si="26"/>
        <v>33915</v>
      </c>
      <c r="BS66" s="17"/>
      <c r="BT66" s="17"/>
      <c r="BU66" s="17"/>
      <c r="BV66" s="189"/>
      <c r="BW66" s="197"/>
      <c r="BX66" s="246"/>
      <c r="BY66" s="190"/>
      <c r="BZ66" s="190"/>
      <c r="CA66" s="190"/>
      <c r="CB66" s="247"/>
      <c r="CC66" s="247"/>
      <c r="CD66" s="247"/>
      <c r="CE66" s="17"/>
      <c r="CF66" s="17"/>
      <c r="CG66" s="17"/>
      <c r="CH66" s="247"/>
      <c r="CI66" s="247"/>
      <c r="CJ66" s="247"/>
      <c r="CK66" s="17"/>
      <c r="CL66" s="17"/>
      <c r="CM66" s="17"/>
      <c r="CN66" s="17"/>
      <c r="CO66" s="17"/>
      <c r="CP66" s="11"/>
      <c r="CQ66" s="11"/>
      <c r="CR66" s="11"/>
      <c r="CS66" s="11"/>
      <c r="CT66" s="247"/>
      <c r="CU66" s="247"/>
      <c r="CV66" s="247"/>
      <c r="CW66" s="11"/>
      <c r="CX66" s="11"/>
      <c r="CY66" s="11"/>
      <c r="CZ66" s="11"/>
      <c r="DA66" s="11"/>
      <c r="DB66" s="11"/>
      <c r="DC66" s="11"/>
      <c r="DD66" s="11"/>
      <c r="DE66" s="11"/>
      <c r="DF66" s="11"/>
      <c r="DG66" s="11"/>
      <c r="DH66" s="11"/>
      <c r="DI66" s="11"/>
      <c r="DJ66" s="11"/>
      <c r="DK66" s="11"/>
      <c r="DL66" s="247"/>
      <c r="DM66" s="247"/>
      <c r="DN66" s="247"/>
      <c r="DO66" s="247"/>
      <c r="DP66" s="247"/>
      <c r="DQ66" s="247"/>
      <c r="DR66" s="247"/>
      <c r="DS66" s="247"/>
      <c r="DT66" s="247"/>
      <c r="DU66" s="247"/>
      <c r="DV66" s="247"/>
      <c r="DW66" s="247"/>
      <c r="DX66" s="247"/>
      <c r="DY66" s="247"/>
      <c r="DZ66" s="247"/>
      <c r="EA66" s="247"/>
      <c r="EB66" s="247"/>
      <c r="EC66" s="247"/>
      <c r="ED66" s="17">
        <f t="shared" si="22"/>
        <v>51568.055</v>
      </c>
      <c r="EE66" s="29">
        <f t="shared" si="23"/>
        <v>3</v>
      </c>
      <c r="EF66" s="17">
        <f t="shared" si="21"/>
        <v>17189.351666666666</v>
      </c>
    </row>
    <row r="67" spans="1:136" x14ac:dyDescent="0.25">
      <c r="A67" s="25">
        <f>Distribución_Elementos!A67</f>
        <v>65</v>
      </c>
      <c r="B67" s="22" t="str">
        <f>Distribución_Elementos!B67</f>
        <v>Bolsa plástica de 1 Kg en polipropileno de 5" X 10 calibre 2</v>
      </c>
      <c r="C67" s="22" t="str">
        <f>Distribución_Elementos!C67</f>
        <v>Cualquier marca</v>
      </c>
      <c r="D67" s="22" t="str">
        <f>Distribución_Elementos!D67</f>
        <v xml:space="preserve">Paquete x 1000 </v>
      </c>
      <c r="E67" s="224">
        <v>1</v>
      </c>
      <c r="F67" s="221">
        <v>0</v>
      </c>
      <c r="G67" s="221">
        <v>0</v>
      </c>
      <c r="H67" s="221">
        <v>178500</v>
      </c>
      <c r="I67" s="221">
        <v>0</v>
      </c>
      <c r="J67" s="221">
        <v>151963</v>
      </c>
      <c r="K67" s="221">
        <v>0</v>
      </c>
      <c r="L67" s="247">
        <f>AVERAGE(H67,J67)</f>
        <v>165231.5</v>
      </c>
      <c r="M67" s="247"/>
      <c r="N67" s="227">
        <v>120000</v>
      </c>
      <c r="O67" s="119">
        <f t="shared" si="24"/>
        <v>22800</v>
      </c>
      <c r="P67" s="119">
        <f t="shared" si="25"/>
        <v>142800</v>
      </c>
      <c r="Q67" s="115"/>
      <c r="R67" s="115"/>
      <c r="S67" s="11"/>
      <c r="T67" s="247"/>
      <c r="U67" s="247"/>
      <c r="V67" s="247"/>
      <c r="W67" s="17"/>
      <c r="X67" s="11"/>
      <c r="Y67" s="11"/>
      <c r="Z67" s="247"/>
      <c r="AA67" s="247"/>
      <c r="AB67" s="247"/>
      <c r="AC67" s="44"/>
      <c r="AD67" s="45"/>
      <c r="AE67" s="17"/>
      <c r="AF67" s="247"/>
      <c r="AG67" s="247"/>
      <c r="AH67" s="97"/>
      <c r="AI67" s="45"/>
      <c r="AJ67" s="17"/>
      <c r="AK67" s="17"/>
      <c r="AL67" s="102"/>
      <c r="AM67" s="132"/>
      <c r="AN67" s="161"/>
      <c r="AO67" s="115"/>
      <c r="AP67" s="115"/>
      <c r="AQ67" s="17"/>
      <c r="AR67" s="247"/>
      <c r="AS67" s="247"/>
      <c r="AT67" s="247"/>
      <c r="AU67" s="17"/>
      <c r="AV67" s="17"/>
      <c r="AW67" s="17"/>
      <c r="AX67" s="247"/>
      <c r="AY67" s="247"/>
      <c r="AZ67" s="247"/>
      <c r="BA67" s="17"/>
      <c r="BB67" s="52"/>
      <c r="BC67" s="17"/>
      <c r="BD67" s="247"/>
      <c r="BE67" s="247"/>
      <c r="BF67" s="247"/>
      <c r="BG67" s="17"/>
      <c r="BH67" s="17"/>
      <c r="BI67" s="17"/>
      <c r="BJ67" s="247"/>
      <c r="BK67" s="247"/>
      <c r="BL67" s="247"/>
      <c r="BM67" s="190"/>
      <c r="BN67" s="190"/>
      <c r="BO67" s="17"/>
      <c r="BP67" s="247">
        <v>45200</v>
      </c>
      <c r="BQ67" s="247">
        <f t="shared" si="12"/>
        <v>8588</v>
      </c>
      <c r="BR67" s="247">
        <f t="shared" si="26"/>
        <v>53788</v>
      </c>
      <c r="BS67" s="17"/>
      <c r="BT67" s="17"/>
      <c r="BU67" s="17"/>
      <c r="BV67" s="189"/>
      <c r="BW67" s="197"/>
      <c r="BX67" s="246"/>
      <c r="BY67" s="190"/>
      <c r="BZ67" s="190"/>
      <c r="CA67" s="190"/>
      <c r="CB67" s="247"/>
      <c r="CC67" s="247"/>
      <c r="CD67" s="247"/>
      <c r="CE67" s="17"/>
      <c r="CF67" s="17"/>
      <c r="CG67" s="17"/>
      <c r="CH67" s="247"/>
      <c r="CI67" s="247"/>
      <c r="CJ67" s="247"/>
      <c r="CK67" s="17"/>
      <c r="CL67" s="17"/>
      <c r="CM67" s="17"/>
      <c r="CN67" s="17"/>
      <c r="CO67" s="17"/>
      <c r="CP67" s="11"/>
      <c r="CQ67" s="11"/>
      <c r="CR67" s="11"/>
      <c r="CS67" s="11"/>
      <c r="CT67" s="247"/>
      <c r="CU67" s="247"/>
      <c r="CV67" s="247"/>
      <c r="CW67" s="11"/>
      <c r="CX67" s="11"/>
      <c r="CY67" s="11"/>
      <c r="CZ67" s="11"/>
      <c r="DA67" s="11"/>
      <c r="DB67" s="11"/>
      <c r="DC67" s="11"/>
      <c r="DD67" s="11"/>
      <c r="DE67" s="11"/>
      <c r="DF67" s="11"/>
      <c r="DG67" s="11"/>
      <c r="DH67" s="11"/>
      <c r="DI67" s="11"/>
      <c r="DJ67" s="11"/>
      <c r="DK67" s="11"/>
      <c r="DL67" s="247"/>
      <c r="DM67" s="247"/>
      <c r="DN67" s="247"/>
      <c r="DO67" s="247"/>
      <c r="DP67" s="247"/>
      <c r="DQ67" s="247"/>
      <c r="DR67" s="247"/>
      <c r="DS67" s="247"/>
      <c r="DT67" s="247"/>
      <c r="DU67" s="247"/>
      <c r="DV67" s="247"/>
      <c r="DW67" s="247"/>
      <c r="DX67" s="247"/>
      <c r="DY67" s="247"/>
      <c r="DZ67" s="247"/>
      <c r="EA67" s="247"/>
      <c r="EB67" s="247"/>
      <c r="EC67" s="247"/>
      <c r="ED67" s="17">
        <f t="shared" si="22"/>
        <v>196588</v>
      </c>
      <c r="EE67" s="29">
        <f t="shared" si="23"/>
        <v>2</v>
      </c>
      <c r="EF67" s="17">
        <f t="shared" si="21"/>
        <v>98294</v>
      </c>
    </row>
    <row r="68" spans="1:136" x14ac:dyDescent="0.25">
      <c r="A68" s="25">
        <f>Distribución_Elementos!A68</f>
        <v>66</v>
      </c>
      <c r="B68" s="22" t="str">
        <f>Distribución_Elementos!B68</f>
        <v>Bolsa Plastica de 2kg. Fondo cuadrado o base fija.</v>
      </c>
      <c r="C68" s="22" t="str">
        <f>Distribución_Elementos!C68</f>
        <v>Cualquier marca</v>
      </c>
      <c r="D68" s="22" t="str">
        <f>Distribución_Elementos!D68</f>
        <v>Paquete x 100</v>
      </c>
      <c r="E68" s="224">
        <v>1</v>
      </c>
      <c r="F68" s="221">
        <v>0</v>
      </c>
      <c r="G68" s="221">
        <v>0</v>
      </c>
      <c r="H68" s="221">
        <v>0</v>
      </c>
      <c r="I68" s="221">
        <v>0</v>
      </c>
      <c r="J68" s="221">
        <v>952000</v>
      </c>
      <c r="K68" s="221">
        <v>0</v>
      </c>
      <c r="L68" s="247">
        <f>J68</f>
        <v>952000</v>
      </c>
      <c r="M68" s="247"/>
      <c r="N68" s="227"/>
      <c r="O68" s="119"/>
      <c r="P68" s="119"/>
      <c r="Q68" s="115"/>
      <c r="R68" s="115"/>
      <c r="S68" s="11"/>
      <c r="T68" s="247"/>
      <c r="U68" s="247"/>
      <c r="V68" s="247"/>
      <c r="W68" s="17"/>
      <c r="X68" s="11"/>
      <c r="Y68" s="11"/>
      <c r="Z68" s="247"/>
      <c r="AA68" s="247"/>
      <c r="AB68" s="247"/>
      <c r="AC68" s="44"/>
      <c r="AD68" s="22"/>
      <c r="AE68" s="17"/>
      <c r="AF68" s="247"/>
      <c r="AG68" s="247"/>
      <c r="AH68" s="151"/>
      <c r="AI68" s="4"/>
      <c r="AJ68" s="17"/>
      <c r="AK68" s="17"/>
      <c r="AL68" s="102"/>
      <c r="AM68" s="132"/>
      <c r="AN68" s="161"/>
      <c r="AO68" s="115"/>
      <c r="AP68" s="115"/>
      <c r="AQ68" s="17"/>
      <c r="AR68" s="247"/>
      <c r="AS68" s="247"/>
      <c r="AT68" s="247"/>
      <c r="AU68" s="17"/>
      <c r="AV68" s="17"/>
      <c r="AW68" s="17"/>
      <c r="AX68" s="247"/>
      <c r="AY68" s="247"/>
      <c r="AZ68" s="247"/>
      <c r="BA68" s="17"/>
      <c r="BB68" s="52"/>
      <c r="BC68" s="17"/>
      <c r="BD68" s="247"/>
      <c r="BE68" s="247"/>
      <c r="BF68" s="247"/>
      <c r="BG68" s="17"/>
      <c r="BH68" s="17"/>
      <c r="BI68" s="17"/>
      <c r="BJ68" s="247"/>
      <c r="BK68" s="247"/>
      <c r="BL68" s="247"/>
      <c r="BM68" s="190"/>
      <c r="BN68" s="190"/>
      <c r="BO68" s="17"/>
      <c r="BP68" s="247">
        <v>560000</v>
      </c>
      <c r="BQ68" s="247">
        <f t="shared" si="12"/>
        <v>106400</v>
      </c>
      <c r="BR68" s="247">
        <f t="shared" si="26"/>
        <v>666400</v>
      </c>
      <c r="BS68" s="17"/>
      <c r="BT68" s="17"/>
      <c r="BU68" s="17"/>
      <c r="BV68" s="189"/>
      <c r="BW68" s="197"/>
      <c r="BX68" s="246"/>
      <c r="BY68" s="190"/>
      <c r="BZ68" s="190"/>
      <c r="CA68" s="190"/>
      <c r="CB68" s="247"/>
      <c r="CC68" s="247"/>
      <c r="CD68" s="247"/>
      <c r="CE68" s="17"/>
      <c r="CF68" s="17"/>
      <c r="CG68" s="17"/>
      <c r="CH68" s="247"/>
      <c r="CI68" s="247"/>
      <c r="CJ68" s="247"/>
      <c r="CK68" s="17"/>
      <c r="CL68" s="17"/>
      <c r="CM68" s="17"/>
      <c r="CN68" s="17"/>
      <c r="CO68" s="17"/>
      <c r="CP68" s="11"/>
      <c r="CQ68" s="11"/>
      <c r="CR68" s="11"/>
      <c r="CS68" s="11"/>
      <c r="CT68" s="247"/>
      <c r="CU68" s="247"/>
      <c r="CV68" s="247"/>
      <c r="CW68" s="11"/>
      <c r="CX68" s="11"/>
      <c r="CY68" s="11"/>
      <c r="CZ68" s="11"/>
      <c r="DA68" s="11"/>
      <c r="DB68" s="11"/>
      <c r="DC68" s="11"/>
      <c r="DD68" s="11"/>
      <c r="DE68" s="11"/>
      <c r="DF68" s="11"/>
      <c r="DG68" s="11"/>
      <c r="DH68" s="11"/>
      <c r="DI68" s="11"/>
      <c r="DJ68" s="11"/>
      <c r="DK68" s="11"/>
      <c r="DL68" s="247"/>
      <c r="DM68" s="247"/>
      <c r="DN68" s="247"/>
      <c r="DO68" s="247"/>
      <c r="DP68" s="247"/>
      <c r="DQ68" s="247"/>
      <c r="DR68" s="247"/>
      <c r="DS68" s="247"/>
      <c r="DT68" s="247"/>
      <c r="DU68" s="247"/>
      <c r="DV68" s="247"/>
      <c r="DW68" s="247"/>
      <c r="DX68" s="247"/>
      <c r="DY68" s="247"/>
      <c r="DZ68" s="247"/>
      <c r="EA68" s="247"/>
      <c r="EB68" s="247"/>
      <c r="EC68" s="247"/>
      <c r="ED68" s="17">
        <f t="shared" si="22"/>
        <v>666400</v>
      </c>
      <c r="EE68" s="29">
        <f t="shared" si="23"/>
        <v>1</v>
      </c>
      <c r="EF68" s="17">
        <f t="shared" si="21"/>
        <v>666400</v>
      </c>
    </row>
    <row r="69" spans="1:136" ht="25.5" x14ac:dyDescent="0.25">
      <c r="A69" s="25">
        <f>Distribución_Elementos!A69</f>
        <v>67</v>
      </c>
      <c r="B69" s="22" t="str">
        <f>Distribución_Elementos!B69</f>
        <v>Bolsa Whirl-Pak Nasco stand up white write-on strip 12,7 x 30,5 cm; capacidad 27 oz (798 ml)</v>
      </c>
      <c r="C69" s="22" t="str">
        <f>Distribución_Elementos!C69</f>
        <v>BO1448WA o equivalente</v>
      </c>
      <c r="D69" s="22" t="str">
        <f>Distribución_Elementos!D69</f>
        <v>Caja X 250</v>
      </c>
      <c r="E69" s="224">
        <v>1</v>
      </c>
      <c r="F69" s="221">
        <v>443307.13</v>
      </c>
      <c r="G69" s="221">
        <v>429947</v>
      </c>
      <c r="H69" s="221">
        <v>936347.09105000005</v>
      </c>
      <c r="I69" s="221">
        <v>0</v>
      </c>
      <c r="J69" s="221">
        <v>1202984.2883333333</v>
      </c>
      <c r="K69" s="221">
        <v>940100</v>
      </c>
      <c r="L69" s="247">
        <f>AVERAGE(F69,H69,J69)</f>
        <v>860879.50312777783</v>
      </c>
      <c r="M69" s="247">
        <f>AVERAGE(G69,K69)*E1</f>
        <v>705574.20500000007</v>
      </c>
      <c r="N69" s="227"/>
      <c r="O69" s="119"/>
      <c r="P69" s="119"/>
      <c r="Q69" s="115"/>
      <c r="R69" s="115"/>
      <c r="S69" s="11"/>
      <c r="T69" s="247"/>
      <c r="U69" s="247"/>
      <c r="V69" s="247"/>
      <c r="W69" s="17"/>
      <c r="X69" s="11"/>
      <c r="Y69" s="11"/>
      <c r="Z69" s="247"/>
      <c r="AA69" s="247"/>
      <c r="AB69" s="247"/>
      <c r="AC69" s="44"/>
      <c r="AD69" s="22"/>
      <c r="AE69" s="17"/>
      <c r="AF69" s="247"/>
      <c r="AG69" s="247"/>
      <c r="AH69" s="151"/>
      <c r="AI69" s="4"/>
      <c r="AJ69" s="17"/>
      <c r="AK69" s="17"/>
      <c r="AL69" s="102"/>
      <c r="AM69" s="132"/>
      <c r="AN69" s="161"/>
      <c r="AO69" s="115"/>
      <c r="AP69" s="115"/>
      <c r="AQ69" s="17"/>
      <c r="AR69" s="247"/>
      <c r="AS69" s="247"/>
      <c r="AT69" s="247"/>
      <c r="AU69" s="17"/>
      <c r="AV69" s="17"/>
      <c r="AW69" s="17"/>
      <c r="AX69" s="247"/>
      <c r="AY69" s="247"/>
      <c r="AZ69" s="247"/>
      <c r="BA69" s="17"/>
      <c r="BB69" s="52"/>
      <c r="BC69" s="17"/>
      <c r="BD69" s="247"/>
      <c r="BE69" s="247"/>
      <c r="BF69" s="247"/>
      <c r="BG69" s="17"/>
      <c r="BH69" s="17"/>
      <c r="BI69" s="17"/>
      <c r="BJ69" s="247"/>
      <c r="BK69" s="247"/>
      <c r="BL69" s="247"/>
      <c r="BM69" s="190"/>
      <c r="BN69" s="190"/>
      <c r="BO69" s="17"/>
      <c r="BP69" s="247">
        <v>550000</v>
      </c>
      <c r="BQ69" s="247">
        <f t="shared" si="12"/>
        <v>104500</v>
      </c>
      <c r="BR69" s="247">
        <f t="shared" si="26"/>
        <v>654500</v>
      </c>
      <c r="BS69" s="17"/>
      <c r="BT69" s="17"/>
      <c r="BU69" s="17"/>
      <c r="BV69" s="189"/>
      <c r="BW69" s="197"/>
      <c r="BX69" s="246"/>
      <c r="BY69" s="190"/>
      <c r="BZ69" s="190"/>
      <c r="CA69" s="190"/>
      <c r="CB69" s="247"/>
      <c r="CC69" s="247"/>
      <c r="CD69" s="247"/>
      <c r="CE69" s="17"/>
      <c r="CF69" s="17"/>
      <c r="CG69" s="17"/>
      <c r="CH69" s="247"/>
      <c r="CI69" s="247"/>
      <c r="CJ69" s="247"/>
      <c r="CK69" s="17"/>
      <c r="CL69" s="17"/>
      <c r="CM69" s="17"/>
      <c r="CN69" s="17"/>
      <c r="CO69" s="17"/>
      <c r="CP69" s="11"/>
      <c r="CQ69" s="11"/>
      <c r="CR69" s="11"/>
      <c r="CS69" s="11"/>
      <c r="CT69" s="247"/>
      <c r="CU69" s="247"/>
      <c r="CV69" s="247"/>
      <c r="CW69" s="11"/>
      <c r="CX69" s="11"/>
      <c r="CY69" s="11"/>
      <c r="CZ69" s="11"/>
      <c r="DA69" s="11"/>
      <c r="DB69" s="11"/>
      <c r="DC69" s="11"/>
      <c r="DD69" s="11"/>
      <c r="DE69" s="11"/>
      <c r="DF69" s="11"/>
      <c r="DG69" s="11"/>
      <c r="DH69" s="11"/>
      <c r="DI69" s="11"/>
      <c r="DJ69" s="11"/>
      <c r="DK69" s="11"/>
      <c r="DL69" s="247"/>
      <c r="DM69" s="247"/>
      <c r="DN69" s="247"/>
      <c r="DO69" s="247"/>
      <c r="DP69" s="247"/>
      <c r="DQ69" s="247"/>
      <c r="DR69" s="247"/>
      <c r="DS69" s="247"/>
      <c r="DT69" s="247"/>
      <c r="DU69" s="247"/>
      <c r="DV69" s="247"/>
      <c r="DW69" s="247"/>
      <c r="DX69" s="247"/>
      <c r="DY69" s="247"/>
      <c r="DZ69" s="247"/>
      <c r="EA69" s="247"/>
      <c r="EB69" s="247"/>
      <c r="EC69" s="247"/>
      <c r="ED69" s="17">
        <f t="shared" si="22"/>
        <v>1360074.2050000001</v>
      </c>
      <c r="EE69" s="29">
        <f t="shared" si="23"/>
        <v>2</v>
      </c>
      <c r="EF69" s="17">
        <f t="shared" si="21"/>
        <v>680037.10250000004</v>
      </c>
    </row>
    <row r="70" spans="1:136" ht="25.5" x14ac:dyDescent="0.25">
      <c r="A70" s="25">
        <f>Distribución_Elementos!A70</f>
        <v>68</v>
      </c>
      <c r="B70" s="22" t="str">
        <f>Distribución_Elementos!B70</f>
        <v>Bolsa Whirl-Pak Nasco stand up white write-on strip 15 x 23 cm; capacidad 24 oz (710 ml)</v>
      </c>
      <c r="C70" s="22" t="str">
        <f>Distribución_Elementos!C70</f>
        <v>BO1401WA o equivalente</v>
      </c>
      <c r="D70" s="22" t="str">
        <f>Distribución_Elementos!D70</f>
        <v>Caja X 500</v>
      </c>
      <c r="E70" s="224">
        <v>1</v>
      </c>
      <c r="F70" s="221">
        <v>909797.12600000005</v>
      </c>
      <c r="G70" s="221">
        <v>887026</v>
      </c>
      <c r="H70" s="221">
        <v>823466.99726666661</v>
      </c>
      <c r="I70" s="221">
        <v>823361</v>
      </c>
      <c r="J70" s="221">
        <v>917359.1</v>
      </c>
      <c r="K70" s="221">
        <v>892500</v>
      </c>
      <c r="L70" s="247">
        <f>AVERAGE(F70,H70,J70)</f>
        <v>883541.07442222221</v>
      </c>
      <c r="M70" s="247">
        <f>AVERAGE(G70,I70,K70)*E1</f>
        <v>893657.87</v>
      </c>
      <c r="N70" s="227">
        <v>890000</v>
      </c>
      <c r="O70" s="119">
        <f t="shared" ref="O70:O81" si="27">+N70*0.19</f>
        <v>169100</v>
      </c>
      <c r="P70" s="119">
        <f t="shared" ref="P70:P81" si="28">+N70+O70</f>
        <v>1059100</v>
      </c>
      <c r="Q70" s="115"/>
      <c r="R70" s="115"/>
      <c r="S70" s="11"/>
      <c r="T70" s="247"/>
      <c r="U70" s="247"/>
      <c r="V70" s="247"/>
      <c r="W70" s="17"/>
      <c r="X70" s="11"/>
      <c r="Y70" s="11"/>
      <c r="Z70" s="247"/>
      <c r="AA70" s="247"/>
      <c r="AB70" s="247"/>
      <c r="AC70" s="44"/>
      <c r="AD70" s="22"/>
      <c r="AE70" s="17"/>
      <c r="AF70" s="247"/>
      <c r="AG70" s="247"/>
      <c r="AH70" s="151"/>
      <c r="AI70" s="4"/>
      <c r="AJ70" s="17"/>
      <c r="AK70" s="17"/>
      <c r="AL70" s="102"/>
      <c r="AM70" s="132"/>
      <c r="AN70" s="161"/>
      <c r="AO70" s="115"/>
      <c r="AP70" s="115"/>
      <c r="AQ70" s="17"/>
      <c r="AR70" s="247"/>
      <c r="AS70" s="247"/>
      <c r="AT70" s="247"/>
      <c r="AU70" s="17"/>
      <c r="AV70" s="17"/>
      <c r="AW70" s="17"/>
      <c r="AX70" s="247"/>
      <c r="AY70" s="247"/>
      <c r="AZ70" s="247"/>
      <c r="BA70" s="17"/>
      <c r="BB70" s="52"/>
      <c r="BC70" s="17"/>
      <c r="BD70" s="247"/>
      <c r="BE70" s="247"/>
      <c r="BF70" s="247"/>
      <c r="BG70" s="17"/>
      <c r="BH70" s="17"/>
      <c r="BI70" s="17"/>
      <c r="BJ70" s="247">
        <v>1628500</v>
      </c>
      <c r="BK70" s="247">
        <f>+BJ70*0.19</f>
        <v>309415</v>
      </c>
      <c r="BL70" s="247">
        <f>+BJ70+BK70</f>
        <v>1937915</v>
      </c>
      <c r="BM70" s="190" t="s">
        <v>1520</v>
      </c>
      <c r="BN70" s="190" t="s">
        <v>1530</v>
      </c>
      <c r="BO70" s="17"/>
      <c r="BP70" s="247">
        <v>586000</v>
      </c>
      <c r="BQ70" s="247">
        <f t="shared" si="12"/>
        <v>111340</v>
      </c>
      <c r="BR70" s="247">
        <f t="shared" si="26"/>
        <v>697340</v>
      </c>
      <c r="BS70" s="17"/>
      <c r="BT70" s="17"/>
      <c r="BU70" s="17"/>
      <c r="BV70" s="195">
        <v>1847774.2680000002</v>
      </c>
      <c r="BW70" s="195">
        <f>+BV70*0.19</f>
        <v>351077.11092000001</v>
      </c>
      <c r="BX70" s="246">
        <f>+BV70+BW70</f>
        <v>2198851.37892</v>
      </c>
      <c r="BY70" s="190" t="s">
        <v>1520</v>
      </c>
      <c r="BZ70" s="190" t="s">
        <v>1530</v>
      </c>
      <c r="CA70" s="190"/>
      <c r="CB70" s="247"/>
      <c r="CC70" s="247"/>
      <c r="CD70" s="247"/>
      <c r="CE70" s="17"/>
      <c r="CF70" s="17"/>
      <c r="CG70" s="17"/>
      <c r="CH70" s="247"/>
      <c r="CI70" s="247"/>
      <c r="CJ70" s="247"/>
      <c r="CK70" s="17"/>
      <c r="CL70" s="17"/>
      <c r="CM70" s="17"/>
      <c r="CN70" s="17"/>
      <c r="CO70" s="17"/>
      <c r="CP70" s="11"/>
      <c r="CQ70" s="11"/>
      <c r="CR70" s="11"/>
      <c r="CS70" s="11"/>
      <c r="CT70" s="247"/>
      <c r="CU70" s="247"/>
      <c r="CV70" s="247"/>
      <c r="CW70" s="11"/>
      <c r="CX70" s="11"/>
      <c r="CY70" s="11"/>
      <c r="CZ70" s="11"/>
      <c r="DA70" s="11"/>
      <c r="DB70" s="11"/>
      <c r="DC70" s="11"/>
      <c r="DD70" s="11"/>
      <c r="DE70" s="11"/>
      <c r="DF70" s="11"/>
      <c r="DG70" s="11"/>
      <c r="DH70" s="11"/>
      <c r="DI70" s="11"/>
      <c r="DJ70" s="11"/>
      <c r="DK70" s="11"/>
      <c r="DL70" s="247"/>
      <c r="DM70" s="247"/>
      <c r="DN70" s="247"/>
      <c r="DO70" s="247"/>
      <c r="DP70" s="247"/>
      <c r="DQ70" s="247"/>
      <c r="DR70" s="247"/>
      <c r="DS70" s="247"/>
      <c r="DT70" s="247"/>
      <c r="DU70" s="247"/>
      <c r="DV70" s="247"/>
      <c r="DW70" s="247"/>
      <c r="DX70" s="247"/>
      <c r="DY70" s="247"/>
      <c r="DZ70" s="247"/>
      <c r="EA70" s="247"/>
      <c r="EB70" s="247"/>
      <c r="EC70" s="247"/>
      <c r="ED70" s="17">
        <f t="shared" si="22"/>
        <v>6786864.2489200002</v>
      </c>
      <c r="EE70" s="29">
        <f t="shared" si="23"/>
        <v>5</v>
      </c>
      <c r="EF70" s="17">
        <f t="shared" si="21"/>
        <v>1357372.8497840001</v>
      </c>
    </row>
    <row r="71" spans="1:136" ht="25.5" x14ac:dyDescent="0.25">
      <c r="A71" s="25">
        <f>Distribución_Elementos!A71</f>
        <v>69</v>
      </c>
      <c r="B71" s="22" t="str">
        <f>Distribución_Elementos!B71</f>
        <v>Bolsa Whirl-Pak Nasco stand up white write-on strip 7.5X18.5 cm; capacidad 4 oz (118 ml aproximadamente)</v>
      </c>
      <c r="C71" s="22" t="str">
        <f>Distribución_Elementos!C71</f>
        <v>Nasco o equivalente</v>
      </c>
      <c r="D71" s="22" t="str">
        <f>Distribución_Elementos!D71</f>
        <v>Caja X 500</v>
      </c>
      <c r="E71" s="224">
        <v>1</v>
      </c>
      <c r="F71" s="221">
        <v>0</v>
      </c>
      <c r="G71" s="221">
        <v>0</v>
      </c>
      <c r="H71" s="221">
        <v>456599.16020608443</v>
      </c>
      <c r="I71" s="221">
        <v>456484</v>
      </c>
      <c r="J71" s="221">
        <v>500813.48333333334</v>
      </c>
      <c r="K71" s="221">
        <v>499800</v>
      </c>
      <c r="L71" s="247">
        <f>AVERAGE(H71,J71)</f>
        <v>478706.32176970888</v>
      </c>
      <c r="M71" s="247">
        <f>AVERAGE(I71,K71)*E1</f>
        <v>492486.26</v>
      </c>
      <c r="N71" s="227">
        <v>475000</v>
      </c>
      <c r="O71" s="119">
        <f t="shared" si="27"/>
        <v>90250</v>
      </c>
      <c r="P71" s="119">
        <f t="shared" si="28"/>
        <v>565250</v>
      </c>
      <c r="Q71" s="115"/>
      <c r="R71" s="115"/>
      <c r="S71" s="11"/>
      <c r="T71" s="247"/>
      <c r="U71" s="247"/>
      <c r="V71" s="247"/>
      <c r="W71" s="17"/>
      <c r="X71" s="11"/>
      <c r="Y71" s="11"/>
      <c r="Z71" s="247"/>
      <c r="AA71" s="247"/>
      <c r="AB71" s="247"/>
      <c r="AC71" s="44"/>
      <c r="AD71" s="22"/>
      <c r="AE71" s="17"/>
      <c r="AF71" s="247"/>
      <c r="AG71" s="247"/>
      <c r="AH71" s="151"/>
      <c r="AI71" s="22"/>
      <c r="AJ71" s="17"/>
      <c r="AK71" s="17"/>
      <c r="AL71" s="102"/>
      <c r="AM71" s="132"/>
      <c r="AN71" s="161"/>
      <c r="AO71" s="115"/>
      <c r="AP71" s="115"/>
      <c r="AQ71" s="17"/>
      <c r="AR71" s="247"/>
      <c r="AS71" s="247"/>
      <c r="AT71" s="247"/>
      <c r="AU71" s="17"/>
      <c r="AV71" s="17"/>
      <c r="AW71" s="17"/>
      <c r="AX71" s="247"/>
      <c r="AY71" s="247"/>
      <c r="AZ71" s="247"/>
      <c r="BA71" s="17"/>
      <c r="BB71" s="52"/>
      <c r="BC71" s="17"/>
      <c r="BD71" s="247"/>
      <c r="BE71" s="247"/>
      <c r="BF71" s="247"/>
      <c r="BG71" s="17"/>
      <c r="BH71" s="17"/>
      <c r="BI71" s="17"/>
      <c r="BJ71" s="247">
        <v>898600</v>
      </c>
      <c r="BK71" s="247">
        <f>+BJ71*0.19</f>
        <v>170734</v>
      </c>
      <c r="BL71" s="247">
        <f>+BJ71+BK71</f>
        <v>1069334</v>
      </c>
      <c r="BM71" s="190" t="s">
        <v>1520</v>
      </c>
      <c r="BN71" s="190" t="s">
        <v>1530</v>
      </c>
      <c r="BO71" s="17"/>
      <c r="BP71" s="247">
        <v>563000</v>
      </c>
      <c r="BQ71" s="247">
        <f t="shared" si="12"/>
        <v>106970</v>
      </c>
      <c r="BR71" s="247">
        <f t="shared" si="26"/>
        <v>669970</v>
      </c>
      <c r="BS71" s="17"/>
      <c r="BT71" s="17"/>
      <c r="BU71" s="17"/>
      <c r="BV71" s="195">
        <v>1000250.5306000001</v>
      </c>
      <c r="BW71" s="195">
        <f>+BV71*0.19</f>
        <v>190047.600814</v>
      </c>
      <c r="BX71" s="246">
        <f>+BV71+BW71</f>
        <v>1190298.1314139999</v>
      </c>
      <c r="BY71" s="190" t="s">
        <v>1520</v>
      </c>
      <c r="BZ71" s="190" t="s">
        <v>1530</v>
      </c>
      <c r="CA71" s="190"/>
      <c r="CB71" s="247"/>
      <c r="CC71" s="247"/>
      <c r="CD71" s="247"/>
      <c r="CE71" s="17"/>
      <c r="CF71" s="17"/>
      <c r="CG71" s="17"/>
      <c r="CH71" s="247"/>
      <c r="CI71" s="247"/>
      <c r="CJ71" s="247"/>
      <c r="CK71" s="17"/>
      <c r="CL71" s="17"/>
      <c r="CM71" s="17"/>
      <c r="CN71" s="17"/>
      <c r="CO71" s="17"/>
      <c r="CP71" s="11"/>
      <c r="CQ71" s="11"/>
      <c r="CR71" s="11"/>
      <c r="CS71" s="11"/>
      <c r="CT71" s="247"/>
      <c r="CU71" s="247"/>
      <c r="CV71" s="247"/>
      <c r="CW71" s="11"/>
      <c r="CX71" s="11"/>
      <c r="CY71" s="11"/>
      <c r="CZ71" s="11"/>
      <c r="DA71" s="11"/>
      <c r="DB71" s="11"/>
      <c r="DC71" s="11"/>
      <c r="DD71" s="11"/>
      <c r="DE71" s="11"/>
      <c r="DF71" s="11"/>
      <c r="DG71" s="11"/>
      <c r="DH71" s="11"/>
      <c r="DI71" s="11"/>
      <c r="DJ71" s="11"/>
      <c r="DK71" s="11"/>
      <c r="DL71" s="247"/>
      <c r="DM71" s="247"/>
      <c r="DN71" s="247"/>
      <c r="DO71" s="247"/>
      <c r="DP71" s="247"/>
      <c r="DQ71" s="247"/>
      <c r="DR71" s="247"/>
      <c r="DS71" s="247"/>
      <c r="DT71" s="247"/>
      <c r="DU71" s="247"/>
      <c r="DV71" s="247"/>
      <c r="DW71" s="247"/>
      <c r="DX71" s="247"/>
      <c r="DY71" s="247"/>
      <c r="DZ71" s="247"/>
      <c r="EA71" s="247"/>
      <c r="EB71" s="247"/>
      <c r="EC71" s="247"/>
      <c r="ED71" s="17">
        <f t="shared" si="22"/>
        <v>3987338.3914139997</v>
      </c>
      <c r="EE71" s="29">
        <f t="shared" si="23"/>
        <v>5</v>
      </c>
      <c r="EF71" s="17">
        <f t="shared" si="21"/>
        <v>797467.6782827999</v>
      </c>
    </row>
    <row r="72" spans="1:136" ht="25.5" x14ac:dyDescent="0.25">
      <c r="A72" s="25">
        <f>Distribución_Elementos!A72</f>
        <v>70</v>
      </c>
      <c r="B72" s="22" t="str">
        <f>Distribución_Elementos!B72</f>
        <v>Bolsa Whirl-Pak Nasco write-on strip 11,5 X 23 cm; capacidad 18 oz (532 ml)</v>
      </c>
      <c r="C72" s="22" t="str">
        <f>Distribución_Elementos!C72</f>
        <v>BO1065WA o equivalente</v>
      </c>
      <c r="D72" s="22" t="str">
        <f>Distribución_Elementos!D72</f>
        <v xml:space="preserve">Caja x 500 </v>
      </c>
      <c r="E72" s="224">
        <v>1</v>
      </c>
      <c r="F72" s="221">
        <v>488968.14399999997</v>
      </c>
      <c r="G72" s="221">
        <v>476714</v>
      </c>
      <c r="H72" s="221">
        <v>458449.57255000004</v>
      </c>
      <c r="I72" s="221">
        <v>458388</v>
      </c>
      <c r="J72" s="221">
        <v>547649.9</v>
      </c>
      <c r="K72" s="221">
        <v>547400</v>
      </c>
      <c r="L72" s="247">
        <f>AVERAGE(F72,H72,J72)</f>
        <v>498355.87218333333</v>
      </c>
      <c r="M72" s="247">
        <f>AVERAGE(G72,I72,K72)*E1</f>
        <v>508992.35333333333</v>
      </c>
      <c r="N72" s="227">
        <v>515000</v>
      </c>
      <c r="O72" s="119">
        <f t="shared" si="27"/>
        <v>97850</v>
      </c>
      <c r="P72" s="119">
        <f t="shared" si="28"/>
        <v>612850</v>
      </c>
      <c r="Q72" s="115"/>
      <c r="R72" s="115"/>
      <c r="S72" s="11"/>
      <c r="T72" s="247">
        <v>503800.00000000006</v>
      </c>
      <c r="U72" s="247">
        <f>+T72*0.19</f>
        <v>95722.000000000015</v>
      </c>
      <c r="V72" s="247">
        <f>+T72+U72</f>
        <v>599522.00000000012</v>
      </c>
      <c r="W72" s="17" t="s">
        <v>1531</v>
      </c>
      <c r="X72" s="11" t="s">
        <v>1530</v>
      </c>
      <c r="Y72" s="11"/>
      <c r="Z72" s="247"/>
      <c r="AA72" s="247"/>
      <c r="AB72" s="247"/>
      <c r="AC72" s="44"/>
      <c r="AD72" s="22"/>
      <c r="AE72" s="17"/>
      <c r="AF72" s="247"/>
      <c r="AG72" s="247"/>
      <c r="AH72" s="151"/>
      <c r="AI72" s="4"/>
      <c r="AJ72" s="17"/>
      <c r="AK72" s="17"/>
      <c r="AL72" s="102"/>
      <c r="AM72" s="132"/>
      <c r="AN72" s="161"/>
      <c r="AO72" s="115"/>
      <c r="AP72" s="115"/>
      <c r="AQ72" s="17"/>
      <c r="AR72" s="247"/>
      <c r="AS72" s="247"/>
      <c r="AT72" s="247"/>
      <c r="AU72" s="17"/>
      <c r="AV72" s="17"/>
      <c r="AW72" s="17"/>
      <c r="AX72" s="247"/>
      <c r="AY72" s="247"/>
      <c r="AZ72" s="247"/>
      <c r="BA72" s="17"/>
      <c r="BB72" s="52"/>
      <c r="BC72" s="17"/>
      <c r="BD72" s="247"/>
      <c r="BE72" s="247"/>
      <c r="BF72" s="247"/>
      <c r="BG72" s="17"/>
      <c r="BH72" s="17"/>
      <c r="BI72" s="17"/>
      <c r="BJ72" s="247">
        <v>1382300</v>
      </c>
      <c r="BK72" s="247">
        <f>+BJ72*0.19</f>
        <v>262637</v>
      </c>
      <c r="BL72" s="247">
        <f>+BJ72+BK72</f>
        <v>1644937</v>
      </c>
      <c r="BM72" s="190" t="s">
        <v>1520</v>
      </c>
      <c r="BN72" s="190" t="s">
        <v>1530</v>
      </c>
      <c r="BO72" s="17"/>
      <c r="BP72" s="247">
        <v>590000</v>
      </c>
      <c r="BQ72" s="247">
        <f t="shared" si="12"/>
        <v>112100</v>
      </c>
      <c r="BR72" s="247">
        <f t="shared" si="26"/>
        <v>702100</v>
      </c>
      <c r="BS72" s="17"/>
      <c r="BT72" s="17"/>
      <c r="BU72" s="17"/>
      <c r="BV72" s="195">
        <v>1645755.3216000001</v>
      </c>
      <c r="BW72" s="195">
        <f>+BV72*0.19</f>
        <v>312693.51110400003</v>
      </c>
      <c r="BX72" s="246">
        <f>+BV72+BW72</f>
        <v>1958448.8327040002</v>
      </c>
      <c r="BY72" s="190" t="s">
        <v>1520</v>
      </c>
      <c r="BZ72" s="190" t="s">
        <v>1530</v>
      </c>
      <c r="CA72" s="190"/>
      <c r="CB72" s="247"/>
      <c r="CC72" s="247"/>
      <c r="CD72" s="247"/>
      <c r="CE72" s="17"/>
      <c r="CF72" s="17"/>
      <c r="CG72" s="17"/>
      <c r="CH72" s="247"/>
      <c r="CI72" s="247"/>
      <c r="CJ72" s="247"/>
      <c r="CK72" s="17"/>
      <c r="CL72" s="17"/>
      <c r="CM72" s="17"/>
      <c r="CN72" s="17"/>
      <c r="CO72" s="17"/>
      <c r="CP72" s="11"/>
      <c r="CQ72" s="11"/>
      <c r="CR72" s="11"/>
      <c r="CS72" s="11"/>
      <c r="CT72" s="247"/>
      <c r="CU72" s="247"/>
      <c r="CV72" s="247"/>
      <c r="CW72" s="11"/>
      <c r="CX72" s="11"/>
      <c r="CY72" s="11"/>
      <c r="CZ72" s="11"/>
      <c r="DA72" s="11"/>
      <c r="DB72" s="11"/>
      <c r="DC72" s="11"/>
      <c r="DD72" s="11"/>
      <c r="DE72" s="11"/>
      <c r="DF72" s="11"/>
      <c r="DG72" s="11"/>
      <c r="DH72" s="11"/>
      <c r="DI72" s="11"/>
      <c r="DJ72" s="11"/>
      <c r="DK72" s="11"/>
      <c r="DL72" s="247"/>
      <c r="DM72" s="247"/>
      <c r="DN72" s="247"/>
      <c r="DO72" s="247"/>
      <c r="DP72" s="247"/>
      <c r="DQ72" s="247"/>
      <c r="DR72" s="247"/>
      <c r="DS72" s="247"/>
      <c r="DT72" s="247"/>
      <c r="DU72" s="247"/>
      <c r="DV72" s="247"/>
      <c r="DW72" s="247"/>
      <c r="DX72" s="247"/>
      <c r="DY72" s="247"/>
      <c r="DZ72" s="247"/>
      <c r="EA72" s="247"/>
      <c r="EB72" s="247"/>
      <c r="EC72" s="247"/>
      <c r="ED72" s="17">
        <f t="shared" si="22"/>
        <v>6026850.1860373337</v>
      </c>
      <c r="EE72" s="29">
        <f t="shared" si="23"/>
        <v>6</v>
      </c>
      <c r="EF72" s="17">
        <f t="shared" si="21"/>
        <v>1004475.0310062222</v>
      </c>
    </row>
    <row r="73" spans="1:136" ht="25.5" x14ac:dyDescent="0.25">
      <c r="A73" s="25">
        <f>Distribución_Elementos!A73</f>
        <v>71</v>
      </c>
      <c r="B73" s="22" t="str">
        <f>Distribución_Elementos!B73</f>
        <v>Bolsa Whirl-Pak Nasco write-on strip 9.5 x 18 cm; capacidad 7 oz (207 ml), estéril</v>
      </c>
      <c r="C73" s="22" t="str">
        <f>Distribución_Elementos!C73</f>
        <v>BO1489WA o equivalente</v>
      </c>
      <c r="D73" s="22" t="str">
        <f>Distribución_Elementos!D73</f>
        <v>Caja X 500</v>
      </c>
      <c r="E73" s="224">
        <v>1</v>
      </c>
      <c r="F73" s="221">
        <v>422952.77500000002</v>
      </c>
      <c r="G73" s="221">
        <v>412335</v>
      </c>
      <c r="H73" s="221">
        <v>499883.61809999996</v>
      </c>
      <c r="I73" s="221">
        <v>0</v>
      </c>
      <c r="J73" s="221">
        <v>511997.5</v>
      </c>
      <c r="K73" s="221">
        <v>511700</v>
      </c>
      <c r="L73" s="247">
        <f>AVERAGE(F73,H73,J73)</f>
        <v>478277.96436666668</v>
      </c>
      <c r="M73" s="247">
        <f>AVERAGE(G73,K73)*E1</f>
        <v>475878.02500000002</v>
      </c>
      <c r="N73" s="227">
        <v>450000</v>
      </c>
      <c r="O73" s="119">
        <f t="shared" si="27"/>
        <v>85500</v>
      </c>
      <c r="P73" s="119">
        <f t="shared" si="28"/>
        <v>535500</v>
      </c>
      <c r="Q73" s="115"/>
      <c r="R73" s="115"/>
      <c r="S73" s="11"/>
      <c r="T73" s="247"/>
      <c r="U73" s="247"/>
      <c r="V73" s="247"/>
      <c r="W73" s="17"/>
      <c r="X73" s="11"/>
      <c r="Y73" s="11"/>
      <c r="Z73" s="247"/>
      <c r="AA73" s="247"/>
      <c r="AB73" s="247"/>
      <c r="AC73" s="44"/>
      <c r="AD73" s="22"/>
      <c r="AE73" s="17"/>
      <c r="AF73" s="247"/>
      <c r="AG73" s="247"/>
      <c r="AH73" s="151"/>
      <c r="AI73" s="4"/>
      <c r="AJ73" s="17"/>
      <c r="AK73" s="17"/>
      <c r="AL73" s="102"/>
      <c r="AM73" s="132"/>
      <c r="AN73" s="161"/>
      <c r="AO73" s="115"/>
      <c r="AP73" s="115"/>
      <c r="AQ73" s="17"/>
      <c r="AR73" s="247"/>
      <c r="AS73" s="247"/>
      <c r="AT73" s="247"/>
      <c r="AU73" s="17"/>
      <c r="AV73" s="17"/>
      <c r="AW73" s="17"/>
      <c r="AX73" s="247"/>
      <c r="AY73" s="247"/>
      <c r="AZ73" s="247"/>
      <c r="BA73" s="17"/>
      <c r="BB73" s="52"/>
      <c r="BC73" s="17"/>
      <c r="BD73" s="247"/>
      <c r="BE73" s="247"/>
      <c r="BF73" s="247"/>
      <c r="BG73" s="17"/>
      <c r="BH73" s="17"/>
      <c r="BI73" s="17"/>
      <c r="BJ73" s="247"/>
      <c r="BK73" s="247"/>
      <c r="BL73" s="247"/>
      <c r="BM73" s="190"/>
      <c r="BN73" s="190"/>
      <c r="BO73" s="17"/>
      <c r="BP73" s="247">
        <v>510000</v>
      </c>
      <c r="BQ73" s="247">
        <f t="shared" si="12"/>
        <v>96900</v>
      </c>
      <c r="BR73" s="247">
        <f t="shared" si="26"/>
        <v>606900</v>
      </c>
      <c r="BS73" s="17"/>
      <c r="BT73" s="17"/>
      <c r="BU73" s="17"/>
      <c r="BV73" s="189"/>
      <c r="BW73" s="197"/>
      <c r="BX73" s="246"/>
      <c r="BY73" s="190"/>
      <c r="BZ73" s="190"/>
      <c r="CA73" s="190"/>
      <c r="CB73" s="247"/>
      <c r="CC73" s="247"/>
      <c r="CD73" s="247"/>
      <c r="CE73" s="17"/>
      <c r="CF73" s="17"/>
      <c r="CG73" s="17"/>
      <c r="CH73" s="247"/>
      <c r="CI73" s="247"/>
      <c r="CJ73" s="247"/>
      <c r="CK73" s="17"/>
      <c r="CL73" s="17"/>
      <c r="CM73" s="17"/>
      <c r="CN73" s="17"/>
      <c r="CO73" s="17"/>
      <c r="CP73" s="11"/>
      <c r="CQ73" s="11"/>
      <c r="CR73" s="11"/>
      <c r="CS73" s="11"/>
      <c r="CT73" s="247"/>
      <c r="CU73" s="247"/>
      <c r="CV73" s="247"/>
      <c r="CW73" s="11"/>
      <c r="CX73" s="11"/>
      <c r="CY73" s="11"/>
      <c r="CZ73" s="11"/>
      <c r="DA73" s="11"/>
      <c r="DB73" s="11"/>
      <c r="DC73" s="11"/>
      <c r="DD73" s="11"/>
      <c r="DE73" s="11"/>
      <c r="DF73" s="11"/>
      <c r="DG73" s="11"/>
      <c r="DH73" s="11"/>
      <c r="DI73" s="11"/>
      <c r="DJ73" s="11"/>
      <c r="DK73" s="11"/>
      <c r="DL73" s="247"/>
      <c r="DM73" s="247"/>
      <c r="DN73" s="247"/>
      <c r="DO73" s="247"/>
      <c r="DP73" s="247"/>
      <c r="DQ73" s="247"/>
      <c r="DR73" s="247"/>
      <c r="DS73" s="247"/>
      <c r="DT73" s="247"/>
      <c r="DU73" s="247"/>
      <c r="DV73" s="247"/>
      <c r="DW73" s="247"/>
      <c r="DX73" s="247"/>
      <c r="DY73" s="247"/>
      <c r="DZ73" s="247"/>
      <c r="EA73" s="247"/>
      <c r="EB73" s="247"/>
      <c r="EC73" s="247"/>
      <c r="ED73" s="17">
        <f t="shared" si="22"/>
        <v>1618278.0249999999</v>
      </c>
      <c r="EE73" s="29">
        <f t="shared" si="23"/>
        <v>3</v>
      </c>
      <c r="EF73" s="17">
        <f t="shared" si="21"/>
        <v>539426.0083333333</v>
      </c>
    </row>
    <row r="74" spans="1:136" x14ac:dyDescent="0.25">
      <c r="A74" s="25">
        <f>Distribución_Elementos!A74</f>
        <v>72</v>
      </c>
      <c r="B74" s="22" t="str">
        <f>Distribución_Elementos!B74</f>
        <v>Bolsas de cierre hermético  27*28 cm</v>
      </c>
      <c r="C74" s="22" t="str">
        <f>Distribución_Elementos!C74</f>
        <v>Cualquier marca</v>
      </c>
      <c r="D74" s="22" t="str">
        <f>Distribución_Elementos!D74</f>
        <v>Caja 25 Unidades</v>
      </c>
      <c r="E74" s="224">
        <v>1</v>
      </c>
      <c r="F74" s="221">
        <v>0</v>
      </c>
      <c r="G74" s="221">
        <v>0</v>
      </c>
      <c r="H74" s="221">
        <v>8925</v>
      </c>
      <c r="I74" s="221">
        <v>8806</v>
      </c>
      <c r="J74" s="221">
        <v>43699.444444444445</v>
      </c>
      <c r="K74" s="221">
        <v>41650</v>
      </c>
      <c r="L74" s="247">
        <f>AVERAGE(H74,J74)</f>
        <v>26312.222222222223</v>
      </c>
      <c r="M74" s="247">
        <f>AVERAGE(I74,K74)*E1</f>
        <v>25984.84</v>
      </c>
      <c r="N74" s="227">
        <v>12000</v>
      </c>
      <c r="O74" s="119">
        <f t="shared" si="27"/>
        <v>2280</v>
      </c>
      <c r="P74" s="119">
        <f t="shared" si="28"/>
        <v>14280</v>
      </c>
      <c r="Q74" s="115"/>
      <c r="R74" s="115"/>
      <c r="S74" s="11"/>
      <c r="T74" s="247"/>
      <c r="U74" s="247"/>
      <c r="V74" s="247"/>
      <c r="W74" s="17"/>
      <c r="X74" s="11"/>
      <c r="Y74" s="11"/>
      <c r="Z74" s="247"/>
      <c r="AA74" s="247"/>
      <c r="AB74" s="247"/>
      <c r="AC74" s="44"/>
      <c r="AD74" s="22"/>
      <c r="AE74" s="17"/>
      <c r="AF74" s="247"/>
      <c r="AG74" s="247"/>
      <c r="AH74" s="151"/>
      <c r="AI74" s="4"/>
      <c r="AJ74" s="17"/>
      <c r="AK74" s="17"/>
      <c r="AL74" s="102"/>
      <c r="AM74" s="132"/>
      <c r="AN74" s="161"/>
      <c r="AO74" s="115"/>
      <c r="AP74" s="115"/>
      <c r="AQ74" s="17"/>
      <c r="AR74" s="247"/>
      <c r="AS74" s="247"/>
      <c r="AT74" s="247"/>
      <c r="AU74" s="17"/>
      <c r="AV74" s="17"/>
      <c r="AW74" s="17"/>
      <c r="AX74" s="247"/>
      <c r="AY74" s="247"/>
      <c r="AZ74" s="247"/>
      <c r="BA74" s="17"/>
      <c r="BB74" s="52"/>
      <c r="BC74" s="17"/>
      <c r="BD74" s="247"/>
      <c r="BE74" s="247"/>
      <c r="BF74" s="247"/>
      <c r="BG74" s="17"/>
      <c r="BH74" s="17"/>
      <c r="BI74" s="17"/>
      <c r="BJ74" s="247"/>
      <c r="BK74" s="247"/>
      <c r="BL74" s="247"/>
      <c r="BM74" s="190"/>
      <c r="BN74" s="190"/>
      <c r="BO74" s="17"/>
      <c r="BP74" s="247">
        <v>26500</v>
      </c>
      <c r="BQ74" s="247">
        <f t="shared" si="12"/>
        <v>5035</v>
      </c>
      <c r="BR74" s="247">
        <f t="shared" si="26"/>
        <v>31535</v>
      </c>
      <c r="BS74" s="17"/>
      <c r="BT74" s="17"/>
      <c r="BU74" s="17"/>
      <c r="BV74" s="189"/>
      <c r="BW74" s="197"/>
      <c r="BX74" s="246"/>
      <c r="BY74" s="190"/>
      <c r="BZ74" s="190"/>
      <c r="CA74" s="190"/>
      <c r="CB74" s="247"/>
      <c r="CC74" s="247"/>
      <c r="CD74" s="247"/>
      <c r="CE74" s="17"/>
      <c r="CF74" s="17"/>
      <c r="CG74" s="17"/>
      <c r="CH74" s="247"/>
      <c r="CI74" s="247"/>
      <c r="CJ74" s="247"/>
      <c r="CK74" s="17"/>
      <c r="CL74" s="17"/>
      <c r="CM74" s="17"/>
      <c r="CN74" s="17"/>
      <c r="CO74" s="17"/>
      <c r="CP74" s="11"/>
      <c r="CQ74" s="11"/>
      <c r="CR74" s="11"/>
      <c r="CS74" s="11"/>
      <c r="CT74" s="247"/>
      <c r="CU74" s="247"/>
      <c r="CV74" s="247"/>
      <c r="CW74" s="11"/>
      <c r="CX74" s="11"/>
      <c r="CY74" s="11"/>
      <c r="CZ74" s="11"/>
      <c r="DA74" s="11"/>
      <c r="DB74" s="11"/>
      <c r="DC74" s="11"/>
      <c r="DD74" s="11"/>
      <c r="DE74" s="11"/>
      <c r="DF74" s="11"/>
      <c r="DG74" s="11"/>
      <c r="DH74" s="11"/>
      <c r="DI74" s="11"/>
      <c r="DJ74" s="11"/>
      <c r="DK74" s="11"/>
      <c r="DL74" s="247"/>
      <c r="DM74" s="247"/>
      <c r="DN74" s="247"/>
      <c r="DO74" s="247"/>
      <c r="DP74" s="247"/>
      <c r="DQ74" s="247"/>
      <c r="DR74" s="247"/>
      <c r="DS74" s="247"/>
      <c r="DT74" s="247"/>
      <c r="DU74" s="247"/>
      <c r="DV74" s="247"/>
      <c r="DW74" s="247"/>
      <c r="DX74" s="247"/>
      <c r="DY74" s="247"/>
      <c r="DZ74" s="247"/>
      <c r="EA74" s="247"/>
      <c r="EB74" s="247"/>
      <c r="EC74" s="247"/>
      <c r="ED74" s="17">
        <f t="shared" si="22"/>
        <v>71799.839999999997</v>
      </c>
      <c r="EE74" s="29">
        <f t="shared" si="23"/>
        <v>3</v>
      </c>
      <c r="EF74" s="17">
        <f t="shared" si="21"/>
        <v>23933.279999999999</v>
      </c>
    </row>
    <row r="75" spans="1:136" x14ac:dyDescent="0.25">
      <c r="A75" s="25">
        <f>Distribución_Elementos!A75</f>
        <v>73</v>
      </c>
      <c r="B75" s="22" t="str">
        <f>Distribución_Elementos!B75</f>
        <v>Bolsas plasticas con cierre hermetico de 300 mm x 400 mm</v>
      </c>
      <c r="C75" s="22" t="str">
        <f>Distribución_Elementos!C75</f>
        <v>Cualquier marca</v>
      </c>
      <c r="D75" s="22" t="str">
        <f>Distribución_Elementos!D75</f>
        <v>Caja x 20 Unidades</v>
      </c>
      <c r="E75" s="224">
        <v>1</v>
      </c>
      <c r="F75" s="221">
        <v>0</v>
      </c>
      <c r="G75" s="221">
        <v>0</v>
      </c>
      <c r="H75" s="221">
        <v>0</v>
      </c>
      <c r="I75" s="221">
        <v>0</v>
      </c>
      <c r="J75" s="221">
        <v>38476.666666666664</v>
      </c>
      <c r="K75" s="221">
        <v>11900</v>
      </c>
      <c r="L75" s="247">
        <f>J75</f>
        <v>38476.666666666664</v>
      </c>
      <c r="M75" s="247">
        <f>K75*E1</f>
        <v>12257</v>
      </c>
      <c r="N75" s="227">
        <v>14000</v>
      </c>
      <c r="O75" s="119">
        <f t="shared" si="27"/>
        <v>2660</v>
      </c>
      <c r="P75" s="119">
        <f t="shared" si="28"/>
        <v>16660</v>
      </c>
      <c r="Q75" s="115"/>
      <c r="R75" s="115"/>
      <c r="S75" s="11"/>
      <c r="T75" s="247"/>
      <c r="U75" s="247"/>
      <c r="V75" s="247"/>
      <c r="W75" s="17"/>
      <c r="X75" s="11"/>
      <c r="Y75" s="11"/>
      <c r="Z75" s="247"/>
      <c r="AA75" s="247"/>
      <c r="AB75" s="247"/>
      <c r="AC75" s="44"/>
      <c r="AD75" s="22"/>
      <c r="AE75" s="17"/>
      <c r="AF75" s="247"/>
      <c r="AG75" s="247"/>
      <c r="AH75" s="151"/>
      <c r="AI75" s="22"/>
      <c r="AJ75" s="17"/>
      <c r="AK75" s="17"/>
      <c r="AL75" s="102"/>
      <c r="AM75" s="132"/>
      <c r="AN75" s="161"/>
      <c r="AO75" s="115"/>
      <c r="AP75" s="115"/>
      <c r="AQ75" s="17"/>
      <c r="AR75" s="247"/>
      <c r="AS75" s="247"/>
      <c r="AT75" s="247"/>
      <c r="AU75" s="17"/>
      <c r="AV75" s="17"/>
      <c r="AW75" s="17"/>
      <c r="AX75" s="247"/>
      <c r="AY75" s="247"/>
      <c r="AZ75" s="247"/>
      <c r="BA75" s="17"/>
      <c r="BB75" s="52"/>
      <c r="BC75" s="17"/>
      <c r="BD75" s="247"/>
      <c r="BE75" s="247"/>
      <c r="BF75" s="247"/>
      <c r="BG75" s="17"/>
      <c r="BH75" s="17"/>
      <c r="BI75" s="17"/>
      <c r="BJ75" s="247"/>
      <c r="BK75" s="247"/>
      <c r="BL75" s="247"/>
      <c r="BM75" s="190"/>
      <c r="BN75" s="190"/>
      <c r="BO75" s="17"/>
      <c r="BP75" s="247">
        <v>16500</v>
      </c>
      <c r="BQ75" s="247">
        <f t="shared" si="12"/>
        <v>3135</v>
      </c>
      <c r="BR75" s="247">
        <f t="shared" si="26"/>
        <v>19635</v>
      </c>
      <c r="BS75" s="17"/>
      <c r="BT75" s="17"/>
      <c r="BU75" s="17"/>
      <c r="BV75" s="189"/>
      <c r="BW75" s="197"/>
      <c r="BX75" s="246"/>
      <c r="BY75" s="190"/>
      <c r="BZ75" s="190"/>
      <c r="CA75" s="190"/>
      <c r="CB75" s="247"/>
      <c r="CC75" s="247"/>
      <c r="CD75" s="247"/>
      <c r="CE75" s="17"/>
      <c r="CF75" s="17"/>
      <c r="CG75" s="17"/>
      <c r="CH75" s="247"/>
      <c r="CI75" s="247"/>
      <c r="CJ75" s="247"/>
      <c r="CK75" s="17"/>
      <c r="CL75" s="17"/>
      <c r="CM75" s="17"/>
      <c r="CN75" s="17"/>
      <c r="CO75" s="17"/>
      <c r="CP75" s="11"/>
      <c r="CQ75" s="11"/>
      <c r="CR75" s="11"/>
      <c r="CS75" s="11"/>
      <c r="CT75" s="247"/>
      <c r="CU75" s="247"/>
      <c r="CV75" s="247"/>
      <c r="CW75" s="11"/>
      <c r="CX75" s="11"/>
      <c r="CY75" s="11"/>
      <c r="CZ75" s="11"/>
      <c r="DA75" s="11"/>
      <c r="DB75" s="11"/>
      <c r="DC75" s="11"/>
      <c r="DD75" s="11"/>
      <c r="DE75" s="11"/>
      <c r="DF75" s="11"/>
      <c r="DG75" s="11"/>
      <c r="DH75" s="11"/>
      <c r="DI75" s="11"/>
      <c r="DJ75" s="11"/>
      <c r="DK75" s="11"/>
      <c r="DL75" s="247"/>
      <c r="DM75" s="247"/>
      <c r="DN75" s="247"/>
      <c r="DO75" s="247"/>
      <c r="DP75" s="247"/>
      <c r="DQ75" s="247"/>
      <c r="DR75" s="247"/>
      <c r="DS75" s="247"/>
      <c r="DT75" s="247"/>
      <c r="DU75" s="247"/>
      <c r="DV75" s="247"/>
      <c r="DW75" s="247"/>
      <c r="DX75" s="247"/>
      <c r="DY75" s="247"/>
      <c r="DZ75" s="247"/>
      <c r="EA75" s="247"/>
      <c r="EB75" s="247"/>
      <c r="EC75" s="247"/>
      <c r="ED75" s="17">
        <f t="shared" si="22"/>
        <v>48552</v>
      </c>
      <c r="EE75" s="29">
        <f t="shared" si="23"/>
        <v>3</v>
      </c>
      <c r="EF75" s="17">
        <f t="shared" si="21"/>
        <v>16184</v>
      </c>
    </row>
    <row r="76" spans="1:136" ht="25.5" x14ac:dyDescent="0.25">
      <c r="A76" s="25">
        <f>Distribución_Elementos!A76</f>
        <v>74</v>
      </c>
      <c r="B76" s="22" t="str">
        <f>Distribución_Elementos!B76</f>
        <v>Bombillo EKE halógeno para lámpara de Luz Fría Nikon NI-150 150W, 21V.</v>
      </c>
      <c r="C76" s="22" t="str">
        <f>Distribución_Elementos!C76</f>
        <v>Nikon/ OSRAM</v>
      </c>
      <c r="D76" s="22" t="str">
        <f>Distribución_Elementos!D76</f>
        <v>Unidad</v>
      </c>
      <c r="E76" s="224">
        <v>1</v>
      </c>
      <c r="F76" s="221">
        <v>0</v>
      </c>
      <c r="G76" s="221">
        <v>0</v>
      </c>
      <c r="H76" s="221">
        <v>0</v>
      </c>
      <c r="I76" s="221">
        <v>0</v>
      </c>
      <c r="J76" s="221">
        <v>0</v>
      </c>
      <c r="K76" s="221">
        <v>0</v>
      </c>
      <c r="L76" s="247"/>
      <c r="M76" s="247"/>
      <c r="N76" s="227">
        <v>150000</v>
      </c>
      <c r="O76" s="119">
        <f t="shared" si="27"/>
        <v>28500</v>
      </c>
      <c r="P76" s="119">
        <f t="shared" si="28"/>
        <v>178500</v>
      </c>
      <c r="Q76" s="115"/>
      <c r="R76" s="115"/>
      <c r="S76" s="11"/>
      <c r="T76" s="247"/>
      <c r="U76" s="247"/>
      <c r="V76" s="247"/>
      <c r="W76" s="17"/>
      <c r="X76" s="11"/>
      <c r="Y76" s="11"/>
      <c r="Z76" s="247"/>
      <c r="AA76" s="247"/>
      <c r="AB76" s="247"/>
      <c r="AC76" s="44"/>
      <c r="AD76" s="22"/>
      <c r="AE76" s="17"/>
      <c r="AF76" s="247"/>
      <c r="AG76" s="247"/>
      <c r="AH76" s="151"/>
      <c r="AI76" s="22"/>
      <c r="AJ76" s="17"/>
      <c r="AK76" s="17"/>
      <c r="AL76" s="102"/>
      <c r="AM76" s="132"/>
      <c r="AN76" s="161"/>
      <c r="AO76" s="115"/>
      <c r="AP76" s="115"/>
      <c r="AQ76" s="17"/>
      <c r="AR76" s="247"/>
      <c r="AS76" s="247"/>
      <c r="AT76" s="247"/>
      <c r="AU76" s="17"/>
      <c r="AV76" s="17"/>
      <c r="AW76" s="17"/>
      <c r="AX76" s="247"/>
      <c r="AY76" s="247"/>
      <c r="AZ76" s="247"/>
      <c r="BA76" s="17"/>
      <c r="BB76" s="52"/>
      <c r="BC76" s="17"/>
      <c r="BD76" s="247"/>
      <c r="BE76" s="247"/>
      <c r="BF76" s="247"/>
      <c r="BG76" s="17"/>
      <c r="BH76" s="17"/>
      <c r="BI76" s="17"/>
      <c r="BJ76" s="247">
        <v>201800</v>
      </c>
      <c r="BK76" s="247">
        <f>+BJ76*0.19</f>
        <v>38342</v>
      </c>
      <c r="BL76" s="247">
        <f>+BJ76+BK76</f>
        <v>240142</v>
      </c>
      <c r="BM76" s="190" t="s">
        <v>1499</v>
      </c>
      <c r="BN76" s="190" t="s">
        <v>1532</v>
      </c>
      <c r="BO76" s="17"/>
      <c r="BP76" s="247">
        <v>62000</v>
      </c>
      <c r="BQ76" s="247">
        <f t="shared" si="12"/>
        <v>11780</v>
      </c>
      <c r="BR76" s="247">
        <f t="shared" si="26"/>
        <v>73780</v>
      </c>
      <c r="BS76" s="17"/>
      <c r="BT76" s="17"/>
      <c r="BU76" s="17"/>
      <c r="BV76" s="195">
        <v>220491.5232</v>
      </c>
      <c r="BW76" s="195">
        <f>+BV76*0.19</f>
        <v>41893.389408000003</v>
      </c>
      <c r="BX76" s="246">
        <f>+BV76+BW76</f>
        <v>262384.91260799998</v>
      </c>
      <c r="BY76" s="190" t="s">
        <v>1499</v>
      </c>
      <c r="BZ76" s="190" t="s">
        <v>1532</v>
      </c>
      <c r="CA76" s="190"/>
      <c r="CB76" s="247"/>
      <c r="CC76" s="247"/>
      <c r="CD76" s="247"/>
      <c r="CE76" s="17"/>
      <c r="CF76" s="17"/>
      <c r="CG76" s="17"/>
      <c r="CH76" s="247"/>
      <c r="CI76" s="247"/>
      <c r="CJ76" s="247"/>
      <c r="CK76" s="17"/>
      <c r="CL76" s="17"/>
      <c r="CM76" s="17"/>
      <c r="CN76" s="17"/>
      <c r="CO76" s="17"/>
      <c r="CP76" s="11"/>
      <c r="CQ76" s="11"/>
      <c r="CR76" s="11"/>
      <c r="CS76" s="11"/>
      <c r="CT76" s="247"/>
      <c r="CU76" s="247"/>
      <c r="CV76" s="247"/>
      <c r="CW76" s="11"/>
      <c r="CX76" s="11"/>
      <c r="CY76" s="11"/>
      <c r="CZ76" s="11"/>
      <c r="DA76" s="11"/>
      <c r="DB76" s="11"/>
      <c r="DC76" s="11"/>
      <c r="DD76" s="11"/>
      <c r="DE76" s="11"/>
      <c r="DF76" s="11"/>
      <c r="DG76" s="11"/>
      <c r="DH76" s="11"/>
      <c r="DI76" s="11"/>
      <c r="DJ76" s="11"/>
      <c r="DK76" s="11"/>
      <c r="DL76" s="247"/>
      <c r="DM76" s="247"/>
      <c r="DN76" s="247"/>
      <c r="DO76" s="247"/>
      <c r="DP76" s="247"/>
      <c r="DQ76" s="247"/>
      <c r="DR76" s="247"/>
      <c r="DS76" s="247"/>
      <c r="DT76" s="247"/>
      <c r="DU76" s="247"/>
      <c r="DV76" s="247"/>
      <c r="DW76" s="247"/>
      <c r="DX76" s="247"/>
      <c r="DY76" s="247"/>
      <c r="DZ76" s="247"/>
      <c r="EA76" s="247"/>
      <c r="EB76" s="247"/>
      <c r="EC76" s="247"/>
      <c r="ED76" s="17">
        <f t="shared" si="22"/>
        <v>754806.91260799998</v>
      </c>
      <c r="EE76" s="29">
        <f t="shared" si="23"/>
        <v>4</v>
      </c>
      <c r="EF76" s="17">
        <f t="shared" si="21"/>
        <v>188701.728152</v>
      </c>
    </row>
    <row r="77" spans="1:136" x14ac:dyDescent="0.25">
      <c r="A77" s="25">
        <f>Distribución_Elementos!A77</f>
        <v>75</v>
      </c>
      <c r="B77" s="22" t="str">
        <f>Distribución_Elementos!B77</f>
        <v>Bombillo halógeno tipo lanceta 6V 20W</v>
      </c>
      <c r="C77" s="22" t="str">
        <f>Distribución_Elementos!C77</f>
        <v>Osram, philips</v>
      </c>
      <c r="D77" s="22" t="str">
        <f>Distribución_Elementos!D77</f>
        <v>Unidad</v>
      </c>
      <c r="E77" s="224">
        <v>1</v>
      </c>
      <c r="F77" s="221">
        <v>23800</v>
      </c>
      <c r="G77" s="221">
        <v>0</v>
      </c>
      <c r="H77" s="221">
        <v>101150</v>
      </c>
      <c r="I77" s="221">
        <v>0</v>
      </c>
      <c r="J77" s="221">
        <v>67041.625</v>
      </c>
      <c r="K77" s="221">
        <v>0</v>
      </c>
      <c r="L77" s="247">
        <f>AVERAGE(F77,H77,J77)</f>
        <v>63997.208333333336</v>
      </c>
      <c r="M77" s="247"/>
      <c r="N77" s="227">
        <v>25000</v>
      </c>
      <c r="O77" s="119">
        <f t="shared" si="27"/>
        <v>4750</v>
      </c>
      <c r="P77" s="119">
        <f t="shared" si="28"/>
        <v>29750</v>
      </c>
      <c r="Q77" s="115"/>
      <c r="R77" s="115"/>
      <c r="S77" s="11"/>
      <c r="T77" s="247"/>
      <c r="U77" s="247"/>
      <c r="V77" s="247"/>
      <c r="W77" s="17"/>
      <c r="X77" s="11"/>
      <c r="Y77" s="11"/>
      <c r="Z77" s="247"/>
      <c r="AA77" s="247"/>
      <c r="AB77" s="247"/>
      <c r="AC77" s="44"/>
      <c r="AD77" s="22"/>
      <c r="AE77" s="17"/>
      <c r="AF77" s="247"/>
      <c r="AG77" s="247"/>
      <c r="AH77" s="151"/>
      <c r="AI77" s="4"/>
      <c r="AJ77" s="17"/>
      <c r="AK77" s="17"/>
      <c r="AL77" s="102"/>
      <c r="AM77" s="132"/>
      <c r="AN77" s="161"/>
      <c r="AO77" s="115"/>
      <c r="AP77" s="115"/>
      <c r="AQ77" s="17"/>
      <c r="AR77" s="247"/>
      <c r="AS77" s="247"/>
      <c r="AT77" s="247"/>
      <c r="AU77" s="17"/>
      <c r="AV77" s="17"/>
      <c r="AW77" s="17"/>
      <c r="AX77" s="247"/>
      <c r="AY77" s="247"/>
      <c r="AZ77" s="247"/>
      <c r="BA77" s="17"/>
      <c r="BB77" s="52"/>
      <c r="BC77" s="17"/>
      <c r="BD77" s="247"/>
      <c r="BE77" s="247"/>
      <c r="BF77" s="247"/>
      <c r="BG77" s="17"/>
      <c r="BH77" s="17"/>
      <c r="BI77" s="17"/>
      <c r="BJ77" s="247"/>
      <c r="BK77" s="247"/>
      <c r="BL77" s="247"/>
      <c r="BM77" s="190"/>
      <c r="BN77" s="190"/>
      <c r="BO77" s="17"/>
      <c r="BP77" s="247">
        <v>65000</v>
      </c>
      <c r="BQ77" s="247">
        <f t="shared" si="12"/>
        <v>12350</v>
      </c>
      <c r="BR77" s="247">
        <f t="shared" si="26"/>
        <v>77350</v>
      </c>
      <c r="BS77" s="17"/>
      <c r="BT77" s="17"/>
      <c r="BU77" s="17"/>
      <c r="BV77" s="189"/>
      <c r="BW77" s="197"/>
      <c r="BX77" s="246"/>
      <c r="BY77" s="190"/>
      <c r="BZ77" s="190"/>
      <c r="CA77" s="190"/>
      <c r="CB77" s="247"/>
      <c r="CC77" s="247"/>
      <c r="CD77" s="247"/>
      <c r="CE77" s="17"/>
      <c r="CF77" s="17"/>
      <c r="CG77" s="17"/>
      <c r="CH77" s="247"/>
      <c r="CI77" s="247"/>
      <c r="CJ77" s="247"/>
      <c r="CK77" s="17"/>
      <c r="CL77" s="17"/>
      <c r="CM77" s="17"/>
      <c r="CN77" s="17"/>
      <c r="CO77" s="17"/>
      <c r="CP77" s="11"/>
      <c r="CQ77" s="11"/>
      <c r="CR77" s="11"/>
      <c r="CS77" s="11"/>
      <c r="CT77" s="247"/>
      <c r="CU77" s="247"/>
      <c r="CV77" s="247"/>
      <c r="CW77" s="11"/>
      <c r="CX77" s="11"/>
      <c r="CY77" s="11"/>
      <c r="CZ77" s="11"/>
      <c r="DA77" s="11"/>
      <c r="DB77" s="11"/>
      <c r="DC77" s="11"/>
      <c r="DD77" s="11"/>
      <c r="DE77" s="11"/>
      <c r="DF77" s="11"/>
      <c r="DG77" s="11"/>
      <c r="DH77" s="11"/>
      <c r="DI77" s="11"/>
      <c r="DJ77" s="11"/>
      <c r="DK77" s="11"/>
      <c r="DL77" s="247"/>
      <c r="DM77" s="247"/>
      <c r="DN77" s="247"/>
      <c r="DO77" s="247"/>
      <c r="DP77" s="247"/>
      <c r="DQ77" s="247"/>
      <c r="DR77" s="247"/>
      <c r="DS77" s="247"/>
      <c r="DT77" s="247"/>
      <c r="DU77" s="247"/>
      <c r="DV77" s="247"/>
      <c r="DW77" s="247"/>
      <c r="DX77" s="247"/>
      <c r="DY77" s="247"/>
      <c r="DZ77" s="247"/>
      <c r="EA77" s="247"/>
      <c r="EB77" s="247"/>
      <c r="EC77" s="247"/>
      <c r="ED77" s="17">
        <f t="shared" si="22"/>
        <v>107100</v>
      </c>
      <c r="EE77" s="29">
        <f t="shared" si="23"/>
        <v>2</v>
      </c>
      <c r="EF77" s="17">
        <f t="shared" si="21"/>
        <v>53550</v>
      </c>
    </row>
    <row r="78" spans="1:136" x14ac:dyDescent="0.25">
      <c r="A78" s="25">
        <f>Distribución_Elementos!A78</f>
        <v>76</v>
      </c>
      <c r="B78" s="22" t="str">
        <f>Distribución_Elementos!B78</f>
        <v>Bombillo ovoscopio 8V - 20W</v>
      </c>
      <c r="C78" s="22" t="str">
        <f>Distribución_Elementos!C78</f>
        <v>Marca</v>
      </c>
      <c r="D78" s="22" t="str">
        <f>Distribución_Elementos!D78</f>
        <v>Unidad</v>
      </c>
      <c r="E78" s="224">
        <v>1</v>
      </c>
      <c r="F78" s="221">
        <v>95200</v>
      </c>
      <c r="G78" s="221">
        <v>0</v>
      </c>
      <c r="H78" s="221">
        <v>0</v>
      </c>
      <c r="I78" s="221">
        <v>0</v>
      </c>
      <c r="J78" s="221">
        <v>333200</v>
      </c>
      <c r="K78" s="221">
        <v>0</v>
      </c>
      <c r="L78" s="247">
        <f>AVERAGE(F78,J78)</f>
        <v>214200</v>
      </c>
      <c r="M78" s="247"/>
      <c r="N78" s="227">
        <v>30000</v>
      </c>
      <c r="O78" s="119">
        <f t="shared" si="27"/>
        <v>5700</v>
      </c>
      <c r="P78" s="119">
        <f t="shared" si="28"/>
        <v>35700</v>
      </c>
      <c r="Q78" s="115"/>
      <c r="R78" s="115"/>
      <c r="S78" s="11"/>
      <c r="T78" s="247"/>
      <c r="U78" s="247"/>
      <c r="V78" s="247"/>
      <c r="W78" s="17"/>
      <c r="X78" s="11"/>
      <c r="Y78" s="11"/>
      <c r="Z78" s="247"/>
      <c r="AA78" s="247"/>
      <c r="AB78" s="247"/>
      <c r="AC78" s="44"/>
      <c r="AD78" s="22"/>
      <c r="AE78" s="17"/>
      <c r="AF78" s="247"/>
      <c r="AG78" s="247"/>
      <c r="AH78" s="151"/>
      <c r="AI78" s="4"/>
      <c r="AJ78" s="17"/>
      <c r="AK78" s="17"/>
      <c r="AL78" s="102"/>
      <c r="AM78" s="132"/>
      <c r="AN78" s="161"/>
      <c r="AO78" s="115"/>
      <c r="AP78" s="115"/>
      <c r="AQ78" s="17"/>
      <c r="AR78" s="247"/>
      <c r="AS78" s="247"/>
      <c r="AT78" s="247"/>
      <c r="AU78" s="17"/>
      <c r="AV78" s="17"/>
      <c r="AW78" s="17"/>
      <c r="AX78" s="247"/>
      <c r="AY78" s="247"/>
      <c r="AZ78" s="247"/>
      <c r="BA78" s="17"/>
      <c r="BB78" s="52"/>
      <c r="BC78" s="17"/>
      <c r="BD78" s="247"/>
      <c r="BE78" s="247"/>
      <c r="BF78" s="247"/>
      <c r="BG78" s="17"/>
      <c r="BH78" s="17"/>
      <c r="BI78" s="17"/>
      <c r="BJ78" s="247"/>
      <c r="BK78" s="247"/>
      <c r="BL78" s="247"/>
      <c r="BM78" s="190"/>
      <c r="BN78" s="190"/>
      <c r="BO78" s="17"/>
      <c r="BP78" s="247">
        <v>52000</v>
      </c>
      <c r="BQ78" s="247">
        <f t="shared" si="12"/>
        <v>9880</v>
      </c>
      <c r="BR78" s="247">
        <f t="shared" si="26"/>
        <v>61880</v>
      </c>
      <c r="BS78" s="17"/>
      <c r="BT78" s="17"/>
      <c r="BU78" s="17"/>
      <c r="BV78" s="189"/>
      <c r="BW78" s="197"/>
      <c r="BX78" s="246"/>
      <c r="BY78" s="190"/>
      <c r="BZ78" s="190"/>
      <c r="CA78" s="190"/>
      <c r="CB78" s="247"/>
      <c r="CC78" s="247"/>
      <c r="CD78" s="247"/>
      <c r="CE78" s="17"/>
      <c r="CF78" s="17"/>
      <c r="CG78" s="17"/>
      <c r="CH78" s="247"/>
      <c r="CI78" s="247"/>
      <c r="CJ78" s="247"/>
      <c r="CK78" s="17"/>
      <c r="CL78" s="17"/>
      <c r="CM78" s="17"/>
      <c r="CN78" s="17"/>
      <c r="CO78" s="17"/>
      <c r="CP78" s="11"/>
      <c r="CQ78" s="11"/>
      <c r="CR78" s="11"/>
      <c r="CS78" s="11"/>
      <c r="CT78" s="247"/>
      <c r="CU78" s="247"/>
      <c r="CV78" s="247"/>
      <c r="CW78" s="11"/>
      <c r="CX78" s="11"/>
      <c r="CY78" s="11"/>
      <c r="CZ78" s="11"/>
      <c r="DA78" s="11"/>
      <c r="DB78" s="11"/>
      <c r="DC78" s="11"/>
      <c r="DD78" s="11"/>
      <c r="DE78" s="11"/>
      <c r="DF78" s="11"/>
      <c r="DG78" s="11"/>
      <c r="DH78" s="11"/>
      <c r="DI78" s="11"/>
      <c r="DJ78" s="11"/>
      <c r="DK78" s="11"/>
      <c r="DL78" s="247"/>
      <c r="DM78" s="247"/>
      <c r="DN78" s="247"/>
      <c r="DO78" s="247"/>
      <c r="DP78" s="247"/>
      <c r="DQ78" s="247"/>
      <c r="DR78" s="247"/>
      <c r="DS78" s="247"/>
      <c r="DT78" s="247"/>
      <c r="DU78" s="247"/>
      <c r="DV78" s="247"/>
      <c r="DW78" s="247"/>
      <c r="DX78" s="247"/>
      <c r="DY78" s="247"/>
      <c r="DZ78" s="247"/>
      <c r="EA78" s="247"/>
      <c r="EB78" s="247"/>
      <c r="EC78" s="247"/>
      <c r="ED78" s="17">
        <f t="shared" si="22"/>
        <v>97580</v>
      </c>
      <c r="EE78" s="29">
        <f t="shared" si="23"/>
        <v>2</v>
      </c>
      <c r="EF78" s="17">
        <f t="shared" si="21"/>
        <v>48790</v>
      </c>
    </row>
    <row r="79" spans="1:136" x14ac:dyDescent="0.25">
      <c r="A79" s="25">
        <f>Distribución_Elementos!A79</f>
        <v>77</v>
      </c>
      <c r="B79" s="22" t="str">
        <f>Distribución_Elementos!B79</f>
        <v>Botellón en policarbonato dosificador capacidad de 10 litros</v>
      </c>
      <c r="C79" s="22" t="str">
        <f>Distribución_Elementos!C79</f>
        <v>Cualquier marca</v>
      </c>
      <c r="D79" s="22" t="str">
        <f>Distribución_Elementos!D79</f>
        <v>Unidad</v>
      </c>
      <c r="E79" s="224">
        <v>1</v>
      </c>
      <c r="F79" s="221">
        <v>0</v>
      </c>
      <c r="G79" s="221">
        <v>0</v>
      </c>
      <c r="H79" s="221">
        <v>825066.66666666663</v>
      </c>
      <c r="I79" s="221">
        <v>824908</v>
      </c>
      <c r="J79" s="221">
        <v>97580</v>
      </c>
      <c r="K79" s="221">
        <v>0</v>
      </c>
      <c r="L79" s="247">
        <f>AVERAGE(H79,J79)</f>
        <v>461323.33333333331</v>
      </c>
      <c r="M79" s="247">
        <f>I79*E1</f>
        <v>849655.24</v>
      </c>
      <c r="N79" s="227">
        <v>82000</v>
      </c>
      <c r="O79" s="119">
        <f t="shared" si="27"/>
        <v>15580</v>
      </c>
      <c r="P79" s="119">
        <f t="shared" si="28"/>
        <v>97580</v>
      </c>
      <c r="Q79" s="115"/>
      <c r="R79" s="115"/>
      <c r="S79" s="11"/>
      <c r="T79" s="247"/>
      <c r="U79" s="247"/>
      <c r="V79" s="247"/>
      <c r="W79" s="17"/>
      <c r="X79" s="11"/>
      <c r="Y79" s="11"/>
      <c r="Z79" s="247"/>
      <c r="AA79" s="247"/>
      <c r="AB79" s="247"/>
      <c r="AC79" s="44"/>
      <c r="AD79" s="22"/>
      <c r="AE79" s="17"/>
      <c r="AF79" s="247"/>
      <c r="AG79" s="247"/>
      <c r="AH79" s="151"/>
      <c r="AI79" s="22"/>
      <c r="AJ79" s="17"/>
      <c r="AK79" s="17"/>
      <c r="AL79" s="102"/>
      <c r="AM79" s="132"/>
      <c r="AN79" s="161"/>
      <c r="AO79" s="115"/>
      <c r="AP79" s="115"/>
      <c r="AQ79" s="17"/>
      <c r="AR79" s="247"/>
      <c r="AS79" s="247"/>
      <c r="AT79" s="247"/>
      <c r="AU79" s="17"/>
      <c r="AV79" s="17"/>
      <c r="AW79" s="17"/>
      <c r="AX79" s="247"/>
      <c r="AY79" s="247"/>
      <c r="AZ79" s="247"/>
      <c r="BA79" s="17"/>
      <c r="BB79" s="52"/>
      <c r="BC79" s="17"/>
      <c r="BD79" s="247"/>
      <c r="BE79" s="247"/>
      <c r="BF79" s="247"/>
      <c r="BG79" s="17"/>
      <c r="BH79" s="17"/>
      <c r="BI79" s="17"/>
      <c r="BJ79" s="247">
        <v>1645800</v>
      </c>
      <c r="BK79" s="247">
        <f>+BJ79*0.19</f>
        <v>312702</v>
      </c>
      <c r="BL79" s="247">
        <f>+BJ79+BK79</f>
        <v>1958502</v>
      </c>
      <c r="BM79" s="190" t="s">
        <v>1499</v>
      </c>
      <c r="BN79" s="190" t="s">
        <v>1533</v>
      </c>
      <c r="BO79" s="17"/>
      <c r="BP79" s="247">
        <v>265000</v>
      </c>
      <c r="BQ79" s="247">
        <f t="shared" si="12"/>
        <v>50350</v>
      </c>
      <c r="BR79" s="247">
        <f t="shared" si="26"/>
        <v>315350</v>
      </c>
      <c r="BS79" s="17"/>
      <c r="BT79" s="17"/>
      <c r="BU79" s="17"/>
      <c r="BV79" s="195">
        <v>1833157.8720000002</v>
      </c>
      <c r="BW79" s="195">
        <f>+BV79*0.19</f>
        <v>348299.99568000005</v>
      </c>
      <c r="BX79" s="246">
        <f>+BV79+BW79</f>
        <v>2181457.8676800001</v>
      </c>
      <c r="BY79" s="190" t="s">
        <v>1499</v>
      </c>
      <c r="BZ79" s="190" t="s">
        <v>1533</v>
      </c>
      <c r="CA79" s="190"/>
      <c r="CB79" s="247"/>
      <c r="CC79" s="247"/>
      <c r="CD79" s="247"/>
      <c r="CE79" s="17"/>
      <c r="CF79" s="17"/>
      <c r="CG79" s="17"/>
      <c r="CH79" s="247"/>
      <c r="CI79" s="247"/>
      <c r="CJ79" s="247"/>
      <c r="CK79" s="17"/>
      <c r="CL79" s="17"/>
      <c r="CM79" s="17"/>
      <c r="CN79" s="17"/>
      <c r="CO79" s="17"/>
      <c r="CP79" s="11"/>
      <c r="CQ79" s="11"/>
      <c r="CR79" s="11"/>
      <c r="CS79" s="11"/>
      <c r="CT79" s="247"/>
      <c r="CU79" s="247"/>
      <c r="CV79" s="247"/>
      <c r="CW79" s="11"/>
      <c r="CX79" s="11"/>
      <c r="CY79" s="11"/>
      <c r="CZ79" s="11"/>
      <c r="DA79" s="11"/>
      <c r="DB79" s="11"/>
      <c r="DC79" s="11"/>
      <c r="DD79" s="11"/>
      <c r="DE79" s="11"/>
      <c r="DF79" s="11"/>
      <c r="DG79" s="11"/>
      <c r="DH79" s="11"/>
      <c r="DI79" s="11"/>
      <c r="DJ79" s="11"/>
      <c r="DK79" s="11"/>
      <c r="DL79" s="247"/>
      <c r="DM79" s="247"/>
      <c r="DN79" s="247"/>
      <c r="DO79" s="247"/>
      <c r="DP79" s="247"/>
      <c r="DQ79" s="247"/>
      <c r="DR79" s="247"/>
      <c r="DS79" s="247"/>
      <c r="DT79" s="247"/>
      <c r="DU79" s="247"/>
      <c r="DV79" s="247"/>
      <c r="DW79" s="247"/>
      <c r="DX79" s="247"/>
      <c r="DY79" s="247"/>
      <c r="DZ79" s="247"/>
      <c r="EA79" s="247"/>
      <c r="EB79" s="247"/>
      <c r="EC79" s="247"/>
      <c r="ED79" s="17">
        <f t="shared" si="22"/>
        <v>5402545.1076800004</v>
      </c>
      <c r="EE79" s="29">
        <f t="shared" si="23"/>
        <v>5</v>
      </c>
      <c r="EF79" s="17">
        <f t="shared" si="21"/>
        <v>1080509.0215360001</v>
      </c>
    </row>
    <row r="80" spans="1:136" x14ac:dyDescent="0.25">
      <c r="A80" s="25">
        <f>Distribución_Elementos!A80</f>
        <v>78</v>
      </c>
      <c r="B80" s="22" t="str">
        <f>Distribución_Elementos!B80</f>
        <v>Brocha diámetro 16 mm Long 11,4 cm</v>
      </c>
      <c r="C80" s="22" t="str">
        <f>Distribución_Elementos!C80</f>
        <v>VWR 17210-008 o equivalente</v>
      </c>
      <c r="D80" s="22" t="str">
        <f>Distribución_Elementos!D80</f>
        <v>Unidad</v>
      </c>
      <c r="E80" s="224">
        <v>1</v>
      </c>
      <c r="F80" s="221">
        <v>0</v>
      </c>
      <c r="G80" s="221">
        <v>0</v>
      </c>
      <c r="H80" s="221">
        <v>69751.849999999991</v>
      </c>
      <c r="I80" s="221">
        <v>69615</v>
      </c>
      <c r="J80" s="221">
        <v>46876.200000000004</v>
      </c>
      <c r="K80" s="221">
        <v>46410</v>
      </c>
      <c r="L80" s="247">
        <f>AVERAGE(H80,J80)</f>
        <v>58314.024999999994</v>
      </c>
      <c r="M80" s="247">
        <f>AVERAGE(I80,K80)*E1</f>
        <v>59752.875</v>
      </c>
      <c r="N80" s="227">
        <v>12000</v>
      </c>
      <c r="O80" s="119">
        <f t="shared" si="27"/>
        <v>2280</v>
      </c>
      <c r="P80" s="119">
        <f t="shared" si="28"/>
        <v>14280</v>
      </c>
      <c r="Q80" s="115"/>
      <c r="R80" s="115"/>
      <c r="S80" s="11"/>
      <c r="T80" s="247"/>
      <c r="U80" s="247"/>
      <c r="V80" s="247"/>
      <c r="W80" s="17"/>
      <c r="X80" s="11"/>
      <c r="Y80" s="11"/>
      <c r="Z80" s="247"/>
      <c r="AA80" s="247"/>
      <c r="AB80" s="247"/>
      <c r="AC80" s="44"/>
      <c r="AD80" s="22"/>
      <c r="AE80" s="17"/>
      <c r="AF80" s="247"/>
      <c r="AG80" s="247"/>
      <c r="AH80" s="151"/>
      <c r="AI80" s="4"/>
      <c r="AJ80" s="17"/>
      <c r="AK80" s="17"/>
      <c r="AL80" s="102"/>
      <c r="AM80" s="132"/>
      <c r="AN80" s="161"/>
      <c r="AO80" s="115"/>
      <c r="AP80" s="115"/>
      <c r="AQ80" s="17"/>
      <c r="AR80" s="247"/>
      <c r="AS80" s="247"/>
      <c r="AT80" s="247"/>
      <c r="AU80" s="17"/>
      <c r="AV80" s="17"/>
      <c r="AW80" s="17"/>
      <c r="AX80" s="247"/>
      <c r="AY80" s="247"/>
      <c r="AZ80" s="247"/>
      <c r="BA80" s="17"/>
      <c r="BB80" s="52"/>
      <c r="BC80" s="17"/>
      <c r="BD80" s="247"/>
      <c r="BE80" s="247"/>
      <c r="BF80" s="247"/>
      <c r="BG80" s="17"/>
      <c r="BH80" s="17"/>
      <c r="BI80" s="17"/>
      <c r="BJ80" s="247">
        <v>120000</v>
      </c>
      <c r="BK80" s="247">
        <f>+BJ80*0.19</f>
        <v>22800</v>
      </c>
      <c r="BL80" s="247">
        <f>+BJ80+BK80</f>
        <v>142800</v>
      </c>
      <c r="BM80" s="190" t="s">
        <v>1499</v>
      </c>
      <c r="BN80" s="190" t="s">
        <v>1534</v>
      </c>
      <c r="BO80" s="17"/>
      <c r="BP80" s="247">
        <v>185200</v>
      </c>
      <c r="BQ80" s="247">
        <f t="shared" si="12"/>
        <v>35188</v>
      </c>
      <c r="BR80" s="247">
        <f t="shared" si="26"/>
        <v>220388</v>
      </c>
      <c r="BS80" s="17"/>
      <c r="BT80" s="17"/>
      <c r="BU80" s="17"/>
      <c r="BV80" s="195">
        <v>124860.24</v>
      </c>
      <c r="BW80" s="195">
        <f>+BV80*0.19</f>
        <v>23723.445600000003</v>
      </c>
      <c r="BX80" s="246">
        <f>+BV80+BW80</f>
        <v>148583.6856</v>
      </c>
      <c r="BY80" s="190" t="s">
        <v>1499</v>
      </c>
      <c r="BZ80" s="190" t="s">
        <v>1534</v>
      </c>
      <c r="CA80" s="190"/>
      <c r="CB80" s="247"/>
      <c r="CC80" s="247"/>
      <c r="CD80" s="247"/>
      <c r="CE80" s="17"/>
      <c r="CF80" s="17"/>
      <c r="CG80" s="17"/>
      <c r="CH80" s="247"/>
      <c r="CI80" s="247"/>
      <c r="CJ80" s="247"/>
      <c r="CK80" s="17"/>
      <c r="CL80" s="17"/>
      <c r="CM80" s="17"/>
      <c r="CN80" s="17"/>
      <c r="CO80" s="17"/>
      <c r="CP80" s="11"/>
      <c r="CQ80" s="11"/>
      <c r="CR80" s="11"/>
      <c r="CS80" s="11"/>
      <c r="CT80" s="247"/>
      <c r="CU80" s="247"/>
      <c r="CV80" s="247"/>
      <c r="CW80" s="11"/>
      <c r="CX80" s="11"/>
      <c r="CY80" s="11"/>
      <c r="CZ80" s="11"/>
      <c r="DA80" s="11"/>
      <c r="DB80" s="11"/>
      <c r="DC80" s="11"/>
      <c r="DD80" s="11"/>
      <c r="DE80" s="11"/>
      <c r="DF80" s="11"/>
      <c r="DG80" s="11"/>
      <c r="DH80" s="11"/>
      <c r="DI80" s="11"/>
      <c r="DJ80" s="11"/>
      <c r="DK80" s="11"/>
      <c r="DL80" s="247"/>
      <c r="DM80" s="247"/>
      <c r="DN80" s="247"/>
      <c r="DO80" s="247"/>
      <c r="DP80" s="247"/>
      <c r="DQ80" s="247"/>
      <c r="DR80" s="247"/>
      <c r="DS80" s="247"/>
      <c r="DT80" s="247"/>
      <c r="DU80" s="247"/>
      <c r="DV80" s="247"/>
      <c r="DW80" s="247"/>
      <c r="DX80" s="247"/>
      <c r="DY80" s="247"/>
      <c r="DZ80" s="247"/>
      <c r="EA80" s="247"/>
      <c r="EB80" s="247"/>
      <c r="EC80" s="247"/>
      <c r="ED80" s="17">
        <f t="shared" si="22"/>
        <v>585804.56059999997</v>
      </c>
      <c r="EE80" s="29">
        <f t="shared" si="23"/>
        <v>5</v>
      </c>
      <c r="EF80" s="17">
        <f t="shared" si="21"/>
        <v>117160.91211999999</v>
      </c>
    </row>
    <row r="81" spans="1:136" x14ac:dyDescent="0.25">
      <c r="A81" s="25">
        <f>Distribución_Elementos!A81</f>
        <v>79</v>
      </c>
      <c r="B81" s="22" t="str">
        <f>Distribución_Elementos!B81</f>
        <v xml:space="preserve">Brocha largo 21 cm y ancho 2.5 cm </v>
      </c>
      <c r="C81" s="22" t="str">
        <f>Distribución_Elementos!C81</f>
        <v>Cualquier marca</v>
      </c>
      <c r="D81" s="22" t="str">
        <f>Distribución_Elementos!D81</f>
        <v>Unidad</v>
      </c>
      <c r="E81" s="224">
        <v>1</v>
      </c>
      <c r="F81" s="221">
        <v>0</v>
      </c>
      <c r="G81" s="221">
        <v>0</v>
      </c>
      <c r="H81" s="221">
        <v>0</v>
      </c>
      <c r="I81" s="221">
        <v>0</v>
      </c>
      <c r="J81" s="221">
        <v>0</v>
      </c>
      <c r="K81" s="221">
        <v>0</v>
      </c>
      <c r="L81" s="247"/>
      <c r="M81" s="247"/>
      <c r="N81" s="227">
        <v>10000</v>
      </c>
      <c r="O81" s="119">
        <f t="shared" si="27"/>
        <v>1900</v>
      </c>
      <c r="P81" s="119">
        <f t="shared" si="28"/>
        <v>11900</v>
      </c>
      <c r="Q81" s="115"/>
      <c r="R81" s="115"/>
      <c r="S81" s="11"/>
      <c r="T81" s="247"/>
      <c r="U81" s="247"/>
      <c r="V81" s="247"/>
      <c r="W81" s="17"/>
      <c r="X81" s="11"/>
      <c r="Y81" s="11"/>
      <c r="Z81" s="247"/>
      <c r="AA81" s="247"/>
      <c r="AB81" s="247"/>
      <c r="AC81" s="44"/>
      <c r="AD81" s="22"/>
      <c r="AE81" s="17"/>
      <c r="AF81" s="247"/>
      <c r="AG81" s="247"/>
      <c r="AH81" s="151"/>
      <c r="AI81" s="22"/>
      <c r="AJ81" s="17"/>
      <c r="AK81" s="17"/>
      <c r="AL81" s="102"/>
      <c r="AM81" s="132"/>
      <c r="AN81" s="161"/>
      <c r="AO81" s="115"/>
      <c r="AP81" s="115"/>
      <c r="AQ81" s="17"/>
      <c r="AR81" s="247"/>
      <c r="AS81" s="247"/>
      <c r="AT81" s="247"/>
      <c r="AU81" s="17"/>
      <c r="AV81" s="17"/>
      <c r="AW81" s="17"/>
      <c r="AX81" s="247"/>
      <c r="AY81" s="247"/>
      <c r="AZ81" s="247"/>
      <c r="BA81" s="17"/>
      <c r="BB81" s="52"/>
      <c r="BC81" s="17"/>
      <c r="BD81" s="247"/>
      <c r="BE81" s="247"/>
      <c r="BF81" s="247"/>
      <c r="BG81" s="17"/>
      <c r="BH81" s="17"/>
      <c r="BI81" s="17"/>
      <c r="BJ81" s="247">
        <v>29200</v>
      </c>
      <c r="BK81" s="247">
        <f>+BJ81*0.19</f>
        <v>5548</v>
      </c>
      <c r="BL81" s="247">
        <f>+BJ81+BK81</f>
        <v>34748</v>
      </c>
      <c r="BM81" s="190" t="s">
        <v>375</v>
      </c>
      <c r="BN81" s="190" t="s">
        <v>153</v>
      </c>
      <c r="BO81" s="17"/>
      <c r="BP81" s="247">
        <v>26500</v>
      </c>
      <c r="BQ81" s="247">
        <f t="shared" si="12"/>
        <v>5035</v>
      </c>
      <c r="BR81" s="247">
        <f t="shared" si="26"/>
        <v>31535</v>
      </c>
      <c r="BS81" s="17"/>
      <c r="BT81" s="17"/>
      <c r="BU81" s="17"/>
      <c r="BV81" s="195">
        <v>32199.365600000001</v>
      </c>
      <c r="BW81" s="195">
        <f>+BV81*0.19</f>
        <v>6117.8794640000006</v>
      </c>
      <c r="BX81" s="246">
        <f>+BV81+BW81</f>
        <v>38317.245064000002</v>
      </c>
      <c r="BY81" s="190" t="s">
        <v>375</v>
      </c>
      <c r="BZ81" s="190" t="s">
        <v>153</v>
      </c>
      <c r="CA81" s="190"/>
      <c r="CB81" s="247"/>
      <c r="CC81" s="247"/>
      <c r="CD81" s="247"/>
      <c r="CE81" s="17"/>
      <c r="CF81" s="17"/>
      <c r="CG81" s="17"/>
      <c r="CH81" s="247"/>
      <c r="CI81" s="247"/>
      <c r="CJ81" s="247"/>
      <c r="CK81" s="17"/>
      <c r="CL81" s="17"/>
      <c r="CM81" s="17"/>
      <c r="CN81" s="17"/>
      <c r="CO81" s="17"/>
      <c r="CP81" s="11"/>
      <c r="CQ81" s="11"/>
      <c r="CR81" s="11"/>
      <c r="CS81" s="11"/>
      <c r="CT81" s="247"/>
      <c r="CU81" s="247"/>
      <c r="CV81" s="247"/>
      <c r="CW81" s="11"/>
      <c r="CX81" s="11"/>
      <c r="CY81" s="11"/>
      <c r="CZ81" s="11"/>
      <c r="DA81" s="11"/>
      <c r="DB81" s="11"/>
      <c r="DC81" s="11"/>
      <c r="DD81" s="11"/>
      <c r="DE81" s="11"/>
      <c r="DF81" s="11"/>
      <c r="DG81" s="11"/>
      <c r="DH81" s="11"/>
      <c r="DI81" s="11"/>
      <c r="DJ81" s="11"/>
      <c r="DK81" s="11"/>
      <c r="DL81" s="247"/>
      <c r="DM81" s="247"/>
      <c r="DN81" s="247"/>
      <c r="DO81" s="247"/>
      <c r="DP81" s="247"/>
      <c r="DQ81" s="247"/>
      <c r="DR81" s="247"/>
      <c r="DS81" s="247"/>
      <c r="DT81" s="247"/>
      <c r="DU81" s="247"/>
      <c r="DV81" s="247"/>
      <c r="DW81" s="247"/>
      <c r="DX81" s="247"/>
      <c r="DY81" s="247"/>
      <c r="DZ81" s="247"/>
      <c r="EA81" s="247"/>
      <c r="EB81" s="247"/>
      <c r="EC81" s="247"/>
      <c r="ED81" s="17">
        <f t="shared" si="22"/>
        <v>116500.245064</v>
      </c>
      <c r="EE81" s="29">
        <f t="shared" si="23"/>
        <v>4</v>
      </c>
      <c r="EF81" s="17">
        <f t="shared" si="21"/>
        <v>29125.061266000001</v>
      </c>
    </row>
    <row r="82" spans="1:136" ht="25.5" x14ac:dyDescent="0.25">
      <c r="A82" s="25">
        <f>Distribución_Elementos!A82</f>
        <v>80</v>
      </c>
      <c r="B82" s="22" t="str">
        <f>Distribución_Elementos!B82</f>
        <v>Bulbos de caucho/latex para pipetas Pasteur de  2mL</v>
      </c>
      <c r="C82" s="22" t="str">
        <f>Distribución_Elementos!C82</f>
        <v>Fisherbrand 50-999-150 o equivalente</v>
      </c>
      <c r="D82" s="22" t="str">
        <f>Distribución_Elementos!D82</f>
        <v>Caja x 12</v>
      </c>
      <c r="E82" s="224">
        <v>1</v>
      </c>
      <c r="F82" s="221">
        <v>220507</v>
      </c>
      <c r="G82" s="221">
        <v>213843</v>
      </c>
      <c r="H82" s="221">
        <v>218522.96298000001</v>
      </c>
      <c r="I82" s="221">
        <v>218365</v>
      </c>
      <c r="J82" s="221">
        <v>170080.15500000003</v>
      </c>
      <c r="K82" s="221">
        <v>117810</v>
      </c>
      <c r="L82" s="247">
        <f>AVERAGE(F82,H82,J82)</f>
        <v>203036.70599333337</v>
      </c>
      <c r="M82" s="247">
        <f>AVERAGE(G82,I82,K82)*E1</f>
        <v>188839.51333333334</v>
      </c>
      <c r="N82" s="227"/>
      <c r="O82" s="119"/>
      <c r="P82" s="119"/>
      <c r="Q82" s="115"/>
      <c r="R82" s="115"/>
      <c r="S82" s="11"/>
      <c r="T82" s="247"/>
      <c r="U82" s="247"/>
      <c r="V82" s="247"/>
      <c r="W82" s="17"/>
      <c r="X82" s="11"/>
      <c r="Y82" s="11"/>
      <c r="Z82" s="247"/>
      <c r="AA82" s="247"/>
      <c r="AB82" s="247"/>
      <c r="AC82" s="44"/>
      <c r="AD82" s="22"/>
      <c r="AE82" s="17"/>
      <c r="AF82" s="247"/>
      <c r="AG82" s="247"/>
      <c r="AH82" s="97"/>
      <c r="AI82" s="4"/>
      <c r="AJ82" s="17"/>
      <c r="AK82" s="17"/>
      <c r="AL82" s="102"/>
      <c r="AM82" s="132"/>
      <c r="AN82" s="161"/>
      <c r="AO82" s="115"/>
      <c r="AP82" s="115"/>
      <c r="AQ82" s="17"/>
      <c r="AR82" s="247"/>
      <c r="AS82" s="247"/>
      <c r="AT82" s="247"/>
      <c r="AU82" s="17"/>
      <c r="AV82" s="17"/>
      <c r="AW82" s="17"/>
      <c r="AX82" s="247"/>
      <c r="AY82" s="247"/>
      <c r="AZ82" s="247"/>
      <c r="BA82" s="17"/>
      <c r="BB82" s="52"/>
      <c r="BC82" s="17"/>
      <c r="BD82" s="247"/>
      <c r="BE82" s="247"/>
      <c r="BF82" s="247"/>
      <c r="BG82" s="17"/>
      <c r="BH82" s="17"/>
      <c r="BI82" s="17"/>
      <c r="BJ82" s="247"/>
      <c r="BK82" s="247"/>
      <c r="BL82" s="247"/>
      <c r="BM82" s="190"/>
      <c r="BN82" s="190"/>
      <c r="BO82" s="17"/>
      <c r="BP82" s="247">
        <v>296000</v>
      </c>
      <c r="BQ82" s="247">
        <f t="shared" si="12"/>
        <v>56240</v>
      </c>
      <c r="BR82" s="247">
        <f t="shared" si="26"/>
        <v>352240</v>
      </c>
      <c r="BS82" s="17"/>
      <c r="BT82" s="17"/>
      <c r="BU82" s="17"/>
      <c r="BV82" s="189"/>
      <c r="BW82" s="197"/>
      <c r="BX82" s="246"/>
      <c r="BY82" s="190"/>
      <c r="BZ82" s="190"/>
      <c r="CA82" s="190"/>
      <c r="CB82" s="247"/>
      <c r="CC82" s="247"/>
      <c r="CD82" s="247"/>
      <c r="CE82" s="17"/>
      <c r="CF82" s="17"/>
      <c r="CG82" s="17"/>
      <c r="CH82" s="247"/>
      <c r="CI82" s="247"/>
      <c r="CJ82" s="247"/>
      <c r="CK82" s="17"/>
      <c r="CL82" s="17"/>
      <c r="CM82" s="17"/>
      <c r="CN82" s="17"/>
      <c r="CO82" s="17"/>
      <c r="CP82" s="11"/>
      <c r="CQ82" s="11"/>
      <c r="CR82" s="11"/>
      <c r="CS82" s="11"/>
      <c r="CT82" s="247"/>
      <c r="CU82" s="247"/>
      <c r="CV82" s="247"/>
      <c r="CW82" s="11"/>
      <c r="CX82" s="11"/>
      <c r="CY82" s="11"/>
      <c r="CZ82" s="11"/>
      <c r="DA82" s="11"/>
      <c r="DB82" s="11"/>
      <c r="DC82" s="11"/>
      <c r="DD82" s="11"/>
      <c r="DE82" s="11"/>
      <c r="DF82" s="11"/>
      <c r="DG82" s="11"/>
      <c r="DH82" s="11"/>
      <c r="DI82" s="11"/>
      <c r="DJ82" s="11"/>
      <c r="DK82" s="11"/>
      <c r="DL82" s="247"/>
      <c r="DM82" s="247"/>
      <c r="DN82" s="247"/>
      <c r="DO82" s="247"/>
      <c r="DP82" s="247"/>
      <c r="DQ82" s="247"/>
      <c r="DR82" s="247"/>
      <c r="DS82" s="247"/>
      <c r="DT82" s="247"/>
      <c r="DU82" s="247"/>
      <c r="DV82" s="247"/>
      <c r="DW82" s="247"/>
      <c r="DX82" s="247"/>
      <c r="DY82" s="247"/>
      <c r="DZ82" s="247"/>
      <c r="EA82" s="247"/>
      <c r="EB82" s="247"/>
      <c r="EC82" s="247"/>
      <c r="ED82" s="17">
        <f t="shared" si="22"/>
        <v>541079.51333333331</v>
      </c>
      <c r="EE82" s="29">
        <f t="shared" si="23"/>
        <v>2</v>
      </c>
      <c r="EF82" s="17">
        <f t="shared" si="21"/>
        <v>270539.75666666665</v>
      </c>
    </row>
    <row r="83" spans="1:136" x14ac:dyDescent="0.25">
      <c r="A83" s="25">
        <f>Distribución_Elementos!A83</f>
        <v>81</v>
      </c>
      <c r="B83" s="22" t="str">
        <f>Distribución_Elementos!B83</f>
        <v xml:space="preserve">Caja de aluminio (para contenido humedad) </v>
      </c>
      <c r="C83" s="22" t="str">
        <f>Distribución_Elementos!C83</f>
        <v>Cualquier marca</v>
      </c>
      <c r="D83" s="22" t="str">
        <f>Distribución_Elementos!D83</f>
        <v>Unidad</v>
      </c>
      <c r="E83" s="224">
        <v>1</v>
      </c>
      <c r="F83" s="221">
        <v>0</v>
      </c>
      <c r="G83" s="221">
        <v>0</v>
      </c>
      <c r="H83" s="221">
        <v>0</v>
      </c>
      <c r="I83" s="221">
        <v>0</v>
      </c>
      <c r="J83" s="221">
        <v>0</v>
      </c>
      <c r="K83" s="221">
        <v>0</v>
      </c>
      <c r="L83" s="247"/>
      <c r="M83" s="247"/>
      <c r="N83" s="227"/>
      <c r="O83" s="119"/>
      <c r="P83" s="119"/>
      <c r="Q83" s="115"/>
      <c r="R83" s="115"/>
      <c r="S83" s="11"/>
      <c r="T83" s="247"/>
      <c r="U83" s="247"/>
      <c r="V83" s="247"/>
      <c r="W83" s="17"/>
      <c r="X83" s="11"/>
      <c r="Y83" s="11"/>
      <c r="Z83" s="247"/>
      <c r="AA83" s="247"/>
      <c r="AB83" s="247"/>
      <c r="AC83" s="44"/>
      <c r="AD83" s="22"/>
      <c r="AE83" s="17"/>
      <c r="AF83" s="247"/>
      <c r="AG83" s="247"/>
      <c r="AH83" s="97"/>
      <c r="AI83" s="22"/>
      <c r="AJ83" s="17"/>
      <c r="AK83" s="17"/>
      <c r="AL83" s="102"/>
      <c r="AM83" s="132"/>
      <c r="AN83" s="161"/>
      <c r="AO83" s="115"/>
      <c r="AP83" s="115"/>
      <c r="AQ83" s="17"/>
      <c r="AR83" s="247"/>
      <c r="AS83" s="247"/>
      <c r="AT83" s="247"/>
      <c r="AU83" s="17"/>
      <c r="AV83" s="17"/>
      <c r="AW83" s="17"/>
      <c r="AX83" s="247"/>
      <c r="AY83" s="247"/>
      <c r="AZ83" s="247"/>
      <c r="BA83" s="17"/>
      <c r="BB83" s="52"/>
      <c r="BC83" s="17"/>
      <c r="BD83" s="247"/>
      <c r="BE83" s="247"/>
      <c r="BF83" s="247"/>
      <c r="BG83" s="17"/>
      <c r="BH83" s="17"/>
      <c r="BI83" s="17"/>
      <c r="BJ83" s="247"/>
      <c r="BK83" s="247"/>
      <c r="BL83" s="247"/>
      <c r="BM83" s="190"/>
      <c r="BN83" s="190"/>
      <c r="BO83" s="17"/>
      <c r="BP83" s="247">
        <v>236000</v>
      </c>
      <c r="BQ83" s="247">
        <f t="shared" ref="BQ83:BQ89" si="29">+BP83*19%</f>
        <v>44840</v>
      </c>
      <c r="BR83" s="247">
        <f t="shared" si="26"/>
        <v>280840</v>
      </c>
      <c r="BS83" s="17"/>
      <c r="BT83" s="17"/>
      <c r="BU83" s="17"/>
      <c r="BV83" s="189"/>
      <c r="BW83" s="197"/>
      <c r="BX83" s="246"/>
      <c r="BY83" s="190"/>
      <c r="BZ83" s="190"/>
      <c r="CA83" s="190"/>
      <c r="CB83" s="247"/>
      <c r="CC83" s="247"/>
      <c r="CD83" s="247"/>
      <c r="CE83" s="17"/>
      <c r="CF83" s="17"/>
      <c r="CG83" s="17"/>
      <c r="CH83" s="247"/>
      <c r="CI83" s="247"/>
      <c r="CJ83" s="247"/>
      <c r="CK83" s="17"/>
      <c r="CL83" s="17"/>
      <c r="CM83" s="17"/>
      <c r="CN83" s="17"/>
      <c r="CO83" s="17"/>
      <c r="CP83" s="11"/>
      <c r="CQ83" s="11"/>
      <c r="CR83" s="11"/>
      <c r="CS83" s="11"/>
      <c r="CT83" s="247"/>
      <c r="CU83" s="247"/>
      <c r="CV83" s="247"/>
      <c r="CW83" s="11"/>
      <c r="CX83" s="11"/>
      <c r="CY83" s="11"/>
      <c r="CZ83" s="11"/>
      <c r="DA83" s="11"/>
      <c r="DB83" s="11"/>
      <c r="DC83" s="11"/>
      <c r="DD83" s="11"/>
      <c r="DE83" s="11"/>
      <c r="DF83" s="11"/>
      <c r="DG83" s="11"/>
      <c r="DH83" s="11"/>
      <c r="DI83" s="11"/>
      <c r="DJ83" s="11"/>
      <c r="DK83" s="11"/>
      <c r="DL83" s="247"/>
      <c r="DM83" s="247"/>
      <c r="DN83" s="247"/>
      <c r="DO83" s="247"/>
      <c r="DP83" s="247"/>
      <c r="DQ83" s="247"/>
      <c r="DR83" s="247"/>
      <c r="DS83" s="247"/>
      <c r="DT83" s="247"/>
      <c r="DU83" s="247"/>
      <c r="DV83" s="247"/>
      <c r="DW83" s="247"/>
      <c r="DX83" s="247"/>
      <c r="DY83" s="247"/>
      <c r="DZ83" s="247"/>
      <c r="EA83" s="247"/>
      <c r="EB83" s="247"/>
      <c r="EC83" s="247"/>
      <c r="ED83" s="17">
        <f t="shared" si="22"/>
        <v>280840</v>
      </c>
      <c r="EE83" s="29">
        <f t="shared" si="23"/>
        <v>1</v>
      </c>
      <c r="EF83" s="17">
        <f t="shared" si="21"/>
        <v>280840</v>
      </c>
    </row>
    <row r="84" spans="1:136" x14ac:dyDescent="0.25">
      <c r="A84" s="25">
        <f>Distribución_Elementos!A84</f>
        <v>82</v>
      </c>
      <c r="B84" s="22" t="str">
        <f>Distribución_Elementos!B84</f>
        <v>Caja de Petri  desechable estéril 150 x 25 mm</v>
      </c>
      <c r="C84" s="22" t="str">
        <f>Distribución_Elementos!C84</f>
        <v>Cualquier marca</v>
      </c>
      <c r="D84" s="22" t="str">
        <f>Distribución_Elementos!D84</f>
        <v>Caja x 100</v>
      </c>
      <c r="E84" s="224">
        <v>1</v>
      </c>
      <c r="F84" s="221">
        <v>0</v>
      </c>
      <c r="G84" s="221">
        <v>0</v>
      </c>
      <c r="H84" s="221">
        <v>0</v>
      </c>
      <c r="I84" s="221">
        <v>0</v>
      </c>
      <c r="J84" s="221">
        <v>0</v>
      </c>
      <c r="K84" s="221">
        <v>0</v>
      </c>
      <c r="L84" s="247"/>
      <c r="M84" s="247"/>
      <c r="N84" s="227">
        <v>600000</v>
      </c>
      <c r="O84" s="119">
        <f t="shared" ref="O84:O90" si="30">+N84*0.19</f>
        <v>114000</v>
      </c>
      <c r="P84" s="119">
        <f t="shared" ref="P84:P90" si="31">+N84+O84</f>
        <v>714000</v>
      </c>
      <c r="Q84" s="115"/>
      <c r="R84" s="115"/>
      <c r="S84" s="11"/>
      <c r="T84" s="247"/>
      <c r="U84" s="247"/>
      <c r="V84" s="247"/>
      <c r="W84" s="17"/>
      <c r="X84" s="11"/>
      <c r="Y84" s="11"/>
      <c r="Z84" s="247"/>
      <c r="AA84" s="247"/>
      <c r="AB84" s="247"/>
      <c r="AC84" s="44"/>
      <c r="AD84" s="22"/>
      <c r="AE84" s="17"/>
      <c r="AF84" s="247"/>
      <c r="AG84" s="247"/>
      <c r="AH84" s="151"/>
      <c r="AI84" s="4"/>
      <c r="AJ84" s="17"/>
      <c r="AK84" s="17"/>
      <c r="AL84" s="102"/>
      <c r="AM84" s="132"/>
      <c r="AN84" s="161"/>
      <c r="AO84" s="115"/>
      <c r="AP84" s="115"/>
      <c r="AQ84" s="17"/>
      <c r="AR84" s="247"/>
      <c r="AS84" s="247"/>
      <c r="AT84" s="247"/>
      <c r="AU84" s="17"/>
      <c r="AV84" s="17"/>
      <c r="AW84" s="17"/>
      <c r="AX84" s="247"/>
      <c r="AY84" s="247"/>
      <c r="AZ84" s="247"/>
      <c r="BA84" s="17"/>
      <c r="BB84" s="52"/>
      <c r="BC84" s="17"/>
      <c r="BD84" s="247"/>
      <c r="BE84" s="247"/>
      <c r="BF84" s="247"/>
      <c r="BG84" s="17"/>
      <c r="BH84" s="17"/>
      <c r="BI84" s="17"/>
      <c r="BJ84" s="247"/>
      <c r="BK84" s="247"/>
      <c r="BL84" s="247"/>
      <c r="BM84" s="190"/>
      <c r="BN84" s="190"/>
      <c r="BO84" s="17"/>
      <c r="BP84" s="247">
        <v>465000</v>
      </c>
      <c r="BQ84" s="247">
        <f t="shared" si="29"/>
        <v>88350</v>
      </c>
      <c r="BR84" s="247">
        <f t="shared" si="26"/>
        <v>553350</v>
      </c>
      <c r="BS84" s="17"/>
      <c r="BT84" s="17"/>
      <c r="BU84" s="17"/>
      <c r="BV84" s="189"/>
      <c r="BW84" s="197"/>
      <c r="BX84" s="246"/>
      <c r="BY84" s="190"/>
      <c r="BZ84" s="190"/>
      <c r="CA84" s="190"/>
      <c r="CB84" s="247"/>
      <c r="CC84" s="247"/>
      <c r="CD84" s="247"/>
      <c r="CE84" s="17"/>
      <c r="CF84" s="17"/>
      <c r="CG84" s="17"/>
      <c r="CH84" s="247"/>
      <c r="CI84" s="247"/>
      <c r="CJ84" s="247"/>
      <c r="CK84" s="17"/>
      <c r="CL84" s="17"/>
      <c r="CM84" s="17"/>
      <c r="CN84" s="17"/>
      <c r="CO84" s="17"/>
      <c r="CP84" s="11"/>
      <c r="CQ84" s="11"/>
      <c r="CR84" s="11"/>
      <c r="CS84" s="11"/>
      <c r="CT84" s="247"/>
      <c r="CU84" s="247"/>
      <c r="CV84" s="247"/>
      <c r="CW84" s="11"/>
      <c r="CX84" s="11"/>
      <c r="CY84" s="11"/>
      <c r="CZ84" s="11"/>
      <c r="DA84" s="11"/>
      <c r="DB84" s="11"/>
      <c r="DC84" s="11"/>
      <c r="DD84" s="11"/>
      <c r="DE84" s="11"/>
      <c r="DF84" s="11"/>
      <c r="DG84" s="11"/>
      <c r="DH84" s="11"/>
      <c r="DI84" s="11"/>
      <c r="DJ84" s="11"/>
      <c r="DK84" s="11"/>
      <c r="DL84" s="247"/>
      <c r="DM84" s="247"/>
      <c r="DN84" s="247"/>
      <c r="DO84" s="247"/>
      <c r="DP84" s="247"/>
      <c r="DQ84" s="247"/>
      <c r="DR84" s="247"/>
      <c r="DS84" s="247"/>
      <c r="DT84" s="247"/>
      <c r="DU84" s="247"/>
      <c r="DV84" s="247"/>
      <c r="DW84" s="247"/>
      <c r="DX84" s="247"/>
      <c r="DY84" s="247"/>
      <c r="DZ84" s="247"/>
      <c r="EA84" s="247"/>
      <c r="EB84" s="247"/>
      <c r="EC84" s="247"/>
      <c r="ED84" s="17">
        <f t="shared" si="22"/>
        <v>1267350</v>
      </c>
      <c r="EE84" s="29">
        <f t="shared" si="23"/>
        <v>2</v>
      </c>
      <c r="EF84" s="17">
        <f t="shared" si="21"/>
        <v>633675</v>
      </c>
    </row>
    <row r="85" spans="1:136" x14ac:dyDescent="0.25">
      <c r="A85" s="25">
        <f>Distribución_Elementos!A85</f>
        <v>83</v>
      </c>
      <c r="B85" s="22" t="str">
        <f>Distribución_Elementos!B85</f>
        <v>Caja de Petri desechable estéril 35 x 10  - 35 x 15 mm</v>
      </c>
      <c r="C85" s="22" t="str">
        <f>Distribución_Elementos!C85</f>
        <v>Costar 3035 o equivalente</v>
      </c>
      <c r="D85" s="22" t="str">
        <f>Distribución_Elementos!D85</f>
        <v>Paquete x 20</v>
      </c>
      <c r="E85" s="224">
        <v>1</v>
      </c>
      <c r="F85" s="221">
        <v>0</v>
      </c>
      <c r="G85" s="221">
        <v>0</v>
      </c>
      <c r="H85" s="221">
        <v>0</v>
      </c>
      <c r="I85" s="221">
        <v>0</v>
      </c>
      <c r="J85" s="221">
        <v>0</v>
      </c>
      <c r="K85" s="221">
        <v>0</v>
      </c>
      <c r="L85" s="247"/>
      <c r="M85" s="247"/>
      <c r="N85" s="227">
        <v>18500</v>
      </c>
      <c r="O85" s="119">
        <f t="shared" si="30"/>
        <v>3515</v>
      </c>
      <c r="P85" s="119">
        <f t="shared" si="31"/>
        <v>22015</v>
      </c>
      <c r="Q85" s="115"/>
      <c r="R85" s="115"/>
      <c r="S85" s="11"/>
      <c r="T85" s="247"/>
      <c r="U85" s="247"/>
      <c r="V85" s="247"/>
      <c r="W85" s="17"/>
      <c r="X85" s="11"/>
      <c r="Y85" s="11"/>
      <c r="Z85" s="247"/>
      <c r="AA85" s="247"/>
      <c r="AB85" s="247"/>
      <c r="AC85" s="44"/>
      <c r="AD85" s="22"/>
      <c r="AE85" s="17"/>
      <c r="AF85" s="247"/>
      <c r="AG85" s="247"/>
      <c r="AH85" s="97"/>
      <c r="AI85" s="4"/>
      <c r="AJ85" s="17"/>
      <c r="AK85" s="17"/>
      <c r="AL85" s="102"/>
      <c r="AM85" s="132"/>
      <c r="AN85" s="161"/>
      <c r="AO85" s="115"/>
      <c r="AP85" s="115"/>
      <c r="AQ85" s="17"/>
      <c r="AR85" s="247"/>
      <c r="AS85" s="247"/>
      <c r="AT85" s="247"/>
      <c r="AU85" s="17"/>
      <c r="AV85" s="17"/>
      <c r="AW85" s="17"/>
      <c r="AX85" s="247"/>
      <c r="AY85" s="247"/>
      <c r="AZ85" s="247"/>
      <c r="BA85" s="17"/>
      <c r="BB85" s="52"/>
      <c r="BC85" s="17"/>
      <c r="BD85" s="247"/>
      <c r="BE85" s="247"/>
      <c r="BF85" s="247"/>
      <c r="BG85" s="17"/>
      <c r="BH85" s="17"/>
      <c r="BI85" s="17"/>
      <c r="BJ85" s="247"/>
      <c r="BK85" s="247"/>
      <c r="BL85" s="247"/>
      <c r="BM85" s="190"/>
      <c r="BN85" s="190"/>
      <c r="BO85" s="17"/>
      <c r="BP85" s="247">
        <v>652000</v>
      </c>
      <c r="BQ85" s="247">
        <f t="shared" si="29"/>
        <v>123880</v>
      </c>
      <c r="BR85" s="247">
        <f t="shared" si="26"/>
        <v>775880</v>
      </c>
      <c r="BS85" s="17"/>
      <c r="BT85" s="17"/>
      <c r="BU85" s="17"/>
      <c r="BV85" s="189"/>
      <c r="BW85" s="197"/>
      <c r="BX85" s="246"/>
      <c r="BY85" s="190"/>
      <c r="BZ85" s="190"/>
      <c r="CA85" s="190"/>
      <c r="CB85" s="247"/>
      <c r="CC85" s="247"/>
      <c r="CD85" s="247"/>
      <c r="CE85" s="17"/>
      <c r="CF85" s="17"/>
      <c r="CG85" s="17"/>
      <c r="CH85" s="247"/>
      <c r="CI85" s="247"/>
      <c r="CJ85" s="247"/>
      <c r="CK85" s="17"/>
      <c r="CL85" s="17"/>
      <c r="CM85" s="17"/>
      <c r="CN85" s="17"/>
      <c r="CO85" s="17"/>
      <c r="CP85" s="11"/>
      <c r="CQ85" s="11"/>
      <c r="CR85" s="11"/>
      <c r="CS85" s="11"/>
      <c r="CT85" s="247"/>
      <c r="CU85" s="247"/>
      <c r="CV85" s="247"/>
      <c r="CW85" s="11"/>
      <c r="CX85" s="11"/>
      <c r="CY85" s="11"/>
      <c r="CZ85" s="11"/>
      <c r="DA85" s="11"/>
      <c r="DB85" s="11"/>
      <c r="DC85" s="11"/>
      <c r="DD85" s="11"/>
      <c r="DE85" s="11"/>
      <c r="DF85" s="11"/>
      <c r="DG85" s="11"/>
      <c r="DH85" s="11"/>
      <c r="DI85" s="11"/>
      <c r="DJ85" s="11"/>
      <c r="DK85" s="11"/>
      <c r="DL85" s="247"/>
      <c r="DM85" s="247"/>
      <c r="DN85" s="247"/>
      <c r="DO85" s="247"/>
      <c r="DP85" s="247"/>
      <c r="DQ85" s="247"/>
      <c r="DR85" s="247"/>
      <c r="DS85" s="247"/>
      <c r="DT85" s="247"/>
      <c r="DU85" s="247"/>
      <c r="DV85" s="247"/>
      <c r="DW85" s="247"/>
      <c r="DX85" s="247"/>
      <c r="DY85" s="247"/>
      <c r="DZ85" s="247"/>
      <c r="EA85" s="247"/>
      <c r="EB85" s="247"/>
      <c r="EC85" s="247"/>
      <c r="ED85" s="17">
        <f t="shared" si="22"/>
        <v>797895</v>
      </c>
      <c r="EE85" s="29">
        <f t="shared" si="23"/>
        <v>2</v>
      </c>
      <c r="EF85" s="17">
        <f t="shared" si="21"/>
        <v>398947.5</v>
      </c>
    </row>
    <row r="86" spans="1:136" x14ac:dyDescent="0.25">
      <c r="A86" s="25">
        <f>Distribución_Elementos!A86</f>
        <v>84</v>
      </c>
      <c r="B86" s="22" t="str">
        <f>Distribución_Elementos!B86</f>
        <v>Caja de Petri desechable estéril 60 x 15 mm</v>
      </c>
      <c r="C86" s="22" t="str">
        <f>Distribución_Elementos!C86</f>
        <v>Cualquier marca</v>
      </c>
      <c r="D86" s="22" t="str">
        <f>Distribución_Elementos!D86</f>
        <v xml:space="preserve">Caja X 500 </v>
      </c>
      <c r="E86" s="224">
        <v>1</v>
      </c>
      <c r="F86" s="221">
        <v>359558.5</v>
      </c>
      <c r="G86" s="221">
        <v>354144</v>
      </c>
      <c r="H86" s="221">
        <v>362156.66666666669</v>
      </c>
      <c r="I86" s="221">
        <v>361998</v>
      </c>
      <c r="J86" s="221">
        <v>448172.44500000001</v>
      </c>
      <c r="K86" s="221">
        <v>446250</v>
      </c>
      <c r="L86" s="247">
        <f>AVERAGE(F86,H86,J86)</f>
        <v>389962.53722222225</v>
      </c>
      <c r="M86" s="247">
        <f>AVERAGE(G86,I86,K86)*E1</f>
        <v>399087.92</v>
      </c>
      <c r="N86" s="227">
        <v>220000</v>
      </c>
      <c r="O86" s="119">
        <f t="shared" si="30"/>
        <v>41800</v>
      </c>
      <c r="P86" s="119">
        <f t="shared" si="31"/>
        <v>261800</v>
      </c>
      <c r="Q86" s="115"/>
      <c r="R86" s="115"/>
      <c r="S86" s="11"/>
      <c r="T86" s="247"/>
      <c r="U86" s="247"/>
      <c r="V86" s="247"/>
      <c r="W86" s="17"/>
      <c r="X86" s="11"/>
      <c r="Y86" s="11"/>
      <c r="Z86" s="247"/>
      <c r="AA86" s="247"/>
      <c r="AB86" s="247"/>
      <c r="AC86" s="44"/>
      <c r="AD86" s="22"/>
      <c r="AE86" s="17"/>
      <c r="AF86" s="247"/>
      <c r="AG86" s="247"/>
      <c r="AH86" s="97"/>
      <c r="AI86" s="4"/>
      <c r="AJ86" s="17"/>
      <c r="AK86" s="17"/>
      <c r="AL86" s="102"/>
      <c r="AM86" s="132"/>
      <c r="AN86" s="161"/>
      <c r="AO86" s="115"/>
      <c r="AP86" s="115"/>
      <c r="AQ86" s="17"/>
      <c r="AR86" s="247"/>
      <c r="AS86" s="247"/>
      <c r="AT86" s="247"/>
      <c r="AU86" s="17"/>
      <c r="AV86" s="17"/>
      <c r="AW86" s="17"/>
      <c r="AX86" s="247"/>
      <c r="AY86" s="247"/>
      <c r="AZ86" s="247"/>
      <c r="BA86" s="17"/>
      <c r="BB86" s="52"/>
      <c r="BC86" s="17"/>
      <c r="BD86" s="247"/>
      <c r="BE86" s="247"/>
      <c r="BF86" s="247"/>
      <c r="BG86" s="17"/>
      <c r="BH86" s="17"/>
      <c r="BI86" s="17"/>
      <c r="BJ86" s="247"/>
      <c r="BK86" s="247"/>
      <c r="BL86" s="247"/>
      <c r="BM86" s="190"/>
      <c r="BN86" s="190"/>
      <c r="BO86" s="17"/>
      <c r="BP86" s="247">
        <v>396000</v>
      </c>
      <c r="BQ86" s="247">
        <f t="shared" si="29"/>
        <v>75240</v>
      </c>
      <c r="BR86" s="247">
        <f t="shared" si="26"/>
        <v>471240</v>
      </c>
      <c r="BS86" s="17"/>
      <c r="BT86" s="17"/>
      <c r="BU86" s="17"/>
      <c r="BV86" s="189"/>
      <c r="BW86" s="197"/>
      <c r="BX86" s="246"/>
      <c r="BY86" s="190"/>
      <c r="BZ86" s="190"/>
      <c r="CA86" s="190"/>
      <c r="CB86" s="247"/>
      <c r="CC86" s="247"/>
      <c r="CD86" s="247"/>
      <c r="CE86" s="17"/>
      <c r="CF86" s="17"/>
      <c r="CG86" s="17"/>
      <c r="CH86" s="247"/>
      <c r="CI86" s="247"/>
      <c r="CJ86" s="247"/>
      <c r="CK86" s="17"/>
      <c r="CL86" s="17"/>
      <c r="CM86" s="17"/>
      <c r="CN86" s="17"/>
      <c r="CO86" s="17"/>
      <c r="CP86" s="11"/>
      <c r="CQ86" s="11"/>
      <c r="CR86" s="11"/>
      <c r="CS86" s="11"/>
      <c r="CT86" s="247"/>
      <c r="CU86" s="247"/>
      <c r="CV86" s="247"/>
      <c r="CW86" s="11"/>
      <c r="CX86" s="11"/>
      <c r="CY86" s="11"/>
      <c r="CZ86" s="11"/>
      <c r="DA86" s="11"/>
      <c r="DB86" s="11"/>
      <c r="DC86" s="11"/>
      <c r="DD86" s="11"/>
      <c r="DE86" s="11"/>
      <c r="DF86" s="11"/>
      <c r="DG86" s="11"/>
      <c r="DH86" s="11"/>
      <c r="DI86" s="11"/>
      <c r="DJ86" s="11"/>
      <c r="DK86" s="11"/>
      <c r="DL86" s="247"/>
      <c r="DM86" s="247"/>
      <c r="DN86" s="247"/>
      <c r="DO86" s="247"/>
      <c r="DP86" s="247"/>
      <c r="DQ86" s="247"/>
      <c r="DR86" s="247"/>
      <c r="DS86" s="247"/>
      <c r="DT86" s="247"/>
      <c r="DU86" s="247"/>
      <c r="DV86" s="247"/>
      <c r="DW86" s="247"/>
      <c r="DX86" s="247"/>
      <c r="DY86" s="247"/>
      <c r="DZ86" s="247"/>
      <c r="EA86" s="247"/>
      <c r="EB86" s="247"/>
      <c r="EC86" s="247"/>
      <c r="ED86" s="17">
        <f t="shared" si="22"/>
        <v>1132127.92</v>
      </c>
      <c r="EE86" s="29">
        <f t="shared" si="23"/>
        <v>3</v>
      </c>
      <c r="EF86" s="17">
        <f t="shared" si="21"/>
        <v>377375.97333333333</v>
      </c>
    </row>
    <row r="87" spans="1:136" x14ac:dyDescent="0.25">
      <c r="A87" s="25">
        <f>Distribución_Elementos!A87</f>
        <v>85</v>
      </c>
      <c r="B87" s="22" t="str">
        <f>Distribución_Elementos!B87</f>
        <v>Caja de Petri desechable estéril 90 x 15 mm – 100 x 15 mm</v>
      </c>
      <c r="C87" s="22" t="str">
        <f>Distribución_Elementos!C87</f>
        <v>Cualquier marca</v>
      </c>
      <c r="D87" s="22" t="str">
        <f>Distribución_Elementos!D87</f>
        <v xml:space="preserve">Caja x 500 </v>
      </c>
      <c r="E87" s="224">
        <v>1</v>
      </c>
      <c r="F87" s="221">
        <v>373898</v>
      </c>
      <c r="G87" s="221">
        <v>362593</v>
      </c>
      <c r="H87" s="221">
        <v>335493.46516192344</v>
      </c>
      <c r="I87" s="221">
        <v>335342</v>
      </c>
      <c r="J87" s="221">
        <v>289269.00800000003</v>
      </c>
      <c r="K87" s="221">
        <v>0</v>
      </c>
      <c r="L87" s="247">
        <f>AVERAGE(F87,H87,J87)</f>
        <v>332886.8243873078</v>
      </c>
      <c r="M87" s="247">
        <f>AVERAGE(G87,I87)*E1</f>
        <v>359436.52500000002</v>
      </c>
      <c r="N87" s="227">
        <v>260000</v>
      </c>
      <c r="O87" s="119">
        <f t="shared" si="30"/>
        <v>49400</v>
      </c>
      <c r="P87" s="119">
        <f t="shared" si="31"/>
        <v>309400</v>
      </c>
      <c r="Q87" s="115"/>
      <c r="R87" s="115"/>
      <c r="S87" s="11"/>
      <c r="T87" s="247">
        <v>242000.00000000003</v>
      </c>
      <c r="U87" s="247">
        <f>+T87*0.19</f>
        <v>45980.000000000007</v>
      </c>
      <c r="V87" s="247">
        <f>+T87+U87</f>
        <v>287980.00000000006</v>
      </c>
      <c r="W87" s="17" t="s">
        <v>1535</v>
      </c>
      <c r="X87" s="11" t="s">
        <v>1523</v>
      </c>
      <c r="Y87" s="11"/>
      <c r="Z87" s="247"/>
      <c r="AA87" s="247"/>
      <c r="AB87" s="247"/>
      <c r="AC87" s="44"/>
      <c r="AD87" s="22"/>
      <c r="AE87" s="17"/>
      <c r="AF87" s="247"/>
      <c r="AG87" s="247"/>
      <c r="AH87" s="97"/>
      <c r="AI87" s="4"/>
      <c r="AJ87" s="17"/>
      <c r="AK87" s="17"/>
      <c r="AL87" s="102"/>
      <c r="AM87" s="132"/>
      <c r="AN87" s="161"/>
      <c r="AO87" s="115"/>
      <c r="AP87" s="115"/>
      <c r="AQ87" s="17"/>
      <c r="AR87" s="247"/>
      <c r="AS87" s="247"/>
      <c r="AT87" s="247"/>
      <c r="AU87" s="17"/>
      <c r="AV87" s="17"/>
      <c r="AW87" s="17"/>
      <c r="AX87" s="247"/>
      <c r="AY87" s="247"/>
      <c r="AZ87" s="247"/>
      <c r="BA87" s="17"/>
      <c r="BB87" s="52"/>
      <c r="BC87" s="17"/>
      <c r="BD87" s="247"/>
      <c r="BE87" s="247"/>
      <c r="BF87" s="247"/>
      <c r="BG87" s="17"/>
      <c r="BH87" s="17"/>
      <c r="BI87" s="17"/>
      <c r="BJ87" s="247"/>
      <c r="BK87" s="247"/>
      <c r="BL87" s="247"/>
      <c r="BM87" s="190"/>
      <c r="BN87" s="190"/>
      <c r="BO87" s="17"/>
      <c r="BP87" s="247">
        <v>265000</v>
      </c>
      <c r="BQ87" s="247">
        <f t="shared" si="29"/>
        <v>50350</v>
      </c>
      <c r="BR87" s="247">
        <f t="shared" si="26"/>
        <v>315350</v>
      </c>
      <c r="BS87" s="17"/>
      <c r="BT87" s="17"/>
      <c r="BU87" s="17"/>
      <c r="BV87" s="189"/>
      <c r="BW87" s="197"/>
      <c r="BX87" s="246"/>
      <c r="BY87" s="190"/>
      <c r="BZ87" s="190"/>
      <c r="CA87" s="190"/>
      <c r="CB87" s="247"/>
      <c r="CC87" s="247"/>
      <c r="CD87" s="247"/>
      <c r="CE87" s="17"/>
      <c r="CF87" s="17"/>
      <c r="CG87" s="17"/>
      <c r="CH87" s="247"/>
      <c r="CI87" s="247"/>
      <c r="CJ87" s="247"/>
      <c r="CK87" s="17"/>
      <c r="CL87" s="17"/>
      <c r="CM87" s="17"/>
      <c r="CN87" s="17"/>
      <c r="CO87" s="17"/>
      <c r="CP87" s="11"/>
      <c r="CQ87" s="11"/>
      <c r="CR87" s="11"/>
      <c r="CS87" s="11"/>
      <c r="CT87" s="247"/>
      <c r="CU87" s="247"/>
      <c r="CV87" s="247"/>
      <c r="CW87" s="11"/>
      <c r="CX87" s="11"/>
      <c r="CY87" s="11"/>
      <c r="CZ87" s="11"/>
      <c r="DA87" s="11"/>
      <c r="DB87" s="11"/>
      <c r="DC87" s="11"/>
      <c r="DD87" s="11"/>
      <c r="DE87" s="11"/>
      <c r="DF87" s="11"/>
      <c r="DG87" s="11"/>
      <c r="DH87" s="11"/>
      <c r="DI87" s="11"/>
      <c r="DJ87" s="11"/>
      <c r="DK87" s="11"/>
      <c r="DL87" s="247"/>
      <c r="DM87" s="247"/>
      <c r="DN87" s="247"/>
      <c r="DO87" s="247"/>
      <c r="DP87" s="247"/>
      <c r="DQ87" s="247"/>
      <c r="DR87" s="247"/>
      <c r="DS87" s="247"/>
      <c r="DT87" s="247"/>
      <c r="DU87" s="247"/>
      <c r="DV87" s="247"/>
      <c r="DW87" s="247"/>
      <c r="DX87" s="247"/>
      <c r="DY87" s="247"/>
      <c r="DZ87" s="247"/>
      <c r="EA87" s="247"/>
      <c r="EB87" s="247"/>
      <c r="EC87" s="247"/>
      <c r="ED87" s="17">
        <f t="shared" si="22"/>
        <v>1272166.5250000001</v>
      </c>
      <c r="EE87" s="29">
        <f t="shared" si="23"/>
        <v>4</v>
      </c>
      <c r="EF87" s="17">
        <f t="shared" si="21"/>
        <v>318041.63125000003</v>
      </c>
    </row>
    <row r="88" spans="1:136" x14ac:dyDescent="0.25">
      <c r="A88" s="25">
        <f>Distribución_Elementos!A88</f>
        <v>86</v>
      </c>
      <c r="B88" s="22" t="str">
        <f>Distribución_Elementos!B88</f>
        <v>Caja de Petri en vidrio 100 mm x 15 mm</v>
      </c>
      <c r="C88" s="22" t="str">
        <f>Distribución_Elementos!C88</f>
        <v>Cualquier marca</v>
      </c>
      <c r="D88" s="22" t="str">
        <f>Distribución_Elementos!D88</f>
        <v>Caja x 72</v>
      </c>
      <c r="E88" s="224">
        <v>1</v>
      </c>
      <c r="F88" s="221">
        <v>292443.69</v>
      </c>
      <c r="G88" s="221">
        <v>287980</v>
      </c>
      <c r="H88" s="221">
        <v>279729.33333333331</v>
      </c>
      <c r="I88" s="221">
        <v>265608</v>
      </c>
      <c r="J88" s="221">
        <v>204407.25200000001</v>
      </c>
      <c r="K88" s="221">
        <v>0</v>
      </c>
      <c r="L88" s="247">
        <f>AVERAGE(F88,H88,J88)</f>
        <v>258860.09177777776</v>
      </c>
      <c r="M88" s="247">
        <f>AVERAGE(G88,I88)*E1</f>
        <v>285097.82</v>
      </c>
      <c r="N88" s="227">
        <v>259200</v>
      </c>
      <c r="O88" s="119">
        <f t="shared" si="30"/>
        <v>49248</v>
      </c>
      <c r="P88" s="119">
        <f t="shared" si="31"/>
        <v>308448</v>
      </c>
      <c r="Q88" s="115"/>
      <c r="R88" s="115"/>
      <c r="S88" s="11"/>
      <c r="T88" s="247">
        <v>3960.0000000000005</v>
      </c>
      <c r="U88" s="247">
        <f>+T88*0.19</f>
        <v>752.40000000000009</v>
      </c>
      <c r="V88" s="247">
        <f>+T88+U88</f>
        <v>4712.4000000000005</v>
      </c>
      <c r="W88" s="17" t="s">
        <v>1514</v>
      </c>
      <c r="X88" s="11" t="s">
        <v>1536</v>
      </c>
      <c r="Y88" s="11"/>
      <c r="Z88" s="247"/>
      <c r="AA88" s="247"/>
      <c r="AB88" s="247"/>
      <c r="AC88" s="44"/>
      <c r="AD88" s="22"/>
      <c r="AE88" s="17"/>
      <c r="AF88" s="247"/>
      <c r="AG88" s="247"/>
      <c r="AH88" s="97"/>
      <c r="AI88" s="22"/>
      <c r="AJ88" s="17"/>
      <c r="AK88" s="17"/>
      <c r="AL88" s="102"/>
      <c r="AM88" s="132"/>
      <c r="AN88" s="161"/>
      <c r="AO88" s="115"/>
      <c r="AP88" s="115"/>
      <c r="AQ88" s="17"/>
      <c r="AR88" s="247"/>
      <c r="AS88" s="247"/>
      <c r="AT88" s="247"/>
      <c r="AU88" s="17"/>
      <c r="AV88" s="17"/>
      <c r="AW88" s="17"/>
      <c r="AX88" s="247"/>
      <c r="AY88" s="247"/>
      <c r="AZ88" s="247"/>
      <c r="BA88" s="17"/>
      <c r="BB88" s="52"/>
      <c r="BC88" s="17"/>
      <c r="BD88" s="247"/>
      <c r="BE88" s="247"/>
      <c r="BF88" s="247"/>
      <c r="BG88" s="17"/>
      <c r="BH88" s="17"/>
      <c r="BI88" s="17"/>
      <c r="BJ88" s="247"/>
      <c r="BK88" s="247"/>
      <c r="BL88" s="247"/>
      <c r="BM88" s="190"/>
      <c r="BN88" s="190"/>
      <c r="BO88" s="17"/>
      <c r="BP88" s="247">
        <f>5500*72</f>
        <v>396000</v>
      </c>
      <c r="BQ88" s="247">
        <f t="shared" si="29"/>
        <v>75240</v>
      </c>
      <c r="BR88" s="247">
        <f t="shared" si="26"/>
        <v>471240</v>
      </c>
      <c r="BS88" s="17"/>
      <c r="BT88" s="17"/>
      <c r="BU88" s="17"/>
      <c r="BV88" s="189"/>
      <c r="BW88" s="197"/>
      <c r="BX88" s="246"/>
      <c r="BY88" s="190"/>
      <c r="BZ88" s="190"/>
      <c r="CA88" s="190"/>
      <c r="CB88" s="247"/>
      <c r="CC88" s="247"/>
      <c r="CD88" s="247"/>
      <c r="CE88" s="17"/>
      <c r="CF88" s="17"/>
      <c r="CG88" s="17"/>
      <c r="CH88" s="247"/>
      <c r="CI88" s="247"/>
      <c r="CJ88" s="247"/>
      <c r="CK88" s="17"/>
      <c r="CL88" s="17"/>
      <c r="CM88" s="17"/>
      <c r="CN88" s="17"/>
      <c r="CO88" s="17"/>
      <c r="CP88" s="11"/>
      <c r="CQ88" s="11"/>
      <c r="CR88" s="11"/>
      <c r="CS88" s="11"/>
      <c r="CT88" s="247"/>
      <c r="CU88" s="247"/>
      <c r="CV88" s="247"/>
      <c r="CW88" s="11"/>
      <c r="CX88" s="11"/>
      <c r="CY88" s="11"/>
      <c r="CZ88" s="11"/>
      <c r="DA88" s="11"/>
      <c r="DB88" s="11"/>
      <c r="DC88" s="11"/>
      <c r="DD88" s="11"/>
      <c r="DE88" s="11"/>
      <c r="DF88" s="11"/>
      <c r="DG88" s="11"/>
      <c r="DH88" s="11"/>
      <c r="DI88" s="11"/>
      <c r="DJ88" s="11"/>
      <c r="DK88" s="11"/>
      <c r="DL88" s="247"/>
      <c r="DM88" s="247"/>
      <c r="DN88" s="247"/>
      <c r="DO88" s="247"/>
      <c r="DP88" s="247"/>
      <c r="DQ88" s="247"/>
      <c r="DR88" s="247"/>
      <c r="DS88" s="247"/>
      <c r="DT88" s="247"/>
      <c r="DU88" s="247"/>
      <c r="DV88" s="247"/>
      <c r="DW88" s="247"/>
      <c r="DX88" s="247"/>
      <c r="DY88" s="247"/>
      <c r="DZ88" s="247"/>
      <c r="EA88" s="247"/>
      <c r="EB88" s="247"/>
      <c r="EC88" s="247"/>
      <c r="ED88" s="17">
        <f t="shared" si="22"/>
        <v>1069498.2200000002</v>
      </c>
      <c r="EE88" s="29">
        <f t="shared" si="23"/>
        <v>4</v>
      </c>
      <c r="EF88" s="17">
        <f t="shared" si="21"/>
        <v>267374.55500000005</v>
      </c>
    </row>
    <row r="89" spans="1:136" x14ac:dyDescent="0.25">
      <c r="A89" s="25">
        <f>Distribución_Elementos!A89</f>
        <v>87</v>
      </c>
      <c r="B89" s="22" t="str">
        <f>Distribución_Elementos!B89</f>
        <v xml:space="preserve">Caja de Petri en vidrio 9 mm </v>
      </c>
      <c r="C89" s="22" t="str">
        <f>Distribución_Elementos!C89</f>
        <v>Cualquier marca</v>
      </c>
      <c r="D89" s="22" t="str">
        <f>Distribución_Elementos!D89</f>
        <v>Caja X 20</v>
      </c>
      <c r="E89" s="224">
        <v>1</v>
      </c>
      <c r="F89" s="221">
        <v>0</v>
      </c>
      <c r="G89" s="221">
        <v>0</v>
      </c>
      <c r="H89" s="221">
        <v>76755</v>
      </c>
      <c r="I89" s="221">
        <v>0</v>
      </c>
      <c r="J89" s="221">
        <v>90559</v>
      </c>
      <c r="K89" s="221">
        <v>0</v>
      </c>
      <c r="L89" s="247">
        <f>AVERAGE(H89,J89)</f>
        <v>83657</v>
      </c>
      <c r="M89" s="247"/>
      <c r="N89" s="227">
        <v>72000</v>
      </c>
      <c r="O89" s="119">
        <f t="shared" si="30"/>
        <v>13680</v>
      </c>
      <c r="P89" s="119">
        <f t="shared" si="31"/>
        <v>85680</v>
      </c>
      <c r="Q89" s="115"/>
      <c r="R89" s="115"/>
      <c r="S89" s="11"/>
      <c r="T89" s="247"/>
      <c r="U89" s="247"/>
      <c r="V89" s="247"/>
      <c r="W89" s="17"/>
      <c r="X89" s="11"/>
      <c r="Y89" s="11"/>
      <c r="Z89" s="247"/>
      <c r="AA89" s="247"/>
      <c r="AB89" s="247"/>
      <c r="AC89" s="44"/>
      <c r="AD89" s="22"/>
      <c r="AE89" s="17"/>
      <c r="AF89" s="247"/>
      <c r="AG89" s="247"/>
      <c r="AH89" s="151"/>
      <c r="AI89" s="22"/>
      <c r="AJ89" s="17"/>
      <c r="AK89" s="17"/>
      <c r="AL89" s="102"/>
      <c r="AM89" s="132"/>
      <c r="AN89" s="161"/>
      <c r="AO89" s="115"/>
      <c r="AP89" s="115"/>
      <c r="AQ89" s="17"/>
      <c r="AR89" s="247"/>
      <c r="AS89" s="247"/>
      <c r="AT89" s="247"/>
      <c r="AU89" s="17"/>
      <c r="AV89" s="17"/>
      <c r="AW89" s="17"/>
      <c r="AX89" s="247"/>
      <c r="AY89" s="247"/>
      <c r="AZ89" s="247"/>
      <c r="BA89" s="17"/>
      <c r="BB89" s="52"/>
      <c r="BC89" s="17"/>
      <c r="BD89" s="247"/>
      <c r="BE89" s="247"/>
      <c r="BF89" s="247"/>
      <c r="BG89" s="17"/>
      <c r="BH89" s="17"/>
      <c r="BI89" s="17"/>
      <c r="BJ89" s="247"/>
      <c r="BK89" s="247"/>
      <c r="BL89" s="247"/>
      <c r="BM89" s="190"/>
      <c r="BN89" s="190"/>
      <c r="BO89" s="17"/>
      <c r="BP89" s="247">
        <f>6000*20</f>
        <v>120000</v>
      </c>
      <c r="BQ89" s="247">
        <f t="shared" si="29"/>
        <v>22800</v>
      </c>
      <c r="BR89" s="247">
        <f t="shared" si="26"/>
        <v>142800</v>
      </c>
      <c r="BS89" s="17"/>
      <c r="BT89" s="17"/>
      <c r="BU89" s="17"/>
      <c r="BV89" s="189"/>
      <c r="BW89" s="197"/>
      <c r="BX89" s="246"/>
      <c r="BY89" s="190"/>
      <c r="BZ89" s="190"/>
      <c r="CA89" s="190"/>
      <c r="CB89" s="252"/>
      <c r="CC89" s="252"/>
      <c r="CD89" s="252"/>
      <c r="CE89" s="17"/>
      <c r="CF89" s="17"/>
      <c r="CG89" s="17"/>
      <c r="CH89" s="247"/>
      <c r="CI89" s="247"/>
      <c r="CJ89" s="247"/>
      <c r="CK89" s="17"/>
      <c r="CL89" s="17"/>
      <c r="CM89" s="17"/>
      <c r="CN89" s="17"/>
      <c r="CO89" s="17"/>
      <c r="CP89" s="11"/>
      <c r="CQ89" s="11"/>
      <c r="CR89" s="11"/>
      <c r="CS89" s="11"/>
      <c r="CT89" s="247"/>
      <c r="CU89" s="247"/>
      <c r="CV89" s="247"/>
      <c r="CW89" s="11"/>
      <c r="CX89" s="11"/>
      <c r="CY89" s="11"/>
      <c r="CZ89" s="11"/>
      <c r="DA89" s="11"/>
      <c r="DB89" s="11"/>
      <c r="DC89" s="11"/>
      <c r="DD89" s="11"/>
      <c r="DE89" s="11"/>
      <c r="DF89" s="11"/>
      <c r="DG89" s="11"/>
      <c r="DH89" s="11"/>
      <c r="DI89" s="11"/>
      <c r="DJ89" s="11"/>
      <c r="DK89" s="11"/>
      <c r="DL89" s="247"/>
      <c r="DM89" s="247"/>
      <c r="DN89" s="247"/>
      <c r="DO89" s="247"/>
      <c r="DP89" s="247"/>
      <c r="DQ89" s="247"/>
      <c r="DR89" s="247"/>
      <c r="DS89" s="247"/>
      <c r="DT89" s="247"/>
      <c r="DU89" s="247"/>
      <c r="DV89" s="247"/>
      <c r="DW89" s="247"/>
      <c r="DX89" s="247"/>
      <c r="DY89" s="247"/>
      <c r="DZ89" s="247"/>
      <c r="EA89" s="247"/>
      <c r="EB89" s="247"/>
      <c r="EC89" s="247"/>
      <c r="ED89" s="17">
        <f t="shared" si="22"/>
        <v>228480</v>
      </c>
      <c r="EE89" s="29">
        <f t="shared" si="23"/>
        <v>2</v>
      </c>
      <c r="EF89" s="17">
        <f t="shared" si="21"/>
        <v>114240</v>
      </c>
    </row>
    <row r="90" spans="1:136" x14ac:dyDescent="0.25">
      <c r="A90" s="25">
        <f>Distribución_Elementos!A90</f>
        <v>88</v>
      </c>
      <c r="B90" s="22" t="str">
        <f>Distribución_Elementos!B90</f>
        <v>Caja de Petri en vidrio de 150x30 mm o 150x20 mm</v>
      </c>
      <c r="C90" s="22" t="str">
        <f>Distribución_Elementos!C90</f>
        <v>Pyrex o equivalente</v>
      </c>
      <c r="D90" s="22" t="str">
        <f>Distribución_Elementos!D90</f>
        <v>Unidad</v>
      </c>
      <c r="E90" s="224">
        <v>1</v>
      </c>
      <c r="F90" s="221">
        <v>0</v>
      </c>
      <c r="G90" s="221">
        <v>0</v>
      </c>
      <c r="H90" s="221">
        <v>0</v>
      </c>
      <c r="I90" s="221">
        <v>0</v>
      </c>
      <c r="J90" s="221">
        <v>0</v>
      </c>
      <c r="K90" s="221">
        <v>0</v>
      </c>
      <c r="L90" s="247"/>
      <c r="M90" s="247"/>
      <c r="N90" s="228">
        <v>18000</v>
      </c>
      <c r="O90" s="119">
        <f t="shared" si="30"/>
        <v>3420</v>
      </c>
      <c r="P90" s="119">
        <f t="shared" si="31"/>
        <v>21420</v>
      </c>
      <c r="Q90" s="115"/>
      <c r="R90" s="115"/>
      <c r="S90" s="11"/>
      <c r="T90" s="247"/>
      <c r="U90" s="247"/>
      <c r="V90" s="247"/>
      <c r="W90" s="17"/>
      <c r="X90" s="11"/>
      <c r="Y90" s="11"/>
      <c r="Z90" s="247"/>
      <c r="AA90" s="247"/>
      <c r="AB90" s="247"/>
      <c r="AC90" s="5"/>
      <c r="AD90" s="22"/>
      <c r="AE90" s="17"/>
      <c r="AF90" s="247"/>
      <c r="AG90" s="247"/>
      <c r="AH90" s="149"/>
      <c r="AI90" s="22"/>
      <c r="AJ90" s="17"/>
      <c r="AK90" s="17"/>
      <c r="AL90" s="102"/>
      <c r="AM90" s="132"/>
      <c r="AN90" s="161"/>
      <c r="AO90" s="115"/>
      <c r="AP90" s="115"/>
      <c r="AQ90" s="17"/>
      <c r="AR90" s="247"/>
      <c r="AS90" s="247"/>
      <c r="AT90" s="247"/>
      <c r="AU90" s="17"/>
      <c r="AV90" s="17"/>
      <c r="AW90" s="17"/>
      <c r="AX90" s="252"/>
      <c r="AY90" s="247"/>
      <c r="AZ90" s="247"/>
      <c r="BA90" s="17"/>
      <c r="BB90" s="52"/>
      <c r="BC90" s="17"/>
      <c r="BD90" s="247"/>
      <c r="BE90" s="247"/>
      <c r="BF90" s="247"/>
      <c r="BG90" s="17"/>
      <c r="BH90" s="17"/>
      <c r="BI90" s="17"/>
      <c r="BJ90" s="247"/>
      <c r="BK90" s="247"/>
      <c r="BL90" s="247"/>
      <c r="BM90" s="190"/>
      <c r="BN90" s="190"/>
      <c r="BO90" s="17"/>
      <c r="BP90" s="247">
        <v>52300</v>
      </c>
      <c r="BQ90" s="247">
        <f>+BP90*19%</f>
        <v>9937</v>
      </c>
      <c r="BR90" s="247">
        <f t="shared" si="26"/>
        <v>62237</v>
      </c>
      <c r="BS90" s="17"/>
      <c r="BT90" s="17"/>
      <c r="BU90" s="17"/>
      <c r="BV90" s="189"/>
      <c r="BW90" s="197"/>
      <c r="BX90" s="246"/>
      <c r="BY90" s="190"/>
      <c r="BZ90" s="190"/>
      <c r="CA90" s="190"/>
      <c r="CB90" s="247"/>
      <c r="CC90" s="247"/>
      <c r="CD90" s="247"/>
      <c r="CE90" s="17"/>
      <c r="CF90" s="17"/>
      <c r="CG90" s="17"/>
      <c r="CH90" s="252"/>
      <c r="CI90" s="252"/>
      <c r="CJ90" s="252"/>
      <c r="CK90" s="17"/>
      <c r="CL90" s="17"/>
      <c r="CM90" s="17"/>
      <c r="CN90" s="17"/>
      <c r="CO90" s="17"/>
      <c r="CP90" s="11"/>
      <c r="CQ90" s="11"/>
      <c r="CR90" s="11"/>
      <c r="CS90" s="11"/>
      <c r="CT90" s="247"/>
      <c r="CU90" s="247"/>
      <c r="CV90" s="247"/>
      <c r="CW90" s="11"/>
      <c r="CX90" s="11"/>
      <c r="CY90" s="11"/>
      <c r="CZ90" s="11"/>
      <c r="DA90" s="11"/>
      <c r="DB90" s="11"/>
      <c r="DC90" s="11"/>
      <c r="DD90" s="11"/>
      <c r="DE90" s="11"/>
      <c r="DF90" s="11"/>
      <c r="DG90" s="11"/>
      <c r="DH90" s="11"/>
      <c r="DI90" s="11"/>
      <c r="DJ90" s="11"/>
      <c r="DK90" s="11"/>
      <c r="DL90" s="247"/>
      <c r="DM90" s="247"/>
      <c r="DN90" s="247"/>
      <c r="DO90" s="247"/>
      <c r="DP90" s="247"/>
      <c r="DQ90" s="247"/>
      <c r="DR90" s="247"/>
      <c r="DS90" s="247"/>
      <c r="DT90" s="247"/>
      <c r="DU90" s="247"/>
      <c r="DV90" s="247"/>
      <c r="DW90" s="247"/>
      <c r="DX90" s="247"/>
      <c r="DY90" s="247"/>
      <c r="DZ90" s="247"/>
      <c r="EA90" s="247"/>
      <c r="EB90" s="247"/>
      <c r="EC90" s="247"/>
      <c r="ED90" s="17">
        <f t="shared" si="22"/>
        <v>83657</v>
      </c>
      <c r="EE90" s="29">
        <f t="shared" si="23"/>
        <v>2</v>
      </c>
      <c r="EF90" s="17">
        <f t="shared" si="21"/>
        <v>41828.5</v>
      </c>
    </row>
    <row r="91" spans="1:136" ht="89.25" x14ac:dyDescent="0.25">
      <c r="A91" s="25">
        <f>Distribución_Elementos!A91</f>
        <v>89</v>
      </c>
      <c r="B91" s="22" t="str">
        <f>Distribución_Elementos!B91</f>
        <v>Caja Entomológica-Caja en madera para almacenamiento y organización de insectos debidamente preservados. Ajuste perfecto de la tapa, cierre hermético, la tapa es en vidrio transparente, para facilitar la observación del interior sin necesidad de abrirla continuamente. Dimensiones: Internas: 39 x 45 x 6 cm  //  Externas : 42 x 48 x 7.3 cm. El entrepaño de la caja debe facilitar la inserción de alfileres.</v>
      </c>
      <c r="C91" s="22" t="str">
        <f>Distribución_Elementos!C91</f>
        <v>Ethos o equivalente</v>
      </c>
      <c r="D91" s="22" t="str">
        <f>Distribución_Elementos!D91</f>
        <v>Unidad</v>
      </c>
      <c r="E91" s="224">
        <v>1</v>
      </c>
      <c r="F91" s="221">
        <v>0</v>
      </c>
      <c r="G91" s="221">
        <v>0</v>
      </c>
      <c r="H91" s="221">
        <v>0</v>
      </c>
      <c r="I91" s="221">
        <v>0</v>
      </c>
      <c r="J91" s="221">
        <v>0</v>
      </c>
      <c r="K91" s="221">
        <v>0</v>
      </c>
      <c r="L91" s="247"/>
      <c r="M91" s="247"/>
      <c r="N91" s="227"/>
      <c r="O91" s="119"/>
      <c r="P91" s="119"/>
      <c r="Q91" s="115"/>
      <c r="R91" s="115"/>
      <c r="S91" s="11"/>
      <c r="T91" s="247"/>
      <c r="U91" s="247"/>
      <c r="V91" s="247"/>
      <c r="W91" s="17"/>
      <c r="X91" s="11"/>
      <c r="Y91" s="11"/>
      <c r="Z91" s="247"/>
      <c r="AA91" s="247"/>
      <c r="AB91" s="247"/>
      <c r="AC91" s="44"/>
      <c r="AD91" s="22"/>
      <c r="AE91" s="17"/>
      <c r="AF91" s="247"/>
      <c r="AG91" s="247"/>
      <c r="AH91" s="97"/>
      <c r="AI91" s="22"/>
      <c r="AJ91" s="17"/>
      <c r="AK91" s="17"/>
      <c r="AL91" s="102"/>
      <c r="AM91" s="132"/>
      <c r="AN91" s="161"/>
      <c r="AO91" s="115"/>
      <c r="AP91" s="115"/>
      <c r="AQ91" s="17"/>
      <c r="AR91" s="247">
        <v>115000</v>
      </c>
      <c r="AS91" s="247">
        <f>+AR91*0.19</f>
        <v>21850</v>
      </c>
      <c r="AT91" s="247">
        <f>+AR91+AS91</f>
        <v>136850</v>
      </c>
      <c r="AU91" s="17"/>
      <c r="AV91" s="17"/>
      <c r="AW91" s="17"/>
      <c r="AX91" s="247"/>
      <c r="AY91" s="247"/>
      <c r="AZ91" s="247"/>
      <c r="BA91" s="17"/>
      <c r="BB91" s="52"/>
      <c r="BC91" s="17"/>
      <c r="BD91" s="247"/>
      <c r="BE91" s="247"/>
      <c r="BF91" s="247"/>
      <c r="BG91" s="17"/>
      <c r="BH91" s="17"/>
      <c r="BI91" s="17"/>
      <c r="BJ91" s="247">
        <v>623600</v>
      </c>
      <c r="BK91" s="247">
        <f>+BJ91*0.19</f>
        <v>118484</v>
      </c>
      <c r="BL91" s="247">
        <f>+BJ91+BK91</f>
        <v>742084</v>
      </c>
      <c r="BM91" s="191" t="s">
        <v>140</v>
      </c>
      <c r="BN91" s="190" t="s">
        <v>1502</v>
      </c>
      <c r="BO91" s="17"/>
      <c r="BP91" s="247">
        <v>265000</v>
      </c>
      <c r="BQ91" s="247">
        <f t="shared" ref="BQ91:BQ105" si="32">+BP91*19%</f>
        <v>50350</v>
      </c>
      <c r="BR91" s="247">
        <f t="shared" si="26"/>
        <v>315350</v>
      </c>
      <c r="BS91" s="17"/>
      <c r="BT91" s="17"/>
      <c r="BU91" s="17"/>
      <c r="BV91" s="189"/>
      <c r="BW91" s="195"/>
      <c r="BX91" s="246"/>
      <c r="BY91" s="191"/>
      <c r="BZ91" s="190"/>
      <c r="CA91" s="190"/>
      <c r="CB91" s="247"/>
      <c r="CC91" s="247"/>
      <c r="CD91" s="247"/>
      <c r="CE91" s="17"/>
      <c r="CF91" s="17"/>
      <c r="CG91" s="17"/>
      <c r="CH91" s="247"/>
      <c r="CI91" s="247"/>
      <c r="CJ91" s="247"/>
      <c r="CK91" s="17"/>
      <c r="CL91" s="17"/>
      <c r="CM91" s="17"/>
      <c r="CN91" s="17"/>
      <c r="CO91" s="17"/>
      <c r="CP91" s="11"/>
      <c r="CQ91" s="11"/>
      <c r="CR91" s="11"/>
      <c r="CS91" s="11"/>
      <c r="CT91" s="247"/>
      <c r="CU91" s="247"/>
      <c r="CV91" s="247"/>
      <c r="CW91" s="11"/>
      <c r="CX91" s="11"/>
      <c r="CY91" s="11"/>
      <c r="CZ91" s="11"/>
      <c r="DA91" s="11"/>
      <c r="DB91" s="11"/>
      <c r="DC91" s="11"/>
      <c r="DD91" s="11"/>
      <c r="DE91" s="11"/>
      <c r="DF91" s="11"/>
      <c r="DG91" s="11"/>
      <c r="DH91" s="11"/>
      <c r="DI91" s="11"/>
      <c r="DJ91" s="11"/>
      <c r="DK91" s="11"/>
      <c r="DL91" s="247"/>
      <c r="DM91" s="247"/>
      <c r="DN91" s="247"/>
      <c r="DO91" s="247"/>
      <c r="DP91" s="247"/>
      <c r="DQ91" s="247"/>
      <c r="DR91" s="247"/>
      <c r="DS91" s="247"/>
      <c r="DT91" s="247"/>
      <c r="DU91" s="247"/>
      <c r="DV91" s="247"/>
      <c r="DW91" s="247"/>
      <c r="DX91" s="247"/>
      <c r="DY91" s="247"/>
      <c r="DZ91" s="247"/>
      <c r="EA91" s="247"/>
      <c r="EB91" s="247"/>
      <c r="EC91" s="247"/>
      <c r="ED91" s="17">
        <f t="shared" si="22"/>
        <v>1194284</v>
      </c>
      <c r="EE91" s="29">
        <f t="shared" si="23"/>
        <v>3</v>
      </c>
      <c r="EF91" s="17">
        <f t="shared" si="21"/>
        <v>398094.66666666669</v>
      </c>
    </row>
    <row r="92" spans="1:136" x14ac:dyDescent="0.25">
      <c r="A92" s="25">
        <f>Distribución_Elementos!A92</f>
        <v>90</v>
      </c>
      <c r="B92" s="22" t="str">
        <f>Distribución_Elementos!B92</f>
        <v>Caja Germinación Acrílico largo, ancho, alto: 25x16x8</v>
      </c>
      <c r="C92" s="22" t="str">
        <f>Distribución_Elementos!C92</f>
        <v>Cualquier marca</v>
      </c>
      <c r="D92" s="22" t="str">
        <f>Distribución_Elementos!D92</f>
        <v>Unidad</v>
      </c>
      <c r="E92" s="224">
        <v>1</v>
      </c>
      <c r="F92" s="221">
        <v>53550</v>
      </c>
      <c r="G92" s="221">
        <v>0</v>
      </c>
      <c r="H92" s="221">
        <v>41650</v>
      </c>
      <c r="I92" s="221">
        <v>0</v>
      </c>
      <c r="J92" s="221">
        <v>46856.25</v>
      </c>
      <c r="K92" s="221">
        <v>0</v>
      </c>
      <c r="L92" s="247">
        <f>AVERAGE(F92,H92,J92)</f>
        <v>47352.083333333336</v>
      </c>
      <c r="M92" s="247"/>
      <c r="N92" s="227"/>
      <c r="O92" s="119"/>
      <c r="P92" s="119"/>
      <c r="Q92" s="115"/>
      <c r="R92" s="115"/>
      <c r="S92" s="11"/>
      <c r="T92" s="247"/>
      <c r="U92" s="247"/>
      <c r="V92" s="247"/>
      <c r="W92" s="17"/>
      <c r="X92" s="11"/>
      <c r="Y92" s="11"/>
      <c r="Z92" s="247"/>
      <c r="AA92" s="247"/>
      <c r="AB92" s="247"/>
      <c r="AC92" s="44"/>
      <c r="AD92" s="22"/>
      <c r="AE92" s="17"/>
      <c r="AF92" s="247"/>
      <c r="AG92" s="247"/>
      <c r="AH92" s="97"/>
      <c r="AI92" s="4"/>
      <c r="AJ92" s="17"/>
      <c r="AK92" s="17"/>
      <c r="AL92" s="102"/>
      <c r="AM92" s="132"/>
      <c r="AN92" s="161"/>
      <c r="AO92" s="115"/>
      <c r="AP92" s="115"/>
      <c r="AQ92" s="17"/>
      <c r="AR92" s="247"/>
      <c r="AS92" s="247"/>
      <c r="AT92" s="247"/>
      <c r="AU92" s="17"/>
      <c r="AV92" s="17"/>
      <c r="AW92" s="17"/>
      <c r="AX92" s="247"/>
      <c r="AY92" s="247"/>
      <c r="AZ92" s="247"/>
      <c r="BA92" s="17"/>
      <c r="BB92" s="52"/>
      <c r="BC92" s="17"/>
      <c r="BD92" s="247"/>
      <c r="BE92" s="247"/>
      <c r="BF92" s="247"/>
      <c r="BG92" s="17"/>
      <c r="BH92" s="17"/>
      <c r="BI92" s="17"/>
      <c r="BJ92" s="247"/>
      <c r="BK92" s="247"/>
      <c r="BL92" s="247"/>
      <c r="BM92" s="190"/>
      <c r="BN92" s="190"/>
      <c r="BO92" s="17"/>
      <c r="BP92" s="247">
        <v>65000</v>
      </c>
      <c r="BQ92" s="247">
        <f t="shared" si="32"/>
        <v>12350</v>
      </c>
      <c r="BR92" s="247">
        <f t="shared" si="26"/>
        <v>77350</v>
      </c>
      <c r="BS92" s="17"/>
      <c r="BT92" s="17"/>
      <c r="BU92" s="17"/>
      <c r="BV92" s="189"/>
      <c r="BW92" s="197"/>
      <c r="BX92" s="246"/>
      <c r="BY92" s="190"/>
      <c r="BZ92" s="190"/>
      <c r="CA92" s="190"/>
      <c r="CB92" s="247"/>
      <c r="CC92" s="247"/>
      <c r="CD92" s="247"/>
      <c r="CE92" s="17"/>
      <c r="CF92" s="17"/>
      <c r="CG92" s="17"/>
      <c r="CH92" s="247"/>
      <c r="CI92" s="247"/>
      <c r="CJ92" s="247"/>
      <c r="CK92" s="17"/>
      <c r="CL92" s="17"/>
      <c r="CM92" s="17"/>
      <c r="CN92" s="17"/>
      <c r="CO92" s="17"/>
      <c r="CP92" s="11"/>
      <c r="CQ92" s="11"/>
      <c r="CR92" s="11"/>
      <c r="CS92" s="11"/>
      <c r="CT92" s="247"/>
      <c r="CU92" s="247"/>
      <c r="CV92" s="247"/>
      <c r="CW92" s="11"/>
      <c r="CX92" s="11"/>
      <c r="CY92" s="11"/>
      <c r="CZ92" s="11"/>
      <c r="DA92" s="11"/>
      <c r="DB92" s="11"/>
      <c r="DC92" s="11"/>
      <c r="DD92" s="11"/>
      <c r="DE92" s="11"/>
      <c r="DF92" s="11"/>
      <c r="DG92" s="11"/>
      <c r="DH92" s="11"/>
      <c r="DI92" s="11"/>
      <c r="DJ92" s="11"/>
      <c r="DK92" s="11"/>
      <c r="DL92" s="247"/>
      <c r="DM92" s="247"/>
      <c r="DN92" s="247"/>
      <c r="DO92" s="247"/>
      <c r="DP92" s="247"/>
      <c r="DQ92" s="247"/>
      <c r="DR92" s="247"/>
      <c r="DS92" s="247"/>
      <c r="DT92" s="247"/>
      <c r="DU92" s="247"/>
      <c r="DV92" s="247"/>
      <c r="DW92" s="247"/>
      <c r="DX92" s="247"/>
      <c r="DY92" s="247"/>
      <c r="DZ92" s="247"/>
      <c r="EA92" s="247"/>
      <c r="EB92" s="247"/>
      <c r="EC92" s="247"/>
      <c r="ED92" s="17">
        <f t="shared" si="22"/>
        <v>77350</v>
      </c>
      <c r="EE92" s="29">
        <f t="shared" si="23"/>
        <v>1</v>
      </c>
      <c r="EF92" s="17">
        <f t="shared" si="21"/>
        <v>77350</v>
      </c>
    </row>
    <row r="93" spans="1:136" x14ac:dyDescent="0.25">
      <c r="A93" s="25">
        <f>Distribución_Elementos!A93</f>
        <v>91</v>
      </c>
      <c r="B93" s="22" t="str">
        <f>Distribución_Elementos!B93</f>
        <v>Caja organizadora 3 niveles (3 en 1) 26X16,8X6 cm</v>
      </c>
      <c r="C93" s="22" t="str">
        <f>Distribución_Elementos!C93</f>
        <v>Cualquier marca</v>
      </c>
      <c r="D93" s="22" t="str">
        <f>Distribución_Elementos!D93</f>
        <v>Unidad</v>
      </c>
      <c r="E93" s="224">
        <v>1</v>
      </c>
      <c r="F93" s="221">
        <v>0</v>
      </c>
      <c r="G93" s="221">
        <v>0</v>
      </c>
      <c r="H93" s="221">
        <v>59500</v>
      </c>
      <c r="I93" s="221">
        <v>0</v>
      </c>
      <c r="J93" s="221">
        <v>89289.666666666672</v>
      </c>
      <c r="K93" s="221">
        <v>74137</v>
      </c>
      <c r="L93" s="247">
        <f>AVERAGE(H93,J93)</f>
        <v>74394.833333333343</v>
      </c>
      <c r="M93" s="247">
        <f>K93*E1</f>
        <v>76361.11</v>
      </c>
      <c r="N93" s="227"/>
      <c r="O93" s="119"/>
      <c r="P93" s="119"/>
      <c r="Q93" s="115"/>
      <c r="R93" s="115"/>
      <c r="S93" s="11"/>
      <c r="T93" s="247"/>
      <c r="U93" s="247"/>
      <c r="V93" s="247"/>
      <c r="W93" s="17"/>
      <c r="X93" s="11"/>
      <c r="Y93" s="11"/>
      <c r="Z93" s="247"/>
      <c r="AA93" s="247"/>
      <c r="AB93" s="247"/>
      <c r="AC93" s="44"/>
      <c r="AD93" s="22"/>
      <c r="AE93" s="17"/>
      <c r="AF93" s="247"/>
      <c r="AG93" s="247"/>
      <c r="AH93" s="151"/>
      <c r="AI93" s="22"/>
      <c r="AJ93" s="17"/>
      <c r="AK93" s="17"/>
      <c r="AL93" s="102"/>
      <c r="AM93" s="132"/>
      <c r="AN93" s="161"/>
      <c r="AO93" s="115"/>
      <c r="AP93" s="115"/>
      <c r="AQ93" s="17"/>
      <c r="AR93" s="247"/>
      <c r="AS93" s="247"/>
      <c r="AT93" s="247"/>
      <c r="AU93" s="17"/>
      <c r="AV93" s="17"/>
      <c r="AW93" s="17"/>
      <c r="AX93" s="247"/>
      <c r="AY93" s="247"/>
      <c r="AZ93" s="247"/>
      <c r="BA93" s="17"/>
      <c r="BB93" s="52"/>
      <c r="BC93" s="17"/>
      <c r="BD93" s="247"/>
      <c r="BE93" s="247"/>
      <c r="BF93" s="247"/>
      <c r="BG93" s="17"/>
      <c r="BH93" s="17"/>
      <c r="BI93" s="17"/>
      <c r="BJ93" s="247"/>
      <c r="BK93" s="247"/>
      <c r="BL93" s="247"/>
      <c r="BM93" s="190"/>
      <c r="BN93" s="190"/>
      <c r="BO93" s="17"/>
      <c r="BP93" s="247">
        <v>125000</v>
      </c>
      <c r="BQ93" s="247">
        <f t="shared" si="32"/>
        <v>23750</v>
      </c>
      <c r="BR93" s="247">
        <f t="shared" si="26"/>
        <v>148750</v>
      </c>
      <c r="BS93" s="17"/>
      <c r="BT93" s="17"/>
      <c r="BU93" s="17"/>
      <c r="BV93" s="189"/>
      <c r="BW93" s="197"/>
      <c r="BX93" s="246"/>
      <c r="BY93" s="190"/>
      <c r="BZ93" s="190"/>
      <c r="CA93" s="190"/>
      <c r="CB93" s="247"/>
      <c r="CC93" s="247"/>
      <c r="CD93" s="247"/>
      <c r="CE93" s="17"/>
      <c r="CF93" s="17"/>
      <c r="CG93" s="17"/>
      <c r="CH93" s="247"/>
      <c r="CI93" s="247"/>
      <c r="CJ93" s="247"/>
      <c r="CK93" s="17"/>
      <c r="CL93" s="17"/>
      <c r="CM93" s="17"/>
      <c r="CN93" s="17"/>
      <c r="CO93" s="17"/>
      <c r="CP93" s="11"/>
      <c r="CQ93" s="11"/>
      <c r="CR93" s="11"/>
      <c r="CS93" s="11"/>
      <c r="CT93" s="247"/>
      <c r="CU93" s="247"/>
      <c r="CV93" s="247"/>
      <c r="CW93" s="11"/>
      <c r="CX93" s="11"/>
      <c r="CY93" s="11"/>
      <c r="CZ93" s="11"/>
      <c r="DA93" s="11"/>
      <c r="DB93" s="11"/>
      <c r="DC93" s="11"/>
      <c r="DD93" s="11"/>
      <c r="DE93" s="11"/>
      <c r="DF93" s="11"/>
      <c r="DG93" s="11"/>
      <c r="DH93" s="11"/>
      <c r="DI93" s="11"/>
      <c r="DJ93" s="11"/>
      <c r="DK93" s="11"/>
      <c r="DL93" s="247"/>
      <c r="DM93" s="247"/>
      <c r="DN93" s="247"/>
      <c r="DO93" s="247"/>
      <c r="DP93" s="247"/>
      <c r="DQ93" s="247"/>
      <c r="DR93" s="247"/>
      <c r="DS93" s="247"/>
      <c r="DT93" s="247"/>
      <c r="DU93" s="247"/>
      <c r="DV93" s="247"/>
      <c r="DW93" s="247"/>
      <c r="DX93" s="247"/>
      <c r="DY93" s="247"/>
      <c r="DZ93" s="247"/>
      <c r="EA93" s="247"/>
      <c r="EB93" s="247"/>
      <c r="EC93" s="247"/>
      <c r="ED93" s="17">
        <f t="shared" si="22"/>
        <v>225111.11</v>
      </c>
      <c r="EE93" s="29">
        <f t="shared" si="23"/>
        <v>2</v>
      </c>
      <c r="EF93" s="17">
        <f t="shared" si="21"/>
        <v>112555.55499999999</v>
      </c>
    </row>
    <row r="94" spans="1:136" ht="25.5" x14ac:dyDescent="0.25">
      <c r="A94" s="25">
        <f>Distribución_Elementos!A94</f>
        <v>92</v>
      </c>
      <c r="B94" s="22" t="str">
        <f>Distribución_Elementos!B94</f>
        <v>Caja organizadora de plástico con tapa y cierre hermetico 47-49 x 31-37x 21-62 cm</v>
      </c>
      <c r="C94" s="22" t="str">
        <f>Distribución_Elementos!C94</f>
        <v>Vaniplast o Equvalente</v>
      </c>
      <c r="D94" s="22" t="str">
        <f>Distribución_Elementos!D94</f>
        <v>Unidad</v>
      </c>
      <c r="E94" s="224">
        <v>1</v>
      </c>
      <c r="F94" s="221">
        <v>0</v>
      </c>
      <c r="G94" s="221">
        <v>0</v>
      </c>
      <c r="H94" s="221">
        <v>0</v>
      </c>
      <c r="I94" s="221">
        <v>0</v>
      </c>
      <c r="J94" s="221">
        <v>0</v>
      </c>
      <c r="K94" s="221">
        <v>0</v>
      </c>
      <c r="L94" s="247"/>
      <c r="M94" s="247"/>
      <c r="N94" s="227">
        <v>95000</v>
      </c>
      <c r="O94" s="119">
        <f>+N94*0.19</f>
        <v>18050</v>
      </c>
      <c r="P94" s="119">
        <f>+N94+O94</f>
        <v>113050</v>
      </c>
      <c r="Q94" s="115"/>
      <c r="R94" s="115"/>
      <c r="S94" s="11"/>
      <c r="T94" s="247"/>
      <c r="U94" s="247"/>
      <c r="V94" s="247"/>
      <c r="W94" s="17"/>
      <c r="X94" s="11"/>
      <c r="Y94" s="11"/>
      <c r="Z94" s="247"/>
      <c r="AA94" s="247"/>
      <c r="AB94" s="247"/>
      <c r="AC94" s="44"/>
      <c r="AD94" s="22"/>
      <c r="AE94" s="17"/>
      <c r="AF94" s="247"/>
      <c r="AG94" s="247"/>
      <c r="AH94" s="151"/>
      <c r="AI94" s="22"/>
      <c r="AJ94" s="17"/>
      <c r="AK94" s="17"/>
      <c r="AL94" s="102"/>
      <c r="AM94" s="132"/>
      <c r="AN94" s="161"/>
      <c r="AO94" s="115"/>
      <c r="AP94" s="115"/>
      <c r="AQ94" s="17"/>
      <c r="AR94" s="247"/>
      <c r="AS94" s="247"/>
      <c r="AT94" s="247"/>
      <c r="AU94" s="17"/>
      <c r="AV94" s="17"/>
      <c r="AW94" s="17"/>
      <c r="AX94" s="247"/>
      <c r="AY94" s="247"/>
      <c r="AZ94" s="247"/>
      <c r="BA94" s="17"/>
      <c r="BB94" s="52"/>
      <c r="BC94" s="17"/>
      <c r="BD94" s="247"/>
      <c r="BE94" s="247"/>
      <c r="BF94" s="247"/>
      <c r="BG94" s="17"/>
      <c r="BH94" s="17"/>
      <c r="BI94" s="17"/>
      <c r="BJ94" s="247"/>
      <c r="BK94" s="247"/>
      <c r="BL94" s="247"/>
      <c r="BM94" s="190"/>
      <c r="BN94" s="190"/>
      <c r="BO94" s="17"/>
      <c r="BP94" s="247">
        <v>65000</v>
      </c>
      <c r="BQ94" s="247">
        <f t="shared" si="32"/>
        <v>12350</v>
      </c>
      <c r="BR94" s="247">
        <f t="shared" si="26"/>
        <v>77350</v>
      </c>
      <c r="BS94" s="17"/>
      <c r="BT94" s="17"/>
      <c r="BU94" s="17"/>
      <c r="BV94" s="189"/>
      <c r="BW94" s="197"/>
      <c r="BX94" s="246"/>
      <c r="BY94" s="190"/>
      <c r="BZ94" s="190"/>
      <c r="CA94" s="190"/>
      <c r="CB94" s="247"/>
      <c r="CC94" s="247"/>
      <c r="CD94" s="247"/>
      <c r="CE94" s="17"/>
      <c r="CF94" s="17"/>
      <c r="CG94" s="17"/>
      <c r="CH94" s="247"/>
      <c r="CI94" s="247"/>
      <c r="CJ94" s="247"/>
      <c r="CK94" s="17"/>
      <c r="CL94" s="17"/>
      <c r="CM94" s="17"/>
      <c r="CN94" s="17"/>
      <c r="CO94" s="17"/>
      <c r="CP94" s="11"/>
      <c r="CQ94" s="11"/>
      <c r="CR94" s="11"/>
      <c r="CS94" s="11"/>
      <c r="CT94" s="247"/>
      <c r="CU94" s="247"/>
      <c r="CV94" s="247"/>
      <c r="CW94" s="11"/>
      <c r="CX94" s="11"/>
      <c r="CY94" s="11"/>
      <c r="CZ94" s="11"/>
      <c r="DA94" s="11"/>
      <c r="DB94" s="11"/>
      <c r="DC94" s="11"/>
      <c r="DD94" s="11"/>
      <c r="DE94" s="11"/>
      <c r="DF94" s="11"/>
      <c r="DG94" s="11"/>
      <c r="DH94" s="11"/>
      <c r="DI94" s="11"/>
      <c r="DJ94" s="11"/>
      <c r="DK94" s="11"/>
      <c r="DL94" s="247"/>
      <c r="DM94" s="247"/>
      <c r="DN94" s="247"/>
      <c r="DO94" s="247"/>
      <c r="DP94" s="247"/>
      <c r="DQ94" s="247"/>
      <c r="DR94" s="247"/>
      <c r="DS94" s="247"/>
      <c r="DT94" s="247"/>
      <c r="DU94" s="247"/>
      <c r="DV94" s="247"/>
      <c r="DW94" s="247"/>
      <c r="DX94" s="247"/>
      <c r="DY94" s="247"/>
      <c r="DZ94" s="247"/>
      <c r="EA94" s="247"/>
      <c r="EB94" s="247"/>
      <c r="EC94" s="247"/>
      <c r="ED94" s="17">
        <f t="shared" si="22"/>
        <v>190400</v>
      </c>
      <c r="EE94" s="29">
        <f t="shared" si="23"/>
        <v>2</v>
      </c>
      <c r="EF94" s="17">
        <f t="shared" si="21"/>
        <v>95200</v>
      </c>
    </row>
    <row r="95" spans="1:136" ht="25.5" x14ac:dyDescent="0.25">
      <c r="A95" s="25">
        <f>Distribución_Elementos!A95</f>
        <v>93</v>
      </c>
      <c r="B95" s="22" t="str">
        <f>Distribución_Elementos!B95</f>
        <v>Caja plastica organizadora largo 44 a 46 X 29 a 31 X 16 a 18 cm</v>
      </c>
      <c r="C95" s="22" t="str">
        <f>Distribución_Elementos!C95</f>
        <v>Estra o equivalente</v>
      </c>
      <c r="D95" s="22" t="str">
        <f>Distribución_Elementos!D95</f>
        <v>Unidad</v>
      </c>
      <c r="E95" s="224">
        <v>1</v>
      </c>
      <c r="F95" s="221">
        <v>0</v>
      </c>
      <c r="G95" s="221">
        <v>0</v>
      </c>
      <c r="H95" s="221">
        <v>0</v>
      </c>
      <c r="I95" s="221">
        <v>0</v>
      </c>
      <c r="J95" s="221">
        <v>0</v>
      </c>
      <c r="K95" s="221">
        <v>0</v>
      </c>
      <c r="L95" s="247"/>
      <c r="M95" s="247"/>
      <c r="N95" s="227">
        <v>100000</v>
      </c>
      <c r="O95" s="119">
        <f>+N95*0.19</f>
        <v>19000</v>
      </c>
      <c r="P95" s="119">
        <f>+N95+O95</f>
        <v>119000</v>
      </c>
      <c r="Q95" s="115"/>
      <c r="R95" s="115"/>
      <c r="S95" s="11"/>
      <c r="T95" s="247"/>
      <c r="U95" s="247"/>
      <c r="V95" s="247"/>
      <c r="W95" s="17"/>
      <c r="X95" s="11"/>
      <c r="Y95" s="11"/>
      <c r="Z95" s="247"/>
      <c r="AA95" s="247"/>
      <c r="AB95" s="247"/>
      <c r="AC95" s="44"/>
      <c r="AD95" s="22"/>
      <c r="AE95" s="17"/>
      <c r="AF95" s="247"/>
      <c r="AG95" s="247"/>
      <c r="AH95" s="151"/>
      <c r="AI95" s="22"/>
      <c r="AJ95" s="17"/>
      <c r="AK95" s="17"/>
      <c r="AL95" s="102"/>
      <c r="AM95" s="132"/>
      <c r="AN95" s="161"/>
      <c r="AO95" s="115"/>
      <c r="AP95" s="115"/>
      <c r="AQ95" s="17"/>
      <c r="AR95" s="247"/>
      <c r="AS95" s="247"/>
      <c r="AT95" s="247"/>
      <c r="AU95" s="17"/>
      <c r="AV95" s="17"/>
      <c r="AW95" s="17"/>
      <c r="AX95" s="247"/>
      <c r="AY95" s="247"/>
      <c r="AZ95" s="247"/>
      <c r="BA95" s="17"/>
      <c r="BB95" s="52"/>
      <c r="BC95" s="17"/>
      <c r="BD95" s="247"/>
      <c r="BE95" s="247"/>
      <c r="BF95" s="247"/>
      <c r="BG95" s="17"/>
      <c r="BH95" s="17"/>
      <c r="BI95" s="17"/>
      <c r="BJ95" s="247">
        <v>188300</v>
      </c>
      <c r="BK95" s="247">
        <f>+BJ95*0.19</f>
        <v>35777</v>
      </c>
      <c r="BL95" s="247">
        <f>+BJ95+BK95</f>
        <v>224077</v>
      </c>
      <c r="BM95" s="190" t="s">
        <v>375</v>
      </c>
      <c r="BN95" s="190" t="s">
        <v>1537</v>
      </c>
      <c r="BO95" s="17"/>
      <c r="BP95" s="247">
        <v>85000</v>
      </c>
      <c r="BQ95" s="247">
        <f t="shared" si="32"/>
        <v>16150</v>
      </c>
      <c r="BR95" s="247">
        <f t="shared" si="26"/>
        <v>101150</v>
      </c>
      <c r="BS95" s="17"/>
      <c r="BT95" s="17"/>
      <c r="BU95" s="17"/>
      <c r="BV95" s="195">
        <v>201689.07149999999</v>
      </c>
      <c r="BW95" s="195">
        <f>+BV95*0.19</f>
        <v>38320.923584999997</v>
      </c>
      <c r="BX95" s="246">
        <f>+BV95+BW95</f>
        <v>240009.995085</v>
      </c>
      <c r="BY95" s="190" t="s">
        <v>375</v>
      </c>
      <c r="BZ95" s="190" t="s">
        <v>1537</v>
      </c>
      <c r="CA95" s="190"/>
      <c r="CB95" s="247"/>
      <c r="CC95" s="247"/>
      <c r="CD95" s="247"/>
      <c r="CE95" s="17"/>
      <c r="CF95" s="17"/>
      <c r="CG95" s="17"/>
      <c r="CH95" s="247"/>
      <c r="CI95" s="247"/>
      <c r="CJ95" s="247"/>
      <c r="CK95" s="17"/>
      <c r="CL95" s="17"/>
      <c r="CM95" s="17"/>
      <c r="CN95" s="17"/>
      <c r="CO95" s="17"/>
      <c r="CP95" s="11"/>
      <c r="CQ95" s="11"/>
      <c r="CR95" s="11"/>
      <c r="CS95" s="11"/>
      <c r="CT95" s="247"/>
      <c r="CU95" s="247"/>
      <c r="CV95" s="247"/>
      <c r="CW95" s="11"/>
      <c r="CX95" s="11"/>
      <c r="CY95" s="11"/>
      <c r="CZ95" s="11"/>
      <c r="DA95" s="11"/>
      <c r="DB95" s="11"/>
      <c r="DC95" s="11"/>
      <c r="DD95" s="11"/>
      <c r="DE95" s="11"/>
      <c r="DF95" s="11"/>
      <c r="DG95" s="11"/>
      <c r="DH95" s="11"/>
      <c r="DI95" s="11"/>
      <c r="DJ95" s="11"/>
      <c r="DK95" s="11"/>
      <c r="DL95" s="247"/>
      <c r="DM95" s="247"/>
      <c r="DN95" s="247"/>
      <c r="DO95" s="247"/>
      <c r="DP95" s="247"/>
      <c r="DQ95" s="247"/>
      <c r="DR95" s="247"/>
      <c r="DS95" s="247"/>
      <c r="DT95" s="247"/>
      <c r="DU95" s="247"/>
      <c r="DV95" s="247"/>
      <c r="DW95" s="247"/>
      <c r="DX95" s="247"/>
      <c r="DY95" s="247"/>
      <c r="DZ95" s="247"/>
      <c r="EA95" s="247"/>
      <c r="EB95" s="247"/>
      <c r="EC95" s="247"/>
      <c r="ED95" s="17">
        <f t="shared" si="22"/>
        <v>684236.99508500006</v>
      </c>
      <c r="EE95" s="29">
        <f t="shared" si="23"/>
        <v>4</v>
      </c>
      <c r="EF95" s="17">
        <f t="shared" si="21"/>
        <v>171059.24877125002</v>
      </c>
    </row>
    <row r="96" spans="1:136" ht="25.5" x14ac:dyDescent="0.25">
      <c r="A96" s="25">
        <f>Distribución_Elementos!A96</f>
        <v>94</v>
      </c>
      <c r="B96" s="22" t="str">
        <f>Distribución_Elementos!B96</f>
        <v>Caja plastica organizadora largo 60 a 62 X46 a 48 X 30 a 32 cm.</v>
      </c>
      <c r="C96" s="22" t="str">
        <f>Distribución_Elementos!C96</f>
        <v>Estra o equivalente</v>
      </c>
      <c r="D96" s="22" t="str">
        <f>Distribución_Elementos!D96</f>
        <v>Unidad</v>
      </c>
      <c r="E96" s="224">
        <v>1</v>
      </c>
      <c r="F96" s="221">
        <v>0</v>
      </c>
      <c r="G96" s="221">
        <v>0</v>
      </c>
      <c r="H96" s="221">
        <v>0</v>
      </c>
      <c r="I96" s="221">
        <v>0</v>
      </c>
      <c r="J96" s="221">
        <v>0</v>
      </c>
      <c r="K96" s="221">
        <v>0</v>
      </c>
      <c r="L96" s="247"/>
      <c r="M96" s="247"/>
      <c r="N96" s="227">
        <v>155000</v>
      </c>
      <c r="O96" s="119">
        <f>+N96*0.19</f>
        <v>29450</v>
      </c>
      <c r="P96" s="119">
        <f>+N96+O96</f>
        <v>184450</v>
      </c>
      <c r="Q96" s="115"/>
      <c r="R96" s="115"/>
      <c r="S96" s="11"/>
      <c r="T96" s="247"/>
      <c r="U96" s="247"/>
      <c r="V96" s="247"/>
      <c r="W96" s="17"/>
      <c r="X96" s="11"/>
      <c r="Y96" s="11"/>
      <c r="Z96" s="247"/>
      <c r="AA96" s="247"/>
      <c r="AB96" s="247"/>
      <c r="AC96" s="44"/>
      <c r="AD96" s="22"/>
      <c r="AE96" s="17"/>
      <c r="AF96" s="247"/>
      <c r="AG96" s="247"/>
      <c r="AH96" s="97"/>
      <c r="AI96" s="22"/>
      <c r="AJ96" s="17"/>
      <c r="AK96" s="17"/>
      <c r="AL96" s="102"/>
      <c r="AM96" s="132"/>
      <c r="AN96" s="161"/>
      <c r="AO96" s="115"/>
      <c r="AP96" s="115"/>
      <c r="AQ96" s="17"/>
      <c r="AR96" s="247"/>
      <c r="AS96" s="247"/>
      <c r="AT96" s="247"/>
      <c r="AU96" s="17"/>
      <c r="AV96" s="17"/>
      <c r="AW96" s="17"/>
      <c r="AX96" s="247"/>
      <c r="AY96" s="247"/>
      <c r="AZ96" s="247"/>
      <c r="BA96" s="17"/>
      <c r="BB96" s="52"/>
      <c r="BC96" s="17"/>
      <c r="BD96" s="247"/>
      <c r="BE96" s="247"/>
      <c r="BF96" s="247"/>
      <c r="BG96" s="17"/>
      <c r="BH96" s="17"/>
      <c r="BI96" s="17"/>
      <c r="BJ96" s="247">
        <v>144750</v>
      </c>
      <c r="BK96" s="247">
        <f>+BJ96*0</f>
        <v>0</v>
      </c>
      <c r="BL96" s="247">
        <f>+BJ96+BK96</f>
        <v>144750</v>
      </c>
      <c r="BM96" s="190" t="s">
        <v>375</v>
      </c>
      <c r="BN96" s="190" t="s">
        <v>1538</v>
      </c>
      <c r="BO96" s="17"/>
      <c r="BP96" s="247">
        <v>125000</v>
      </c>
      <c r="BQ96" s="247">
        <f t="shared" si="32"/>
        <v>23750</v>
      </c>
      <c r="BR96" s="247">
        <f t="shared" si="26"/>
        <v>148750</v>
      </c>
      <c r="BS96" s="17"/>
      <c r="BT96" s="17"/>
      <c r="BU96" s="17"/>
      <c r="BV96" s="195">
        <v>172353.24600000004</v>
      </c>
      <c r="BW96" s="198">
        <f>+BV96*0</f>
        <v>0</v>
      </c>
      <c r="BX96" s="246">
        <f>+BV96+BW96</f>
        <v>172353.24600000004</v>
      </c>
      <c r="BY96" s="190" t="s">
        <v>375</v>
      </c>
      <c r="BZ96" s="190" t="s">
        <v>1538</v>
      </c>
      <c r="CA96" s="190"/>
      <c r="CB96" s="247"/>
      <c r="CC96" s="247"/>
      <c r="CD96" s="247"/>
      <c r="CE96" s="17"/>
      <c r="CF96" s="17"/>
      <c r="CG96" s="17"/>
      <c r="CH96" s="247"/>
      <c r="CI96" s="247"/>
      <c r="CJ96" s="247"/>
      <c r="CK96" s="17"/>
      <c r="CL96" s="17"/>
      <c r="CM96" s="17"/>
      <c r="CN96" s="17"/>
      <c r="CO96" s="17"/>
      <c r="CP96" s="11"/>
      <c r="CQ96" s="11"/>
      <c r="CR96" s="11"/>
      <c r="CS96" s="11"/>
      <c r="CT96" s="247"/>
      <c r="CU96" s="247"/>
      <c r="CV96" s="247"/>
      <c r="CW96" s="11"/>
      <c r="CX96" s="11"/>
      <c r="CY96" s="11"/>
      <c r="CZ96" s="11"/>
      <c r="DA96" s="11"/>
      <c r="DB96" s="11"/>
      <c r="DC96" s="11"/>
      <c r="DD96" s="11"/>
      <c r="DE96" s="11"/>
      <c r="DF96" s="11"/>
      <c r="DG96" s="11"/>
      <c r="DH96" s="11"/>
      <c r="DI96" s="11"/>
      <c r="DJ96" s="11"/>
      <c r="DK96" s="11"/>
      <c r="DL96" s="247"/>
      <c r="DM96" s="247"/>
      <c r="DN96" s="247"/>
      <c r="DO96" s="247"/>
      <c r="DP96" s="247"/>
      <c r="DQ96" s="247"/>
      <c r="DR96" s="247"/>
      <c r="DS96" s="247"/>
      <c r="DT96" s="247"/>
      <c r="DU96" s="247"/>
      <c r="DV96" s="247"/>
      <c r="DW96" s="247"/>
      <c r="DX96" s="247"/>
      <c r="DY96" s="247"/>
      <c r="DZ96" s="247"/>
      <c r="EA96" s="247"/>
      <c r="EB96" s="247"/>
      <c r="EC96" s="247"/>
      <c r="ED96" s="17">
        <f t="shared" si="22"/>
        <v>650303.24600000004</v>
      </c>
      <c r="EE96" s="29">
        <f t="shared" si="23"/>
        <v>4</v>
      </c>
      <c r="EF96" s="17">
        <f t="shared" si="21"/>
        <v>162575.81150000001</v>
      </c>
    </row>
    <row r="97" spans="1:136" x14ac:dyDescent="0.25">
      <c r="A97" s="25">
        <f>Distribución_Elementos!A97</f>
        <v>95</v>
      </c>
      <c r="B97" s="22" t="str">
        <f>Distribución_Elementos!B97</f>
        <v xml:space="preserve">Caja para almacenamiento de tubos 0,5 ml </v>
      </c>
      <c r="C97" s="22" t="str">
        <f>Distribución_Elementos!C97</f>
        <v>Cualquier marca</v>
      </c>
      <c r="D97" s="22" t="str">
        <f>Distribución_Elementos!D97</f>
        <v>Unidad</v>
      </c>
      <c r="E97" s="224">
        <v>1</v>
      </c>
      <c r="F97" s="221">
        <v>0</v>
      </c>
      <c r="G97" s="221">
        <v>0</v>
      </c>
      <c r="H97" s="221">
        <v>0</v>
      </c>
      <c r="I97" s="221">
        <v>0</v>
      </c>
      <c r="J97" s="221">
        <v>0</v>
      </c>
      <c r="K97" s="221">
        <v>0</v>
      </c>
      <c r="L97" s="247"/>
      <c r="M97" s="247"/>
      <c r="N97" s="227">
        <v>4000</v>
      </c>
      <c r="O97" s="119">
        <f>+N97*0.19</f>
        <v>760</v>
      </c>
      <c r="P97" s="119">
        <f>+N97+O97</f>
        <v>4760</v>
      </c>
      <c r="Q97" s="11"/>
      <c r="R97" s="11"/>
      <c r="S97" s="11"/>
      <c r="T97" s="247"/>
      <c r="U97" s="247"/>
      <c r="V97" s="247"/>
      <c r="W97" s="11"/>
      <c r="X97" s="11"/>
      <c r="Y97" s="11"/>
      <c r="Z97" s="247"/>
      <c r="AA97" s="247"/>
      <c r="AB97" s="247"/>
      <c r="AC97" s="11"/>
      <c r="AD97" s="11"/>
      <c r="AE97" s="11"/>
      <c r="AF97" s="247"/>
      <c r="AG97" s="247"/>
      <c r="AH97" s="247"/>
      <c r="AI97" s="11"/>
      <c r="AJ97" s="11"/>
      <c r="AK97" s="11"/>
      <c r="AL97" s="102"/>
      <c r="AM97" s="102"/>
      <c r="AN97" s="102"/>
      <c r="AO97" s="44"/>
      <c r="AP97" s="44"/>
      <c r="AQ97" s="11"/>
      <c r="AR97" s="247"/>
      <c r="AS97" s="247"/>
      <c r="AT97" s="247"/>
      <c r="AU97" s="11"/>
      <c r="AV97" s="11"/>
      <c r="AW97" s="11"/>
      <c r="AX97" s="247"/>
      <c r="AY97" s="247"/>
      <c r="AZ97" s="247"/>
      <c r="BA97" s="11"/>
      <c r="BB97" s="11"/>
      <c r="BC97" s="11"/>
      <c r="BD97" s="247"/>
      <c r="BE97" s="247"/>
      <c r="BF97" s="247"/>
      <c r="BG97" s="11"/>
      <c r="BH97" s="11"/>
      <c r="BI97" s="11"/>
      <c r="BJ97" s="247"/>
      <c r="BK97" s="247"/>
      <c r="BL97" s="247"/>
      <c r="BM97" s="190"/>
      <c r="BN97" s="190"/>
      <c r="BO97" s="11"/>
      <c r="BP97" s="247">
        <v>42500</v>
      </c>
      <c r="BQ97" s="247">
        <f t="shared" si="32"/>
        <v>8075</v>
      </c>
      <c r="BR97" s="247">
        <f t="shared" si="26"/>
        <v>50575</v>
      </c>
      <c r="BS97" s="11"/>
      <c r="BT97" s="11"/>
      <c r="BU97" s="11"/>
      <c r="BV97" s="189"/>
      <c r="BW97" s="197"/>
      <c r="BX97" s="246"/>
      <c r="BY97" s="190"/>
      <c r="BZ97" s="190"/>
      <c r="CA97" s="190"/>
      <c r="CB97" s="247"/>
      <c r="CC97" s="247"/>
      <c r="CD97" s="247"/>
      <c r="CE97" s="11"/>
      <c r="CF97" s="11"/>
      <c r="CG97" s="11"/>
      <c r="CH97" s="247"/>
      <c r="CI97" s="247"/>
      <c r="CJ97" s="247"/>
      <c r="CK97" s="11"/>
      <c r="CL97" s="11"/>
      <c r="CM97" s="11"/>
      <c r="CN97" s="11"/>
      <c r="CO97" s="11"/>
      <c r="CP97" s="11"/>
      <c r="CQ97" s="11"/>
      <c r="CR97" s="11"/>
      <c r="CS97" s="11"/>
      <c r="CT97" s="247"/>
      <c r="CU97" s="247"/>
      <c r="CV97" s="247"/>
      <c r="CW97" s="11"/>
      <c r="CX97" s="11"/>
      <c r="CY97" s="11"/>
      <c r="CZ97" s="11"/>
      <c r="DA97" s="11"/>
      <c r="DB97" s="11"/>
      <c r="DC97" s="11"/>
      <c r="DD97" s="11"/>
      <c r="DE97" s="11"/>
      <c r="DF97" s="11"/>
      <c r="DG97" s="11"/>
      <c r="DH97" s="11"/>
      <c r="DI97" s="11"/>
      <c r="DJ97" s="11"/>
      <c r="DK97" s="11"/>
      <c r="DL97" s="247"/>
      <c r="DM97" s="247"/>
      <c r="DN97" s="247"/>
      <c r="DO97" s="247"/>
      <c r="DP97" s="247"/>
      <c r="DQ97" s="247"/>
      <c r="DR97" s="247"/>
      <c r="DS97" s="247"/>
      <c r="DT97" s="247"/>
      <c r="DU97" s="247"/>
      <c r="DV97" s="247"/>
      <c r="DW97" s="247"/>
      <c r="DX97" s="247"/>
      <c r="DY97" s="247"/>
      <c r="DZ97" s="247"/>
      <c r="EA97" s="247"/>
      <c r="EB97" s="247"/>
      <c r="EC97" s="247"/>
      <c r="ED97" s="17">
        <f t="shared" si="22"/>
        <v>55335</v>
      </c>
      <c r="EE97" s="29">
        <f t="shared" si="23"/>
        <v>2</v>
      </c>
      <c r="EF97" s="17">
        <f t="shared" si="21"/>
        <v>27667.5</v>
      </c>
    </row>
    <row r="98" spans="1:136" ht="25.5" x14ac:dyDescent="0.25">
      <c r="A98" s="25">
        <f>Distribución_Elementos!A98</f>
        <v>96</v>
      </c>
      <c r="B98" s="22" t="str">
        <f>Distribución_Elementos!B98</f>
        <v>Caja para almacenamiento de puntas de 10 ml Tip box</v>
      </c>
      <c r="C98" s="22" t="str">
        <f>Distribución_Elementos!C98</f>
        <v>Brand Ref 7026 08 o equivalente</v>
      </c>
      <c r="D98" s="22" t="str">
        <f>Distribución_Elementos!D98</f>
        <v>unidad</v>
      </c>
      <c r="E98" s="224">
        <v>1</v>
      </c>
      <c r="F98" s="221">
        <v>0</v>
      </c>
      <c r="G98" s="221">
        <v>0</v>
      </c>
      <c r="H98" s="221">
        <v>0</v>
      </c>
      <c r="I98" s="221">
        <v>0</v>
      </c>
      <c r="J98" s="221">
        <v>0</v>
      </c>
      <c r="K98" s="221">
        <v>0</v>
      </c>
      <c r="L98" s="247"/>
      <c r="M98" s="247"/>
      <c r="N98" s="227"/>
      <c r="O98" s="119"/>
      <c r="P98" s="119"/>
      <c r="Q98" s="115"/>
      <c r="R98" s="115"/>
      <c r="S98" s="11"/>
      <c r="T98" s="247"/>
      <c r="U98" s="247"/>
      <c r="V98" s="247"/>
      <c r="W98" s="17"/>
      <c r="X98" s="11"/>
      <c r="Y98" s="11"/>
      <c r="Z98" s="247"/>
      <c r="AA98" s="247"/>
      <c r="AB98" s="247"/>
      <c r="AC98" s="44"/>
      <c r="AD98" s="22"/>
      <c r="AE98" s="17"/>
      <c r="AF98" s="247"/>
      <c r="AG98" s="247"/>
      <c r="AH98" s="151"/>
      <c r="AI98" s="4"/>
      <c r="AJ98" s="17"/>
      <c r="AK98" s="17"/>
      <c r="AL98" s="102"/>
      <c r="AM98" s="132"/>
      <c r="AN98" s="161"/>
      <c r="AO98" s="115"/>
      <c r="AP98" s="115"/>
      <c r="AQ98" s="17"/>
      <c r="AR98" s="247"/>
      <c r="AS98" s="247"/>
      <c r="AT98" s="247"/>
      <c r="AU98" s="17"/>
      <c r="AV98" s="17"/>
      <c r="AW98" s="17"/>
      <c r="AX98" s="247"/>
      <c r="AY98" s="247"/>
      <c r="AZ98" s="247"/>
      <c r="BA98" s="17"/>
      <c r="BB98" s="52"/>
      <c r="BC98" s="17"/>
      <c r="BD98" s="247"/>
      <c r="BE98" s="247"/>
      <c r="BF98" s="247"/>
      <c r="BG98" s="17"/>
      <c r="BH98" s="17"/>
      <c r="BI98" s="17"/>
      <c r="BJ98" s="247"/>
      <c r="BK98" s="247"/>
      <c r="BL98" s="247"/>
      <c r="BM98" s="190"/>
      <c r="BN98" s="190"/>
      <c r="BO98" s="17"/>
      <c r="BP98" s="247">
        <v>36000</v>
      </c>
      <c r="BQ98" s="247">
        <f t="shared" si="32"/>
        <v>6840</v>
      </c>
      <c r="BR98" s="247">
        <f t="shared" si="26"/>
        <v>42840</v>
      </c>
      <c r="BS98" s="17"/>
      <c r="BT98" s="17"/>
      <c r="BU98" s="17"/>
      <c r="BV98" s="189"/>
      <c r="BW98" s="197"/>
      <c r="BX98" s="246"/>
      <c r="BY98" s="190"/>
      <c r="BZ98" s="190"/>
      <c r="CA98" s="190"/>
      <c r="CB98" s="247"/>
      <c r="CC98" s="247"/>
      <c r="CD98" s="247"/>
      <c r="CE98" s="17"/>
      <c r="CF98" s="17"/>
      <c r="CG98" s="17"/>
      <c r="CH98" s="247"/>
      <c r="CI98" s="247"/>
      <c r="CJ98" s="247"/>
      <c r="CK98" s="17"/>
      <c r="CL98" s="17"/>
      <c r="CM98" s="17"/>
      <c r="CN98" s="17"/>
      <c r="CO98" s="17"/>
      <c r="CP98" s="11"/>
      <c r="CQ98" s="11"/>
      <c r="CR98" s="11"/>
      <c r="CS98" s="11"/>
      <c r="CT98" s="247"/>
      <c r="CU98" s="247"/>
      <c r="CV98" s="247"/>
      <c r="CW98" s="11"/>
      <c r="CX98" s="11"/>
      <c r="CY98" s="11"/>
      <c r="CZ98" s="11"/>
      <c r="DA98" s="11"/>
      <c r="DB98" s="11"/>
      <c r="DC98" s="11"/>
      <c r="DD98" s="11"/>
      <c r="DE98" s="11"/>
      <c r="DF98" s="11"/>
      <c r="DG98" s="11"/>
      <c r="DH98" s="11"/>
      <c r="DI98" s="11"/>
      <c r="DJ98" s="11"/>
      <c r="DK98" s="11"/>
      <c r="DL98" s="247"/>
      <c r="DM98" s="247"/>
      <c r="DN98" s="247"/>
      <c r="DO98" s="247"/>
      <c r="DP98" s="247"/>
      <c r="DQ98" s="247"/>
      <c r="DR98" s="247"/>
      <c r="DS98" s="247"/>
      <c r="DT98" s="247"/>
      <c r="DU98" s="247"/>
      <c r="DV98" s="247"/>
      <c r="DW98" s="247"/>
      <c r="DX98" s="247"/>
      <c r="DY98" s="247"/>
      <c r="DZ98" s="247"/>
      <c r="EA98" s="247"/>
      <c r="EB98" s="247"/>
      <c r="EC98" s="247"/>
      <c r="ED98" s="17">
        <f t="shared" si="22"/>
        <v>42840</v>
      </c>
      <c r="EE98" s="29">
        <f t="shared" si="23"/>
        <v>1</v>
      </c>
      <c r="EF98" s="17">
        <f t="shared" si="21"/>
        <v>42840</v>
      </c>
    </row>
    <row r="99" spans="1:136" ht="25.5" x14ac:dyDescent="0.25">
      <c r="A99" s="25">
        <f>Distribución_Elementos!A99</f>
        <v>97</v>
      </c>
      <c r="B99" s="22" t="str">
        <f>Distribución_Elementos!B99</f>
        <v xml:space="preserve">Caja para almacenamiento de puntas de 100 ul (pipeta Brand) con plataforma, vacía </v>
      </c>
      <c r="C99" s="22" t="str">
        <f>Distribución_Elementos!C99</f>
        <v>Brand o equivalente</v>
      </c>
      <c r="D99" s="22" t="str">
        <f>Distribución_Elementos!D99</f>
        <v>Unidad</v>
      </c>
      <c r="E99" s="224">
        <v>1</v>
      </c>
      <c r="F99" s="221">
        <v>0</v>
      </c>
      <c r="G99" s="221">
        <v>0</v>
      </c>
      <c r="H99" s="221">
        <v>0</v>
      </c>
      <c r="I99" s="221">
        <v>0</v>
      </c>
      <c r="J99" s="221">
        <v>0</v>
      </c>
      <c r="K99" s="221">
        <v>0</v>
      </c>
      <c r="L99" s="247"/>
      <c r="M99" s="247"/>
      <c r="N99" s="227">
        <v>30000</v>
      </c>
      <c r="O99" s="119">
        <f>+N99*0.19</f>
        <v>5700</v>
      </c>
      <c r="P99" s="119">
        <f>+N99+O99</f>
        <v>35700</v>
      </c>
      <c r="Q99" s="115"/>
      <c r="R99" s="115"/>
      <c r="S99" s="11"/>
      <c r="T99" s="247"/>
      <c r="U99" s="247"/>
      <c r="V99" s="247"/>
      <c r="W99" s="17"/>
      <c r="X99" s="11"/>
      <c r="Y99" s="11"/>
      <c r="Z99" s="247"/>
      <c r="AA99" s="247"/>
      <c r="AB99" s="247"/>
      <c r="AC99" s="44"/>
      <c r="AD99" s="22"/>
      <c r="AE99" s="17"/>
      <c r="AF99" s="247"/>
      <c r="AG99" s="247"/>
      <c r="AH99" s="151"/>
      <c r="AI99" s="4"/>
      <c r="AJ99" s="17"/>
      <c r="AK99" s="17"/>
      <c r="AL99" s="102"/>
      <c r="AM99" s="132"/>
      <c r="AN99" s="161"/>
      <c r="AO99" s="115"/>
      <c r="AP99" s="115"/>
      <c r="AQ99" s="17"/>
      <c r="AR99" s="247"/>
      <c r="AS99" s="247"/>
      <c r="AT99" s="247"/>
      <c r="AU99" s="17"/>
      <c r="AV99" s="17"/>
      <c r="AW99" s="17"/>
      <c r="AX99" s="247"/>
      <c r="AY99" s="247"/>
      <c r="AZ99" s="247"/>
      <c r="BA99" s="17"/>
      <c r="BB99" s="52"/>
      <c r="BC99" s="17"/>
      <c r="BD99" s="247"/>
      <c r="BE99" s="247"/>
      <c r="BF99" s="247"/>
      <c r="BG99" s="17"/>
      <c r="BH99" s="17"/>
      <c r="BI99" s="17"/>
      <c r="BJ99" s="247"/>
      <c r="BK99" s="247"/>
      <c r="BL99" s="247"/>
      <c r="BM99" s="190"/>
      <c r="BN99" s="190"/>
      <c r="BO99" s="17"/>
      <c r="BP99" s="247">
        <v>36000</v>
      </c>
      <c r="BQ99" s="247">
        <f t="shared" si="32"/>
        <v>6840</v>
      </c>
      <c r="BR99" s="247">
        <f t="shared" si="26"/>
        <v>42840</v>
      </c>
      <c r="BS99" s="17"/>
      <c r="BT99" s="17"/>
      <c r="BU99" s="17"/>
      <c r="BV99" s="189"/>
      <c r="BW99" s="197"/>
      <c r="BX99" s="246"/>
      <c r="BY99" s="190"/>
      <c r="BZ99" s="190"/>
      <c r="CA99" s="190"/>
      <c r="CB99" s="247"/>
      <c r="CC99" s="247"/>
      <c r="CD99" s="247"/>
      <c r="CE99" s="17"/>
      <c r="CF99" s="17"/>
      <c r="CG99" s="17"/>
      <c r="CH99" s="247"/>
      <c r="CI99" s="247"/>
      <c r="CJ99" s="247"/>
      <c r="CK99" s="17"/>
      <c r="CL99" s="17"/>
      <c r="CM99" s="17"/>
      <c r="CN99" s="17"/>
      <c r="CO99" s="17"/>
      <c r="CP99" s="11"/>
      <c r="CQ99" s="11"/>
      <c r="CR99" s="11"/>
      <c r="CS99" s="11"/>
      <c r="CT99" s="247"/>
      <c r="CU99" s="247"/>
      <c r="CV99" s="247"/>
      <c r="CW99" s="11"/>
      <c r="CX99" s="11"/>
      <c r="CY99" s="11"/>
      <c r="CZ99" s="11"/>
      <c r="DA99" s="11"/>
      <c r="DB99" s="11"/>
      <c r="DC99" s="11"/>
      <c r="DD99" s="11"/>
      <c r="DE99" s="11"/>
      <c r="DF99" s="11"/>
      <c r="DG99" s="11"/>
      <c r="DH99" s="11"/>
      <c r="DI99" s="11"/>
      <c r="DJ99" s="11"/>
      <c r="DK99" s="11"/>
      <c r="DL99" s="247"/>
      <c r="DM99" s="247"/>
      <c r="DN99" s="247"/>
      <c r="DO99" s="247"/>
      <c r="DP99" s="247"/>
      <c r="DQ99" s="247"/>
      <c r="DR99" s="247"/>
      <c r="DS99" s="247"/>
      <c r="DT99" s="247"/>
      <c r="DU99" s="247"/>
      <c r="DV99" s="247"/>
      <c r="DW99" s="247"/>
      <c r="DX99" s="247"/>
      <c r="DY99" s="247"/>
      <c r="DZ99" s="247"/>
      <c r="EA99" s="247"/>
      <c r="EB99" s="247"/>
      <c r="EC99" s="247"/>
      <c r="ED99" s="17">
        <f t="shared" si="22"/>
        <v>78540</v>
      </c>
      <c r="EE99" s="29">
        <f t="shared" si="23"/>
        <v>2</v>
      </c>
      <c r="EF99" s="17">
        <f t="shared" si="21"/>
        <v>39270</v>
      </c>
    </row>
    <row r="100" spans="1:136" ht="25.5" x14ac:dyDescent="0.25">
      <c r="A100" s="25">
        <f>Distribución_Elementos!A100</f>
        <v>98</v>
      </c>
      <c r="B100" s="22" t="str">
        <f>Distribución_Elementos!B100</f>
        <v xml:space="preserve">Caja para almacenamiento de puntas de 1000 ul (pipeta Brand) con plataforma, vacía </v>
      </c>
      <c r="C100" s="22" t="str">
        <f>Distribución_Elementos!C100</f>
        <v>Brand o equivalente</v>
      </c>
      <c r="D100" s="22" t="str">
        <f>Distribución_Elementos!D100</f>
        <v>Unidad</v>
      </c>
      <c r="E100" s="224">
        <v>1</v>
      </c>
      <c r="F100" s="221">
        <v>0</v>
      </c>
      <c r="G100" s="221">
        <v>0</v>
      </c>
      <c r="H100" s="221">
        <v>0</v>
      </c>
      <c r="I100" s="221">
        <v>0</v>
      </c>
      <c r="J100" s="221">
        <v>0</v>
      </c>
      <c r="K100" s="221">
        <v>0</v>
      </c>
      <c r="L100" s="247"/>
      <c r="M100" s="247"/>
      <c r="N100" s="227">
        <v>40000</v>
      </c>
      <c r="O100" s="119">
        <f>+N100*0.19</f>
        <v>7600</v>
      </c>
      <c r="P100" s="119">
        <f>+N100+O100</f>
        <v>47600</v>
      </c>
      <c r="Q100" s="11"/>
      <c r="R100" s="11"/>
      <c r="S100" s="11"/>
      <c r="T100" s="247"/>
      <c r="U100" s="247"/>
      <c r="V100" s="247"/>
      <c r="W100" s="11"/>
      <c r="X100" s="11"/>
      <c r="Y100" s="11"/>
      <c r="Z100" s="247"/>
      <c r="AA100" s="247"/>
      <c r="AB100" s="247"/>
      <c r="AC100" s="11"/>
      <c r="AD100" s="11"/>
      <c r="AE100" s="11"/>
      <c r="AF100" s="247"/>
      <c r="AG100" s="247"/>
      <c r="AH100" s="247"/>
      <c r="AI100" s="11"/>
      <c r="AJ100" s="11"/>
      <c r="AK100" s="11"/>
      <c r="AL100" s="102"/>
      <c r="AM100" s="102"/>
      <c r="AN100" s="102"/>
      <c r="AO100" s="44"/>
      <c r="AP100" s="44"/>
      <c r="AQ100" s="11"/>
      <c r="AR100" s="247"/>
      <c r="AS100" s="247"/>
      <c r="AT100" s="247"/>
      <c r="AU100" s="11"/>
      <c r="AV100" s="11"/>
      <c r="AW100" s="11"/>
      <c r="AX100" s="247"/>
      <c r="AY100" s="247"/>
      <c r="AZ100" s="247"/>
      <c r="BA100" s="11"/>
      <c r="BB100" s="11"/>
      <c r="BC100" s="11"/>
      <c r="BD100" s="247"/>
      <c r="BE100" s="247"/>
      <c r="BF100" s="247"/>
      <c r="BG100" s="11"/>
      <c r="BH100" s="11"/>
      <c r="BI100" s="11"/>
      <c r="BJ100" s="247"/>
      <c r="BK100" s="247"/>
      <c r="BL100" s="247"/>
      <c r="BM100" s="190"/>
      <c r="BN100" s="190"/>
      <c r="BO100" s="11"/>
      <c r="BP100" s="247">
        <v>36000</v>
      </c>
      <c r="BQ100" s="247">
        <f t="shared" si="32"/>
        <v>6840</v>
      </c>
      <c r="BR100" s="247">
        <f t="shared" si="26"/>
        <v>42840</v>
      </c>
      <c r="BS100" s="11"/>
      <c r="BT100" s="11"/>
      <c r="BU100" s="11"/>
      <c r="BV100" s="189"/>
      <c r="BW100" s="197"/>
      <c r="BX100" s="246"/>
      <c r="BY100" s="190"/>
      <c r="BZ100" s="190"/>
      <c r="CA100" s="190"/>
      <c r="CB100" s="247"/>
      <c r="CC100" s="247"/>
      <c r="CD100" s="247"/>
      <c r="CE100" s="11"/>
      <c r="CF100" s="11"/>
      <c r="CG100" s="11"/>
      <c r="CH100" s="247"/>
      <c r="CI100" s="247"/>
      <c r="CJ100" s="247"/>
      <c r="CK100" s="11"/>
      <c r="CL100" s="11"/>
      <c r="CM100" s="11"/>
      <c r="CN100" s="11"/>
      <c r="CO100" s="11"/>
      <c r="CP100" s="11"/>
      <c r="CQ100" s="11"/>
      <c r="CR100" s="11"/>
      <c r="CS100" s="11"/>
      <c r="CT100" s="247"/>
      <c r="CU100" s="247"/>
      <c r="CV100" s="247"/>
      <c r="CW100" s="11"/>
      <c r="CX100" s="11"/>
      <c r="CY100" s="11"/>
      <c r="CZ100" s="11"/>
      <c r="DA100" s="11"/>
      <c r="DB100" s="11"/>
      <c r="DC100" s="11"/>
      <c r="DD100" s="11"/>
      <c r="DE100" s="11"/>
      <c r="DF100" s="11"/>
      <c r="DG100" s="11"/>
      <c r="DH100" s="11"/>
      <c r="DI100" s="11"/>
      <c r="DJ100" s="11"/>
      <c r="DK100" s="11"/>
      <c r="DL100" s="247"/>
      <c r="DM100" s="247"/>
      <c r="DN100" s="247"/>
      <c r="DO100" s="247"/>
      <c r="DP100" s="247"/>
      <c r="DQ100" s="247"/>
      <c r="DR100" s="247"/>
      <c r="DS100" s="247"/>
      <c r="DT100" s="247"/>
      <c r="DU100" s="247"/>
      <c r="DV100" s="247"/>
      <c r="DW100" s="247"/>
      <c r="DX100" s="247"/>
      <c r="DY100" s="247"/>
      <c r="DZ100" s="247"/>
      <c r="EA100" s="247"/>
      <c r="EB100" s="247"/>
      <c r="EC100" s="247"/>
      <c r="ED100" s="17">
        <f t="shared" si="22"/>
        <v>90440</v>
      </c>
      <c r="EE100" s="29">
        <f t="shared" si="23"/>
        <v>2</v>
      </c>
      <c r="EF100" s="17">
        <f t="shared" si="21"/>
        <v>45220</v>
      </c>
    </row>
    <row r="101" spans="1:136" ht="25.5" x14ac:dyDescent="0.25">
      <c r="A101" s="25">
        <f>Distribución_Elementos!A101</f>
        <v>99</v>
      </c>
      <c r="B101" s="22" t="str">
        <f>Distribución_Elementos!B101</f>
        <v>Caja para almacenamiento de puntas de 5 ml Tip box</v>
      </c>
      <c r="C101" s="22" t="str">
        <f>Distribución_Elementos!C101</f>
        <v>Brand Ref 7026 05 o equivalente</v>
      </c>
      <c r="D101" s="22" t="str">
        <f>Distribución_Elementos!D101</f>
        <v>unidad</v>
      </c>
      <c r="E101" s="224">
        <v>1</v>
      </c>
      <c r="F101" s="221">
        <v>0</v>
      </c>
      <c r="G101" s="221">
        <v>0</v>
      </c>
      <c r="H101" s="221">
        <v>0</v>
      </c>
      <c r="I101" s="221">
        <v>0</v>
      </c>
      <c r="J101" s="221">
        <v>0</v>
      </c>
      <c r="K101" s="221">
        <v>0</v>
      </c>
      <c r="L101" s="247"/>
      <c r="M101" s="247"/>
      <c r="N101" s="227"/>
      <c r="O101" s="119"/>
      <c r="P101" s="119"/>
      <c r="Q101" s="115"/>
      <c r="R101" s="115"/>
      <c r="S101" s="11"/>
      <c r="T101" s="247"/>
      <c r="U101" s="247"/>
      <c r="V101" s="247"/>
      <c r="W101" s="17"/>
      <c r="X101" s="11"/>
      <c r="Y101" s="11"/>
      <c r="Z101" s="247"/>
      <c r="AA101" s="247"/>
      <c r="AB101" s="247"/>
      <c r="AC101" s="44"/>
      <c r="AD101" s="22"/>
      <c r="AE101" s="17"/>
      <c r="AF101" s="247"/>
      <c r="AG101" s="247"/>
      <c r="AH101" s="97"/>
      <c r="AI101" s="4"/>
      <c r="AJ101" s="17"/>
      <c r="AK101" s="17"/>
      <c r="AL101" s="102"/>
      <c r="AM101" s="132"/>
      <c r="AN101" s="161"/>
      <c r="AO101" s="115"/>
      <c r="AP101" s="115"/>
      <c r="AQ101" s="17"/>
      <c r="AR101" s="247"/>
      <c r="AS101" s="247"/>
      <c r="AT101" s="247"/>
      <c r="AU101" s="17"/>
      <c r="AV101" s="17"/>
      <c r="AW101" s="17"/>
      <c r="AX101" s="247"/>
      <c r="AY101" s="247"/>
      <c r="AZ101" s="247"/>
      <c r="BA101" s="17"/>
      <c r="BB101" s="52"/>
      <c r="BC101" s="17"/>
      <c r="BD101" s="247"/>
      <c r="BE101" s="247"/>
      <c r="BF101" s="247"/>
      <c r="BG101" s="17"/>
      <c r="BH101" s="17"/>
      <c r="BI101" s="17"/>
      <c r="BJ101" s="247"/>
      <c r="BK101" s="247"/>
      <c r="BL101" s="247"/>
      <c r="BM101" s="190"/>
      <c r="BN101" s="190"/>
      <c r="BO101" s="17"/>
      <c r="BP101" s="247">
        <v>36000</v>
      </c>
      <c r="BQ101" s="247">
        <f t="shared" si="32"/>
        <v>6840</v>
      </c>
      <c r="BR101" s="247">
        <f t="shared" si="26"/>
        <v>42840</v>
      </c>
      <c r="BS101" s="17"/>
      <c r="BT101" s="17"/>
      <c r="BU101" s="17"/>
      <c r="BV101" s="189"/>
      <c r="BW101" s="197"/>
      <c r="BX101" s="246"/>
      <c r="BY101" s="190"/>
      <c r="BZ101" s="190"/>
      <c r="CA101" s="190"/>
      <c r="CB101" s="247"/>
      <c r="CC101" s="247"/>
      <c r="CD101" s="247"/>
      <c r="CE101" s="17"/>
      <c r="CF101" s="17"/>
      <c r="CG101" s="17"/>
      <c r="CH101" s="247"/>
      <c r="CI101" s="247"/>
      <c r="CJ101" s="247"/>
      <c r="CK101" s="17"/>
      <c r="CL101" s="17"/>
      <c r="CM101" s="17"/>
      <c r="CN101" s="17"/>
      <c r="CO101" s="17"/>
      <c r="CP101" s="11"/>
      <c r="CQ101" s="11"/>
      <c r="CR101" s="11"/>
      <c r="CS101" s="11"/>
      <c r="CT101" s="247"/>
      <c r="CU101" s="247"/>
      <c r="CV101" s="247"/>
      <c r="CW101" s="11"/>
      <c r="CX101" s="11"/>
      <c r="CY101" s="11"/>
      <c r="CZ101" s="11"/>
      <c r="DA101" s="11"/>
      <c r="DB101" s="11"/>
      <c r="DC101" s="11"/>
      <c r="DD101" s="11"/>
      <c r="DE101" s="11"/>
      <c r="DF101" s="11"/>
      <c r="DG101" s="11"/>
      <c r="DH101" s="11"/>
      <c r="DI101" s="11"/>
      <c r="DJ101" s="11"/>
      <c r="DK101" s="11"/>
      <c r="DL101" s="247"/>
      <c r="DM101" s="247"/>
      <c r="DN101" s="247"/>
      <c r="DO101" s="247"/>
      <c r="DP101" s="247"/>
      <c r="DQ101" s="247"/>
      <c r="DR101" s="247"/>
      <c r="DS101" s="247"/>
      <c r="DT101" s="247"/>
      <c r="DU101" s="247"/>
      <c r="DV101" s="247"/>
      <c r="DW101" s="247"/>
      <c r="DX101" s="247"/>
      <c r="DY101" s="247"/>
      <c r="DZ101" s="247"/>
      <c r="EA101" s="247"/>
      <c r="EB101" s="247"/>
      <c r="EC101" s="247"/>
      <c r="ED101" s="17">
        <f t="shared" si="22"/>
        <v>42840</v>
      </c>
      <c r="EE101" s="29">
        <f t="shared" si="23"/>
        <v>1</v>
      </c>
      <c r="EF101" s="17">
        <f t="shared" si="21"/>
        <v>42840</v>
      </c>
    </row>
    <row r="102" spans="1:136" ht="25.5" x14ac:dyDescent="0.25">
      <c r="A102" s="25">
        <f>Distribución_Elementos!A102</f>
        <v>100</v>
      </c>
      <c r="B102" s="22" t="str">
        <f>Distribución_Elementos!B102</f>
        <v>Caja plástica 59-60 cm de largo x 37-40 cm de ancho x 11-13 cm de alto, color gris, para uso de alta resistencia</v>
      </c>
      <c r="C102" s="22" t="str">
        <f>Distribución_Elementos!C102</f>
        <v>Cualquier marca</v>
      </c>
      <c r="D102" s="22" t="str">
        <f>Distribución_Elementos!D102</f>
        <v>Unidad</v>
      </c>
      <c r="E102" s="224">
        <v>1</v>
      </c>
      <c r="F102" s="221">
        <v>0</v>
      </c>
      <c r="G102" s="221">
        <v>0</v>
      </c>
      <c r="H102" s="221">
        <v>0</v>
      </c>
      <c r="I102" s="221">
        <v>0</v>
      </c>
      <c r="J102" s="221">
        <v>51467.5</v>
      </c>
      <c r="K102" s="221">
        <v>46172</v>
      </c>
      <c r="L102" s="247">
        <f>J102</f>
        <v>51467.5</v>
      </c>
      <c r="M102" s="247">
        <f>K102*E1</f>
        <v>47557.16</v>
      </c>
      <c r="N102" s="227">
        <v>55000</v>
      </c>
      <c r="O102" s="119">
        <f>+N102*0.19</f>
        <v>10450</v>
      </c>
      <c r="P102" s="119">
        <f>+N102+O102</f>
        <v>65450</v>
      </c>
      <c r="Q102" s="115"/>
      <c r="R102" s="115"/>
      <c r="S102" s="11"/>
      <c r="T102" s="247"/>
      <c r="U102" s="247"/>
      <c r="V102" s="247"/>
      <c r="W102" s="17"/>
      <c r="X102" s="11"/>
      <c r="Y102" s="11"/>
      <c r="Z102" s="247"/>
      <c r="AA102" s="247"/>
      <c r="AB102" s="247"/>
      <c r="AC102" s="44"/>
      <c r="AD102" s="22"/>
      <c r="AE102" s="17"/>
      <c r="AF102" s="247"/>
      <c r="AG102" s="247"/>
      <c r="AH102" s="97"/>
      <c r="AI102" s="4"/>
      <c r="AJ102" s="17"/>
      <c r="AK102" s="17"/>
      <c r="AL102" s="102"/>
      <c r="AM102" s="132"/>
      <c r="AN102" s="161"/>
      <c r="AO102" s="115"/>
      <c r="AP102" s="115"/>
      <c r="AQ102" s="17"/>
      <c r="AR102" s="247"/>
      <c r="AS102" s="247"/>
      <c r="AT102" s="247"/>
      <c r="AU102" s="17"/>
      <c r="AV102" s="17"/>
      <c r="AW102" s="17"/>
      <c r="AX102" s="247"/>
      <c r="AY102" s="247"/>
      <c r="AZ102" s="247"/>
      <c r="BA102" s="17"/>
      <c r="BB102" s="52"/>
      <c r="BC102" s="17"/>
      <c r="BD102" s="247"/>
      <c r="BE102" s="247"/>
      <c r="BF102" s="247"/>
      <c r="BG102" s="17"/>
      <c r="BH102" s="17"/>
      <c r="BI102" s="17"/>
      <c r="BJ102" s="247"/>
      <c r="BK102" s="247"/>
      <c r="BL102" s="247"/>
      <c r="BM102" s="190"/>
      <c r="BN102" s="190"/>
      <c r="BO102" s="17"/>
      <c r="BP102" s="247">
        <v>235000</v>
      </c>
      <c r="BQ102" s="247">
        <f t="shared" si="32"/>
        <v>44650</v>
      </c>
      <c r="BR102" s="247">
        <f t="shared" si="26"/>
        <v>279650</v>
      </c>
      <c r="BS102" s="17"/>
      <c r="BT102" s="17"/>
      <c r="BU102" s="17"/>
      <c r="BV102" s="189"/>
      <c r="BW102" s="197"/>
      <c r="BX102" s="246"/>
      <c r="BY102" s="190"/>
      <c r="BZ102" s="190"/>
      <c r="CA102" s="190"/>
      <c r="CB102" s="247"/>
      <c r="CC102" s="247"/>
      <c r="CD102" s="247"/>
      <c r="CE102" s="17"/>
      <c r="CF102" s="17"/>
      <c r="CG102" s="17"/>
      <c r="CH102" s="247"/>
      <c r="CI102" s="247"/>
      <c r="CJ102" s="247"/>
      <c r="CK102" s="17"/>
      <c r="CL102" s="17"/>
      <c r="CM102" s="17"/>
      <c r="CN102" s="17"/>
      <c r="CO102" s="17"/>
      <c r="CP102" s="11"/>
      <c r="CQ102" s="11"/>
      <c r="CR102" s="11"/>
      <c r="CS102" s="11"/>
      <c r="CT102" s="247"/>
      <c r="CU102" s="247"/>
      <c r="CV102" s="247"/>
      <c r="CW102" s="11"/>
      <c r="CX102" s="11"/>
      <c r="CY102" s="11"/>
      <c r="CZ102" s="11"/>
      <c r="DA102" s="11"/>
      <c r="DB102" s="11"/>
      <c r="DC102" s="11"/>
      <c r="DD102" s="11"/>
      <c r="DE102" s="11"/>
      <c r="DF102" s="11"/>
      <c r="DG102" s="11"/>
      <c r="DH102" s="11"/>
      <c r="DI102" s="11"/>
      <c r="DJ102" s="11"/>
      <c r="DK102" s="11"/>
      <c r="DL102" s="247"/>
      <c r="DM102" s="247"/>
      <c r="DN102" s="247"/>
      <c r="DO102" s="247"/>
      <c r="DP102" s="247"/>
      <c r="DQ102" s="247"/>
      <c r="DR102" s="247"/>
      <c r="DS102" s="247"/>
      <c r="DT102" s="247"/>
      <c r="DU102" s="247"/>
      <c r="DV102" s="247"/>
      <c r="DW102" s="247"/>
      <c r="DX102" s="247"/>
      <c r="DY102" s="247"/>
      <c r="DZ102" s="247"/>
      <c r="EA102" s="247"/>
      <c r="EB102" s="247"/>
      <c r="EC102" s="247"/>
      <c r="ED102" s="17">
        <f t="shared" si="22"/>
        <v>392657.16000000003</v>
      </c>
      <c r="EE102" s="29">
        <f t="shared" si="23"/>
        <v>3</v>
      </c>
      <c r="EF102" s="17">
        <f t="shared" si="21"/>
        <v>130885.72000000002</v>
      </c>
    </row>
    <row r="103" spans="1:136" ht="25.5" x14ac:dyDescent="0.25">
      <c r="A103" s="25">
        <f>Distribución_Elementos!A103</f>
        <v>101</v>
      </c>
      <c r="B103" s="22" t="str">
        <f>Distribución_Elementos!B103</f>
        <v>Caja plástica con tapa con empaque y cierre a presión de 30 x 12 cm</v>
      </c>
      <c r="C103" s="22" t="str">
        <f>Distribución_Elementos!C103</f>
        <v>Cualquier marca</v>
      </c>
      <c r="D103" s="22" t="str">
        <f>Distribución_Elementos!D103</f>
        <v xml:space="preserve">Unidad </v>
      </c>
      <c r="E103" s="224">
        <v>1</v>
      </c>
      <c r="F103" s="221">
        <v>0</v>
      </c>
      <c r="G103" s="221">
        <v>0</v>
      </c>
      <c r="H103" s="221">
        <v>0</v>
      </c>
      <c r="I103" s="221">
        <v>0</v>
      </c>
      <c r="J103" s="221">
        <v>119000</v>
      </c>
      <c r="K103" s="221">
        <v>89012</v>
      </c>
      <c r="L103" s="247">
        <f>J103</f>
        <v>119000</v>
      </c>
      <c r="M103" s="247">
        <f>K103*E1</f>
        <v>91682.36</v>
      </c>
      <c r="N103" s="227"/>
      <c r="O103" s="119"/>
      <c r="P103" s="119"/>
      <c r="Q103" s="115"/>
      <c r="R103" s="115"/>
      <c r="S103" s="11"/>
      <c r="T103" s="247"/>
      <c r="U103" s="247"/>
      <c r="V103" s="247"/>
      <c r="W103" s="17"/>
      <c r="X103" s="11"/>
      <c r="Y103" s="11"/>
      <c r="Z103" s="247"/>
      <c r="AA103" s="247"/>
      <c r="AB103" s="247"/>
      <c r="AC103" s="5"/>
      <c r="AD103" s="22"/>
      <c r="AE103" s="17"/>
      <c r="AF103" s="247"/>
      <c r="AG103" s="247"/>
      <c r="AH103" s="149"/>
      <c r="AI103" s="4"/>
      <c r="AJ103" s="17"/>
      <c r="AK103" s="17"/>
      <c r="AL103" s="102"/>
      <c r="AM103" s="132"/>
      <c r="AN103" s="132"/>
      <c r="AO103" s="115"/>
      <c r="AP103" s="115"/>
      <c r="AQ103" s="17"/>
      <c r="AR103" s="247"/>
      <c r="AS103" s="247"/>
      <c r="AT103" s="247"/>
      <c r="AU103" s="17"/>
      <c r="AV103" s="17"/>
      <c r="AW103" s="17"/>
      <c r="AX103" s="247"/>
      <c r="AY103" s="247"/>
      <c r="AZ103" s="247"/>
      <c r="BA103" s="17"/>
      <c r="BB103" s="52"/>
      <c r="BC103" s="17"/>
      <c r="BD103" s="247"/>
      <c r="BE103" s="247"/>
      <c r="BF103" s="247"/>
      <c r="BG103" s="17"/>
      <c r="BH103" s="17"/>
      <c r="BI103" s="17"/>
      <c r="BJ103" s="247"/>
      <c r="BK103" s="247"/>
      <c r="BL103" s="247"/>
      <c r="BM103" s="190"/>
      <c r="BN103" s="190"/>
      <c r="BO103" s="17"/>
      <c r="BP103" s="247">
        <v>35000</v>
      </c>
      <c r="BQ103" s="247">
        <f t="shared" si="32"/>
        <v>6650</v>
      </c>
      <c r="BR103" s="247">
        <f t="shared" si="26"/>
        <v>41650</v>
      </c>
      <c r="BS103" s="17"/>
      <c r="BT103" s="17"/>
      <c r="BU103" s="17"/>
      <c r="BV103" s="189"/>
      <c r="BW103" s="197"/>
      <c r="BX103" s="246"/>
      <c r="BY103" s="190"/>
      <c r="BZ103" s="190"/>
      <c r="CA103" s="190"/>
      <c r="CB103" s="247"/>
      <c r="CC103" s="247"/>
      <c r="CD103" s="247"/>
      <c r="CE103" s="17"/>
      <c r="CF103" s="17"/>
      <c r="CG103" s="17"/>
      <c r="CH103" s="247"/>
      <c r="CI103" s="247"/>
      <c r="CJ103" s="247"/>
      <c r="CK103" s="17"/>
      <c r="CL103" s="17"/>
      <c r="CM103" s="17"/>
      <c r="CN103" s="17"/>
      <c r="CO103" s="17"/>
      <c r="CP103" s="11"/>
      <c r="CQ103" s="11"/>
      <c r="CR103" s="11"/>
      <c r="CS103" s="11"/>
      <c r="CT103" s="247"/>
      <c r="CU103" s="247"/>
      <c r="CV103" s="247"/>
      <c r="CW103" s="11"/>
      <c r="CX103" s="11"/>
      <c r="CY103" s="11"/>
      <c r="CZ103" s="11"/>
      <c r="DA103" s="11"/>
      <c r="DB103" s="11"/>
      <c r="DC103" s="11"/>
      <c r="DD103" s="11"/>
      <c r="DE103" s="11"/>
      <c r="DF103" s="11"/>
      <c r="DG103" s="11"/>
      <c r="DH103" s="11"/>
      <c r="DI103" s="11"/>
      <c r="DJ103" s="11"/>
      <c r="DK103" s="11"/>
      <c r="DL103" s="247"/>
      <c r="DM103" s="247"/>
      <c r="DN103" s="247"/>
      <c r="DO103" s="247"/>
      <c r="DP103" s="247"/>
      <c r="DQ103" s="247"/>
      <c r="DR103" s="247"/>
      <c r="DS103" s="247"/>
      <c r="DT103" s="247"/>
      <c r="DU103" s="247"/>
      <c r="DV103" s="247"/>
      <c r="DW103" s="247"/>
      <c r="DX103" s="247"/>
      <c r="DY103" s="247"/>
      <c r="DZ103" s="247"/>
      <c r="EA103" s="247"/>
      <c r="EB103" s="247"/>
      <c r="EC103" s="247"/>
      <c r="ED103" s="17">
        <f t="shared" si="22"/>
        <v>133332.35999999999</v>
      </c>
      <c r="EE103" s="29">
        <f t="shared" si="23"/>
        <v>2</v>
      </c>
      <c r="EF103" s="17">
        <f t="shared" si="21"/>
        <v>66666.179999999993</v>
      </c>
    </row>
    <row r="104" spans="1:136" ht="25.5" x14ac:dyDescent="0.25">
      <c r="A104" s="25">
        <f>Distribución_Elementos!A104</f>
        <v>102</v>
      </c>
      <c r="B104" s="22" t="str">
        <f>Distribución_Elementos!B104</f>
        <v>Caja porta láminas para micropreparados, capacidad 100 láminas</v>
      </c>
      <c r="C104" s="22" t="str">
        <f>Distribución_Elementos!C104</f>
        <v>Enthos, Bioequipos, Heathrow Scientific</v>
      </c>
      <c r="D104" s="22" t="str">
        <f>Distribución_Elementos!D104</f>
        <v>Unidad</v>
      </c>
      <c r="E104" s="224">
        <v>1</v>
      </c>
      <c r="F104" s="221">
        <v>54165.824999999997</v>
      </c>
      <c r="G104" s="221">
        <v>53550</v>
      </c>
      <c r="H104" s="221">
        <v>65708.553483807656</v>
      </c>
      <c r="I104" s="221">
        <v>0</v>
      </c>
      <c r="J104" s="221">
        <v>61273.695</v>
      </c>
      <c r="K104" s="221">
        <v>0</v>
      </c>
      <c r="L104" s="247">
        <f>AVERAGE(F104,H104,J104)</f>
        <v>60382.691161269213</v>
      </c>
      <c r="M104" s="247">
        <f>G104*E1</f>
        <v>55156.5</v>
      </c>
      <c r="N104" s="227">
        <v>45000</v>
      </c>
      <c r="O104" s="119">
        <f>+N104*0.19</f>
        <v>8550</v>
      </c>
      <c r="P104" s="119">
        <f>+N104+O104</f>
        <v>53550</v>
      </c>
      <c r="Q104" s="115"/>
      <c r="R104" s="115"/>
      <c r="S104" s="11"/>
      <c r="T104" s="247">
        <v>53900.000000000007</v>
      </c>
      <c r="U104" s="247">
        <f>+T104*0.19</f>
        <v>10241.000000000002</v>
      </c>
      <c r="V104" s="247">
        <f>+T104+U104</f>
        <v>64141.000000000007</v>
      </c>
      <c r="W104" s="17" t="s">
        <v>1514</v>
      </c>
      <c r="X104" s="17" t="s">
        <v>1517</v>
      </c>
      <c r="Y104" s="11"/>
      <c r="Z104" s="247">
        <v>33000</v>
      </c>
      <c r="AA104" s="247">
        <f>+Z104*0.19</f>
        <v>6270</v>
      </c>
      <c r="AB104" s="247">
        <f>+Z104+AA104</f>
        <v>39270</v>
      </c>
      <c r="AC104" s="11" t="s">
        <v>140</v>
      </c>
      <c r="AD104" s="11" t="s">
        <v>1539</v>
      </c>
      <c r="AE104" s="17"/>
      <c r="AF104" s="247"/>
      <c r="AG104" s="247"/>
      <c r="AH104" s="149"/>
      <c r="AI104" s="4"/>
      <c r="AJ104" s="17"/>
      <c r="AK104" s="17"/>
      <c r="AL104" s="102"/>
      <c r="AM104" s="132"/>
      <c r="AN104" s="161"/>
      <c r="AO104" s="115"/>
      <c r="AP104" s="115"/>
      <c r="AQ104" s="17"/>
      <c r="AR104" s="247"/>
      <c r="AS104" s="247"/>
      <c r="AT104" s="247"/>
      <c r="AU104" s="17"/>
      <c r="AV104" s="17"/>
      <c r="AW104" s="17"/>
      <c r="AX104" s="247"/>
      <c r="AY104" s="247"/>
      <c r="AZ104" s="247"/>
      <c r="BA104" s="17"/>
      <c r="BB104" s="52"/>
      <c r="BC104" s="17"/>
      <c r="BD104" s="247"/>
      <c r="BE104" s="247"/>
      <c r="BF104" s="247"/>
      <c r="BG104" s="17"/>
      <c r="BH104" s="17"/>
      <c r="BI104" s="17"/>
      <c r="BJ104" s="247">
        <v>160000</v>
      </c>
      <c r="BK104" s="247">
        <f>+BJ104*0.19</f>
        <v>30400</v>
      </c>
      <c r="BL104" s="247">
        <f>+BJ104+BK104</f>
        <v>190400</v>
      </c>
      <c r="BM104" s="190" t="s">
        <v>375</v>
      </c>
      <c r="BN104" s="190" t="s">
        <v>1540</v>
      </c>
      <c r="BO104" s="17"/>
      <c r="BP104" s="247">
        <v>56000</v>
      </c>
      <c r="BQ104" s="247">
        <f t="shared" si="32"/>
        <v>10640</v>
      </c>
      <c r="BR104" s="247">
        <f t="shared" si="26"/>
        <v>66640</v>
      </c>
      <c r="BS104" s="17"/>
      <c r="BT104" s="17"/>
      <c r="BU104" s="17"/>
      <c r="BV104" s="189">
        <v>174641.12000000002</v>
      </c>
      <c r="BW104" s="195">
        <f>+BV104*0.19</f>
        <v>33181.812800000007</v>
      </c>
      <c r="BX104" s="246">
        <f>+BV104+BW104</f>
        <v>207822.93280000004</v>
      </c>
      <c r="BY104" s="190" t="s">
        <v>375</v>
      </c>
      <c r="BZ104" s="190" t="s">
        <v>1540</v>
      </c>
      <c r="CA104" s="190"/>
      <c r="CB104" s="247"/>
      <c r="CC104" s="247"/>
      <c r="CD104" s="247"/>
      <c r="CE104" s="17"/>
      <c r="CF104" s="17"/>
      <c r="CG104" s="17"/>
      <c r="CH104" s="247"/>
      <c r="CI104" s="247"/>
      <c r="CJ104" s="247"/>
      <c r="CK104" s="17"/>
      <c r="CL104" s="17"/>
      <c r="CM104" s="17"/>
      <c r="CN104" s="17"/>
      <c r="CO104" s="17"/>
      <c r="CP104" s="11"/>
      <c r="CQ104" s="11"/>
      <c r="CR104" s="11"/>
      <c r="CS104" s="11"/>
      <c r="CT104" s="247"/>
      <c r="CU104" s="247"/>
      <c r="CV104" s="247"/>
      <c r="CW104" s="11"/>
      <c r="CX104" s="11"/>
      <c r="CY104" s="11"/>
      <c r="CZ104" s="11"/>
      <c r="DA104" s="11"/>
      <c r="DB104" s="11"/>
      <c r="DC104" s="11"/>
      <c r="DD104" s="11"/>
      <c r="DE104" s="11"/>
      <c r="DF104" s="11"/>
      <c r="DG104" s="11"/>
      <c r="DH104" s="11"/>
      <c r="DI104" s="11"/>
      <c r="DJ104" s="11"/>
      <c r="DK104" s="11"/>
      <c r="DL104" s="247"/>
      <c r="DM104" s="247"/>
      <c r="DN104" s="247"/>
      <c r="DO104" s="247"/>
      <c r="DP104" s="247"/>
      <c r="DQ104" s="247"/>
      <c r="DR104" s="247"/>
      <c r="DS104" s="247"/>
      <c r="DT104" s="247"/>
      <c r="DU104" s="247"/>
      <c r="DV104" s="247"/>
      <c r="DW104" s="247"/>
      <c r="DX104" s="247"/>
      <c r="DY104" s="247"/>
      <c r="DZ104" s="247"/>
      <c r="EA104" s="247"/>
      <c r="EB104" s="247"/>
      <c r="EC104" s="247"/>
      <c r="ED104" s="17">
        <f t="shared" si="22"/>
        <v>676980.43280000007</v>
      </c>
      <c r="EE104" s="29">
        <f t="shared" si="23"/>
        <v>7</v>
      </c>
      <c r="EF104" s="17">
        <f t="shared" si="21"/>
        <v>96711.49040000001</v>
      </c>
    </row>
    <row r="105" spans="1:136" ht="25.5" x14ac:dyDescent="0.25">
      <c r="A105" s="25">
        <f>Distribución_Elementos!A105</f>
        <v>103</v>
      </c>
      <c r="B105" s="22" t="str">
        <f>Distribución_Elementos!B105</f>
        <v>Caja porta láminas para micropreparados, capacidad 50 láminas</v>
      </c>
      <c r="C105" s="22" t="str">
        <f>Distribución_Elementos!C105</f>
        <v>Enthos, Bioequipos, Heathrow Scientific</v>
      </c>
      <c r="D105" s="22" t="str">
        <f>Distribución_Elementos!D105</f>
        <v>Unidad</v>
      </c>
      <c r="E105" s="224">
        <v>1</v>
      </c>
      <c r="F105" s="221">
        <v>0</v>
      </c>
      <c r="G105" s="221">
        <v>0</v>
      </c>
      <c r="H105" s="221">
        <v>36695.956427870464</v>
      </c>
      <c r="I105" s="221">
        <v>36533</v>
      </c>
      <c r="J105" s="221">
        <v>43416.566666666666</v>
      </c>
      <c r="K105" s="221">
        <v>0</v>
      </c>
      <c r="L105" s="247">
        <f>AVERAGE(H105,J105)</f>
        <v>40056.261547268565</v>
      </c>
      <c r="M105" s="247">
        <f>I105*E1</f>
        <v>37628.99</v>
      </c>
      <c r="N105" s="227">
        <v>35000</v>
      </c>
      <c r="O105" s="119">
        <f>+N105*0.19</f>
        <v>6650</v>
      </c>
      <c r="P105" s="119">
        <f>+N105+O105</f>
        <v>41650</v>
      </c>
      <c r="Q105" s="115"/>
      <c r="R105" s="115"/>
      <c r="S105" s="11"/>
      <c r="T105" s="247">
        <v>36300</v>
      </c>
      <c r="U105" s="247">
        <f>+T105*0.19</f>
        <v>6897</v>
      </c>
      <c r="V105" s="247">
        <f>+T105+U105</f>
        <v>43197</v>
      </c>
      <c r="W105" s="17" t="s">
        <v>1514</v>
      </c>
      <c r="X105" s="17" t="s">
        <v>1517</v>
      </c>
      <c r="Y105" s="11"/>
      <c r="Z105" s="247"/>
      <c r="AA105" s="247"/>
      <c r="AB105" s="247"/>
      <c r="AC105" s="5"/>
      <c r="AD105" s="5"/>
      <c r="AE105" s="17"/>
      <c r="AF105" s="247"/>
      <c r="AG105" s="247"/>
      <c r="AH105" s="149"/>
      <c r="AI105" s="5"/>
      <c r="AJ105" s="17"/>
      <c r="AK105" s="17"/>
      <c r="AL105" s="102"/>
      <c r="AM105" s="132"/>
      <c r="AN105" s="161"/>
      <c r="AO105" s="115"/>
      <c r="AP105" s="115"/>
      <c r="AQ105" s="17"/>
      <c r="AR105" s="247"/>
      <c r="AS105" s="247"/>
      <c r="AT105" s="247"/>
      <c r="AU105" s="17"/>
      <c r="AV105" s="17"/>
      <c r="AW105" s="17"/>
      <c r="AX105" s="247"/>
      <c r="AY105" s="247"/>
      <c r="AZ105" s="247"/>
      <c r="BA105" s="17"/>
      <c r="BB105" s="52"/>
      <c r="BC105" s="17"/>
      <c r="BD105" s="247"/>
      <c r="BE105" s="247"/>
      <c r="BF105" s="247"/>
      <c r="BG105" s="17"/>
      <c r="BH105" s="17"/>
      <c r="BI105" s="17"/>
      <c r="BJ105" s="247"/>
      <c r="BK105" s="247"/>
      <c r="BL105" s="247"/>
      <c r="BM105" s="190"/>
      <c r="BN105" s="190"/>
      <c r="BO105" s="17"/>
      <c r="BP105" s="247">
        <v>56000</v>
      </c>
      <c r="BQ105" s="247">
        <f t="shared" si="32"/>
        <v>10640</v>
      </c>
      <c r="BR105" s="247">
        <f t="shared" si="26"/>
        <v>66640</v>
      </c>
      <c r="BS105" s="17"/>
      <c r="BT105" s="17"/>
      <c r="BU105" s="17"/>
      <c r="BV105" s="189"/>
      <c r="BW105" s="197"/>
      <c r="BX105" s="246"/>
      <c r="BY105" s="190"/>
      <c r="BZ105" s="190"/>
      <c r="CA105" s="190"/>
      <c r="CB105" s="247"/>
      <c r="CC105" s="247"/>
      <c r="CD105" s="247"/>
      <c r="CE105" s="17"/>
      <c r="CF105" s="17"/>
      <c r="CG105" s="17"/>
      <c r="CH105" s="247"/>
      <c r="CI105" s="247"/>
      <c r="CJ105" s="247"/>
      <c r="CK105" s="17"/>
      <c r="CL105" s="17"/>
      <c r="CM105" s="17"/>
      <c r="CN105" s="17"/>
      <c r="CO105" s="17"/>
      <c r="CP105" s="11"/>
      <c r="CQ105" s="11"/>
      <c r="CR105" s="11"/>
      <c r="CS105" s="11"/>
      <c r="CT105" s="247"/>
      <c r="CU105" s="247"/>
      <c r="CV105" s="247"/>
      <c r="CW105" s="11"/>
      <c r="CX105" s="11"/>
      <c r="CY105" s="11"/>
      <c r="CZ105" s="11"/>
      <c r="DA105" s="11"/>
      <c r="DB105" s="11"/>
      <c r="DC105" s="11"/>
      <c r="DD105" s="11"/>
      <c r="DE105" s="11"/>
      <c r="DF105" s="11"/>
      <c r="DG105" s="11"/>
      <c r="DH105" s="11"/>
      <c r="DI105" s="11"/>
      <c r="DJ105" s="11"/>
      <c r="DK105" s="11"/>
      <c r="DL105" s="247"/>
      <c r="DM105" s="247"/>
      <c r="DN105" s="247"/>
      <c r="DO105" s="247"/>
      <c r="DP105" s="247"/>
      <c r="DQ105" s="247"/>
      <c r="DR105" s="247"/>
      <c r="DS105" s="247"/>
      <c r="DT105" s="247"/>
      <c r="DU105" s="247"/>
      <c r="DV105" s="247"/>
      <c r="DW105" s="247"/>
      <c r="DX105" s="247"/>
      <c r="DY105" s="247"/>
      <c r="DZ105" s="247"/>
      <c r="EA105" s="247"/>
      <c r="EB105" s="247"/>
      <c r="EC105" s="247"/>
      <c r="ED105" s="17">
        <f t="shared" si="22"/>
        <v>189115.99</v>
      </c>
      <c r="EE105" s="29">
        <f t="shared" si="23"/>
        <v>4</v>
      </c>
      <c r="EF105" s="17">
        <f t="shared" si="21"/>
        <v>47278.997499999998</v>
      </c>
    </row>
    <row r="106" spans="1:136" ht="63.75" x14ac:dyDescent="0.25">
      <c r="A106" s="25">
        <f>Distribución_Elementos!A106</f>
        <v>104</v>
      </c>
      <c r="B106" s="22" t="str">
        <f>Distribución_Elementos!B106</f>
        <v>Calentador de Ambiente, con mínimo dos niveles de Calefacción y ventilador para usar sin resistencia de calentamiento. Termostato Ajustable: Para elegir la temperatura ideal. 1000W o 1600W de potencia. 2 años de garantía. Función de ventilación. Filtro lavable.  110 - 120 V</v>
      </c>
      <c r="C106" s="22" t="str">
        <f>Distribución_Elementos!C106</f>
        <v>Clark o equivalente</v>
      </c>
      <c r="D106" s="22" t="str">
        <f>Distribución_Elementos!D106</f>
        <v>Unidad</v>
      </c>
      <c r="E106" s="224">
        <v>1</v>
      </c>
      <c r="F106" s="221">
        <v>0</v>
      </c>
      <c r="G106" s="221">
        <v>0</v>
      </c>
      <c r="H106" s="221">
        <v>0</v>
      </c>
      <c r="I106" s="221">
        <v>0</v>
      </c>
      <c r="J106" s="221">
        <v>0</v>
      </c>
      <c r="K106" s="221">
        <v>0</v>
      </c>
      <c r="L106" s="247"/>
      <c r="M106" s="247"/>
      <c r="N106" s="227">
        <v>625000</v>
      </c>
      <c r="O106" s="119">
        <f>+N106*0.19</f>
        <v>118750</v>
      </c>
      <c r="P106" s="119">
        <f>+N106+O106</f>
        <v>743750</v>
      </c>
      <c r="Q106" s="115"/>
      <c r="R106" s="115"/>
      <c r="S106" s="11"/>
      <c r="T106" s="247"/>
      <c r="U106" s="247"/>
      <c r="V106" s="247"/>
      <c r="W106" s="17"/>
      <c r="X106" s="11"/>
      <c r="Y106" s="11"/>
      <c r="Z106" s="247"/>
      <c r="AA106" s="247"/>
      <c r="AB106" s="247"/>
      <c r="AC106" s="44"/>
      <c r="AD106" s="22"/>
      <c r="AE106" s="17"/>
      <c r="AF106" s="247"/>
      <c r="AG106" s="247"/>
      <c r="AH106" s="151"/>
      <c r="AI106" s="4"/>
      <c r="AJ106" s="17"/>
      <c r="AK106" s="17"/>
      <c r="AL106" s="102"/>
      <c r="AM106" s="132"/>
      <c r="AN106" s="161"/>
      <c r="AO106" s="115"/>
      <c r="AP106" s="115"/>
      <c r="AQ106" s="17"/>
      <c r="AR106" s="247"/>
      <c r="AS106" s="247"/>
      <c r="AT106" s="247"/>
      <c r="AU106" s="17"/>
      <c r="AV106" s="17"/>
      <c r="AW106" s="17"/>
      <c r="AX106" s="247"/>
      <c r="AY106" s="247"/>
      <c r="AZ106" s="247"/>
      <c r="BA106" s="17"/>
      <c r="BB106" s="52"/>
      <c r="BC106" s="17"/>
      <c r="BD106" s="247"/>
      <c r="BE106" s="247"/>
      <c r="BF106" s="247"/>
      <c r="BG106" s="17"/>
      <c r="BH106" s="17"/>
      <c r="BI106" s="17"/>
      <c r="BJ106" s="247">
        <v>659800</v>
      </c>
      <c r="BK106" s="247">
        <f>+BJ106*0.19</f>
        <v>125362</v>
      </c>
      <c r="BL106" s="247">
        <f>+BJ106+BK106</f>
        <v>785162</v>
      </c>
      <c r="BM106" s="190" t="s">
        <v>375</v>
      </c>
      <c r="BN106" s="190" t="s">
        <v>1541</v>
      </c>
      <c r="BO106" s="17"/>
      <c r="BP106" s="247">
        <v>360000</v>
      </c>
      <c r="BQ106" s="247">
        <f>+BP106*19%</f>
        <v>68400</v>
      </c>
      <c r="BR106" s="247">
        <f t="shared" si="26"/>
        <v>428400</v>
      </c>
      <c r="BS106" s="17"/>
      <c r="BT106" s="17"/>
      <c r="BU106" s="17"/>
      <c r="BV106" s="195">
        <v>727706.61600000004</v>
      </c>
      <c r="BW106" s="195">
        <f>+BV106*0.19</f>
        <v>138264.25704</v>
      </c>
      <c r="BX106" s="246">
        <f>+BV106+BW106</f>
        <v>865970.87303999998</v>
      </c>
      <c r="BY106" s="190" t="s">
        <v>375</v>
      </c>
      <c r="BZ106" s="190" t="s">
        <v>1541</v>
      </c>
      <c r="CA106" s="190"/>
      <c r="CB106" s="247"/>
      <c r="CC106" s="247"/>
      <c r="CD106" s="247"/>
      <c r="CE106" s="17"/>
      <c r="CF106" s="17"/>
      <c r="CG106" s="17"/>
      <c r="CH106" s="247"/>
      <c r="CI106" s="247"/>
      <c r="CJ106" s="247"/>
      <c r="CK106" s="17"/>
      <c r="CL106" s="17"/>
      <c r="CM106" s="17"/>
      <c r="CN106" s="17"/>
      <c r="CO106" s="17"/>
      <c r="CP106" s="11"/>
      <c r="CQ106" s="11"/>
      <c r="CR106" s="11"/>
      <c r="CS106" s="11"/>
      <c r="CT106" s="247"/>
      <c r="CU106" s="247"/>
      <c r="CV106" s="247"/>
      <c r="CW106" s="11"/>
      <c r="CX106" s="11"/>
      <c r="CY106" s="11"/>
      <c r="CZ106" s="11"/>
      <c r="DA106" s="11"/>
      <c r="DB106" s="11"/>
      <c r="DC106" s="11"/>
      <c r="DD106" s="11"/>
      <c r="DE106" s="11"/>
      <c r="DF106" s="11"/>
      <c r="DG106" s="11"/>
      <c r="DH106" s="11"/>
      <c r="DI106" s="11"/>
      <c r="DJ106" s="11"/>
      <c r="DK106" s="11"/>
      <c r="DL106" s="247"/>
      <c r="DM106" s="247"/>
      <c r="DN106" s="247"/>
      <c r="DO106" s="247"/>
      <c r="DP106" s="247"/>
      <c r="DQ106" s="247"/>
      <c r="DR106" s="247"/>
      <c r="DS106" s="247"/>
      <c r="DT106" s="247"/>
      <c r="DU106" s="247"/>
      <c r="DV106" s="247"/>
      <c r="DW106" s="247"/>
      <c r="DX106" s="247"/>
      <c r="DY106" s="247"/>
      <c r="DZ106" s="247"/>
      <c r="EA106" s="247"/>
      <c r="EB106" s="247"/>
      <c r="EC106" s="247"/>
      <c r="ED106" s="17">
        <f t="shared" si="22"/>
        <v>2823282.87304</v>
      </c>
      <c r="EE106" s="29">
        <f t="shared" si="23"/>
        <v>4</v>
      </c>
      <c r="EF106" s="17">
        <f t="shared" si="21"/>
        <v>705820.71825999999</v>
      </c>
    </row>
    <row r="107" spans="1:136" x14ac:dyDescent="0.25">
      <c r="A107" s="25">
        <f>Distribución_Elementos!A107</f>
        <v>105</v>
      </c>
      <c r="B107" s="22" t="str">
        <f>Distribución_Elementos!B107</f>
        <v xml:space="preserve">Cámara Mac Master para recuento de huevos de nemátodos </v>
      </c>
      <c r="C107" s="22" t="str">
        <f>Distribución_Elementos!C107</f>
        <v>Cualquiera</v>
      </c>
      <c r="D107" s="22" t="str">
        <f>Distribución_Elementos!D107</f>
        <v>Unidad</v>
      </c>
      <c r="E107" s="224">
        <v>1</v>
      </c>
      <c r="F107" s="221">
        <v>476000</v>
      </c>
      <c r="G107" s="221">
        <v>464100</v>
      </c>
      <c r="H107" s="221">
        <v>524939.54333333333</v>
      </c>
      <c r="I107" s="221">
        <v>0</v>
      </c>
      <c r="J107" s="221">
        <v>691323.88888888888</v>
      </c>
      <c r="K107" s="221">
        <v>0</v>
      </c>
      <c r="L107" s="247">
        <f>AVERAGE(F107,H107,J107)</f>
        <v>564087.81074074074</v>
      </c>
      <c r="M107" s="247">
        <f>G107*E1</f>
        <v>478023</v>
      </c>
      <c r="N107" s="227">
        <v>450000</v>
      </c>
      <c r="O107" s="119">
        <f>+N107*0.19</f>
        <v>85500</v>
      </c>
      <c r="P107" s="119">
        <f>+N107+O107</f>
        <v>535500</v>
      </c>
      <c r="Q107" s="115"/>
      <c r="R107" s="115"/>
      <c r="S107" s="11"/>
      <c r="T107" s="247"/>
      <c r="U107" s="247"/>
      <c r="V107" s="247"/>
      <c r="W107" s="17"/>
      <c r="X107" s="11"/>
      <c r="Y107" s="11"/>
      <c r="Z107" s="247"/>
      <c r="AA107" s="247"/>
      <c r="AB107" s="247"/>
      <c r="AC107" s="44"/>
      <c r="AD107" s="22"/>
      <c r="AE107" s="17"/>
      <c r="AF107" s="247"/>
      <c r="AG107" s="247"/>
      <c r="AH107" s="151"/>
      <c r="AI107" s="4"/>
      <c r="AJ107" s="17"/>
      <c r="AK107" s="17"/>
      <c r="AL107" s="102"/>
      <c r="AM107" s="132"/>
      <c r="AN107" s="161"/>
      <c r="AO107" s="115"/>
      <c r="AP107" s="115"/>
      <c r="AQ107" s="17"/>
      <c r="AR107" s="247"/>
      <c r="AS107" s="247"/>
      <c r="AT107" s="247"/>
      <c r="AU107" s="17"/>
      <c r="AV107" s="17"/>
      <c r="AW107" s="17"/>
      <c r="AX107" s="247"/>
      <c r="AY107" s="247"/>
      <c r="AZ107" s="247"/>
      <c r="BA107" s="17"/>
      <c r="BB107" s="52"/>
      <c r="BC107" s="17"/>
      <c r="BD107" s="247"/>
      <c r="BE107" s="247"/>
      <c r="BF107" s="247"/>
      <c r="BG107" s="17"/>
      <c r="BH107" s="17"/>
      <c r="BI107" s="17"/>
      <c r="BJ107" s="247">
        <v>511100</v>
      </c>
      <c r="BK107" s="247">
        <f t="shared" ref="BK107:BK150" si="33">+BJ107*0.19</f>
        <v>97109</v>
      </c>
      <c r="BL107" s="247">
        <f t="shared" ref="BL107:BL150" si="34">+BJ107+BK107</f>
        <v>608209</v>
      </c>
      <c r="BM107" s="190" t="s">
        <v>375</v>
      </c>
      <c r="BN107" s="190" t="s">
        <v>48</v>
      </c>
      <c r="BO107" s="17"/>
      <c r="BP107" s="247">
        <v>652000</v>
      </c>
      <c r="BQ107" s="247">
        <f>+BP107*19%</f>
        <v>123880</v>
      </c>
      <c r="BR107" s="247">
        <f t="shared" si="26"/>
        <v>775880</v>
      </c>
      <c r="BS107" s="17"/>
      <c r="BT107" s="17"/>
      <c r="BU107" s="17"/>
      <c r="BV107" s="195">
        <v>585383.27399999998</v>
      </c>
      <c r="BW107" s="195">
        <f>+BV107*0.19</f>
        <v>111222.82205999999</v>
      </c>
      <c r="BX107" s="246">
        <f>+BV107+BW107</f>
        <v>696606.09606000001</v>
      </c>
      <c r="BY107" s="190" t="s">
        <v>375</v>
      </c>
      <c r="BZ107" s="190" t="s">
        <v>48</v>
      </c>
      <c r="CA107" s="190"/>
      <c r="CB107" s="247"/>
      <c r="CC107" s="247"/>
      <c r="CD107" s="247"/>
      <c r="CE107" s="17"/>
      <c r="CF107" s="17"/>
      <c r="CG107" s="17"/>
      <c r="CH107" s="247"/>
      <c r="CI107" s="247"/>
      <c r="CJ107" s="247"/>
      <c r="CK107" s="17"/>
      <c r="CL107" s="17"/>
      <c r="CM107" s="17"/>
      <c r="CN107" s="17"/>
      <c r="CO107" s="17"/>
      <c r="CP107" s="11"/>
      <c r="CQ107" s="11"/>
      <c r="CR107" s="11"/>
      <c r="CS107" s="11"/>
      <c r="CT107" s="247"/>
      <c r="CU107" s="247"/>
      <c r="CV107" s="247"/>
      <c r="CW107" s="11"/>
      <c r="CX107" s="11"/>
      <c r="CY107" s="11"/>
      <c r="CZ107" s="11"/>
      <c r="DA107" s="11"/>
      <c r="DB107" s="11"/>
      <c r="DC107" s="11"/>
      <c r="DD107" s="11"/>
      <c r="DE107" s="11"/>
      <c r="DF107" s="11"/>
      <c r="DG107" s="11"/>
      <c r="DH107" s="11"/>
      <c r="DI107" s="11"/>
      <c r="DJ107" s="11"/>
      <c r="DK107" s="11"/>
      <c r="DL107" s="247"/>
      <c r="DM107" s="247"/>
      <c r="DN107" s="247"/>
      <c r="DO107" s="247"/>
      <c r="DP107" s="247"/>
      <c r="DQ107" s="247"/>
      <c r="DR107" s="247"/>
      <c r="DS107" s="247"/>
      <c r="DT107" s="247"/>
      <c r="DU107" s="247"/>
      <c r="DV107" s="247"/>
      <c r="DW107" s="247"/>
      <c r="DX107" s="247"/>
      <c r="DY107" s="247"/>
      <c r="DZ107" s="247"/>
      <c r="EA107" s="247"/>
      <c r="EB107" s="247"/>
      <c r="EC107" s="247"/>
      <c r="ED107" s="17">
        <f t="shared" si="22"/>
        <v>3094218.0960599999</v>
      </c>
      <c r="EE107" s="29">
        <f t="shared" si="23"/>
        <v>5</v>
      </c>
      <c r="EF107" s="17">
        <f t="shared" ref="EF107:EF157" si="35">IFERROR(ED107/EE107," ")</f>
        <v>618843.61921199993</v>
      </c>
    </row>
    <row r="108" spans="1:136" ht="89.25" x14ac:dyDescent="0.25">
      <c r="A108" s="25">
        <f>Distribución_Elementos!A108</f>
        <v>106</v>
      </c>
      <c r="B108" s="22" t="str">
        <f>Distribución_Elementos!B108</f>
        <v>Cámara Newbauer. Cámara de recuento sin pinzas, fabricada en una sola pieza de vidrio óptico, con 2 cubreobjetos para cámara de recuento, doble retícula con color verde iluminado que facilitan la lectura. Con lámina de cuarzo y estuche plástico. Profundidad: 0.100mm, volumen 1mm2: 0,1 Ml. Bordes redondeados anticorte, textura esmerilada, evita desplazamiento al manipularla.</v>
      </c>
      <c r="C108" s="22" t="str">
        <f>Distribución_Elementos!C108</f>
        <v>Boeco o equivalente</v>
      </c>
      <c r="D108" s="22" t="str">
        <f>Distribución_Elementos!D108</f>
        <v>Unidad</v>
      </c>
      <c r="E108" s="224">
        <v>1</v>
      </c>
      <c r="F108" s="221">
        <v>0</v>
      </c>
      <c r="G108" s="221">
        <v>0</v>
      </c>
      <c r="H108" s="221">
        <v>0</v>
      </c>
      <c r="I108" s="221">
        <v>0</v>
      </c>
      <c r="J108" s="221">
        <v>0</v>
      </c>
      <c r="K108" s="221">
        <v>0</v>
      </c>
      <c r="L108" s="247"/>
      <c r="M108" s="247"/>
      <c r="N108" s="227">
        <v>275000</v>
      </c>
      <c r="O108" s="119">
        <f>+N108*0.19</f>
        <v>52250</v>
      </c>
      <c r="P108" s="119">
        <f>+N108+O108</f>
        <v>327250</v>
      </c>
      <c r="Q108" s="115"/>
      <c r="R108" s="115"/>
      <c r="S108" s="11"/>
      <c r="T108" s="247"/>
      <c r="U108" s="247"/>
      <c r="V108" s="247"/>
      <c r="W108" s="17"/>
      <c r="X108" s="11"/>
      <c r="Y108" s="11"/>
      <c r="Z108" s="247"/>
      <c r="AA108" s="247"/>
      <c r="AB108" s="247"/>
      <c r="AC108" s="44"/>
      <c r="AD108" s="22"/>
      <c r="AE108" s="17"/>
      <c r="AF108" s="247"/>
      <c r="AG108" s="247"/>
      <c r="AH108" s="97"/>
      <c r="AI108" s="4"/>
      <c r="AJ108" s="17"/>
      <c r="AK108" s="17"/>
      <c r="AL108" s="102"/>
      <c r="AM108" s="132"/>
      <c r="AN108" s="161"/>
      <c r="AO108" s="115"/>
      <c r="AP108" s="115"/>
      <c r="AQ108" s="17"/>
      <c r="AR108" s="247"/>
      <c r="AS108" s="247"/>
      <c r="AT108" s="247"/>
      <c r="AU108" s="17"/>
      <c r="AV108" s="17"/>
      <c r="AW108" s="17"/>
      <c r="AX108" s="247"/>
      <c r="AY108" s="247"/>
      <c r="AZ108" s="247"/>
      <c r="BA108" s="17"/>
      <c r="BB108" s="52"/>
      <c r="BC108" s="17"/>
      <c r="BD108" s="247"/>
      <c r="BE108" s="247"/>
      <c r="BF108" s="247"/>
      <c r="BG108" s="17"/>
      <c r="BH108" s="17"/>
      <c r="BI108" s="17"/>
      <c r="BJ108" s="247">
        <v>393800</v>
      </c>
      <c r="BK108" s="247">
        <f t="shared" si="33"/>
        <v>74822</v>
      </c>
      <c r="BL108" s="247">
        <f t="shared" si="34"/>
        <v>468622</v>
      </c>
      <c r="BM108" s="190" t="s">
        <v>375</v>
      </c>
      <c r="BN108" s="190" t="s">
        <v>1523</v>
      </c>
      <c r="BO108" s="17"/>
      <c r="BP108" s="247"/>
      <c r="BQ108" s="247"/>
      <c r="BR108" s="247"/>
      <c r="BS108" s="17"/>
      <c r="BT108" s="17"/>
      <c r="BU108" s="17"/>
      <c r="BV108" s="195">
        <v>438549.85680000007</v>
      </c>
      <c r="BW108" s="195">
        <f>+BV108*0.19</f>
        <v>83324.472792000015</v>
      </c>
      <c r="BX108" s="246">
        <f>+BV108+BW108</f>
        <v>521874.32959200011</v>
      </c>
      <c r="BY108" s="190" t="s">
        <v>375</v>
      </c>
      <c r="BZ108" s="190" t="s">
        <v>1523</v>
      </c>
      <c r="CA108" s="190"/>
      <c r="CB108" s="247"/>
      <c r="CC108" s="247"/>
      <c r="CD108" s="247"/>
      <c r="CE108" s="17"/>
      <c r="CF108" s="17"/>
      <c r="CG108" s="17"/>
      <c r="CH108" s="247"/>
      <c r="CI108" s="247"/>
      <c r="CJ108" s="247"/>
      <c r="CK108" s="17"/>
      <c r="CL108" s="17"/>
      <c r="CM108" s="17"/>
      <c r="CN108" s="17"/>
      <c r="CO108" s="17"/>
      <c r="CP108" s="11"/>
      <c r="CQ108" s="11"/>
      <c r="CR108" s="11"/>
      <c r="CS108" s="11"/>
      <c r="CT108" s="247"/>
      <c r="CU108" s="247"/>
      <c r="CV108" s="247"/>
      <c r="CW108" s="11"/>
      <c r="CX108" s="11"/>
      <c r="CY108" s="11"/>
      <c r="CZ108" s="11"/>
      <c r="DA108" s="11"/>
      <c r="DB108" s="11"/>
      <c r="DC108" s="11"/>
      <c r="DD108" s="11"/>
      <c r="DE108" s="11"/>
      <c r="DF108" s="11"/>
      <c r="DG108" s="11"/>
      <c r="DH108" s="11"/>
      <c r="DI108" s="11"/>
      <c r="DJ108" s="11"/>
      <c r="DK108" s="11"/>
      <c r="DL108" s="247"/>
      <c r="DM108" s="247"/>
      <c r="DN108" s="247"/>
      <c r="DO108" s="247"/>
      <c r="DP108" s="247"/>
      <c r="DQ108" s="247"/>
      <c r="DR108" s="247"/>
      <c r="DS108" s="247"/>
      <c r="DT108" s="247"/>
      <c r="DU108" s="247"/>
      <c r="DV108" s="247"/>
      <c r="DW108" s="247"/>
      <c r="DX108" s="247"/>
      <c r="DY108" s="247"/>
      <c r="DZ108" s="247"/>
      <c r="EA108" s="247"/>
      <c r="EB108" s="247"/>
      <c r="EC108" s="247"/>
      <c r="ED108" s="17">
        <f t="shared" ref="ED108:ED157" si="36">SUM(M108,P108,V108,AB108,AH108,AN108,AT108,AZ108,BF108,BL108,BR108,BX108,CD108,CJ108,CP108,CV108,DB108,DH108,DN108,DT108,DZ108)</f>
        <v>1317746.3295920002</v>
      </c>
      <c r="EE108" s="29">
        <f t="shared" ref="EE108:EE157" si="37">COUNTA(M108,N108,T108,Z108,AF108,AL108,AR108,AX108,BD108,BJ108,BP108,BV108,CB108,CH108,CN108,CT108,CZ108,DF108,DL108,DR108,DX108)</f>
        <v>3</v>
      </c>
      <c r="EF108" s="17">
        <f t="shared" si="35"/>
        <v>439248.77653066674</v>
      </c>
    </row>
    <row r="109" spans="1:136" x14ac:dyDescent="0.25">
      <c r="A109" s="25">
        <f>Distribución_Elementos!A109</f>
        <v>107</v>
      </c>
      <c r="B109" s="22" t="str">
        <f>Distribución_Elementos!B109</f>
        <v>Canastilla de 25 x 15 x 15cm en acero inxidable</v>
      </c>
      <c r="C109" s="22" t="str">
        <f>Distribución_Elementos!C109</f>
        <v>Cualquier marca</v>
      </c>
      <c r="D109" s="22" t="str">
        <f>Distribución_Elementos!D109</f>
        <v>Unidad</v>
      </c>
      <c r="E109" s="224">
        <v>1</v>
      </c>
      <c r="F109" s="221">
        <v>59500</v>
      </c>
      <c r="G109" s="221">
        <v>59500</v>
      </c>
      <c r="H109" s="221">
        <v>102170.425</v>
      </c>
      <c r="I109" s="221">
        <v>0</v>
      </c>
      <c r="J109" s="221">
        <v>62475</v>
      </c>
      <c r="K109" s="221">
        <v>0</v>
      </c>
      <c r="L109" s="247">
        <f>AVERAGE(F109,H109,J109)</f>
        <v>74715.141666666663</v>
      </c>
      <c r="M109" s="247">
        <f>G109*E1</f>
        <v>61285</v>
      </c>
      <c r="N109" s="227"/>
      <c r="O109" s="119"/>
      <c r="P109" s="119"/>
      <c r="Q109" s="115"/>
      <c r="R109" s="115"/>
      <c r="S109" s="11"/>
      <c r="T109" s="247"/>
      <c r="U109" s="247"/>
      <c r="V109" s="247"/>
      <c r="W109" s="17"/>
      <c r="X109" s="11"/>
      <c r="Y109" s="11"/>
      <c r="Z109" s="247"/>
      <c r="AA109" s="247"/>
      <c r="AB109" s="247"/>
      <c r="AC109" s="44"/>
      <c r="AD109" s="22"/>
      <c r="AE109" s="17"/>
      <c r="AF109" s="247"/>
      <c r="AG109" s="247"/>
      <c r="AH109" s="151"/>
      <c r="AI109" s="22"/>
      <c r="AJ109" s="17"/>
      <c r="AK109" s="17"/>
      <c r="AL109" s="102">
        <v>145383</v>
      </c>
      <c r="AM109" s="132">
        <f>+AL109*0.19</f>
        <v>27622.77</v>
      </c>
      <c r="AN109" s="132">
        <f>+AL109+AM109</f>
        <v>173005.77</v>
      </c>
      <c r="AO109" s="115" t="s">
        <v>1542</v>
      </c>
      <c r="AP109" s="115" t="s">
        <v>1543</v>
      </c>
      <c r="AQ109" s="17"/>
      <c r="AR109" s="247">
        <v>130000</v>
      </c>
      <c r="AS109" s="247">
        <f>+AR109*0.19</f>
        <v>24700</v>
      </c>
      <c r="AT109" s="247">
        <f>+AR109+AS109</f>
        <v>154700</v>
      </c>
      <c r="AU109" s="17"/>
      <c r="AV109" s="17"/>
      <c r="AW109" s="17"/>
      <c r="AX109" s="247"/>
      <c r="AY109" s="247"/>
      <c r="AZ109" s="247"/>
      <c r="BA109" s="17"/>
      <c r="BB109" s="52"/>
      <c r="BC109" s="17"/>
      <c r="BD109" s="247"/>
      <c r="BE109" s="247"/>
      <c r="BF109" s="247"/>
      <c r="BG109" s="17"/>
      <c r="BH109" s="17"/>
      <c r="BI109" s="17"/>
      <c r="BJ109" s="247">
        <v>369000</v>
      </c>
      <c r="BK109" s="247">
        <f t="shared" si="33"/>
        <v>70110</v>
      </c>
      <c r="BL109" s="247">
        <f t="shared" si="34"/>
        <v>439110</v>
      </c>
      <c r="BM109" s="190" t="s">
        <v>375</v>
      </c>
      <c r="BN109" s="190" t="s">
        <v>316</v>
      </c>
      <c r="BO109" s="17"/>
      <c r="BP109" s="247">
        <v>396000</v>
      </c>
      <c r="BQ109" s="247">
        <f t="shared" ref="BQ109:BQ152" si="38">+BP109*19%</f>
        <v>75240</v>
      </c>
      <c r="BR109" s="247">
        <f t="shared" ref="BR109:BR159" si="39">+BQ109+BP109</f>
        <v>471240</v>
      </c>
      <c r="BS109" s="17"/>
      <c r="BT109" s="17"/>
      <c r="BU109" s="17"/>
      <c r="BV109" s="195">
        <v>403064.23499999999</v>
      </c>
      <c r="BW109" s="195">
        <f>+BV109*0.19</f>
        <v>76582.20465</v>
      </c>
      <c r="BX109" s="246">
        <f>+BV109+BW109</f>
        <v>479646.43964999996</v>
      </c>
      <c r="BY109" s="190" t="s">
        <v>375</v>
      </c>
      <c r="BZ109" s="190" t="s">
        <v>316</v>
      </c>
      <c r="CA109" s="190"/>
      <c r="CB109" s="247"/>
      <c r="CC109" s="247"/>
      <c r="CD109" s="247"/>
      <c r="CE109" s="17"/>
      <c r="CF109" s="17"/>
      <c r="CG109" s="17"/>
      <c r="CH109" s="247"/>
      <c r="CI109" s="247"/>
      <c r="CJ109" s="247"/>
      <c r="CK109" s="17"/>
      <c r="CL109" s="17"/>
      <c r="CM109" s="17"/>
      <c r="CN109" s="17"/>
      <c r="CO109" s="17"/>
      <c r="CP109" s="11"/>
      <c r="CQ109" s="11"/>
      <c r="CR109" s="11"/>
      <c r="CS109" s="11"/>
      <c r="CT109" s="247"/>
      <c r="CU109" s="247"/>
      <c r="CV109" s="247"/>
      <c r="CW109" s="11"/>
      <c r="CX109" s="11"/>
      <c r="CY109" s="11"/>
      <c r="CZ109" s="11"/>
      <c r="DA109" s="11"/>
      <c r="DB109" s="11"/>
      <c r="DC109" s="11"/>
      <c r="DD109" s="11"/>
      <c r="DE109" s="11"/>
      <c r="DF109" s="11"/>
      <c r="DG109" s="11"/>
      <c r="DH109" s="11"/>
      <c r="DI109" s="11"/>
      <c r="DJ109" s="11"/>
      <c r="DK109" s="11"/>
      <c r="DL109" s="247"/>
      <c r="DM109" s="247"/>
      <c r="DN109" s="247"/>
      <c r="DO109" s="247"/>
      <c r="DP109" s="247"/>
      <c r="DQ109" s="247"/>
      <c r="DR109" s="247"/>
      <c r="DS109" s="247"/>
      <c r="DT109" s="247"/>
      <c r="DU109" s="247"/>
      <c r="DV109" s="247"/>
      <c r="DW109" s="247"/>
      <c r="DX109" s="247"/>
      <c r="DY109" s="247"/>
      <c r="DZ109" s="247"/>
      <c r="EA109" s="247"/>
      <c r="EB109" s="247"/>
      <c r="EC109" s="247"/>
      <c r="ED109" s="17">
        <f t="shared" si="36"/>
        <v>1778987.2096500001</v>
      </c>
      <c r="EE109" s="29">
        <f t="shared" si="37"/>
        <v>6</v>
      </c>
      <c r="EF109" s="17">
        <f t="shared" si="35"/>
        <v>296497.86827500002</v>
      </c>
    </row>
    <row r="110" spans="1:136" ht="25.5" x14ac:dyDescent="0.25">
      <c r="A110" s="25">
        <f>Distribución_Elementos!A110</f>
        <v>108</v>
      </c>
      <c r="B110" s="22" t="str">
        <f>Distribución_Elementos!B110</f>
        <v>Caneca de bioseguridad con tapa pedal médica pedal para 10 litros blanca para vidrio</v>
      </c>
      <c r="C110" s="22" t="str">
        <f>Distribución_Elementos!C110</f>
        <v>Estra o equivalente</v>
      </c>
      <c r="D110" s="22" t="str">
        <f>Distribución_Elementos!D110</f>
        <v>Unidad</v>
      </c>
      <c r="E110" s="224">
        <v>1</v>
      </c>
      <c r="F110" s="221">
        <v>71400</v>
      </c>
      <c r="G110" s="221">
        <v>71400</v>
      </c>
      <c r="H110" s="221">
        <v>72216.340000000011</v>
      </c>
      <c r="I110" s="221">
        <v>72114</v>
      </c>
      <c r="J110" s="221">
        <v>70210</v>
      </c>
      <c r="K110" s="221">
        <v>70210</v>
      </c>
      <c r="L110" s="247">
        <f>AVERAGE(F110,H110,J110)</f>
        <v>71275.44666666667</v>
      </c>
      <c r="M110" s="247">
        <f>AVERAGE(G110,I110,K110)*E1</f>
        <v>73378.573333333334</v>
      </c>
      <c r="N110" s="227">
        <v>55000</v>
      </c>
      <c r="O110" s="119">
        <f>+N110*0.19</f>
        <v>10450</v>
      </c>
      <c r="P110" s="119">
        <f>+N110+O110</f>
        <v>65450</v>
      </c>
      <c r="Q110" s="115"/>
      <c r="R110" s="115"/>
      <c r="S110" s="11"/>
      <c r="T110" s="247"/>
      <c r="U110" s="247"/>
      <c r="V110" s="247"/>
      <c r="W110" s="17"/>
      <c r="X110" s="11"/>
      <c r="Y110" s="11"/>
      <c r="Z110" s="247"/>
      <c r="AA110" s="247"/>
      <c r="AB110" s="247"/>
      <c r="AC110" s="44"/>
      <c r="AD110" s="22"/>
      <c r="AE110" s="17"/>
      <c r="AF110" s="247"/>
      <c r="AG110" s="247"/>
      <c r="AH110" s="151"/>
      <c r="AI110" s="4"/>
      <c r="AJ110" s="17"/>
      <c r="AK110" s="17"/>
      <c r="AL110" s="102">
        <v>84538</v>
      </c>
      <c r="AM110" s="132">
        <f>+AL110*0.19</f>
        <v>16062.22</v>
      </c>
      <c r="AN110" s="132">
        <f>+AL110+AM110</f>
        <v>100600.22</v>
      </c>
      <c r="AO110" s="115" t="s">
        <v>1542</v>
      </c>
      <c r="AP110" s="115" t="s">
        <v>1543</v>
      </c>
      <c r="AQ110" s="17"/>
      <c r="AR110" s="247">
        <v>65000</v>
      </c>
      <c r="AS110" s="247">
        <f>+AR110*0.19</f>
        <v>12350</v>
      </c>
      <c r="AT110" s="247">
        <f>+AR110+AS110</f>
        <v>77350</v>
      </c>
      <c r="AU110" s="17"/>
      <c r="AV110" s="17"/>
      <c r="AW110" s="17"/>
      <c r="AX110" s="247"/>
      <c r="AY110" s="247"/>
      <c r="AZ110" s="247"/>
      <c r="BA110" s="17"/>
      <c r="BB110" s="52"/>
      <c r="BC110" s="17"/>
      <c r="BD110" s="247"/>
      <c r="BE110" s="247"/>
      <c r="BF110" s="247"/>
      <c r="BG110" s="17"/>
      <c r="BH110" s="17"/>
      <c r="BI110" s="17"/>
      <c r="BJ110" s="247">
        <v>78656</v>
      </c>
      <c r="BK110" s="247">
        <f t="shared" si="33"/>
        <v>14944.64</v>
      </c>
      <c r="BL110" s="247">
        <f t="shared" si="34"/>
        <v>93600.639999999999</v>
      </c>
      <c r="BM110" s="190" t="s">
        <v>375</v>
      </c>
      <c r="BN110" s="190" t="s">
        <v>1537</v>
      </c>
      <c r="BO110" s="17"/>
      <c r="BP110" s="247">
        <v>56000</v>
      </c>
      <c r="BQ110" s="247">
        <f t="shared" si="38"/>
        <v>10640</v>
      </c>
      <c r="BR110" s="247">
        <f t="shared" si="39"/>
        <v>66640</v>
      </c>
      <c r="BS110" s="17"/>
      <c r="BT110" s="17"/>
      <c r="BU110" s="17"/>
      <c r="BV110" s="195">
        <v>93622.663680000012</v>
      </c>
      <c r="BW110" s="195">
        <f>+BV110*0.19</f>
        <v>17788.306099200003</v>
      </c>
      <c r="BX110" s="246">
        <f>+BV110+BW110</f>
        <v>111410.96977920001</v>
      </c>
      <c r="BY110" s="190" t="s">
        <v>375</v>
      </c>
      <c r="BZ110" s="190" t="s">
        <v>1537</v>
      </c>
      <c r="CA110" s="190"/>
      <c r="CB110" s="247"/>
      <c r="CC110" s="247"/>
      <c r="CD110" s="247"/>
      <c r="CE110" s="17"/>
      <c r="CF110" s="17"/>
      <c r="CG110" s="17"/>
      <c r="CH110" s="247"/>
      <c r="CI110" s="247"/>
      <c r="CJ110" s="247"/>
      <c r="CK110" s="17"/>
      <c r="CL110" s="17"/>
      <c r="CM110" s="17"/>
      <c r="CN110" s="17"/>
      <c r="CO110" s="17"/>
      <c r="CP110" s="11"/>
      <c r="CQ110" s="11"/>
      <c r="CR110" s="11"/>
      <c r="CS110" s="11"/>
      <c r="CT110" s="247"/>
      <c r="CU110" s="247"/>
      <c r="CV110" s="247"/>
      <c r="CW110" s="11"/>
      <c r="CX110" s="11"/>
      <c r="CY110" s="11"/>
      <c r="CZ110" s="11"/>
      <c r="DA110" s="11"/>
      <c r="DB110" s="11"/>
      <c r="DC110" s="11"/>
      <c r="DD110" s="11"/>
      <c r="DE110" s="11"/>
      <c r="DF110" s="11"/>
      <c r="DG110" s="11"/>
      <c r="DH110" s="11"/>
      <c r="DI110" s="11"/>
      <c r="DJ110" s="11"/>
      <c r="DK110" s="11"/>
      <c r="DL110" s="247"/>
      <c r="DM110" s="247"/>
      <c r="DN110" s="247"/>
      <c r="DO110" s="247"/>
      <c r="DP110" s="247"/>
      <c r="DQ110" s="247"/>
      <c r="DR110" s="247"/>
      <c r="DS110" s="247"/>
      <c r="DT110" s="247"/>
      <c r="DU110" s="247"/>
      <c r="DV110" s="247"/>
      <c r="DW110" s="247"/>
      <c r="DX110" s="247"/>
      <c r="DY110" s="247"/>
      <c r="DZ110" s="247"/>
      <c r="EA110" s="247"/>
      <c r="EB110" s="247"/>
      <c r="EC110" s="247"/>
      <c r="ED110" s="17">
        <f t="shared" si="36"/>
        <v>588430.40311253339</v>
      </c>
      <c r="EE110" s="29">
        <f t="shared" si="37"/>
        <v>7</v>
      </c>
      <c r="EF110" s="17">
        <f t="shared" si="35"/>
        <v>84061.486158933345</v>
      </c>
    </row>
    <row r="111" spans="1:136" ht="25.5" x14ac:dyDescent="0.25">
      <c r="A111" s="25">
        <f>Distribución_Elementos!A111</f>
        <v>109</v>
      </c>
      <c r="B111" s="22" t="str">
        <f>Distribución_Elementos!B111</f>
        <v>Caneca de bioseguridad con tapa pedal médica pedal para 10 litros roja riesgo biològico</v>
      </c>
      <c r="C111" s="22" t="str">
        <f>Distribución_Elementos!C111</f>
        <v>Estra o equivalente</v>
      </c>
      <c r="D111" s="22" t="str">
        <f>Distribución_Elementos!D111</f>
        <v>Unidad</v>
      </c>
      <c r="E111" s="224">
        <v>1</v>
      </c>
      <c r="F111" s="221">
        <v>71400</v>
      </c>
      <c r="G111" s="221">
        <v>71400</v>
      </c>
      <c r="H111" s="221">
        <v>72216.340000000011</v>
      </c>
      <c r="I111" s="221">
        <v>0</v>
      </c>
      <c r="J111" s="221">
        <v>69585.25</v>
      </c>
      <c r="K111" s="221">
        <v>69020</v>
      </c>
      <c r="L111" s="247">
        <f>AVERAGE(F111,H111,J111)</f>
        <v>71067.19666666667</v>
      </c>
      <c r="M111" s="247">
        <f>AVERAGE(G111,K111)*E1</f>
        <v>72316.3</v>
      </c>
      <c r="N111" s="227">
        <v>55000</v>
      </c>
      <c r="O111" s="119">
        <f>+N111*0.19</f>
        <v>10450</v>
      </c>
      <c r="P111" s="119">
        <f>+N111+O111</f>
        <v>65450</v>
      </c>
      <c r="Q111" s="115"/>
      <c r="R111" s="115"/>
      <c r="S111" s="11"/>
      <c r="T111" s="247"/>
      <c r="U111" s="247"/>
      <c r="V111" s="247"/>
      <c r="W111" s="17"/>
      <c r="X111" s="11"/>
      <c r="Y111" s="11"/>
      <c r="Z111" s="247"/>
      <c r="AA111" s="247"/>
      <c r="AB111" s="247"/>
      <c r="AC111" s="44"/>
      <c r="AD111" s="22"/>
      <c r="AE111" s="17"/>
      <c r="AF111" s="247"/>
      <c r="AG111" s="247"/>
      <c r="AH111" s="151"/>
      <c r="AI111" s="4"/>
      <c r="AJ111" s="17"/>
      <c r="AK111" s="17"/>
      <c r="AL111" s="102"/>
      <c r="AM111" s="132"/>
      <c r="AN111" s="161"/>
      <c r="AO111" s="115"/>
      <c r="AP111" s="115"/>
      <c r="AQ111" s="17"/>
      <c r="AR111" s="247"/>
      <c r="AS111" s="247"/>
      <c r="AT111" s="247"/>
      <c r="AU111" s="17"/>
      <c r="AV111" s="17"/>
      <c r="AW111" s="17"/>
      <c r="AX111" s="247"/>
      <c r="AY111" s="247"/>
      <c r="AZ111" s="247"/>
      <c r="BA111" s="17"/>
      <c r="BB111" s="52"/>
      <c r="BC111" s="17"/>
      <c r="BD111" s="247"/>
      <c r="BE111" s="247"/>
      <c r="BF111" s="247"/>
      <c r="BG111" s="17"/>
      <c r="BH111" s="17"/>
      <c r="BI111" s="17"/>
      <c r="BJ111" s="247">
        <v>67000</v>
      </c>
      <c r="BK111" s="247">
        <f>+BJ111*0</f>
        <v>0</v>
      </c>
      <c r="BL111" s="247">
        <f t="shared" si="34"/>
        <v>67000</v>
      </c>
      <c r="BM111" s="190" t="s">
        <v>375</v>
      </c>
      <c r="BN111" s="190" t="s">
        <v>1537</v>
      </c>
      <c r="BO111" s="17"/>
      <c r="BP111" s="247">
        <v>56000</v>
      </c>
      <c r="BQ111" s="247">
        <f t="shared" si="38"/>
        <v>10640</v>
      </c>
      <c r="BR111" s="247">
        <f t="shared" si="39"/>
        <v>66640</v>
      </c>
      <c r="BS111" s="17"/>
      <c r="BT111" s="17"/>
      <c r="BU111" s="17"/>
      <c r="BV111" s="195">
        <v>79038.225000000006</v>
      </c>
      <c r="BW111" s="198">
        <f>+BV111*0</f>
        <v>0</v>
      </c>
      <c r="BX111" s="246">
        <f t="shared" ref="BX111:BX116" si="40">+BV111+BW111</f>
        <v>79038.225000000006</v>
      </c>
      <c r="BY111" s="190" t="s">
        <v>375</v>
      </c>
      <c r="BZ111" s="190" t="s">
        <v>1537</v>
      </c>
      <c r="CA111" s="190"/>
      <c r="CB111" s="247"/>
      <c r="CC111" s="247"/>
      <c r="CD111" s="247"/>
      <c r="CE111" s="17"/>
      <c r="CF111" s="17"/>
      <c r="CG111" s="17"/>
      <c r="CH111" s="247"/>
      <c r="CI111" s="247"/>
      <c r="CJ111" s="247"/>
      <c r="CK111" s="17"/>
      <c r="CL111" s="17"/>
      <c r="CM111" s="17"/>
      <c r="CN111" s="17"/>
      <c r="CO111" s="17"/>
      <c r="CP111" s="11"/>
      <c r="CQ111" s="11"/>
      <c r="CR111" s="11"/>
      <c r="CS111" s="11"/>
      <c r="CT111" s="247"/>
      <c r="CU111" s="247"/>
      <c r="CV111" s="247"/>
      <c r="CW111" s="11"/>
      <c r="CX111" s="11"/>
      <c r="CY111" s="11"/>
      <c r="CZ111" s="11"/>
      <c r="DA111" s="11"/>
      <c r="DB111" s="11"/>
      <c r="DC111" s="11"/>
      <c r="DD111" s="11"/>
      <c r="DE111" s="11"/>
      <c r="DF111" s="11"/>
      <c r="DG111" s="11"/>
      <c r="DH111" s="11"/>
      <c r="DI111" s="11"/>
      <c r="DJ111" s="11"/>
      <c r="DK111" s="11"/>
      <c r="DL111" s="247"/>
      <c r="DM111" s="247"/>
      <c r="DN111" s="247"/>
      <c r="DO111" s="247"/>
      <c r="DP111" s="247"/>
      <c r="DQ111" s="247"/>
      <c r="DR111" s="247"/>
      <c r="DS111" s="247"/>
      <c r="DT111" s="247"/>
      <c r="DU111" s="247"/>
      <c r="DV111" s="247"/>
      <c r="DW111" s="247"/>
      <c r="DX111" s="247"/>
      <c r="DY111" s="247"/>
      <c r="DZ111" s="247"/>
      <c r="EA111" s="247"/>
      <c r="EB111" s="247"/>
      <c r="EC111" s="247"/>
      <c r="ED111" s="17">
        <f t="shared" si="36"/>
        <v>350444.52500000002</v>
      </c>
      <c r="EE111" s="29">
        <f t="shared" si="37"/>
        <v>5</v>
      </c>
      <c r="EF111" s="17">
        <f t="shared" si="35"/>
        <v>70088.904999999999</v>
      </c>
    </row>
    <row r="112" spans="1:136" ht="25.5" x14ac:dyDescent="0.25">
      <c r="A112" s="25">
        <f>Distribución_Elementos!A112</f>
        <v>110</v>
      </c>
      <c r="B112" s="22" t="str">
        <f>Distribución_Elementos!B112</f>
        <v>Caneca de bioseguridad con tapa pedal médica pedal para 20 litros roja riesgo biològico</v>
      </c>
      <c r="C112" s="22" t="str">
        <f>Distribución_Elementos!C112</f>
        <v>Estra o equivalente</v>
      </c>
      <c r="D112" s="22" t="str">
        <f>Distribución_Elementos!D112</f>
        <v>Unidad</v>
      </c>
      <c r="E112" s="224">
        <v>1</v>
      </c>
      <c r="F112" s="221">
        <v>83300</v>
      </c>
      <c r="G112" s="221">
        <v>81158</v>
      </c>
      <c r="H112" s="221">
        <v>85497.239799999996</v>
      </c>
      <c r="I112" s="221">
        <v>0</v>
      </c>
      <c r="J112" s="221">
        <v>76457.5</v>
      </c>
      <c r="K112" s="221">
        <v>76160</v>
      </c>
      <c r="L112" s="247">
        <f>AVERAGE(F112,H112,J112)</f>
        <v>81751.579933333327</v>
      </c>
      <c r="M112" s="247">
        <f>AVERAGE(G112,K112)*E1</f>
        <v>81018.77</v>
      </c>
      <c r="N112" s="227">
        <v>55000</v>
      </c>
      <c r="O112" s="119">
        <f>+N112*0.19</f>
        <v>10450</v>
      </c>
      <c r="P112" s="119">
        <f>+N112+O112</f>
        <v>65450</v>
      </c>
      <c r="Q112" s="115"/>
      <c r="R112" s="115"/>
      <c r="S112" s="11"/>
      <c r="T112" s="247"/>
      <c r="U112" s="247"/>
      <c r="V112" s="247"/>
      <c r="W112" s="17"/>
      <c r="X112" s="11"/>
      <c r="Y112" s="11"/>
      <c r="Z112" s="247"/>
      <c r="AA112" s="247"/>
      <c r="AB112" s="247"/>
      <c r="AC112" s="44"/>
      <c r="AD112" s="22"/>
      <c r="AE112" s="17"/>
      <c r="AF112" s="247"/>
      <c r="AG112" s="247"/>
      <c r="AH112" s="151"/>
      <c r="AI112" s="22"/>
      <c r="AJ112" s="17"/>
      <c r="AK112" s="17"/>
      <c r="AL112" s="102"/>
      <c r="AM112" s="132"/>
      <c r="AN112" s="161"/>
      <c r="AO112" s="115"/>
      <c r="AP112" s="115"/>
      <c r="AQ112" s="17"/>
      <c r="AR112" s="247">
        <v>58000</v>
      </c>
      <c r="AS112" s="247">
        <f>+AR112*0.19</f>
        <v>11020</v>
      </c>
      <c r="AT112" s="247">
        <f>+AR112+AS112</f>
        <v>69020</v>
      </c>
      <c r="AU112" s="17"/>
      <c r="AV112" s="17"/>
      <c r="AW112" s="17"/>
      <c r="AX112" s="247"/>
      <c r="AY112" s="247"/>
      <c r="AZ112" s="247"/>
      <c r="BA112" s="17"/>
      <c r="BB112" s="52"/>
      <c r="BC112" s="17"/>
      <c r="BD112" s="247"/>
      <c r="BE112" s="247"/>
      <c r="BF112" s="247"/>
      <c r="BG112" s="17"/>
      <c r="BH112" s="17"/>
      <c r="BI112" s="17"/>
      <c r="BJ112" s="247">
        <v>108800</v>
      </c>
      <c r="BK112" s="247">
        <f t="shared" si="33"/>
        <v>20672</v>
      </c>
      <c r="BL112" s="247">
        <f t="shared" si="34"/>
        <v>129472</v>
      </c>
      <c r="BM112" s="190" t="s">
        <v>375</v>
      </c>
      <c r="BN112" s="190" t="s">
        <v>1544</v>
      </c>
      <c r="BO112" s="17"/>
      <c r="BP112" s="247">
        <v>72000</v>
      </c>
      <c r="BQ112" s="247">
        <f t="shared" si="38"/>
        <v>13680</v>
      </c>
      <c r="BR112" s="247">
        <f t="shared" si="39"/>
        <v>85680</v>
      </c>
      <c r="BS112" s="17"/>
      <c r="BT112" s="17"/>
      <c r="BU112" s="17"/>
      <c r="BV112" s="195">
        <v>123516.28800000002</v>
      </c>
      <c r="BW112" s="195">
        <f>+BV112*0.19</f>
        <v>23468.094720000005</v>
      </c>
      <c r="BX112" s="246">
        <f t="shared" si="40"/>
        <v>146984.38272000002</v>
      </c>
      <c r="BY112" s="190" t="s">
        <v>375</v>
      </c>
      <c r="BZ112" s="190" t="s">
        <v>1544</v>
      </c>
      <c r="CA112" s="190"/>
      <c r="CB112" s="247"/>
      <c r="CC112" s="247"/>
      <c r="CD112" s="247"/>
      <c r="CE112" s="17"/>
      <c r="CF112" s="17"/>
      <c r="CG112" s="17"/>
      <c r="CH112" s="247"/>
      <c r="CI112" s="247"/>
      <c r="CJ112" s="247"/>
      <c r="CK112" s="17"/>
      <c r="CL112" s="17"/>
      <c r="CM112" s="17"/>
      <c r="CN112" s="17"/>
      <c r="CO112" s="17"/>
      <c r="CP112" s="11"/>
      <c r="CQ112" s="11"/>
      <c r="CR112" s="11"/>
      <c r="CS112" s="11"/>
      <c r="CT112" s="247"/>
      <c r="CU112" s="247"/>
      <c r="CV112" s="247"/>
      <c r="CW112" s="11"/>
      <c r="CX112" s="11"/>
      <c r="CY112" s="11"/>
      <c r="CZ112" s="11"/>
      <c r="DA112" s="11"/>
      <c r="DB112" s="11"/>
      <c r="DC112" s="11"/>
      <c r="DD112" s="11"/>
      <c r="DE112" s="11"/>
      <c r="DF112" s="11"/>
      <c r="DG112" s="11"/>
      <c r="DH112" s="11"/>
      <c r="DI112" s="11"/>
      <c r="DJ112" s="11"/>
      <c r="DK112" s="11"/>
      <c r="DL112" s="247"/>
      <c r="DM112" s="247"/>
      <c r="DN112" s="247"/>
      <c r="DO112" s="247"/>
      <c r="DP112" s="247"/>
      <c r="DQ112" s="247"/>
      <c r="DR112" s="247"/>
      <c r="DS112" s="247"/>
      <c r="DT112" s="247"/>
      <c r="DU112" s="247"/>
      <c r="DV112" s="247"/>
      <c r="DW112" s="247"/>
      <c r="DX112" s="247"/>
      <c r="DY112" s="247"/>
      <c r="DZ112" s="247"/>
      <c r="EA112" s="247"/>
      <c r="EB112" s="247"/>
      <c r="EC112" s="247"/>
      <c r="ED112" s="17">
        <f t="shared" si="36"/>
        <v>577625.15272000001</v>
      </c>
      <c r="EE112" s="29">
        <f t="shared" si="37"/>
        <v>6</v>
      </c>
      <c r="EF112" s="17">
        <f t="shared" si="35"/>
        <v>96270.858786666664</v>
      </c>
    </row>
    <row r="113" spans="1:136" x14ac:dyDescent="0.25">
      <c r="A113" s="25">
        <f>Distribución_Elementos!A113</f>
        <v>111</v>
      </c>
      <c r="B113" s="22" t="str">
        <f>Distribución_Elementos!B113</f>
        <v>Careta de pieza facial de media cara en silicona</v>
      </c>
      <c r="C113" s="22" t="str">
        <f>Distribución_Elementos!C113</f>
        <v>3M 7502</v>
      </c>
      <c r="D113" s="22" t="str">
        <f>Distribución_Elementos!D113</f>
        <v>Unidad</v>
      </c>
      <c r="E113" s="224">
        <v>1</v>
      </c>
      <c r="F113" s="221">
        <v>0</v>
      </c>
      <c r="G113" s="221">
        <v>0</v>
      </c>
      <c r="H113" s="221">
        <v>162644.83666666667</v>
      </c>
      <c r="I113" s="221">
        <v>0</v>
      </c>
      <c r="J113" s="221">
        <v>141967</v>
      </c>
      <c r="K113" s="221">
        <v>136850</v>
      </c>
      <c r="L113" s="247">
        <f>AVERAGE(H113,J113)</f>
        <v>152305.91833333333</v>
      </c>
      <c r="M113" s="247">
        <f>K113*E1</f>
        <v>140955.5</v>
      </c>
      <c r="N113" s="227">
        <v>150000</v>
      </c>
      <c r="O113" s="119">
        <f>+N113*0.19</f>
        <v>28500</v>
      </c>
      <c r="P113" s="119">
        <f>+N113+O113</f>
        <v>178500</v>
      </c>
      <c r="Q113" s="115"/>
      <c r="R113" s="115"/>
      <c r="S113" s="11"/>
      <c r="T113" s="247"/>
      <c r="U113" s="247"/>
      <c r="V113" s="247"/>
      <c r="W113" s="17"/>
      <c r="X113" s="11"/>
      <c r="Y113" s="11"/>
      <c r="Z113" s="247"/>
      <c r="AA113" s="247"/>
      <c r="AB113" s="247"/>
      <c r="AC113" s="44"/>
      <c r="AD113" s="22"/>
      <c r="AE113" s="17"/>
      <c r="AF113" s="247"/>
      <c r="AG113" s="247"/>
      <c r="AH113" s="151"/>
      <c r="AI113" s="4"/>
      <c r="AJ113" s="17"/>
      <c r="AK113" s="17"/>
      <c r="AL113" s="102">
        <v>82170</v>
      </c>
      <c r="AM113" s="132">
        <f>+AL113*0.19</f>
        <v>15612.300000000001</v>
      </c>
      <c r="AN113" s="132">
        <f>+AL113+AM113</f>
        <v>97782.3</v>
      </c>
      <c r="AO113" s="115" t="s">
        <v>1545</v>
      </c>
      <c r="AP113" s="115"/>
      <c r="AQ113" s="17"/>
      <c r="AR113" s="247"/>
      <c r="AS113" s="247"/>
      <c r="AT113" s="247"/>
      <c r="AU113" s="17"/>
      <c r="AV113" s="17"/>
      <c r="AW113" s="17"/>
      <c r="AX113" s="247"/>
      <c r="AY113" s="247"/>
      <c r="AZ113" s="247"/>
      <c r="BA113" s="17"/>
      <c r="BB113" s="52"/>
      <c r="BC113" s="17"/>
      <c r="BD113" s="247"/>
      <c r="BE113" s="247"/>
      <c r="BF113" s="247"/>
      <c r="BG113" s="17"/>
      <c r="BH113" s="17"/>
      <c r="BI113" s="17"/>
      <c r="BJ113" s="247">
        <v>143400</v>
      </c>
      <c r="BK113" s="247">
        <f>+BJ113*0</f>
        <v>0</v>
      </c>
      <c r="BL113" s="247">
        <f t="shared" si="34"/>
        <v>143400</v>
      </c>
      <c r="BM113" s="190" t="s">
        <v>375</v>
      </c>
      <c r="BN113" s="190" t="s">
        <v>1546</v>
      </c>
      <c r="BO113" s="17"/>
      <c r="BP113" s="247">
        <v>96000</v>
      </c>
      <c r="BQ113" s="247">
        <f t="shared" si="38"/>
        <v>18240</v>
      </c>
      <c r="BR113" s="247">
        <f t="shared" si="39"/>
        <v>114240</v>
      </c>
      <c r="BS113" s="17"/>
      <c r="BT113" s="17"/>
      <c r="BU113" s="17"/>
      <c r="BV113" s="195">
        <v>164407.5264</v>
      </c>
      <c r="BW113" s="198">
        <f>+BV113*0</f>
        <v>0</v>
      </c>
      <c r="BX113" s="246">
        <f t="shared" si="40"/>
        <v>164407.5264</v>
      </c>
      <c r="BY113" s="190" t="s">
        <v>375</v>
      </c>
      <c r="BZ113" s="190" t="s">
        <v>1546</v>
      </c>
      <c r="CA113" s="190"/>
      <c r="CB113" s="247"/>
      <c r="CC113" s="247"/>
      <c r="CD113" s="247"/>
      <c r="CE113" s="17"/>
      <c r="CF113" s="17"/>
      <c r="CG113" s="17"/>
      <c r="CH113" s="247"/>
      <c r="CI113" s="247"/>
      <c r="CJ113" s="247"/>
      <c r="CK113" s="17"/>
      <c r="CL113" s="17"/>
      <c r="CM113" s="17"/>
      <c r="CN113" s="17"/>
      <c r="CO113" s="17"/>
      <c r="CP113" s="11"/>
      <c r="CQ113" s="11"/>
      <c r="CR113" s="11"/>
      <c r="CS113" s="11"/>
      <c r="CT113" s="247"/>
      <c r="CU113" s="247"/>
      <c r="CV113" s="247"/>
      <c r="CW113" s="11"/>
      <c r="CX113" s="11"/>
      <c r="CY113" s="11"/>
      <c r="CZ113" s="11"/>
      <c r="DA113" s="11"/>
      <c r="DB113" s="11"/>
      <c r="DC113" s="11"/>
      <c r="DD113" s="11"/>
      <c r="DE113" s="11"/>
      <c r="DF113" s="11"/>
      <c r="DG113" s="11"/>
      <c r="DH113" s="11"/>
      <c r="DI113" s="11"/>
      <c r="DJ113" s="11"/>
      <c r="DK113" s="11"/>
      <c r="DL113" s="247"/>
      <c r="DM113" s="247"/>
      <c r="DN113" s="247"/>
      <c r="DO113" s="247"/>
      <c r="DP113" s="247"/>
      <c r="DQ113" s="247"/>
      <c r="DR113" s="247"/>
      <c r="DS113" s="247"/>
      <c r="DT113" s="247"/>
      <c r="DU113" s="247"/>
      <c r="DV113" s="247"/>
      <c r="DW113" s="247"/>
      <c r="DX113" s="247"/>
      <c r="DY113" s="247"/>
      <c r="DZ113" s="247"/>
      <c r="EA113" s="247"/>
      <c r="EB113" s="247"/>
      <c r="EC113" s="247"/>
      <c r="ED113" s="17">
        <f t="shared" si="36"/>
        <v>839285.32640000002</v>
      </c>
      <c r="EE113" s="29">
        <f t="shared" si="37"/>
        <v>6</v>
      </c>
      <c r="EF113" s="17">
        <f t="shared" si="35"/>
        <v>139880.88773333334</v>
      </c>
    </row>
    <row r="114" spans="1:136" ht="25.5" x14ac:dyDescent="0.25">
      <c r="A114" s="25">
        <f>Distribución_Elementos!A114</f>
        <v>112</v>
      </c>
      <c r="B114" s="22" t="str">
        <f>Distribución_Elementos!B114</f>
        <v xml:space="preserve">Careta para protección de salpicaduras de liquidos en laboratorio, en policarbonato, largo 21,6cm. </v>
      </c>
      <c r="C114" s="22" t="str">
        <f>Distribución_Elementos!C114</f>
        <v>FisherBrand 18-999-4542 o equivalente</v>
      </c>
      <c r="D114" s="22" t="str">
        <f>Distribución_Elementos!D114</f>
        <v>Unidad</v>
      </c>
      <c r="E114" s="224">
        <v>1</v>
      </c>
      <c r="F114" s="221">
        <v>1286271</v>
      </c>
      <c r="G114" s="221">
        <v>119000</v>
      </c>
      <c r="H114" s="221">
        <v>87833.900000000009</v>
      </c>
      <c r="I114" s="221">
        <v>0</v>
      </c>
      <c r="J114" s="221">
        <v>124950</v>
      </c>
      <c r="K114" s="221">
        <v>0</v>
      </c>
      <c r="L114" s="247">
        <f>AVERAGE(F114,H114,J114)</f>
        <v>499684.96666666662</v>
      </c>
      <c r="M114" s="247">
        <f>G114*E1</f>
        <v>122570</v>
      </c>
      <c r="N114" s="227"/>
      <c r="O114" s="119"/>
      <c r="P114" s="119"/>
      <c r="Q114" s="115"/>
      <c r="R114" s="115"/>
      <c r="S114" s="11"/>
      <c r="T114" s="247"/>
      <c r="U114" s="247"/>
      <c r="V114" s="247"/>
      <c r="W114" s="17"/>
      <c r="X114" s="11"/>
      <c r="Y114" s="11"/>
      <c r="Z114" s="247"/>
      <c r="AA114" s="247"/>
      <c r="AB114" s="247"/>
      <c r="AC114" s="44"/>
      <c r="AD114" s="22"/>
      <c r="AE114" s="17"/>
      <c r="AF114" s="247"/>
      <c r="AG114" s="247"/>
      <c r="AH114" s="151"/>
      <c r="AI114" s="4"/>
      <c r="AJ114" s="17"/>
      <c r="AK114" s="17"/>
      <c r="AL114" s="102"/>
      <c r="AM114" s="132"/>
      <c r="AN114" s="161"/>
      <c r="AO114" s="115"/>
      <c r="AP114" s="115"/>
      <c r="AQ114" s="17"/>
      <c r="AR114" s="247"/>
      <c r="AS114" s="247"/>
      <c r="AT114" s="247"/>
      <c r="AU114" s="17"/>
      <c r="AV114" s="17"/>
      <c r="AW114" s="17"/>
      <c r="AX114" s="247"/>
      <c r="AY114" s="247"/>
      <c r="AZ114" s="247"/>
      <c r="BA114" s="17"/>
      <c r="BB114" s="52"/>
      <c r="BC114" s="17"/>
      <c r="BD114" s="247"/>
      <c r="BE114" s="247"/>
      <c r="BF114" s="247"/>
      <c r="BG114" s="17"/>
      <c r="BH114" s="17"/>
      <c r="BI114" s="17"/>
      <c r="BJ114" s="247">
        <v>128700</v>
      </c>
      <c r="BK114" s="247">
        <f>+BJ114*0</f>
        <v>0</v>
      </c>
      <c r="BL114" s="247">
        <f t="shared" si="34"/>
        <v>128700</v>
      </c>
      <c r="BM114" s="191" t="s">
        <v>140</v>
      </c>
      <c r="BN114" s="190" t="s">
        <v>1547</v>
      </c>
      <c r="BO114" s="17"/>
      <c r="BP114" s="247">
        <v>165000</v>
      </c>
      <c r="BQ114" s="247">
        <f t="shared" si="38"/>
        <v>31350</v>
      </c>
      <c r="BR114" s="247">
        <f t="shared" si="39"/>
        <v>196350</v>
      </c>
      <c r="BS114" s="17"/>
      <c r="BT114" s="17"/>
      <c r="BU114" s="17"/>
      <c r="BV114" s="195">
        <v>139255.45919999998</v>
      </c>
      <c r="BW114" s="198">
        <f>+BV114*0</f>
        <v>0</v>
      </c>
      <c r="BX114" s="246">
        <f t="shared" si="40"/>
        <v>139255.45919999998</v>
      </c>
      <c r="BY114" s="191" t="s">
        <v>140</v>
      </c>
      <c r="BZ114" s="190" t="s">
        <v>1547</v>
      </c>
      <c r="CA114" s="190"/>
      <c r="CB114" s="247"/>
      <c r="CC114" s="247"/>
      <c r="CD114" s="247"/>
      <c r="CE114" s="17"/>
      <c r="CF114" s="17"/>
      <c r="CG114" s="17"/>
      <c r="CH114" s="247"/>
      <c r="CI114" s="247"/>
      <c r="CJ114" s="247"/>
      <c r="CK114" s="17"/>
      <c r="CL114" s="17"/>
      <c r="CM114" s="17"/>
      <c r="CN114" s="17"/>
      <c r="CO114" s="17"/>
      <c r="CP114" s="11"/>
      <c r="CQ114" s="11"/>
      <c r="CR114" s="11"/>
      <c r="CS114" s="11"/>
      <c r="CT114" s="247"/>
      <c r="CU114" s="247"/>
      <c r="CV114" s="247"/>
      <c r="CW114" s="11"/>
      <c r="CX114" s="11"/>
      <c r="CY114" s="11"/>
      <c r="CZ114" s="11"/>
      <c r="DA114" s="11"/>
      <c r="DB114" s="11"/>
      <c r="DC114" s="11"/>
      <c r="DD114" s="11"/>
      <c r="DE114" s="11"/>
      <c r="DF114" s="11"/>
      <c r="DG114" s="11"/>
      <c r="DH114" s="11"/>
      <c r="DI114" s="11"/>
      <c r="DJ114" s="11"/>
      <c r="DK114" s="11"/>
      <c r="DL114" s="247"/>
      <c r="DM114" s="247"/>
      <c r="DN114" s="247"/>
      <c r="DO114" s="247"/>
      <c r="DP114" s="247"/>
      <c r="DQ114" s="247"/>
      <c r="DR114" s="247"/>
      <c r="DS114" s="247"/>
      <c r="DT114" s="247"/>
      <c r="DU114" s="247"/>
      <c r="DV114" s="247"/>
      <c r="DW114" s="247"/>
      <c r="DX114" s="247"/>
      <c r="DY114" s="247"/>
      <c r="DZ114" s="247"/>
      <c r="EA114" s="247"/>
      <c r="EB114" s="247"/>
      <c r="EC114" s="247"/>
      <c r="ED114" s="17">
        <f t="shared" si="36"/>
        <v>586875.45919999992</v>
      </c>
      <c r="EE114" s="29">
        <f t="shared" si="37"/>
        <v>4</v>
      </c>
      <c r="EF114" s="17">
        <f t="shared" si="35"/>
        <v>146718.86479999998</v>
      </c>
    </row>
    <row r="115" spans="1:136" x14ac:dyDescent="0.25">
      <c r="A115" s="25">
        <f>Distribución_Elementos!A115</f>
        <v>113</v>
      </c>
      <c r="B115" s="22" t="str">
        <f>Distribución_Elementos!B115</f>
        <v>Cargador pilas AA y AAA</v>
      </c>
      <c r="C115" s="22" t="str">
        <f>Distribución_Elementos!C115</f>
        <v>Cualquier marca</v>
      </c>
      <c r="D115" s="22" t="str">
        <f>Distribución_Elementos!D115</f>
        <v>Unidad</v>
      </c>
      <c r="E115" s="224">
        <v>1</v>
      </c>
      <c r="F115" s="221">
        <v>0</v>
      </c>
      <c r="G115" s="221">
        <v>0</v>
      </c>
      <c r="H115" s="221">
        <v>75800</v>
      </c>
      <c r="I115" s="221">
        <v>75684</v>
      </c>
      <c r="J115" s="221">
        <v>75417.3</v>
      </c>
      <c r="K115" s="221">
        <v>65450</v>
      </c>
      <c r="L115" s="247">
        <f>AVERAGE(H115,J115)</f>
        <v>75608.649999999994</v>
      </c>
      <c r="M115" s="247">
        <f>AVERAGE(I115,K115)*E1</f>
        <v>72684.009999999995</v>
      </c>
      <c r="N115" s="227">
        <v>65000</v>
      </c>
      <c r="O115" s="119">
        <f>+N115*0.19</f>
        <v>12350</v>
      </c>
      <c r="P115" s="119">
        <f>+N115+O115</f>
        <v>77350</v>
      </c>
      <c r="Q115" s="115"/>
      <c r="R115" s="115"/>
      <c r="S115" s="11"/>
      <c r="T115" s="247"/>
      <c r="U115" s="247"/>
      <c r="V115" s="247"/>
      <c r="W115" s="17"/>
      <c r="X115" s="11"/>
      <c r="Y115" s="11"/>
      <c r="Z115" s="247"/>
      <c r="AA115" s="247"/>
      <c r="AB115" s="247"/>
      <c r="AC115" s="5"/>
      <c r="AD115" s="22"/>
      <c r="AE115" s="17"/>
      <c r="AF115" s="247"/>
      <c r="AG115" s="247"/>
      <c r="AH115" s="149"/>
      <c r="AI115" s="4"/>
      <c r="AJ115" s="17"/>
      <c r="AK115" s="17"/>
      <c r="AL115" s="102"/>
      <c r="AM115" s="132"/>
      <c r="AN115" s="161"/>
      <c r="AO115" s="115"/>
      <c r="AP115" s="115"/>
      <c r="AQ115" s="17"/>
      <c r="AR115" s="247"/>
      <c r="AS115" s="247"/>
      <c r="AT115" s="247"/>
      <c r="AU115" s="17"/>
      <c r="AV115" s="17"/>
      <c r="AW115" s="17"/>
      <c r="AX115" s="247"/>
      <c r="AY115" s="247"/>
      <c r="AZ115" s="247"/>
      <c r="BA115" s="17"/>
      <c r="BB115" s="52"/>
      <c r="BC115" s="17"/>
      <c r="BD115" s="247"/>
      <c r="BE115" s="247"/>
      <c r="BF115" s="247"/>
      <c r="BG115" s="17"/>
      <c r="BH115" s="17"/>
      <c r="BI115" s="17"/>
      <c r="BJ115" s="247">
        <v>524200</v>
      </c>
      <c r="BK115" s="247">
        <f t="shared" si="33"/>
        <v>99598</v>
      </c>
      <c r="BL115" s="247">
        <f t="shared" si="34"/>
        <v>623798</v>
      </c>
      <c r="BM115" s="191" t="s">
        <v>140</v>
      </c>
      <c r="BN115" s="190" t="s">
        <v>1548</v>
      </c>
      <c r="BO115" s="17"/>
      <c r="BP115" s="247">
        <v>45600</v>
      </c>
      <c r="BQ115" s="247">
        <f t="shared" si="38"/>
        <v>8664</v>
      </c>
      <c r="BR115" s="247">
        <f t="shared" si="39"/>
        <v>54264</v>
      </c>
      <c r="BS115" s="17"/>
      <c r="BT115" s="17"/>
      <c r="BU115" s="17"/>
      <c r="BV115" s="195">
        <v>583767.99120000005</v>
      </c>
      <c r="BW115" s="195">
        <f>+BV115*0.19</f>
        <v>110915.91832800001</v>
      </c>
      <c r="BX115" s="246">
        <f t="shared" si="40"/>
        <v>694683.90952800005</v>
      </c>
      <c r="BY115" s="191" t="s">
        <v>140</v>
      </c>
      <c r="BZ115" s="190" t="s">
        <v>1548</v>
      </c>
      <c r="CA115" s="190"/>
      <c r="CB115" s="247"/>
      <c r="CC115" s="247"/>
      <c r="CD115" s="247"/>
      <c r="CE115" s="17"/>
      <c r="CF115" s="17"/>
      <c r="CG115" s="17"/>
      <c r="CH115" s="247"/>
      <c r="CI115" s="247"/>
      <c r="CJ115" s="247"/>
      <c r="CK115" s="17"/>
      <c r="CL115" s="17"/>
      <c r="CM115" s="17"/>
      <c r="CN115" s="17"/>
      <c r="CO115" s="17"/>
      <c r="CP115" s="11"/>
      <c r="CQ115" s="11"/>
      <c r="CR115" s="11"/>
      <c r="CS115" s="11"/>
      <c r="CT115" s="247"/>
      <c r="CU115" s="247"/>
      <c r="CV115" s="247"/>
      <c r="CW115" s="11"/>
      <c r="CX115" s="11"/>
      <c r="CY115" s="11"/>
      <c r="CZ115" s="11"/>
      <c r="DA115" s="11"/>
      <c r="DB115" s="11"/>
      <c r="DC115" s="11"/>
      <c r="DD115" s="11"/>
      <c r="DE115" s="11"/>
      <c r="DF115" s="11"/>
      <c r="DG115" s="11"/>
      <c r="DH115" s="11"/>
      <c r="DI115" s="11"/>
      <c r="DJ115" s="11"/>
      <c r="DK115" s="11"/>
      <c r="DL115" s="247"/>
      <c r="DM115" s="247"/>
      <c r="DN115" s="247"/>
      <c r="DO115" s="247"/>
      <c r="DP115" s="247"/>
      <c r="DQ115" s="247"/>
      <c r="DR115" s="247"/>
      <c r="DS115" s="247"/>
      <c r="DT115" s="247"/>
      <c r="DU115" s="247"/>
      <c r="DV115" s="247"/>
      <c r="DW115" s="247"/>
      <c r="DX115" s="247"/>
      <c r="DY115" s="247"/>
      <c r="DZ115" s="247"/>
      <c r="EA115" s="247"/>
      <c r="EB115" s="247"/>
      <c r="EC115" s="247"/>
      <c r="ED115" s="17">
        <f t="shared" si="36"/>
        <v>1522779.9195280001</v>
      </c>
      <c r="EE115" s="29">
        <f t="shared" si="37"/>
        <v>5</v>
      </c>
      <c r="EF115" s="17">
        <f t="shared" si="35"/>
        <v>304555.98390560003</v>
      </c>
    </row>
    <row r="116" spans="1:136" ht="25.5" x14ac:dyDescent="0.25">
      <c r="A116" s="25">
        <f>Distribución_Elementos!A116</f>
        <v>114</v>
      </c>
      <c r="B116" s="22" t="str">
        <f>Distribución_Elementos!B116</f>
        <v>Carro de Servicio Abierto Tres Estantes (300 Libras) Negro Dimensiones: 103 a 105 x 50 a 52 x 95 a 96 cm</v>
      </c>
      <c r="C116" s="22" t="str">
        <f>Distribución_Elementos!C116</f>
        <v>Rubbermaid FG409100BLA o equivalente</v>
      </c>
      <c r="D116" s="22" t="str">
        <f>Distribución_Elementos!D116</f>
        <v>Unidad</v>
      </c>
      <c r="E116" s="224">
        <v>1</v>
      </c>
      <c r="F116" s="221">
        <v>0</v>
      </c>
      <c r="G116" s="221">
        <v>0</v>
      </c>
      <c r="H116" s="221">
        <v>0</v>
      </c>
      <c r="I116" s="221">
        <v>0</v>
      </c>
      <c r="J116" s="221">
        <v>2084611.6666666667</v>
      </c>
      <c r="K116" s="221">
        <v>2082500</v>
      </c>
      <c r="L116" s="247">
        <f>J116</f>
        <v>2084611.6666666667</v>
      </c>
      <c r="M116" s="247">
        <f>K116*E1</f>
        <v>2144975</v>
      </c>
      <c r="N116" s="227">
        <v>1250000</v>
      </c>
      <c r="O116" s="119">
        <f>+N116*0.19</f>
        <v>237500</v>
      </c>
      <c r="P116" s="119">
        <f>+N116+O116</f>
        <v>1487500</v>
      </c>
      <c r="Q116" s="115"/>
      <c r="R116" s="115"/>
      <c r="S116" s="11"/>
      <c r="T116" s="247"/>
      <c r="U116" s="247"/>
      <c r="V116" s="247"/>
      <c r="W116" s="17"/>
      <c r="X116" s="11"/>
      <c r="Y116" s="11"/>
      <c r="Z116" s="247"/>
      <c r="AA116" s="247"/>
      <c r="AB116" s="247"/>
      <c r="AC116" s="44"/>
      <c r="AD116" s="22"/>
      <c r="AE116" s="17"/>
      <c r="AF116" s="247"/>
      <c r="AG116" s="247"/>
      <c r="AH116" s="151"/>
      <c r="AI116" s="4"/>
      <c r="AJ116" s="17"/>
      <c r="AK116" s="17"/>
      <c r="AL116" s="102"/>
      <c r="AM116" s="132"/>
      <c r="AN116" s="161"/>
      <c r="AO116" s="115"/>
      <c r="AP116" s="115"/>
      <c r="AQ116" s="17"/>
      <c r="AR116" s="247"/>
      <c r="AS116" s="247"/>
      <c r="AT116" s="247"/>
      <c r="AU116" s="17"/>
      <c r="AV116" s="17"/>
      <c r="AW116" s="17"/>
      <c r="AX116" s="247"/>
      <c r="AY116" s="247"/>
      <c r="AZ116" s="247"/>
      <c r="BA116" s="17"/>
      <c r="BB116" s="52"/>
      <c r="BC116" s="17"/>
      <c r="BD116" s="247"/>
      <c r="BE116" s="247"/>
      <c r="BF116" s="247"/>
      <c r="BG116" s="17"/>
      <c r="BH116" s="17"/>
      <c r="BI116" s="17"/>
      <c r="BJ116" s="247">
        <v>2919600</v>
      </c>
      <c r="BK116" s="247">
        <f t="shared" si="33"/>
        <v>554724</v>
      </c>
      <c r="BL116" s="247">
        <f t="shared" si="34"/>
        <v>3474324</v>
      </c>
      <c r="BM116" s="191" t="s">
        <v>140</v>
      </c>
      <c r="BN116" s="190" t="s">
        <v>1549</v>
      </c>
      <c r="BO116" s="17"/>
      <c r="BP116" s="247"/>
      <c r="BQ116" s="247"/>
      <c r="BR116" s="247"/>
      <c r="BS116" s="17"/>
      <c r="BT116" s="17"/>
      <c r="BU116" s="17"/>
      <c r="BV116" s="199">
        <v>3346398.8064000001</v>
      </c>
      <c r="BW116" s="195">
        <f>+BV116*0.19</f>
        <v>635815.77321600006</v>
      </c>
      <c r="BX116" s="246">
        <f t="shared" si="40"/>
        <v>3982214.5796159999</v>
      </c>
      <c r="BY116" s="191" t="s">
        <v>140</v>
      </c>
      <c r="BZ116" s="190" t="s">
        <v>1549</v>
      </c>
      <c r="CA116" s="190"/>
      <c r="CB116" s="247"/>
      <c r="CC116" s="247"/>
      <c r="CD116" s="247"/>
      <c r="CE116" s="17"/>
      <c r="CF116" s="17"/>
      <c r="CG116" s="17"/>
      <c r="CH116" s="247"/>
      <c r="CI116" s="247"/>
      <c r="CJ116" s="247"/>
      <c r="CK116" s="17"/>
      <c r="CL116" s="17"/>
      <c r="CM116" s="17"/>
      <c r="CN116" s="17"/>
      <c r="CO116" s="17"/>
      <c r="CP116" s="11"/>
      <c r="CQ116" s="11"/>
      <c r="CR116" s="11"/>
      <c r="CS116" s="11"/>
      <c r="CT116" s="247"/>
      <c r="CU116" s="247"/>
      <c r="CV116" s="247"/>
      <c r="CW116" s="11"/>
      <c r="CX116" s="11"/>
      <c r="CY116" s="11"/>
      <c r="CZ116" s="11"/>
      <c r="DA116" s="11"/>
      <c r="DB116" s="11"/>
      <c r="DC116" s="11"/>
      <c r="DD116" s="11"/>
      <c r="DE116" s="11"/>
      <c r="DF116" s="11"/>
      <c r="DG116" s="11"/>
      <c r="DH116" s="11"/>
      <c r="DI116" s="11"/>
      <c r="DJ116" s="11"/>
      <c r="DK116" s="11"/>
      <c r="DL116" s="247"/>
      <c r="DM116" s="247"/>
      <c r="DN116" s="247"/>
      <c r="DO116" s="247"/>
      <c r="DP116" s="247"/>
      <c r="DQ116" s="247"/>
      <c r="DR116" s="247"/>
      <c r="DS116" s="247"/>
      <c r="DT116" s="247"/>
      <c r="DU116" s="247"/>
      <c r="DV116" s="247"/>
      <c r="DW116" s="247"/>
      <c r="DX116" s="247"/>
      <c r="DY116" s="247"/>
      <c r="DZ116" s="247"/>
      <c r="EA116" s="247"/>
      <c r="EB116" s="247"/>
      <c r="EC116" s="247"/>
      <c r="ED116" s="17">
        <f t="shared" si="36"/>
        <v>11089013.579615999</v>
      </c>
      <c r="EE116" s="29">
        <f t="shared" si="37"/>
        <v>4</v>
      </c>
      <c r="EF116" s="17">
        <f t="shared" si="35"/>
        <v>2772253.3949039998</v>
      </c>
    </row>
    <row r="117" spans="1:136" ht="25.5" x14ac:dyDescent="0.25">
      <c r="A117" s="25">
        <f>Distribución_Elementos!A117</f>
        <v>115</v>
      </c>
      <c r="B117" s="22" t="str">
        <f>Distribución_Elementos!B117</f>
        <v>Cartucho filtro agua 2.5 pulgadas x  10 pulgadas de largo, 10 micras</v>
      </c>
      <c r="C117" s="22" t="str">
        <f>Distribución_Elementos!C117</f>
        <v>Millipore o equivalente</v>
      </c>
      <c r="D117" s="22" t="str">
        <f>Distribución_Elementos!D117</f>
        <v>Unidad</v>
      </c>
      <c r="E117" s="224">
        <v>1</v>
      </c>
      <c r="F117" s="221">
        <v>0</v>
      </c>
      <c r="G117" s="221">
        <v>0</v>
      </c>
      <c r="H117" s="221">
        <v>0</v>
      </c>
      <c r="I117" s="221">
        <v>0</v>
      </c>
      <c r="J117" s="221">
        <v>120740.375</v>
      </c>
      <c r="K117" s="221">
        <v>119000</v>
      </c>
      <c r="L117" s="247">
        <f>J117</f>
        <v>120740.375</v>
      </c>
      <c r="M117" s="247">
        <f>K117*E1</f>
        <v>122570</v>
      </c>
      <c r="N117" s="227"/>
      <c r="O117" s="119"/>
      <c r="P117" s="119"/>
      <c r="Q117" s="115"/>
      <c r="R117" s="115"/>
      <c r="S117" s="11"/>
      <c r="T117" s="247"/>
      <c r="U117" s="247"/>
      <c r="V117" s="247"/>
      <c r="W117" s="17"/>
      <c r="X117" s="11"/>
      <c r="Y117" s="11"/>
      <c r="Z117" s="247"/>
      <c r="AA117" s="247"/>
      <c r="AB117" s="247"/>
      <c r="AC117" s="46"/>
      <c r="AD117" s="22"/>
      <c r="AE117" s="17"/>
      <c r="AF117" s="247"/>
      <c r="AG117" s="247"/>
      <c r="AH117" s="152"/>
      <c r="AI117" s="4"/>
      <c r="AJ117" s="17"/>
      <c r="AK117" s="17"/>
      <c r="AL117" s="102">
        <v>145383</v>
      </c>
      <c r="AM117" s="132">
        <f>+AL117*0.19</f>
        <v>27622.77</v>
      </c>
      <c r="AN117" s="132">
        <f>+AL117+AM117</f>
        <v>173005.77</v>
      </c>
      <c r="AO117" s="115" t="s">
        <v>1542</v>
      </c>
      <c r="AP117" s="115" t="s">
        <v>1543</v>
      </c>
      <c r="AQ117" s="17"/>
      <c r="AR117" s="247"/>
      <c r="AS117" s="247"/>
      <c r="AT117" s="247"/>
      <c r="AU117" s="17"/>
      <c r="AV117" s="17"/>
      <c r="AW117" s="17"/>
      <c r="AX117" s="247"/>
      <c r="AY117" s="247"/>
      <c r="AZ117" s="247"/>
      <c r="BA117" s="17"/>
      <c r="BB117" s="52"/>
      <c r="BC117" s="17"/>
      <c r="BD117" s="247"/>
      <c r="BE117" s="247"/>
      <c r="BF117" s="247"/>
      <c r="BG117" s="17"/>
      <c r="BH117" s="17"/>
      <c r="BI117" s="17"/>
      <c r="BJ117" s="247"/>
      <c r="BK117" s="247"/>
      <c r="BL117" s="247"/>
      <c r="BM117" s="190"/>
      <c r="BN117" s="190"/>
      <c r="BO117" s="17"/>
      <c r="BP117" s="247"/>
      <c r="BQ117" s="247"/>
      <c r="BR117" s="247"/>
      <c r="BS117" s="17"/>
      <c r="BT117" s="17"/>
      <c r="BU117" s="17"/>
      <c r="BV117" s="189"/>
      <c r="BW117" s="197"/>
      <c r="BX117" s="246"/>
      <c r="BY117" s="190"/>
      <c r="BZ117" s="190"/>
      <c r="CA117" s="190"/>
      <c r="CB117" s="247"/>
      <c r="CC117" s="247"/>
      <c r="CD117" s="247"/>
      <c r="CE117" s="17"/>
      <c r="CF117" s="17"/>
      <c r="CG117" s="17"/>
      <c r="CH117" s="247"/>
      <c r="CI117" s="247"/>
      <c r="CJ117" s="247"/>
      <c r="CK117" s="17"/>
      <c r="CL117" s="17"/>
      <c r="CM117" s="17"/>
      <c r="CN117" s="17"/>
      <c r="CO117" s="17"/>
      <c r="CP117" s="11"/>
      <c r="CQ117" s="11"/>
      <c r="CR117" s="11"/>
      <c r="CS117" s="11"/>
      <c r="CT117" s="247"/>
      <c r="CU117" s="247"/>
      <c r="CV117" s="247"/>
      <c r="CW117" s="11"/>
      <c r="CX117" s="11"/>
      <c r="CY117" s="11"/>
      <c r="CZ117" s="11"/>
      <c r="DA117" s="11"/>
      <c r="DB117" s="11"/>
      <c r="DC117" s="11"/>
      <c r="DD117" s="11"/>
      <c r="DE117" s="11"/>
      <c r="DF117" s="11"/>
      <c r="DG117" s="11"/>
      <c r="DH117" s="11"/>
      <c r="DI117" s="11"/>
      <c r="DJ117" s="11"/>
      <c r="DK117" s="11"/>
      <c r="DL117" s="247"/>
      <c r="DM117" s="247"/>
      <c r="DN117" s="247"/>
      <c r="DO117" s="247"/>
      <c r="DP117" s="247"/>
      <c r="DQ117" s="247"/>
      <c r="DR117" s="247"/>
      <c r="DS117" s="247"/>
      <c r="DT117" s="247"/>
      <c r="DU117" s="247"/>
      <c r="DV117" s="247"/>
      <c r="DW117" s="247"/>
      <c r="DX117" s="247"/>
      <c r="DY117" s="247"/>
      <c r="DZ117" s="247"/>
      <c r="EA117" s="247"/>
      <c r="EB117" s="247"/>
      <c r="EC117" s="247"/>
      <c r="ED117" s="17">
        <f t="shared" si="36"/>
        <v>295575.77</v>
      </c>
      <c r="EE117" s="29">
        <f t="shared" si="37"/>
        <v>2</v>
      </c>
      <c r="EF117" s="17">
        <f t="shared" si="35"/>
        <v>147787.88500000001</v>
      </c>
    </row>
    <row r="118" spans="1:136" ht="25.5" x14ac:dyDescent="0.25">
      <c r="A118" s="25">
        <f>Distribución_Elementos!A118</f>
        <v>116</v>
      </c>
      <c r="B118" s="22" t="str">
        <f>Distribución_Elementos!B118</f>
        <v>Cartucho filtro agua 2.5 pulgadas x  10 pulgadas de largo, 5 micras</v>
      </c>
      <c r="C118" s="22" t="str">
        <f>Distribución_Elementos!C118</f>
        <v>Millipore o equivalente</v>
      </c>
      <c r="D118" s="22" t="str">
        <f>Distribución_Elementos!D118</f>
        <v>Unidad</v>
      </c>
      <c r="E118" s="224">
        <v>1</v>
      </c>
      <c r="F118" s="221">
        <v>0</v>
      </c>
      <c r="G118" s="221">
        <v>0</v>
      </c>
      <c r="H118" s="221">
        <v>0</v>
      </c>
      <c r="I118" s="221">
        <v>0</v>
      </c>
      <c r="J118" s="221">
        <v>119000</v>
      </c>
      <c r="K118" s="221">
        <v>119000</v>
      </c>
      <c r="L118" s="247">
        <f>J118</f>
        <v>119000</v>
      </c>
      <c r="M118" s="247">
        <f>K118*E1</f>
        <v>122570</v>
      </c>
      <c r="N118" s="227"/>
      <c r="O118" s="119"/>
      <c r="P118" s="119"/>
      <c r="Q118" s="115"/>
      <c r="R118" s="115"/>
      <c r="S118" s="11"/>
      <c r="T118" s="247"/>
      <c r="U118" s="247"/>
      <c r="V118" s="247"/>
      <c r="W118" s="17"/>
      <c r="X118" s="11"/>
      <c r="Y118" s="11"/>
      <c r="Z118" s="247"/>
      <c r="AA118" s="247"/>
      <c r="AB118" s="247"/>
      <c r="AC118" s="46"/>
      <c r="AD118" s="22"/>
      <c r="AE118" s="17"/>
      <c r="AF118" s="247"/>
      <c r="AG118" s="247"/>
      <c r="AH118" s="152"/>
      <c r="AI118" s="4"/>
      <c r="AJ118" s="17"/>
      <c r="AK118" s="17"/>
      <c r="AL118" s="102">
        <v>145383</v>
      </c>
      <c r="AM118" s="132">
        <f>+AL118*0.19</f>
        <v>27622.77</v>
      </c>
      <c r="AN118" s="132">
        <f>+AL118+AM118</f>
        <v>173005.77</v>
      </c>
      <c r="AO118" s="115" t="s">
        <v>1542</v>
      </c>
      <c r="AP118" s="115" t="s">
        <v>1543</v>
      </c>
      <c r="AQ118" s="17"/>
      <c r="AR118" s="247"/>
      <c r="AS118" s="247"/>
      <c r="AT118" s="247"/>
      <c r="AU118" s="17"/>
      <c r="AV118" s="17"/>
      <c r="AW118" s="17"/>
      <c r="AX118" s="247"/>
      <c r="AY118" s="247"/>
      <c r="AZ118" s="247"/>
      <c r="BA118" s="17"/>
      <c r="BB118" s="52"/>
      <c r="BC118" s="17"/>
      <c r="BD118" s="247"/>
      <c r="BE118" s="247"/>
      <c r="BF118" s="247"/>
      <c r="BG118" s="17"/>
      <c r="BH118" s="17"/>
      <c r="BI118" s="17"/>
      <c r="BJ118" s="247"/>
      <c r="BK118" s="247"/>
      <c r="BL118" s="247"/>
      <c r="BM118" s="190"/>
      <c r="BN118" s="190"/>
      <c r="BO118" s="17"/>
      <c r="BP118" s="247"/>
      <c r="BQ118" s="247"/>
      <c r="BR118" s="247"/>
      <c r="BS118" s="17"/>
      <c r="BT118" s="17"/>
      <c r="BU118" s="17"/>
      <c r="BV118" s="189"/>
      <c r="BW118" s="197"/>
      <c r="BX118" s="246"/>
      <c r="BY118" s="190"/>
      <c r="BZ118" s="190"/>
      <c r="CA118" s="190"/>
      <c r="CB118" s="247"/>
      <c r="CC118" s="247"/>
      <c r="CD118" s="247"/>
      <c r="CE118" s="17"/>
      <c r="CF118" s="17"/>
      <c r="CG118" s="17"/>
      <c r="CH118" s="247"/>
      <c r="CI118" s="247"/>
      <c r="CJ118" s="247"/>
      <c r="CK118" s="17"/>
      <c r="CL118" s="17"/>
      <c r="CM118" s="17"/>
      <c r="CN118" s="17"/>
      <c r="CO118" s="17"/>
      <c r="CP118" s="11"/>
      <c r="CQ118" s="11"/>
      <c r="CR118" s="11"/>
      <c r="CS118" s="11"/>
      <c r="CT118" s="247"/>
      <c r="CU118" s="247"/>
      <c r="CV118" s="247"/>
      <c r="CW118" s="11"/>
      <c r="CX118" s="11"/>
      <c r="CY118" s="11"/>
      <c r="CZ118" s="11"/>
      <c r="DA118" s="11"/>
      <c r="DB118" s="11"/>
      <c r="DC118" s="11"/>
      <c r="DD118" s="11"/>
      <c r="DE118" s="11"/>
      <c r="DF118" s="11"/>
      <c r="DG118" s="11"/>
      <c r="DH118" s="11"/>
      <c r="DI118" s="11"/>
      <c r="DJ118" s="11"/>
      <c r="DK118" s="11"/>
      <c r="DL118" s="247"/>
      <c r="DM118" s="247"/>
      <c r="DN118" s="247"/>
      <c r="DO118" s="247"/>
      <c r="DP118" s="247"/>
      <c r="DQ118" s="247"/>
      <c r="DR118" s="247"/>
      <c r="DS118" s="247"/>
      <c r="DT118" s="247"/>
      <c r="DU118" s="247"/>
      <c r="DV118" s="247"/>
      <c r="DW118" s="247"/>
      <c r="DX118" s="247"/>
      <c r="DY118" s="247"/>
      <c r="DZ118" s="247"/>
      <c r="EA118" s="247"/>
      <c r="EB118" s="247"/>
      <c r="EC118" s="247"/>
      <c r="ED118" s="17">
        <f t="shared" si="36"/>
        <v>295575.77</v>
      </c>
      <c r="EE118" s="29">
        <f t="shared" si="37"/>
        <v>2</v>
      </c>
      <c r="EF118" s="17">
        <f t="shared" si="35"/>
        <v>147787.88500000001</v>
      </c>
    </row>
    <row r="119" spans="1:136" ht="25.5" x14ac:dyDescent="0.25">
      <c r="A119" s="25">
        <f>Distribución_Elementos!A119</f>
        <v>117</v>
      </c>
      <c r="B119" s="22" t="str">
        <f>Distribución_Elementos!B119</f>
        <v>Cartucho filtro de carbón activado 2.5" de diametro, 20 pulgadas largo 5 micras</v>
      </c>
      <c r="C119" s="22" t="str">
        <f>Distribución_Elementos!C119</f>
        <v>Millipore o equivalente</v>
      </c>
      <c r="D119" s="22" t="str">
        <f>Distribución_Elementos!D119</f>
        <v>Unidad</v>
      </c>
      <c r="E119" s="224">
        <v>1</v>
      </c>
      <c r="F119" s="221">
        <v>0</v>
      </c>
      <c r="G119" s="221">
        <v>0</v>
      </c>
      <c r="H119" s="221">
        <v>0</v>
      </c>
      <c r="I119" s="221">
        <v>0</v>
      </c>
      <c r="J119" s="221">
        <v>142800</v>
      </c>
      <c r="K119" s="221">
        <v>119000</v>
      </c>
      <c r="L119" s="247">
        <f>J119</f>
        <v>142800</v>
      </c>
      <c r="M119" s="247">
        <f>K119*E1</f>
        <v>122570</v>
      </c>
      <c r="N119" s="227"/>
      <c r="O119" s="119"/>
      <c r="P119" s="119"/>
      <c r="Q119" s="115"/>
      <c r="R119" s="115"/>
      <c r="S119" s="11"/>
      <c r="T119" s="247"/>
      <c r="U119" s="247"/>
      <c r="V119" s="247"/>
      <c r="W119" s="17"/>
      <c r="X119" s="11"/>
      <c r="Y119" s="11"/>
      <c r="Z119" s="247"/>
      <c r="AA119" s="247"/>
      <c r="AB119" s="247"/>
      <c r="AC119" s="44"/>
      <c r="AD119" s="22"/>
      <c r="AE119" s="17"/>
      <c r="AF119" s="247"/>
      <c r="AG119" s="247"/>
      <c r="AH119" s="151"/>
      <c r="AI119" s="22"/>
      <c r="AJ119" s="17"/>
      <c r="AK119" s="17"/>
      <c r="AL119" s="102">
        <v>82170</v>
      </c>
      <c r="AM119" s="132">
        <f>+AL119*0.19</f>
        <v>15612.300000000001</v>
      </c>
      <c r="AN119" s="132">
        <f>+AL119+AM119</f>
        <v>97782.3</v>
      </c>
      <c r="AO119" s="115" t="s">
        <v>1542</v>
      </c>
      <c r="AP119" s="115" t="s">
        <v>1543</v>
      </c>
      <c r="AQ119" s="17"/>
      <c r="AR119" s="247"/>
      <c r="AS119" s="247"/>
      <c r="AT119" s="247"/>
      <c r="AU119" s="17"/>
      <c r="AV119" s="17"/>
      <c r="AW119" s="17"/>
      <c r="AX119" s="247"/>
      <c r="AY119" s="247"/>
      <c r="AZ119" s="247"/>
      <c r="BA119" s="17"/>
      <c r="BB119" s="52"/>
      <c r="BC119" s="17"/>
      <c r="BD119" s="247"/>
      <c r="BE119" s="247"/>
      <c r="BF119" s="247"/>
      <c r="BG119" s="17"/>
      <c r="BH119" s="17"/>
      <c r="BI119" s="17"/>
      <c r="BJ119" s="247"/>
      <c r="BK119" s="247"/>
      <c r="BL119" s="247"/>
      <c r="BM119" s="190"/>
      <c r="BN119" s="190"/>
      <c r="BO119" s="17"/>
      <c r="BP119" s="247"/>
      <c r="BQ119" s="247"/>
      <c r="BR119" s="247"/>
      <c r="BS119" s="17"/>
      <c r="BT119" s="17"/>
      <c r="BU119" s="17"/>
      <c r="BV119" s="189"/>
      <c r="BW119" s="197"/>
      <c r="BX119" s="246"/>
      <c r="BY119" s="190"/>
      <c r="BZ119" s="190"/>
      <c r="CA119" s="190"/>
      <c r="CB119" s="247"/>
      <c r="CC119" s="247"/>
      <c r="CD119" s="247"/>
      <c r="CE119" s="17"/>
      <c r="CF119" s="17"/>
      <c r="CG119" s="17"/>
      <c r="CH119" s="247"/>
      <c r="CI119" s="247"/>
      <c r="CJ119" s="247"/>
      <c r="CK119" s="17"/>
      <c r="CL119" s="17"/>
      <c r="CM119" s="17"/>
      <c r="CN119" s="17"/>
      <c r="CO119" s="17"/>
      <c r="CP119" s="11"/>
      <c r="CQ119" s="11"/>
      <c r="CR119" s="11"/>
      <c r="CS119" s="11"/>
      <c r="CT119" s="247"/>
      <c r="CU119" s="247"/>
      <c r="CV119" s="247"/>
      <c r="CW119" s="11"/>
      <c r="CX119" s="11"/>
      <c r="CY119" s="11"/>
      <c r="CZ119" s="11"/>
      <c r="DA119" s="11"/>
      <c r="DB119" s="11"/>
      <c r="DC119" s="11"/>
      <c r="DD119" s="11"/>
      <c r="DE119" s="11"/>
      <c r="DF119" s="11"/>
      <c r="DG119" s="11"/>
      <c r="DH119" s="11"/>
      <c r="DI119" s="11"/>
      <c r="DJ119" s="11"/>
      <c r="DK119" s="11"/>
      <c r="DL119" s="247"/>
      <c r="DM119" s="247"/>
      <c r="DN119" s="247"/>
      <c r="DO119" s="247"/>
      <c r="DP119" s="247"/>
      <c r="DQ119" s="247"/>
      <c r="DR119" s="247"/>
      <c r="DS119" s="247"/>
      <c r="DT119" s="247"/>
      <c r="DU119" s="247"/>
      <c r="DV119" s="247"/>
      <c r="DW119" s="247"/>
      <c r="DX119" s="247"/>
      <c r="DY119" s="247"/>
      <c r="DZ119" s="247"/>
      <c r="EA119" s="247"/>
      <c r="EB119" s="247"/>
      <c r="EC119" s="247"/>
      <c r="ED119" s="17">
        <f t="shared" si="36"/>
        <v>220352.3</v>
      </c>
      <c r="EE119" s="29">
        <f t="shared" si="37"/>
        <v>2</v>
      </c>
      <c r="EF119" s="17">
        <f t="shared" si="35"/>
        <v>110176.15</v>
      </c>
    </row>
    <row r="120" spans="1:136" ht="51" x14ac:dyDescent="0.25">
      <c r="A120" s="25">
        <f>Distribución_Elementos!A120</f>
        <v>118</v>
      </c>
      <c r="B120" s="22" t="str">
        <f>Distribución_Elementos!B120</f>
        <v>Cartucho químico contra gases ácidos plástico de forma circular (cinta blanca) debe estar certificado por NIOSH 42CFR84, colocación tipo bayoneta sin guías 100 % libre de PVC y metales</v>
      </c>
      <c r="C120" s="22" t="str">
        <f>Distribución_Elementos!C120</f>
        <v>Moldex 7200</v>
      </c>
      <c r="D120" s="22" t="str">
        <f>Distribución_Elementos!D120</f>
        <v>Bolsa x 2</v>
      </c>
      <c r="E120" s="224">
        <v>1</v>
      </c>
      <c r="F120" s="221">
        <v>290122</v>
      </c>
      <c r="G120" s="221">
        <v>275604</v>
      </c>
      <c r="H120" s="221">
        <v>0</v>
      </c>
      <c r="I120" s="221">
        <v>0</v>
      </c>
      <c r="J120" s="221">
        <v>0</v>
      </c>
      <c r="K120" s="221">
        <v>0</v>
      </c>
      <c r="L120" s="247">
        <f>F120</f>
        <v>290122</v>
      </c>
      <c r="M120" s="247">
        <f>G120*E1</f>
        <v>283872.12</v>
      </c>
      <c r="N120" s="227"/>
      <c r="O120" s="119"/>
      <c r="P120" s="119"/>
      <c r="Q120" s="115"/>
      <c r="R120" s="115"/>
      <c r="S120" s="11"/>
      <c r="T120" s="247"/>
      <c r="U120" s="247"/>
      <c r="V120" s="247"/>
      <c r="W120" s="17"/>
      <c r="X120" s="11"/>
      <c r="Y120" s="11"/>
      <c r="Z120" s="247"/>
      <c r="AA120" s="247"/>
      <c r="AB120" s="247"/>
      <c r="AC120" s="47"/>
      <c r="AD120" s="45"/>
      <c r="AE120" s="17"/>
      <c r="AF120" s="247"/>
      <c r="AG120" s="247"/>
      <c r="AH120" s="153"/>
      <c r="AI120" s="45"/>
      <c r="AJ120" s="17"/>
      <c r="AK120" s="17"/>
      <c r="AL120" s="102"/>
      <c r="AM120" s="132"/>
      <c r="AN120" s="161"/>
      <c r="AO120" s="115"/>
      <c r="AP120" s="115"/>
      <c r="AQ120" s="17"/>
      <c r="AR120" s="247"/>
      <c r="AS120" s="247"/>
      <c r="AT120" s="247"/>
      <c r="AU120" s="17"/>
      <c r="AV120" s="17"/>
      <c r="AW120" s="17"/>
      <c r="AX120" s="247"/>
      <c r="AY120" s="247"/>
      <c r="AZ120" s="247"/>
      <c r="BA120" s="17"/>
      <c r="BB120" s="52"/>
      <c r="BC120" s="17"/>
      <c r="BD120" s="247"/>
      <c r="BE120" s="247"/>
      <c r="BF120" s="247"/>
      <c r="BG120" s="17"/>
      <c r="BH120" s="17"/>
      <c r="BI120" s="17"/>
      <c r="BJ120" s="247"/>
      <c r="BK120" s="247"/>
      <c r="BL120" s="247"/>
      <c r="BM120" s="190"/>
      <c r="BN120" s="190"/>
      <c r="BO120" s="17"/>
      <c r="BP120" s="247"/>
      <c r="BQ120" s="247"/>
      <c r="BR120" s="247"/>
      <c r="BS120" s="17"/>
      <c r="BT120" s="17"/>
      <c r="BU120" s="17"/>
      <c r="BV120" s="189"/>
      <c r="BW120" s="197"/>
      <c r="BX120" s="246"/>
      <c r="BY120" s="190"/>
      <c r="BZ120" s="190"/>
      <c r="CA120" s="190"/>
      <c r="CB120" s="247"/>
      <c r="CC120" s="247"/>
      <c r="CD120" s="247"/>
      <c r="CE120" s="17"/>
      <c r="CF120" s="17"/>
      <c r="CG120" s="17"/>
      <c r="CH120" s="247"/>
      <c r="CI120" s="247"/>
      <c r="CJ120" s="247"/>
      <c r="CK120" s="17"/>
      <c r="CL120" s="17"/>
      <c r="CM120" s="17"/>
      <c r="CN120" s="17"/>
      <c r="CO120" s="17"/>
      <c r="CP120" s="11"/>
      <c r="CQ120" s="11"/>
      <c r="CR120" s="11"/>
      <c r="CS120" s="11"/>
      <c r="CT120" s="247"/>
      <c r="CU120" s="247"/>
      <c r="CV120" s="247"/>
      <c r="CW120" s="11"/>
      <c r="CX120" s="11"/>
      <c r="CY120" s="11"/>
      <c r="CZ120" s="11"/>
      <c r="DA120" s="11"/>
      <c r="DB120" s="11"/>
      <c r="DC120" s="11"/>
      <c r="DD120" s="11"/>
      <c r="DE120" s="11"/>
      <c r="DF120" s="11"/>
      <c r="DG120" s="11"/>
      <c r="DH120" s="11"/>
      <c r="DI120" s="11"/>
      <c r="DJ120" s="11"/>
      <c r="DK120" s="11"/>
      <c r="DL120" s="247"/>
      <c r="DM120" s="247"/>
      <c r="DN120" s="247"/>
      <c r="DO120" s="247"/>
      <c r="DP120" s="247"/>
      <c r="DQ120" s="247"/>
      <c r="DR120" s="247"/>
      <c r="DS120" s="247"/>
      <c r="DT120" s="247"/>
      <c r="DU120" s="247"/>
      <c r="DV120" s="247"/>
      <c r="DW120" s="247"/>
      <c r="DX120" s="247"/>
      <c r="DY120" s="247"/>
      <c r="DZ120" s="247"/>
      <c r="EA120" s="247"/>
      <c r="EB120" s="247"/>
      <c r="EC120" s="247"/>
      <c r="ED120" s="17">
        <f t="shared" si="36"/>
        <v>283872.12</v>
      </c>
      <c r="EE120" s="29">
        <f t="shared" si="37"/>
        <v>1</v>
      </c>
      <c r="EF120" s="17">
        <f t="shared" si="35"/>
        <v>283872.12</v>
      </c>
    </row>
    <row r="121" spans="1:136" ht="51" x14ac:dyDescent="0.25">
      <c r="A121" s="25">
        <f>Distribución_Elementos!A121</f>
        <v>119</v>
      </c>
      <c r="B121" s="22" t="str">
        <f>Distribución_Elementos!B121</f>
        <v>Cartucho químico contra vapores orgánicos y gases ácidos plástico  de forma circular (cinta amarilla), con certificado que cumpla norma NIOSH 42CFR84, colocación tipo bayoneta sin guias 100% libre de PVC y metales</v>
      </c>
      <c r="C121" s="22" t="str">
        <f>Distribución_Elementos!C121</f>
        <v>Moldex 7300</v>
      </c>
      <c r="D121" s="22" t="str">
        <f>Distribución_Elementos!D121</f>
        <v>Bolsa x 2</v>
      </c>
      <c r="E121" s="224">
        <v>1</v>
      </c>
      <c r="F121" s="221">
        <v>287742</v>
      </c>
      <c r="G121" s="221">
        <v>273343</v>
      </c>
      <c r="H121" s="221">
        <v>329700.88829999999</v>
      </c>
      <c r="I121" s="221">
        <v>329630</v>
      </c>
      <c r="J121" s="221">
        <v>183171.7416666667</v>
      </c>
      <c r="K121" s="221">
        <v>0</v>
      </c>
      <c r="L121" s="247">
        <f>AVERAGE(F121,H121,J121)</f>
        <v>266871.54332222225</v>
      </c>
      <c r="M121" s="247">
        <f>AVERAGE(G121,I121)*E1</f>
        <v>310531.09500000003</v>
      </c>
      <c r="N121" s="227"/>
      <c r="O121" s="119"/>
      <c r="P121" s="119"/>
      <c r="Q121" s="115"/>
      <c r="R121" s="115"/>
      <c r="S121" s="11"/>
      <c r="T121" s="247"/>
      <c r="U121" s="247"/>
      <c r="V121" s="247"/>
      <c r="W121" s="17"/>
      <c r="X121" s="11"/>
      <c r="Y121" s="11"/>
      <c r="Z121" s="247"/>
      <c r="AA121" s="247"/>
      <c r="AB121" s="247"/>
      <c r="AC121" s="47"/>
      <c r="AD121" s="45"/>
      <c r="AE121" s="17"/>
      <c r="AF121" s="247"/>
      <c r="AG121" s="247"/>
      <c r="AH121" s="153"/>
      <c r="AI121" s="45"/>
      <c r="AJ121" s="17"/>
      <c r="AK121" s="17"/>
      <c r="AL121" s="102"/>
      <c r="AM121" s="132"/>
      <c r="AN121" s="161"/>
      <c r="AO121" s="115"/>
      <c r="AP121" s="115"/>
      <c r="AQ121" s="17"/>
      <c r="AR121" s="247"/>
      <c r="AS121" s="247"/>
      <c r="AT121" s="247"/>
      <c r="AU121" s="17"/>
      <c r="AV121" s="17"/>
      <c r="AW121" s="17"/>
      <c r="AX121" s="247"/>
      <c r="AY121" s="247"/>
      <c r="AZ121" s="247"/>
      <c r="BA121" s="17"/>
      <c r="BB121" s="52"/>
      <c r="BC121" s="17"/>
      <c r="BD121" s="247"/>
      <c r="BE121" s="247"/>
      <c r="BF121" s="247"/>
      <c r="BG121" s="17"/>
      <c r="BH121" s="17"/>
      <c r="BI121" s="17"/>
      <c r="BJ121" s="247"/>
      <c r="BK121" s="247"/>
      <c r="BL121" s="247"/>
      <c r="BM121" s="190"/>
      <c r="BN121" s="190"/>
      <c r="BO121" s="17"/>
      <c r="BP121" s="247"/>
      <c r="BQ121" s="247"/>
      <c r="BR121" s="247"/>
      <c r="BS121" s="17"/>
      <c r="BT121" s="17"/>
      <c r="BU121" s="17"/>
      <c r="BV121" s="189"/>
      <c r="BW121" s="197"/>
      <c r="BX121" s="246"/>
      <c r="BY121" s="190"/>
      <c r="BZ121" s="190"/>
      <c r="CA121" s="190"/>
      <c r="CB121" s="247"/>
      <c r="CC121" s="247"/>
      <c r="CD121" s="247"/>
      <c r="CE121" s="17"/>
      <c r="CF121" s="17"/>
      <c r="CG121" s="17"/>
      <c r="CH121" s="247"/>
      <c r="CI121" s="247"/>
      <c r="CJ121" s="247"/>
      <c r="CK121" s="17"/>
      <c r="CL121" s="17"/>
      <c r="CM121" s="17"/>
      <c r="CN121" s="17"/>
      <c r="CO121" s="17"/>
      <c r="CP121" s="11"/>
      <c r="CQ121" s="11"/>
      <c r="CR121" s="11"/>
      <c r="CS121" s="11"/>
      <c r="CT121" s="247"/>
      <c r="CU121" s="247"/>
      <c r="CV121" s="247"/>
      <c r="CW121" s="11"/>
      <c r="CX121" s="11"/>
      <c r="CY121" s="11"/>
      <c r="CZ121" s="11"/>
      <c r="DA121" s="11"/>
      <c r="DB121" s="11"/>
      <c r="DC121" s="11"/>
      <c r="DD121" s="11"/>
      <c r="DE121" s="11"/>
      <c r="DF121" s="11"/>
      <c r="DG121" s="11"/>
      <c r="DH121" s="11"/>
      <c r="DI121" s="11"/>
      <c r="DJ121" s="11"/>
      <c r="DK121" s="11"/>
      <c r="DL121" s="247"/>
      <c r="DM121" s="247"/>
      <c r="DN121" s="247"/>
      <c r="DO121" s="247"/>
      <c r="DP121" s="247"/>
      <c r="DQ121" s="247"/>
      <c r="DR121" s="247"/>
      <c r="DS121" s="247"/>
      <c r="DT121" s="247"/>
      <c r="DU121" s="247"/>
      <c r="DV121" s="247"/>
      <c r="DW121" s="247"/>
      <c r="DX121" s="247"/>
      <c r="DY121" s="247"/>
      <c r="DZ121" s="247"/>
      <c r="EA121" s="247"/>
      <c r="EB121" s="247"/>
      <c r="EC121" s="247"/>
      <c r="ED121" s="17">
        <f t="shared" si="36"/>
        <v>310531.09500000003</v>
      </c>
      <c r="EE121" s="29">
        <f t="shared" si="37"/>
        <v>1</v>
      </c>
      <c r="EF121" s="17">
        <f t="shared" si="35"/>
        <v>310531.09500000003</v>
      </c>
    </row>
    <row r="122" spans="1:136" x14ac:dyDescent="0.25">
      <c r="A122" s="25">
        <f>Distribución_Elementos!A122</f>
        <v>120</v>
      </c>
      <c r="B122" s="22" t="str">
        <f>Distribución_Elementos!B122</f>
        <v>Casette de inclusión para histología con tapa desmontable</v>
      </c>
      <c r="C122" s="22" t="str">
        <f>Distribución_Elementos!C122</f>
        <v>Citoplus o equivalente</v>
      </c>
      <c r="D122" s="22" t="str">
        <f>Distribución_Elementos!D122</f>
        <v>Caja x 500</v>
      </c>
      <c r="E122" s="224">
        <v>1</v>
      </c>
      <c r="F122" s="221">
        <v>0</v>
      </c>
      <c r="G122" s="221">
        <v>0</v>
      </c>
      <c r="H122" s="221">
        <v>0</v>
      </c>
      <c r="I122" s="221">
        <v>0</v>
      </c>
      <c r="J122" s="221">
        <v>270725</v>
      </c>
      <c r="K122" s="221">
        <v>178500</v>
      </c>
      <c r="L122" s="247">
        <f>J122</f>
        <v>270725</v>
      </c>
      <c r="M122" s="247">
        <f>K122*E1</f>
        <v>183855</v>
      </c>
      <c r="N122" s="227">
        <v>250000</v>
      </c>
      <c r="O122" s="119">
        <f>+N122*0.19</f>
        <v>47500</v>
      </c>
      <c r="P122" s="119">
        <f>+N122+O122</f>
        <v>297500</v>
      </c>
      <c r="Q122" s="115"/>
      <c r="R122" s="115"/>
      <c r="S122" s="11"/>
      <c r="T122" s="247"/>
      <c r="U122" s="247"/>
      <c r="V122" s="247"/>
      <c r="W122" s="17"/>
      <c r="X122" s="11"/>
      <c r="Y122" s="11"/>
      <c r="Z122" s="247"/>
      <c r="AA122" s="247"/>
      <c r="AB122" s="247"/>
      <c r="AC122" s="47"/>
      <c r="AD122" s="22"/>
      <c r="AE122" s="17"/>
      <c r="AF122" s="247"/>
      <c r="AG122" s="247"/>
      <c r="AH122" s="153"/>
      <c r="AI122" s="22"/>
      <c r="AJ122" s="17"/>
      <c r="AK122" s="17"/>
      <c r="AL122" s="102"/>
      <c r="AM122" s="132"/>
      <c r="AN122" s="161"/>
      <c r="AO122" s="115"/>
      <c r="AP122" s="115"/>
      <c r="AQ122" s="17"/>
      <c r="AR122" s="247"/>
      <c r="AS122" s="247"/>
      <c r="AT122" s="247"/>
      <c r="AU122" s="17"/>
      <c r="AV122" s="17"/>
      <c r="AW122" s="17"/>
      <c r="AX122" s="247"/>
      <c r="AY122" s="247"/>
      <c r="AZ122" s="247"/>
      <c r="BA122" s="17"/>
      <c r="BB122" s="52"/>
      <c r="BC122" s="17"/>
      <c r="BD122" s="247"/>
      <c r="BE122" s="247"/>
      <c r="BF122" s="247"/>
      <c r="BG122" s="17"/>
      <c r="BH122" s="17"/>
      <c r="BI122" s="17"/>
      <c r="BJ122" s="247">
        <v>426000</v>
      </c>
      <c r="BK122" s="247">
        <f t="shared" si="33"/>
        <v>80940</v>
      </c>
      <c r="BL122" s="247">
        <f t="shared" si="34"/>
        <v>506940</v>
      </c>
      <c r="BM122" s="191" t="s">
        <v>1525</v>
      </c>
      <c r="BN122" s="190" t="s">
        <v>1550</v>
      </c>
      <c r="BO122" s="17"/>
      <c r="BP122" s="247">
        <v>365000</v>
      </c>
      <c r="BQ122" s="247">
        <f t="shared" si="38"/>
        <v>69350</v>
      </c>
      <c r="BR122" s="247">
        <f t="shared" si="39"/>
        <v>434350</v>
      </c>
      <c r="BS122" s="17"/>
      <c r="BT122" s="17"/>
      <c r="BU122" s="17"/>
      <c r="BV122" s="195">
        <v>502495.96800000005</v>
      </c>
      <c r="BW122" s="195">
        <f t="shared" ref="BW122:BW129" si="41">+BV122*0.19</f>
        <v>95474.233920000013</v>
      </c>
      <c r="BX122" s="246">
        <f t="shared" ref="BX122:BX129" si="42">+BV122+BW122</f>
        <v>597970.20192000002</v>
      </c>
      <c r="BY122" s="191" t="s">
        <v>1525</v>
      </c>
      <c r="BZ122" s="190" t="s">
        <v>1550</v>
      </c>
      <c r="CA122" s="190"/>
      <c r="CB122" s="247"/>
      <c r="CC122" s="247"/>
      <c r="CD122" s="247"/>
      <c r="CE122" s="17"/>
      <c r="CF122" s="17"/>
      <c r="CG122" s="17"/>
      <c r="CH122" s="247"/>
      <c r="CI122" s="247"/>
      <c r="CJ122" s="247"/>
      <c r="CK122" s="17"/>
      <c r="CL122" s="17"/>
      <c r="CM122" s="17"/>
      <c r="CN122" s="17"/>
      <c r="CO122" s="17"/>
      <c r="CP122" s="11"/>
      <c r="CQ122" s="11"/>
      <c r="CR122" s="11"/>
      <c r="CS122" s="11"/>
      <c r="CT122" s="247"/>
      <c r="CU122" s="247"/>
      <c r="CV122" s="247"/>
      <c r="CW122" s="11"/>
      <c r="CX122" s="11"/>
      <c r="CY122" s="11"/>
      <c r="CZ122" s="11"/>
      <c r="DA122" s="11"/>
      <c r="DB122" s="11"/>
      <c r="DC122" s="11"/>
      <c r="DD122" s="11"/>
      <c r="DE122" s="11"/>
      <c r="DF122" s="11"/>
      <c r="DG122" s="11"/>
      <c r="DH122" s="11"/>
      <c r="DI122" s="11"/>
      <c r="DJ122" s="11"/>
      <c r="DK122" s="11"/>
      <c r="DL122" s="247"/>
      <c r="DM122" s="247"/>
      <c r="DN122" s="247"/>
      <c r="DO122" s="247"/>
      <c r="DP122" s="247"/>
      <c r="DQ122" s="247"/>
      <c r="DR122" s="247"/>
      <c r="DS122" s="247"/>
      <c r="DT122" s="247"/>
      <c r="DU122" s="247"/>
      <c r="DV122" s="247"/>
      <c r="DW122" s="247"/>
      <c r="DX122" s="247"/>
      <c r="DY122" s="247"/>
      <c r="DZ122" s="247"/>
      <c r="EA122" s="247"/>
      <c r="EB122" s="247"/>
      <c r="EC122" s="247"/>
      <c r="ED122" s="17">
        <f t="shared" si="36"/>
        <v>2020615.2019199999</v>
      </c>
      <c r="EE122" s="29">
        <f t="shared" si="37"/>
        <v>5</v>
      </c>
      <c r="EF122" s="17">
        <f t="shared" si="35"/>
        <v>404123.04038399999</v>
      </c>
    </row>
    <row r="123" spans="1:136" ht="25.5" x14ac:dyDescent="0.25">
      <c r="A123" s="25">
        <f>Distribución_Elementos!A123</f>
        <v>121</v>
      </c>
      <c r="B123" s="22" t="str">
        <f>Distribución_Elementos!B123</f>
        <v>Cava de icopor 15 Litros para envio de muestras, para entregar en las 32 seccionales del ICA</v>
      </c>
      <c r="C123" s="22" t="str">
        <f>Distribución_Elementos!C123</f>
        <v>Cualquier marca</v>
      </c>
      <c r="D123" s="22" t="str">
        <f>Distribución_Elementos!D123</f>
        <v>Unidad</v>
      </c>
      <c r="E123" s="224">
        <v>1</v>
      </c>
      <c r="F123" s="221">
        <v>0</v>
      </c>
      <c r="G123" s="221">
        <v>0</v>
      </c>
      <c r="H123" s="221">
        <v>0</v>
      </c>
      <c r="I123" s="221">
        <v>0</v>
      </c>
      <c r="J123" s="221">
        <v>0</v>
      </c>
      <c r="K123" s="221">
        <v>0</v>
      </c>
      <c r="L123" s="247"/>
      <c r="M123" s="247"/>
      <c r="N123" s="227"/>
      <c r="O123" s="119"/>
      <c r="P123" s="119"/>
      <c r="Q123" s="115"/>
      <c r="R123" s="115"/>
      <c r="S123" s="11"/>
      <c r="T123" s="247"/>
      <c r="U123" s="247"/>
      <c r="V123" s="247"/>
      <c r="W123" s="17"/>
      <c r="X123" s="11"/>
      <c r="Y123" s="11"/>
      <c r="Z123" s="247"/>
      <c r="AA123" s="247"/>
      <c r="AB123" s="247"/>
      <c r="AC123" s="47"/>
      <c r="AD123" s="22"/>
      <c r="AE123" s="17"/>
      <c r="AF123" s="247"/>
      <c r="AG123" s="247"/>
      <c r="AH123" s="153"/>
      <c r="AI123" s="22"/>
      <c r="AJ123" s="17"/>
      <c r="AK123" s="17"/>
      <c r="AL123" s="102"/>
      <c r="AM123" s="132"/>
      <c r="AN123" s="161"/>
      <c r="AO123" s="115"/>
      <c r="AP123" s="115"/>
      <c r="AQ123" s="17"/>
      <c r="AR123" s="247"/>
      <c r="AS123" s="247"/>
      <c r="AT123" s="247"/>
      <c r="AU123" s="17"/>
      <c r="AV123" s="17"/>
      <c r="AW123" s="17"/>
      <c r="AX123" s="247"/>
      <c r="AY123" s="247"/>
      <c r="AZ123" s="247"/>
      <c r="BA123" s="17"/>
      <c r="BB123" s="52"/>
      <c r="BC123" s="17"/>
      <c r="BD123" s="247"/>
      <c r="BE123" s="247"/>
      <c r="BF123" s="247"/>
      <c r="BG123" s="17"/>
      <c r="BH123" s="17"/>
      <c r="BI123" s="17"/>
      <c r="BJ123" s="247">
        <v>33800</v>
      </c>
      <c r="BK123" s="247">
        <f t="shared" si="33"/>
        <v>6422</v>
      </c>
      <c r="BL123" s="247">
        <f t="shared" si="34"/>
        <v>40222</v>
      </c>
      <c r="BM123" s="190" t="s">
        <v>375</v>
      </c>
      <c r="BN123" s="190" t="s">
        <v>1551</v>
      </c>
      <c r="BO123" s="17"/>
      <c r="BP123" s="247">
        <v>32000</v>
      </c>
      <c r="BQ123" s="247">
        <f t="shared" si="38"/>
        <v>6080</v>
      </c>
      <c r="BR123" s="247">
        <f t="shared" si="39"/>
        <v>38080</v>
      </c>
      <c r="BS123" s="17"/>
      <c r="BT123" s="17"/>
      <c r="BU123" s="17"/>
      <c r="BV123" s="195">
        <v>39493.271999999997</v>
      </c>
      <c r="BW123" s="195">
        <f t="shared" si="41"/>
        <v>7503.7216799999997</v>
      </c>
      <c r="BX123" s="246">
        <f t="shared" si="42"/>
        <v>46996.99368</v>
      </c>
      <c r="BY123" s="190" t="s">
        <v>375</v>
      </c>
      <c r="BZ123" s="190" t="s">
        <v>1551</v>
      </c>
      <c r="CA123" s="190"/>
      <c r="CB123" s="247"/>
      <c r="CC123" s="247"/>
      <c r="CD123" s="247"/>
      <c r="CE123" s="17"/>
      <c r="CF123" s="17"/>
      <c r="CG123" s="17"/>
      <c r="CH123" s="247"/>
      <c r="CI123" s="247"/>
      <c r="CJ123" s="247"/>
      <c r="CK123" s="17"/>
      <c r="CL123" s="17"/>
      <c r="CM123" s="17"/>
      <c r="CN123" s="17"/>
      <c r="CO123" s="17"/>
      <c r="CP123" s="11"/>
      <c r="CQ123" s="11"/>
      <c r="CR123" s="11"/>
      <c r="CS123" s="11"/>
      <c r="CT123" s="247"/>
      <c r="CU123" s="247"/>
      <c r="CV123" s="247"/>
      <c r="CW123" s="11"/>
      <c r="CX123" s="11"/>
      <c r="CY123" s="11"/>
      <c r="CZ123" s="11"/>
      <c r="DA123" s="11"/>
      <c r="DB123" s="11"/>
      <c r="DC123" s="11"/>
      <c r="DD123" s="11"/>
      <c r="DE123" s="11"/>
      <c r="DF123" s="11"/>
      <c r="DG123" s="11"/>
      <c r="DH123" s="11"/>
      <c r="DI123" s="11"/>
      <c r="DJ123" s="11"/>
      <c r="DK123" s="11"/>
      <c r="DL123" s="247"/>
      <c r="DM123" s="247"/>
      <c r="DN123" s="247"/>
      <c r="DO123" s="247"/>
      <c r="DP123" s="247"/>
      <c r="DQ123" s="247"/>
      <c r="DR123" s="247"/>
      <c r="DS123" s="247"/>
      <c r="DT123" s="247"/>
      <c r="DU123" s="247"/>
      <c r="DV123" s="247"/>
      <c r="DW123" s="247"/>
      <c r="DX123" s="247"/>
      <c r="DY123" s="247"/>
      <c r="DZ123" s="247"/>
      <c r="EA123" s="247"/>
      <c r="EB123" s="247"/>
      <c r="EC123" s="247"/>
      <c r="ED123" s="17">
        <f t="shared" si="36"/>
        <v>125298.99368</v>
      </c>
      <c r="EE123" s="29">
        <f t="shared" si="37"/>
        <v>3</v>
      </c>
      <c r="EF123" s="17">
        <f t="shared" si="35"/>
        <v>41766.331226666669</v>
      </c>
    </row>
    <row r="124" spans="1:136" ht="25.5" x14ac:dyDescent="0.25">
      <c r="A124" s="25">
        <f>Distribución_Elementos!A124</f>
        <v>122</v>
      </c>
      <c r="B124" s="22" t="str">
        <f>Distribución_Elementos!B124</f>
        <v>Cava de icopor 5 Litros para envio de muestras, para entregar en las 32 seccionales del ICA</v>
      </c>
      <c r="C124" s="22" t="str">
        <f>Distribución_Elementos!C124</f>
        <v>Cualquier marca</v>
      </c>
      <c r="D124" s="22" t="str">
        <f>Distribución_Elementos!D124</f>
        <v>Unidad</v>
      </c>
      <c r="E124" s="224">
        <v>1</v>
      </c>
      <c r="F124" s="221">
        <v>0</v>
      </c>
      <c r="G124" s="221">
        <v>0</v>
      </c>
      <c r="H124" s="221">
        <v>0</v>
      </c>
      <c r="I124" s="221">
        <v>0</v>
      </c>
      <c r="J124" s="221">
        <v>0</v>
      </c>
      <c r="K124" s="221">
        <v>0</v>
      </c>
      <c r="L124" s="247"/>
      <c r="M124" s="247"/>
      <c r="N124" s="227">
        <v>10000</v>
      </c>
      <c r="O124" s="119">
        <f>+N124*0.19</f>
        <v>1900</v>
      </c>
      <c r="P124" s="119">
        <f>+N124+O124</f>
        <v>11900</v>
      </c>
      <c r="Q124" s="115"/>
      <c r="R124" s="115"/>
      <c r="S124" s="11"/>
      <c r="T124" s="247"/>
      <c r="U124" s="247"/>
      <c r="V124" s="247"/>
      <c r="W124" s="17"/>
      <c r="X124" s="11"/>
      <c r="Y124" s="11"/>
      <c r="Z124" s="247"/>
      <c r="AA124" s="247"/>
      <c r="AB124" s="247"/>
      <c r="AC124" s="47"/>
      <c r="AD124" s="22"/>
      <c r="AE124" s="17"/>
      <c r="AF124" s="247"/>
      <c r="AG124" s="247"/>
      <c r="AH124" s="153"/>
      <c r="AI124" s="22"/>
      <c r="AJ124" s="17"/>
      <c r="AK124" s="17"/>
      <c r="AL124" s="102"/>
      <c r="AM124" s="132"/>
      <c r="AN124" s="161"/>
      <c r="AO124" s="115"/>
      <c r="AP124" s="115"/>
      <c r="AQ124" s="17"/>
      <c r="AR124" s="247"/>
      <c r="AS124" s="247"/>
      <c r="AT124" s="247"/>
      <c r="AU124" s="17"/>
      <c r="AV124" s="17"/>
      <c r="AW124" s="17"/>
      <c r="AX124" s="247"/>
      <c r="AY124" s="247"/>
      <c r="AZ124" s="247"/>
      <c r="BA124" s="17"/>
      <c r="BB124" s="52"/>
      <c r="BC124" s="17"/>
      <c r="BD124" s="247"/>
      <c r="BE124" s="247"/>
      <c r="BF124" s="247"/>
      <c r="BG124" s="17"/>
      <c r="BH124" s="17"/>
      <c r="BI124" s="17"/>
      <c r="BJ124" s="247">
        <v>24800</v>
      </c>
      <c r="BK124" s="247">
        <f t="shared" si="33"/>
        <v>4712</v>
      </c>
      <c r="BL124" s="247">
        <f t="shared" si="34"/>
        <v>29512</v>
      </c>
      <c r="BM124" s="190" t="s">
        <v>375</v>
      </c>
      <c r="BN124" s="190" t="s">
        <v>1551</v>
      </c>
      <c r="BO124" s="17"/>
      <c r="BP124" s="247">
        <v>25000</v>
      </c>
      <c r="BQ124" s="247">
        <f t="shared" si="38"/>
        <v>4750</v>
      </c>
      <c r="BR124" s="247">
        <f t="shared" si="39"/>
        <v>29750</v>
      </c>
      <c r="BS124" s="17"/>
      <c r="BT124" s="17"/>
      <c r="BU124" s="17"/>
      <c r="BV124" s="195">
        <v>27347.406400000003</v>
      </c>
      <c r="BW124" s="195">
        <f t="shared" si="41"/>
        <v>5196.0072160000009</v>
      </c>
      <c r="BX124" s="246">
        <f t="shared" si="42"/>
        <v>32543.413616000005</v>
      </c>
      <c r="BY124" s="190" t="s">
        <v>375</v>
      </c>
      <c r="BZ124" s="190" t="s">
        <v>1551</v>
      </c>
      <c r="CA124" s="190"/>
      <c r="CB124" s="247"/>
      <c r="CC124" s="247"/>
      <c r="CD124" s="247"/>
      <c r="CE124" s="17"/>
      <c r="CF124" s="17"/>
      <c r="CG124" s="17"/>
      <c r="CH124" s="247"/>
      <c r="CI124" s="247"/>
      <c r="CJ124" s="247"/>
      <c r="CK124" s="17"/>
      <c r="CL124" s="17"/>
      <c r="CM124" s="17"/>
      <c r="CN124" s="17"/>
      <c r="CO124" s="17"/>
      <c r="CP124" s="11"/>
      <c r="CQ124" s="11"/>
      <c r="CR124" s="11"/>
      <c r="CS124" s="11"/>
      <c r="CT124" s="247"/>
      <c r="CU124" s="247"/>
      <c r="CV124" s="247"/>
      <c r="CW124" s="11"/>
      <c r="CX124" s="11"/>
      <c r="CY124" s="11"/>
      <c r="CZ124" s="11"/>
      <c r="DA124" s="11"/>
      <c r="DB124" s="11"/>
      <c r="DC124" s="11"/>
      <c r="DD124" s="11"/>
      <c r="DE124" s="11"/>
      <c r="DF124" s="11"/>
      <c r="DG124" s="11"/>
      <c r="DH124" s="11"/>
      <c r="DI124" s="11"/>
      <c r="DJ124" s="11"/>
      <c r="DK124" s="11"/>
      <c r="DL124" s="247"/>
      <c r="DM124" s="247"/>
      <c r="DN124" s="247"/>
      <c r="DO124" s="247"/>
      <c r="DP124" s="247"/>
      <c r="DQ124" s="247"/>
      <c r="DR124" s="247"/>
      <c r="DS124" s="247"/>
      <c r="DT124" s="247"/>
      <c r="DU124" s="247"/>
      <c r="DV124" s="247"/>
      <c r="DW124" s="247"/>
      <c r="DX124" s="247"/>
      <c r="DY124" s="247"/>
      <c r="DZ124" s="247"/>
      <c r="EA124" s="247"/>
      <c r="EB124" s="247"/>
      <c r="EC124" s="247"/>
      <c r="ED124" s="17">
        <f t="shared" si="36"/>
        <v>103705.41361600001</v>
      </c>
      <c r="EE124" s="29">
        <f t="shared" si="37"/>
        <v>4</v>
      </c>
      <c r="EF124" s="17">
        <f t="shared" si="35"/>
        <v>25926.353404000001</v>
      </c>
    </row>
    <row r="125" spans="1:136" ht="25.5" x14ac:dyDescent="0.25">
      <c r="A125" s="25">
        <f>Distribución_Elementos!A125</f>
        <v>123</v>
      </c>
      <c r="B125" s="22" t="str">
        <f>Distribución_Elementos!B125</f>
        <v>Cava de icopor de 10 litros  para envio de muestras, para entregar en las 32 seccionales del ICA</v>
      </c>
      <c r="C125" s="22" t="str">
        <f>Distribución_Elementos!C125</f>
        <v>Cualquier marca</v>
      </c>
      <c r="D125" s="22" t="str">
        <f>Distribución_Elementos!D125</f>
        <v>Unidad</v>
      </c>
      <c r="E125" s="224">
        <v>1</v>
      </c>
      <c r="F125" s="221">
        <v>0</v>
      </c>
      <c r="G125" s="221">
        <v>0</v>
      </c>
      <c r="H125" s="221">
        <v>0</v>
      </c>
      <c r="I125" s="221">
        <v>0</v>
      </c>
      <c r="J125" s="221">
        <v>0</v>
      </c>
      <c r="K125" s="221">
        <v>0</v>
      </c>
      <c r="L125" s="247"/>
      <c r="M125" s="247"/>
      <c r="N125" s="227">
        <v>15000</v>
      </c>
      <c r="O125" s="119">
        <f>+N125*0.19</f>
        <v>2850</v>
      </c>
      <c r="P125" s="119">
        <f>+N125+O125</f>
        <v>17850</v>
      </c>
      <c r="Q125" s="115"/>
      <c r="R125" s="115"/>
      <c r="S125" s="11"/>
      <c r="T125" s="247"/>
      <c r="U125" s="247"/>
      <c r="V125" s="247"/>
      <c r="W125" s="17"/>
      <c r="X125" s="11"/>
      <c r="Y125" s="11"/>
      <c r="Z125" s="247"/>
      <c r="AA125" s="247"/>
      <c r="AB125" s="247"/>
      <c r="AC125" s="47"/>
      <c r="AD125" s="22"/>
      <c r="AE125" s="17"/>
      <c r="AF125" s="247"/>
      <c r="AG125" s="247"/>
      <c r="AH125" s="153"/>
      <c r="AI125" s="22"/>
      <c r="AJ125" s="17"/>
      <c r="AK125" s="17"/>
      <c r="AL125" s="102"/>
      <c r="AM125" s="132"/>
      <c r="AN125" s="161"/>
      <c r="AO125" s="115"/>
      <c r="AP125" s="115"/>
      <c r="AQ125" s="17"/>
      <c r="AR125" s="247"/>
      <c r="AS125" s="247"/>
      <c r="AT125" s="247"/>
      <c r="AU125" s="17"/>
      <c r="AV125" s="17"/>
      <c r="AW125" s="17"/>
      <c r="AX125" s="247"/>
      <c r="AY125" s="247"/>
      <c r="AZ125" s="247"/>
      <c r="BA125" s="17"/>
      <c r="BB125" s="52"/>
      <c r="BC125" s="17"/>
      <c r="BD125" s="247"/>
      <c r="BE125" s="247"/>
      <c r="BF125" s="247"/>
      <c r="BG125" s="17"/>
      <c r="BH125" s="17"/>
      <c r="BI125" s="17"/>
      <c r="BJ125" s="247">
        <v>23400</v>
      </c>
      <c r="BK125" s="247">
        <f t="shared" si="33"/>
        <v>4446</v>
      </c>
      <c r="BL125" s="247">
        <f t="shared" si="34"/>
        <v>27846</v>
      </c>
      <c r="BM125" s="190" t="s">
        <v>375</v>
      </c>
      <c r="BN125" s="190" t="s">
        <v>1551</v>
      </c>
      <c r="BO125" s="17"/>
      <c r="BP125" s="247">
        <v>28000</v>
      </c>
      <c r="BQ125" s="247">
        <f t="shared" si="38"/>
        <v>5320</v>
      </c>
      <c r="BR125" s="247">
        <f t="shared" si="39"/>
        <v>33320</v>
      </c>
      <c r="BS125" s="17"/>
      <c r="BT125" s="17"/>
      <c r="BU125" s="17"/>
      <c r="BV125" s="195">
        <v>26560.310400000002</v>
      </c>
      <c r="BW125" s="195">
        <f t="shared" si="41"/>
        <v>5046.4589760000008</v>
      </c>
      <c r="BX125" s="246">
        <f t="shared" si="42"/>
        <v>31606.769376000004</v>
      </c>
      <c r="BY125" s="190" t="s">
        <v>375</v>
      </c>
      <c r="BZ125" s="190" t="s">
        <v>1551</v>
      </c>
      <c r="CA125" s="190"/>
      <c r="CB125" s="247"/>
      <c r="CC125" s="247"/>
      <c r="CD125" s="247"/>
      <c r="CE125" s="17"/>
      <c r="CF125" s="17"/>
      <c r="CG125" s="17"/>
      <c r="CH125" s="247"/>
      <c r="CI125" s="247"/>
      <c r="CJ125" s="247"/>
      <c r="CK125" s="17"/>
      <c r="CL125" s="17"/>
      <c r="CM125" s="17"/>
      <c r="CN125" s="17"/>
      <c r="CO125" s="17"/>
      <c r="CP125" s="11"/>
      <c r="CQ125" s="11"/>
      <c r="CR125" s="11"/>
      <c r="CS125" s="11"/>
      <c r="CT125" s="247"/>
      <c r="CU125" s="247"/>
      <c r="CV125" s="247"/>
      <c r="CW125" s="11"/>
      <c r="CX125" s="11"/>
      <c r="CY125" s="11"/>
      <c r="CZ125" s="11"/>
      <c r="DA125" s="11"/>
      <c r="DB125" s="11"/>
      <c r="DC125" s="11"/>
      <c r="DD125" s="11"/>
      <c r="DE125" s="11"/>
      <c r="DF125" s="11"/>
      <c r="DG125" s="11"/>
      <c r="DH125" s="11"/>
      <c r="DI125" s="11"/>
      <c r="DJ125" s="11"/>
      <c r="DK125" s="11"/>
      <c r="DL125" s="247"/>
      <c r="DM125" s="247"/>
      <c r="DN125" s="247"/>
      <c r="DO125" s="247"/>
      <c r="DP125" s="247"/>
      <c r="DQ125" s="247"/>
      <c r="DR125" s="247"/>
      <c r="DS125" s="247"/>
      <c r="DT125" s="247"/>
      <c r="DU125" s="247"/>
      <c r="DV125" s="247"/>
      <c r="DW125" s="247"/>
      <c r="DX125" s="247"/>
      <c r="DY125" s="247"/>
      <c r="DZ125" s="247"/>
      <c r="EA125" s="247"/>
      <c r="EB125" s="247"/>
      <c r="EC125" s="247"/>
      <c r="ED125" s="17">
        <f t="shared" si="36"/>
        <v>110622.76937600001</v>
      </c>
      <c r="EE125" s="29">
        <f t="shared" si="37"/>
        <v>4</v>
      </c>
      <c r="EF125" s="17">
        <f t="shared" si="35"/>
        <v>27655.692344000003</v>
      </c>
    </row>
    <row r="126" spans="1:136" ht="25.5" x14ac:dyDescent="0.25">
      <c r="A126" s="25">
        <f>Distribución_Elementos!A126</f>
        <v>124</v>
      </c>
      <c r="B126" s="22" t="str">
        <f>Distribución_Elementos!B126</f>
        <v>Cava de icopor de 3 litros  para envio de muestras, para entregar en las 32 seccionales del ICA</v>
      </c>
      <c r="C126" s="22" t="str">
        <f>Distribución_Elementos!C126</f>
        <v>Cualquier marca</v>
      </c>
      <c r="D126" s="22" t="str">
        <f>Distribución_Elementos!D126</f>
        <v>Unidad</v>
      </c>
      <c r="E126" s="224">
        <v>1</v>
      </c>
      <c r="F126" s="221">
        <v>0</v>
      </c>
      <c r="G126" s="221">
        <v>0</v>
      </c>
      <c r="H126" s="221">
        <v>0</v>
      </c>
      <c r="I126" s="221">
        <v>0</v>
      </c>
      <c r="J126" s="221">
        <v>0</v>
      </c>
      <c r="K126" s="221">
        <v>0</v>
      </c>
      <c r="L126" s="247"/>
      <c r="M126" s="247"/>
      <c r="N126" s="227">
        <v>10000</v>
      </c>
      <c r="O126" s="119">
        <f>+N126*0.19</f>
        <v>1900</v>
      </c>
      <c r="P126" s="119">
        <f>+N126+O126</f>
        <v>11900</v>
      </c>
      <c r="Q126" s="115"/>
      <c r="R126" s="115"/>
      <c r="S126" s="11"/>
      <c r="T126" s="247"/>
      <c r="U126" s="247"/>
      <c r="V126" s="247"/>
      <c r="W126" s="17"/>
      <c r="X126" s="11"/>
      <c r="Y126" s="11"/>
      <c r="Z126" s="247"/>
      <c r="AA126" s="247"/>
      <c r="AB126" s="247"/>
      <c r="AC126" s="47"/>
      <c r="AD126" s="22"/>
      <c r="AE126" s="17"/>
      <c r="AF126" s="247"/>
      <c r="AG126" s="247"/>
      <c r="AH126" s="153"/>
      <c r="AI126" s="4"/>
      <c r="AJ126" s="17"/>
      <c r="AK126" s="17"/>
      <c r="AL126" s="102"/>
      <c r="AM126" s="132"/>
      <c r="AN126" s="161"/>
      <c r="AO126" s="115"/>
      <c r="AP126" s="115"/>
      <c r="AQ126" s="17"/>
      <c r="AR126" s="247"/>
      <c r="AS126" s="247"/>
      <c r="AT126" s="247"/>
      <c r="AU126" s="17"/>
      <c r="AV126" s="17"/>
      <c r="AW126" s="17"/>
      <c r="AX126" s="247"/>
      <c r="AY126" s="247"/>
      <c r="AZ126" s="247"/>
      <c r="BA126" s="17"/>
      <c r="BB126" s="52"/>
      <c r="BC126" s="17"/>
      <c r="BD126" s="247"/>
      <c r="BE126" s="247"/>
      <c r="BF126" s="247"/>
      <c r="BG126" s="17"/>
      <c r="BH126" s="17"/>
      <c r="BI126" s="17"/>
      <c r="BJ126" s="247">
        <v>18000</v>
      </c>
      <c r="BK126" s="247">
        <f t="shared" si="33"/>
        <v>3420</v>
      </c>
      <c r="BL126" s="247">
        <f t="shared" si="34"/>
        <v>21420</v>
      </c>
      <c r="BM126" s="190" t="s">
        <v>375</v>
      </c>
      <c r="BN126" s="190" t="s">
        <v>1551</v>
      </c>
      <c r="BO126" s="17"/>
      <c r="BP126" s="247">
        <v>22000</v>
      </c>
      <c r="BQ126" s="247">
        <f t="shared" si="38"/>
        <v>4180</v>
      </c>
      <c r="BR126" s="247">
        <f t="shared" si="39"/>
        <v>26180</v>
      </c>
      <c r="BS126" s="17"/>
      <c r="BT126" s="17"/>
      <c r="BU126" s="17"/>
      <c r="BV126" s="195">
        <v>20814.281999999999</v>
      </c>
      <c r="BW126" s="195">
        <f t="shared" si="41"/>
        <v>3954.7135800000001</v>
      </c>
      <c r="BX126" s="246">
        <f t="shared" si="42"/>
        <v>24768.995579999999</v>
      </c>
      <c r="BY126" s="190" t="s">
        <v>375</v>
      </c>
      <c r="BZ126" s="190" t="s">
        <v>1551</v>
      </c>
      <c r="CA126" s="190"/>
      <c r="CB126" s="247"/>
      <c r="CC126" s="247"/>
      <c r="CD126" s="247"/>
      <c r="CE126" s="17"/>
      <c r="CF126" s="17"/>
      <c r="CG126" s="17"/>
      <c r="CH126" s="247"/>
      <c r="CI126" s="247"/>
      <c r="CJ126" s="247"/>
      <c r="CK126" s="17"/>
      <c r="CL126" s="17"/>
      <c r="CM126" s="17"/>
      <c r="CN126" s="17"/>
      <c r="CO126" s="17"/>
      <c r="CP126" s="11"/>
      <c r="CQ126" s="11"/>
      <c r="CR126" s="11"/>
      <c r="CS126" s="11"/>
      <c r="CT126" s="247"/>
      <c r="CU126" s="247"/>
      <c r="CV126" s="247"/>
      <c r="CW126" s="11"/>
      <c r="CX126" s="11"/>
      <c r="CY126" s="11"/>
      <c r="CZ126" s="11"/>
      <c r="DA126" s="11"/>
      <c r="DB126" s="11"/>
      <c r="DC126" s="11"/>
      <c r="DD126" s="11"/>
      <c r="DE126" s="11"/>
      <c r="DF126" s="11"/>
      <c r="DG126" s="11"/>
      <c r="DH126" s="11"/>
      <c r="DI126" s="11"/>
      <c r="DJ126" s="11"/>
      <c r="DK126" s="11"/>
      <c r="DL126" s="247"/>
      <c r="DM126" s="247"/>
      <c r="DN126" s="247"/>
      <c r="DO126" s="247"/>
      <c r="DP126" s="247"/>
      <c r="DQ126" s="247"/>
      <c r="DR126" s="247"/>
      <c r="DS126" s="247"/>
      <c r="DT126" s="247"/>
      <c r="DU126" s="247"/>
      <c r="DV126" s="247"/>
      <c r="DW126" s="247"/>
      <c r="DX126" s="247"/>
      <c r="DY126" s="247"/>
      <c r="DZ126" s="247"/>
      <c r="EA126" s="247"/>
      <c r="EB126" s="247"/>
      <c r="EC126" s="247"/>
      <c r="ED126" s="17">
        <f t="shared" si="36"/>
        <v>84268.995580000003</v>
      </c>
      <c r="EE126" s="29">
        <f t="shared" si="37"/>
        <v>4</v>
      </c>
      <c r="EF126" s="17">
        <f t="shared" si="35"/>
        <v>21067.248895000001</v>
      </c>
    </row>
    <row r="127" spans="1:136" ht="25.5" x14ac:dyDescent="0.25">
      <c r="A127" s="25">
        <f>Distribución_Elementos!A127</f>
        <v>125</v>
      </c>
      <c r="B127" s="22" t="str">
        <f>Distribución_Elementos!B127</f>
        <v>Cava de icopor de 40 litros  para envio de muestras, para entregar en las 32 seccionales del ICA</v>
      </c>
      <c r="C127" s="22" t="str">
        <f>Distribución_Elementos!C127</f>
        <v>Cualquier marca</v>
      </c>
      <c r="D127" s="22" t="str">
        <f>Distribución_Elementos!D127</f>
        <v>Unidad</v>
      </c>
      <c r="E127" s="224">
        <v>1</v>
      </c>
      <c r="F127" s="221">
        <v>0</v>
      </c>
      <c r="G127" s="221">
        <v>0</v>
      </c>
      <c r="H127" s="221">
        <v>0</v>
      </c>
      <c r="I127" s="221">
        <v>0</v>
      </c>
      <c r="J127" s="221">
        <v>0</v>
      </c>
      <c r="K127" s="221">
        <v>0</v>
      </c>
      <c r="L127" s="247"/>
      <c r="M127" s="247"/>
      <c r="N127" s="227">
        <v>55500</v>
      </c>
      <c r="O127" s="119">
        <f>+N127*0.19</f>
        <v>10545</v>
      </c>
      <c r="P127" s="119">
        <f>+N127+O127</f>
        <v>66045</v>
      </c>
      <c r="Q127" s="115"/>
      <c r="R127" s="115"/>
      <c r="S127" s="11"/>
      <c r="T127" s="247"/>
      <c r="U127" s="247"/>
      <c r="V127" s="247"/>
      <c r="W127" s="17"/>
      <c r="X127" s="11"/>
      <c r="Y127" s="11"/>
      <c r="Z127" s="247"/>
      <c r="AA127" s="247"/>
      <c r="AB127" s="247"/>
      <c r="AC127" s="44"/>
      <c r="AD127" s="22"/>
      <c r="AE127" s="17"/>
      <c r="AF127" s="247"/>
      <c r="AG127" s="247"/>
      <c r="AH127" s="97"/>
      <c r="AI127" s="4"/>
      <c r="AJ127" s="17"/>
      <c r="AK127" s="17"/>
      <c r="AL127" s="102"/>
      <c r="AM127" s="132"/>
      <c r="AN127" s="161"/>
      <c r="AO127" s="115"/>
      <c r="AP127" s="115"/>
      <c r="AQ127" s="17"/>
      <c r="AR127" s="247"/>
      <c r="AS127" s="247"/>
      <c r="AT127" s="247"/>
      <c r="AU127" s="17"/>
      <c r="AV127" s="17"/>
      <c r="AW127" s="17"/>
      <c r="AX127" s="247"/>
      <c r="AY127" s="247"/>
      <c r="AZ127" s="247"/>
      <c r="BA127" s="17"/>
      <c r="BB127" s="52"/>
      <c r="BC127" s="17"/>
      <c r="BD127" s="247"/>
      <c r="BE127" s="247"/>
      <c r="BF127" s="247"/>
      <c r="BG127" s="17"/>
      <c r="BH127" s="17"/>
      <c r="BI127" s="17"/>
      <c r="BJ127" s="252">
        <v>79200</v>
      </c>
      <c r="BK127" s="247">
        <f t="shared" si="33"/>
        <v>15048</v>
      </c>
      <c r="BL127" s="247">
        <f t="shared" si="34"/>
        <v>94248</v>
      </c>
      <c r="BM127" s="190" t="s">
        <v>375</v>
      </c>
      <c r="BN127" s="190" t="s">
        <v>1551</v>
      </c>
      <c r="BO127" s="17"/>
      <c r="BP127" s="247">
        <v>85000</v>
      </c>
      <c r="BQ127" s="247">
        <f t="shared" si="38"/>
        <v>16150</v>
      </c>
      <c r="BR127" s="247">
        <f t="shared" si="39"/>
        <v>101150</v>
      </c>
      <c r="BS127" s="17"/>
      <c r="BT127" s="17"/>
      <c r="BU127" s="17"/>
      <c r="BV127" s="195">
        <v>87351.26400000001</v>
      </c>
      <c r="BW127" s="195">
        <f t="shared" si="41"/>
        <v>16596.740160000001</v>
      </c>
      <c r="BX127" s="246">
        <f t="shared" si="42"/>
        <v>103948.00416000001</v>
      </c>
      <c r="BY127" s="190" t="s">
        <v>375</v>
      </c>
      <c r="BZ127" s="190" t="s">
        <v>1551</v>
      </c>
      <c r="CA127" s="190"/>
      <c r="CB127" s="247"/>
      <c r="CC127" s="247"/>
      <c r="CD127" s="247"/>
      <c r="CE127" s="17"/>
      <c r="CF127" s="17"/>
      <c r="CG127" s="17"/>
      <c r="CH127" s="247"/>
      <c r="CI127" s="247"/>
      <c r="CJ127" s="247"/>
      <c r="CK127" s="17"/>
      <c r="CL127" s="17"/>
      <c r="CM127" s="17"/>
      <c r="CN127" s="17"/>
      <c r="CO127" s="17"/>
      <c r="CP127" s="11"/>
      <c r="CQ127" s="11"/>
      <c r="CR127" s="11"/>
      <c r="CS127" s="11"/>
      <c r="CT127" s="247"/>
      <c r="CU127" s="247"/>
      <c r="CV127" s="247"/>
      <c r="CW127" s="11"/>
      <c r="CX127" s="11"/>
      <c r="CY127" s="11"/>
      <c r="CZ127" s="11"/>
      <c r="DA127" s="11"/>
      <c r="DB127" s="11"/>
      <c r="DC127" s="11"/>
      <c r="DD127" s="11"/>
      <c r="DE127" s="11"/>
      <c r="DF127" s="11"/>
      <c r="DG127" s="11"/>
      <c r="DH127" s="11"/>
      <c r="DI127" s="11"/>
      <c r="DJ127" s="11"/>
      <c r="DK127" s="11"/>
      <c r="DL127" s="247"/>
      <c r="DM127" s="247"/>
      <c r="DN127" s="247"/>
      <c r="DO127" s="247"/>
      <c r="DP127" s="247"/>
      <c r="DQ127" s="247"/>
      <c r="DR127" s="247"/>
      <c r="DS127" s="247"/>
      <c r="DT127" s="247"/>
      <c r="DU127" s="247"/>
      <c r="DV127" s="247"/>
      <c r="DW127" s="247"/>
      <c r="DX127" s="247"/>
      <c r="DY127" s="247"/>
      <c r="DZ127" s="247"/>
      <c r="EA127" s="247"/>
      <c r="EB127" s="247"/>
      <c r="EC127" s="247"/>
      <c r="ED127" s="17">
        <f t="shared" si="36"/>
        <v>365391.00416000001</v>
      </c>
      <c r="EE127" s="29">
        <f t="shared" si="37"/>
        <v>4</v>
      </c>
      <c r="EF127" s="17">
        <f t="shared" si="35"/>
        <v>91347.751040000003</v>
      </c>
    </row>
    <row r="128" spans="1:136" ht="25.5" x14ac:dyDescent="0.25">
      <c r="A128" s="25">
        <f>Distribución_Elementos!A128</f>
        <v>126</v>
      </c>
      <c r="B128" s="22" t="str">
        <f>Distribución_Elementos!B128</f>
        <v xml:space="preserve">Cava de icopor de 60 litros  para envio de muestras, para entregar en las 32 seccionales del ICA </v>
      </c>
      <c r="C128" s="22" t="str">
        <f>Distribución_Elementos!C128</f>
        <v>Cualquier marca</v>
      </c>
      <c r="D128" s="22" t="str">
        <f>Distribución_Elementos!D128</f>
        <v>Unidad</v>
      </c>
      <c r="E128" s="224">
        <v>1</v>
      </c>
      <c r="F128" s="221">
        <v>0</v>
      </c>
      <c r="G128" s="221">
        <v>0</v>
      </c>
      <c r="H128" s="221">
        <v>0</v>
      </c>
      <c r="I128" s="221">
        <v>0</v>
      </c>
      <c r="J128" s="221">
        <v>0</v>
      </c>
      <c r="K128" s="221">
        <v>0</v>
      </c>
      <c r="L128" s="247"/>
      <c r="M128" s="247"/>
      <c r="N128" s="227"/>
      <c r="O128" s="119"/>
      <c r="P128" s="119"/>
      <c r="Q128" s="115"/>
      <c r="R128" s="115"/>
      <c r="S128" s="11"/>
      <c r="T128" s="247"/>
      <c r="U128" s="247"/>
      <c r="V128" s="247"/>
      <c r="W128" s="17"/>
      <c r="X128" s="11"/>
      <c r="Y128" s="11"/>
      <c r="Z128" s="247"/>
      <c r="AA128" s="247"/>
      <c r="AB128" s="247"/>
      <c r="AC128" s="47"/>
      <c r="AD128" s="22"/>
      <c r="AE128" s="17"/>
      <c r="AF128" s="247"/>
      <c r="AG128" s="247"/>
      <c r="AH128" s="153"/>
      <c r="AI128" s="4"/>
      <c r="AJ128" s="17"/>
      <c r="AK128" s="17"/>
      <c r="AL128" s="102"/>
      <c r="AM128" s="132"/>
      <c r="AN128" s="161"/>
      <c r="AO128" s="115"/>
      <c r="AP128" s="115"/>
      <c r="AQ128" s="17"/>
      <c r="AR128" s="247"/>
      <c r="AS128" s="247"/>
      <c r="AT128" s="247"/>
      <c r="AU128" s="17"/>
      <c r="AV128" s="17"/>
      <c r="AW128" s="17"/>
      <c r="AX128" s="247"/>
      <c r="AY128" s="247"/>
      <c r="AZ128" s="247"/>
      <c r="BA128" s="17"/>
      <c r="BB128" s="52"/>
      <c r="BC128" s="17"/>
      <c r="BD128" s="247"/>
      <c r="BE128" s="247"/>
      <c r="BF128" s="247"/>
      <c r="BG128" s="17"/>
      <c r="BH128" s="17"/>
      <c r="BI128" s="17"/>
      <c r="BJ128" s="252">
        <v>124000</v>
      </c>
      <c r="BK128" s="247">
        <f t="shared" si="33"/>
        <v>23560</v>
      </c>
      <c r="BL128" s="247">
        <f t="shared" si="34"/>
        <v>147560</v>
      </c>
      <c r="BM128" s="190" t="s">
        <v>375</v>
      </c>
      <c r="BN128" s="190" t="s">
        <v>1551</v>
      </c>
      <c r="BO128" s="17"/>
      <c r="BP128" s="247">
        <v>125000</v>
      </c>
      <c r="BQ128" s="247">
        <f t="shared" si="38"/>
        <v>23750</v>
      </c>
      <c r="BR128" s="247">
        <f t="shared" si="39"/>
        <v>148750</v>
      </c>
      <c r="BS128" s="17"/>
      <c r="BT128" s="17"/>
      <c r="BU128" s="17"/>
      <c r="BV128" s="195">
        <v>137964.38400000002</v>
      </c>
      <c r="BW128" s="195">
        <f t="shared" si="41"/>
        <v>26213.232960000005</v>
      </c>
      <c r="BX128" s="246">
        <f t="shared" si="42"/>
        <v>164177.61696000001</v>
      </c>
      <c r="BY128" s="190" t="s">
        <v>375</v>
      </c>
      <c r="BZ128" s="190" t="s">
        <v>1551</v>
      </c>
      <c r="CA128" s="190"/>
      <c r="CB128" s="247">
        <v>599395</v>
      </c>
      <c r="CC128" s="247">
        <f>+CB128*0.19</f>
        <v>113885.05</v>
      </c>
      <c r="CD128" s="247">
        <f>+CB128+CC128</f>
        <v>713280.05</v>
      </c>
      <c r="CE128" s="17"/>
      <c r="CF128" s="17"/>
      <c r="CG128" s="17"/>
      <c r="CH128" s="247"/>
      <c r="CI128" s="247"/>
      <c r="CJ128" s="247"/>
      <c r="CK128" s="17"/>
      <c r="CL128" s="17"/>
      <c r="CM128" s="17"/>
      <c r="CN128" s="17"/>
      <c r="CO128" s="17"/>
      <c r="CP128" s="11"/>
      <c r="CQ128" s="11"/>
      <c r="CR128" s="11"/>
      <c r="CS128" s="11"/>
      <c r="CT128" s="247"/>
      <c r="CU128" s="247"/>
      <c r="CV128" s="247"/>
      <c r="CW128" s="11"/>
      <c r="CX128" s="11"/>
      <c r="CY128" s="11"/>
      <c r="CZ128" s="11"/>
      <c r="DA128" s="11"/>
      <c r="DB128" s="11"/>
      <c r="DC128" s="11"/>
      <c r="DD128" s="11"/>
      <c r="DE128" s="11"/>
      <c r="DF128" s="11"/>
      <c r="DG128" s="11"/>
      <c r="DH128" s="11"/>
      <c r="DI128" s="11"/>
      <c r="DJ128" s="11"/>
      <c r="DK128" s="11"/>
      <c r="DL128" s="247"/>
      <c r="DM128" s="247"/>
      <c r="DN128" s="247"/>
      <c r="DO128" s="247"/>
      <c r="DP128" s="247"/>
      <c r="DQ128" s="247"/>
      <c r="DR128" s="247"/>
      <c r="DS128" s="247"/>
      <c r="DT128" s="247"/>
      <c r="DU128" s="247"/>
      <c r="DV128" s="247"/>
      <c r="DW128" s="247"/>
      <c r="DX128" s="247"/>
      <c r="DY128" s="247"/>
      <c r="DZ128" s="247"/>
      <c r="EA128" s="247"/>
      <c r="EB128" s="247"/>
      <c r="EC128" s="247"/>
      <c r="ED128" s="17">
        <f t="shared" si="36"/>
        <v>1173767.6669600001</v>
      </c>
      <c r="EE128" s="29">
        <f t="shared" si="37"/>
        <v>4</v>
      </c>
      <c r="EF128" s="17">
        <f t="shared" si="35"/>
        <v>293441.91674000002</v>
      </c>
    </row>
    <row r="129" spans="1:136" x14ac:dyDescent="0.25">
      <c r="A129" s="25">
        <f>Distribución_Elementos!A129</f>
        <v>127</v>
      </c>
      <c r="B129" s="22" t="str">
        <f>Distribución_Elementos!B129</f>
        <v xml:space="preserve">Celdas de quarzo  de 10 mm x 10 mm </v>
      </c>
      <c r="C129" s="22" t="str">
        <f>Distribución_Elementos!C129</f>
        <v>Cualquier marca</v>
      </c>
      <c r="D129" s="22" t="str">
        <f>Distribución_Elementos!D129</f>
        <v>Unidad</v>
      </c>
      <c r="E129" s="224">
        <v>1</v>
      </c>
      <c r="F129" s="221">
        <v>0</v>
      </c>
      <c r="G129" s="221">
        <v>0</v>
      </c>
      <c r="H129" s="221">
        <v>231920.76218514881</v>
      </c>
      <c r="I129" s="221">
        <v>230936</v>
      </c>
      <c r="J129" s="221">
        <v>0</v>
      </c>
      <c r="K129" s="221">
        <v>0</v>
      </c>
      <c r="L129" s="247">
        <f>H129</f>
        <v>231920.76218514881</v>
      </c>
      <c r="M129" s="247">
        <f>I129*E1</f>
        <v>237864.08000000002</v>
      </c>
      <c r="N129" s="227"/>
      <c r="O129" s="119"/>
      <c r="P129" s="119"/>
      <c r="Q129" s="115"/>
      <c r="R129" s="115"/>
      <c r="S129" s="11"/>
      <c r="T129" s="247">
        <v>286000</v>
      </c>
      <c r="U129" s="247">
        <f>+T129*0.19</f>
        <v>54340</v>
      </c>
      <c r="V129" s="247">
        <f>+T129+U129</f>
        <v>340340</v>
      </c>
      <c r="W129" s="17" t="s">
        <v>1514</v>
      </c>
      <c r="X129" s="11" t="s">
        <v>1523</v>
      </c>
      <c r="Y129" s="11"/>
      <c r="Z129" s="247"/>
      <c r="AA129" s="247"/>
      <c r="AB129" s="247"/>
      <c r="AC129" s="44"/>
      <c r="AD129" s="22"/>
      <c r="AE129" s="17"/>
      <c r="AF129" s="247"/>
      <c r="AG129" s="247"/>
      <c r="AH129" s="151"/>
      <c r="AI129" s="4"/>
      <c r="AJ129" s="17"/>
      <c r="AK129" s="17"/>
      <c r="AL129" s="102"/>
      <c r="AM129" s="132"/>
      <c r="AN129" s="161"/>
      <c r="AO129" s="115"/>
      <c r="AP129" s="115"/>
      <c r="AQ129" s="17"/>
      <c r="AR129" s="247"/>
      <c r="AS129" s="247"/>
      <c r="AT129" s="247"/>
      <c r="AU129" s="17"/>
      <c r="AV129" s="17"/>
      <c r="AW129" s="17"/>
      <c r="AX129" s="247"/>
      <c r="AY129" s="247"/>
      <c r="AZ129" s="247"/>
      <c r="BA129" s="17"/>
      <c r="BB129" s="52"/>
      <c r="BC129" s="17"/>
      <c r="BD129" s="247"/>
      <c r="BE129" s="247"/>
      <c r="BF129" s="247"/>
      <c r="BG129" s="17"/>
      <c r="BH129" s="17"/>
      <c r="BI129" s="17"/>
      <c r="BJ129" s="247">
        <v>284900</v>
      </c>
      <c r="BK129" s="247">
        <f t="shared" si="33"/>
        <v>54131</v>
      </c>
      <c r="BL129" s="247">
        <f t="shared" si="34"/>
        <v>339031</v>
      </c>
      <c r="BM129" s="190" t="s">
        <v>375</v>
      </c>
      <c r="BN129" s="190" t="s">
        <v>316</v>
      </c>
      <c r="BO129" s="17"/>
      <c r="BP129" s="247">
        <v>195000</v>
      </c>
      <c r="BQ129" s="247">
        <f t="shared" si="38"/>
        <v>37050</v>
      </c>
      <c r="BR129" s="247">
        <f t="shared" si="39"/>
        <v>232050</v>
      </c>
      <c r="BS129" s="17"/>
      <c r="BT129" s="17"/>
      <c r="BU129" s="17"/>
      <c r="BV129" s="195">
        <v>317392.27520000003</v>
      </c>
      <c r="BW129" s="195">
        <f t="shared" si="41"/>
        <v>60304.532288000009</v>
      </c>
      <c r="BX129" s="246">
        <f t="shared" si="42"/>
        <v>377696.80748800002</v>
      </c>
      <c r="BY129" s="190" t="s">
        <v>375</v>
      </c>
      <c r="BZ129" s="190" t="s">
        <v>316</v>
      </c>
      <c r="CA129" s="190"/>
      <c r="CB129" s="247"/>
      <c r="CC129" s="247"/>
      <c r="CD129" s="247"/>
      <c r="CE129" s="17"/>
      <c r="CF129" s="17"/>
      <c r="CG129" s="17"/>
      <c r="CH129" s="247"/>
      <c r="CI129" s="247"/>
      <c r="CJ129" s="247"/>
      <c r="CK129" s="17"/>
      <c r="CL129" s="17"/>
      <c r="CM129" s="17"/>
      <c r="CN129" s="17"/>
      <c r="CO129" s="17"/>
      <c r="CP129" s="11"/>
      <c r="CQ129" s="11"/>
      <c r="CR129" s="11"/>
      <c r="CS129" s="11"/>
      <c r="CT129" s="247"/>
      <c r="CU129" s="247"/>
      <c r="CV129" s="247"/>
      <c r="CW129" s="11"/>
      <c r="CX129" s="11"/>
      <c r="CY129" s="11"/>
      <c r="CZ129" s="11"/>
      <c r="DA129" s="11"/>
      <c r="DB129" s="11"/>
      <c r="DC129" s="11"/>
      <c r="DD129" s="11"/>
      <c r="DE129" s="11"/>
      <c r="DF129" s="11"/>
      <c r="DG129" s="11"/>
      <c r="DH129" s="11"/>
      <c r="DI129" s="11"/>
      <c r="DJ129" s="11"/>
      <c r="DK129" s="11"/>
      <c r="DL129" s="247"/>
      <c r="DM129" s="247"/>
      <c r="DN129" s="247"/>
      <c r="DO129" s="247"/>
      <c r="DP129" s="247"/>
      <c r="DQ129" s="247"/>
      <c r="DR129" s="247"/>
      <c r="DS129" s="247"/>
      <c r="DT129" s="247"/>
      <c r="DU129" s="247"/>
      <c r="DV129" s="247"/>
      <c r="DW129" s="247"/>
      <c r="DX129" s="247"/>
      <c r="DY129" s="247"/>
      <c r="DZ129" s="247"/>
      <c r="EA129" s="247"/>
      <c r="EB129" s="247"/>
      <c r="EC129" s="247"/>
      <c r="ED129" s="17">
        <f t="shared" si="36"/>
        <v>1526981.8874880001</v>
      </c>
      <c r="EE129" s="29">
        <f t="shared" si="37"/>
        <v>5</v>
      </c>
      <c r="EF129" s="17">
        <f t="shared" si="35"/>
        <v>305396.37749760004</v>
      </c>
    </row>
    <row r="130" spans="1:136" x14ac:dyDescent="0.25">
      <c r="A130" s="25">
        <f>Distribución_Elementos!A130</f>
        <v>128</v>
      </c>
      <c r="B130" s="22" t="str">
        <f>Distribución_Elementos!B130</f>
        <v xml:space="preserve">Cepillo  mango plastico </v>
      </c>
      <c r="C130" s="22" t="str">
        <f>Distribución_Elementos!C130</f>
        <v>Cualquier marca</v>
      </c>
      <c r="D130" s="22" t="str">
        <f>Distribución_Elementos!D130</f>
        <v>Unidad</v>
      </c>
      <c r="E130" s="224">
        <v>1</v>
      </c>
      <c r="F130" s="221">
        <v>157913</v>
      </c>
      <c r="G130" s="221">
        <v>0</v>
      </c>
      <c r="H130" s="221">
        <v>41927.666666666664</v>
      </c>
      <c r="I130" s="221">
        <v>0</v>
      </c>
      <c r="J130" s="221">
        <v>51737.497777777782</v>
      </c>
      <c r="K130" s="221">
        <v>0</v>
      </c>
      <c r="L130" s="247">
        <f>AVERAGE(F130,H130,J130)</f>
        <v>83859.388148148151</v>
      </c>
      <c r="M130" s="247"/>
      <c r="N130" s="227">
        <v>20000</v>
      </c>
      <c r="O130" s="119">
        <f>+N130*0.19</f>
        <v>3800</v>
      </c>
      <c r="P130" s="119">
        <f>+N130+O130</f>
        <v>23800</v>
      </c>
      <c r="Q130" s="115"/>
      <c r="R130" s="115"/>
      <c r="S130" s="11"/>
      <c r="T130" s="247"/>
      <c r="U130" s="247"/>
      <c r="V130" s="247"/>
      <c r="W130" s="17"/>
      <c r="X130" s="11"/>
      <c r="Y130" s="11"/>
      <c r="Z130" s="247"/>
      <c r="AA130" s="247"/>
      <c r="AB130" s="247"/>
      <c r="AC130" s="47"/>
      <c r="AD130" s="22"/>
      <c r="AE130" s="17"/>
      <c r="AF130" s="247"/>
      <c r="AG130" s="247"/>
      <c r="AH130" s="153"/>
      <c r="AI130" s="4"/>
      <c r="AJ130" s="17"/>
      <c r="AK130" s="17"/>
      <c r="AL130" s="102"/>
      <c r="AM130" s="132"/>
      <c r="AN130" s="161"/>
      <c r="AO130" s="115"/>
      <c r="AP130" s="115"/>
      <c r="AQ130" s="17"/>
      <c r="AR130" s="247"/>
      <c r="AS130" s="247"/>
      <c r="AT130" s="247"/>
      <c r="AU130" s="17"/>
      <c r="AV130" s="17"/>
      <c r="AW130" s="17"/>
      <c r="AX130" s="247"/>
      <c r="AY130" s="247"/>
      <c r="AZ130" s="247"/>
      <c r="BA130" s="17"/>
      <c r="BB130" s="52"/>
      <c r="BC130" s="17"/>
      <c r="BD130" s="247"/>
      <c r="BE130" s="247"/>
      <c r="BF130" s="247"/>
      <c r="BG130" s="17"/>
      <c r="BH130" s="17"/>
      <c r="BI130" s="17"/>
      <c r="BJ130" s="247"/>
      <c r="BK130" s="247"/>
      <c r="BL130" s="247"/>
      <c r="BM130" s="190"/>
      <c r="BN130" s="190"/>
      <c r="BO130" s="17"/>
      <c r="BP130" s="247">
        <v>6500</v>
      </c>
      <c r="BQ130" s="247">
        <f t="shared" si="38"/>
        <v>1235</v>
      </c>
      <c r="BR130" s="247">
        <f t="shared" si="39"/>
        <v>7735</v>
      </c>
      <c r="BS130" s="17"/>
      <c r="BT130" s="17"/>
      <c r="BU130" s="17"/>
      <c r="BV130" s="189"/>
      <c r="BW130" s="197"/>
      <c r="BX130" s="246"/>
      <c r="BY130" s="190"/>
      <c r="BZ130" s="190"/>
      <c r="CA130" s="190"/>
      <c r="CB130" s="247"/>
      <c r="CC130" s="247"/>
      <c r="CD130" s="247"/>
      <c r="CE130" s="17"/>
      <c r="CF130" s="17"/>
      <c r="CG130" s="17"/>
      <c r="CH130" s="247"/>
      <c r="CI130" s="247"/>
      <c r="CJ130" s="247"/>
      <c r="CK130" s="17"/>
      <c r="CL130" s="17"/>
      <c r="CM130" s="17"/>
      <c r="CN130" s="17"/>
      <c r="CO130" s="17"/>
      <c r="CP130" s="11"/>
      <c r="CQ130" s="11"/>
      <c r="CR130" s="11"/>
      <c r="CS130" s="11"/>
      <c r="CT130" s="247"/>
      <c r="CU130" s="247"/>
      <c r="CV130" s="247"/>
      <c r="CW130" s="11"/>
      <c r="CX130" s="11"/>
      <c r="CY130" s="11"/>
      <c r="CZ130" s="11"/>
      <c r="DA130" s="11"/>
      <c r="DB130" s="11"/>
      <c r="DC130" s="11"/>
      <c r="DD130" s="11"/>
      <c r="DE130" s="11"/>
      <c r="DF130" s="11"/>
      <c r="DG130" s="11"/>
      <c r="DH130" s="11"/>
      <c r="DI130" s="11"/>
      <c r="DJ130" s="11"/>
      <c r="DK130" s="11"/>
      <c r="DL130" s="247"/>
      <c r="DM130" s="247"/>
      <c r="DN130" s="247"/>
      <c r="DO130" s="247"/>
      <c r="DP130" s="247"/>
      <c r="DQ130" s="247"/>
      <c r="DR130" s="247"/>
      <c r="DS130" s="247"/>
      <c r="DT130" s="247"/>
      <c r="DU130" s="247"/>
      <c r="DV130" s="247"/>
      <c r="DW130" s="247"/>
      <c r="DX130" s="247"/>
      <c r="DY130" s="247"/>
      <c r="DZ130" s="247"/>
      <c r="EA130" s="247"/>
      <c r="EB130" s="247"/>
      <c r="EC130" s="247"/>
      <c r="ED130" s="17">
        <f t="shared" si="36"/>
        <v>31535</v>
      </c>
      <c r="EE130" s="29">
        <f t="shared" si="37"/>
        <v>2</v>
      </c>
      <c r="EF130" s="17">
        <f t="shared" si="35"/>
        <v>15767.5</v>
      </c>
    </row>
    <row r="131" spans="1:136" ht="25.5" x14ac:dyDescent="0.25">
      <c r="A131" s="25">
        <f>Distribución_Elementos!A131</f>
        <v>129</v>
      </c>
      <c r="B131" s="22" t="str">
        <f>Distribución_Elementos!B131</f>
        <v>Cepillo de mango flexible para frascos volumétricos de 250 ml</v>
      </c>
      <c r="C131" s="22" t="str">
        <f>Distribución_Elementos!C131</f>
        <v>Fisher Scientific 03-570A o equivalente</v>
      </c>
      <c r="D131" s="22" t="str">
        <f>Distribución_Elementos!D131</f>
        <v xml:space="preserve">Unidad </v>
      </c>
      <c r="E131" s="224">
        <v>1</v>
      </c>
      <c r="F131" s="221">
        <v>37604</v>
      </c>
      <c r="G131" s="221">
        <v>35700</v>
      </c>
      <c r="H131" s="221">
        <v>36758.802499999998</v>
      </c>
      <c r="I131" s="221">
        <v>0</v>
      </c>
      <c r="J131" s="221">
        <v>64992.246666666673</v>
      </c>
      <c r="K131" s="221">
        <v>64260</v>
      </c>
      <c r="L131" s="247">
        <f>AVERAGE(F131,H131,J131)</f>
        <v>46451.683055555557</v>
      </c>
      <c r="M131" s="247">
        <f>AVERAGE(G131,K131)*E1</f>
        <v>51479.4</v>
      </c>
      <c r="N131" s="227"/>
      <c r="O131" s="119"/>
      <c r="P131" s="119"/>
      <c r="Q131" s="115"/>
      <c r="R131" s="115"/>
      <c r="S131" s="11"/>
      <c r="T131" s="247"/>
      <c r="U131" s="247"/>
      <c r="V131" s="247"/>
      <c r="W131" s="17"/>
      <c r="X131" s="11"/>
      <c r="Y131" s="11"/>
      <c r="Z131" s="247"/>
      <c r="AA131" s="247"/>
      <c r="AB131" s="247"/>
      <c r="AC131" s="47"/>
      <c r="AD131" s="22"/>
      <c r="AE131" s="17"/>
      <c r="AF131" s="247"/>
      <c r="AG131" s="247"/>
      <c r="AH131" s="153"/>
      <c r="AI131" s="4"/>
      <c r="AJ131" s="17"/>
      <c r="AK131" s="17"/>
      <c r="AL131" s="102"/>
      <c r="AM131" s="132"/>
      <c r="AN131" s="161"/>
      <c r="AO131" s="115"/>
      <c r="AP131" s="115"/>
      <c r="AQ131" s="17"/>
      <c r="AR131" s="247"/>
      <c r="AS131" s="247"/>
      <c r="AT131" s="247"/>
      <c r="AU131" s="17"/>
      <c r="AV131" s="17"/>
      <c r="AW131" s="17"/>
      <c r="AX131" s="247"/>
      <c r="AY131" s="247"/>
      <c r="AZ131" s="247"/>
      <c r="BA131" s="17"/>
      <c r="BB131" s="52"/>
      <c r="BC131" s="17"/>
      <c r="BD131" s="247"/>
      <c r="BE131" s="247"/>
      <c r="BF131" s="247"/>
      <c r="BG131" s="17"/>
      <c r="BH131" s="17"/>
      <c r="BI131" s="17"/>
      <c r="BJ131" s="247"/>
      <c r="BK131" s="247"/>
      <c r="BL131" s="247"/>
      <c r="BM131" s="190"/>
      <c r="BN131" s="190"/>
      <c r="BO131" s="17"/>
      <c r="BP131" s="247">
        <v>145000</v>
      </c>
      <c r="BQ131" s="247">
        <f t="shared" si="38"/>
        <v>27550</v>
      </c>
      <c r="BR131" s="247">
        <f t="shared" si="39"/>
        <v>172550</v>
      </c>
      <c r="BS131" s="17"/>
      <c r="BT131" s="17"/>
      <c r="BU131" s="17"/>
      <c r="BV131" s="189"/>
      <c r="BW131" s="197"/>
      <c r="BX131" s="246"/>
      <c r="BY131" s="190"/>
      <c r="BZ131" s="190"/>
      <c r="CA131" s="190"/>
      <c r="CB131" s="247"/>
      <c r="CC131" s="247"/>
      <c r="CD131" s="247"/>
      <c r="CE131" s="17"/>
      <c r="CF131" s="17"/>
      <c r="CG131" s="17"/>
      <c r="CH131" s="247"/>
      <c r="CI131" s="247"/>
      <c r="CJ131" s="247"/>
      <c r="CK131" s="17"/>
      <c r="CL131" s="17"/>
      <c r="CM131" s="17"/>
      <c r="CN131" s="17"/>
      <c r="CO131" s="17"/>
      <c r="CP131" s="11"/>
      <c r="CQ131" s="11"/>
      <c r="CR131" s="11"/>
      <c r="CS131" s="11"/>
      <c r="CT131" s="247"/>
      <c r="CU131" s="247"/>
      <c r="CV131" s="247"/>
      <c r="CW131" s="11"/>
      <c r="CX131" s="11"/>
      <c r="CY131" s="11"/>
      <c r="CZ131" s="11"/>
      <c r="DA131" s="11"/>
      <c r="DB131" s="11"/>
      <c r="DC131" s="11"/>
      <c r="DD131" s="11"/>
      <c r="DE131" s="11"/>
      <c r="DF131" s="11"/>
      <c r="DG131" s="11"/>
      <c r="DH131" s="11"/>
      <c r="DI131" s="11"/>
      <c r="DJ131" s="11"/>
      <c r="DK131" s="11"/>
      <c r="DL131" s="247"/>
      <c r="DM131" s="247"/>
      <c r="DN131" s="247"/>
      <c r="DO131" s="247"/>
      <c r="DP131" s="247"/>
      <c r="DQ131" s="247"/>
      <c r="DR131" s="247"/>
      <c r="DS131" s="247"/>
      <c r="DT131" s="247"/>
      <c r="DU131" s="247"/>
      <c r="DV131" s="247"/>
      <c r="DW131" s="247"/>
      <c r="DX131" s="247"/>
      <c r="DY131" s="247"/>
      <c r="DZ131" s="247"/>
      <c r="EA131" s="247"/>
      <c r="EB131" s="247"/>
      <c r="EC131" s="247"/>
      <c r="ED131" s="17">
        <f t="shared" si="36"/>
        <v>224029.4</v>
      </c>
      <c r="EE131" s="29">
        <f t="shared" si="37"/>
        <v>2</v>
      </c>
      <c r="EF131" s="17">
        <f t="shared" si="35"/>
        <v>112014.7</v>
      </c>
    </row>
    <row r="132" spans="1:136" x14ac:dyDescent="0.25">
      <c r="A132" s="25">
        <f>Distribución_Elementos!A132</f>
        <v>130</v>
      </c>
      <c r="B132" s="22" t="str">
        <f>Distribución_Elementos!B132</f>
        <v>Churrusco con mechón extremo largo de 15 cms</v>
      </c>
      <c r="C132" s="22" t="str">
        <f>Distribución_Elementos!C132</f>
        <v>Cualquier marca</v>
      </c>
      <c r="D132" s="22" t="str">
        <f>Distribución_Elementos!D132</f>
        <v>Unidad</v>
      </c>
      <c r="E132" s="224">
        <v>1</v>
      </c>
      <c r="F132" s="221">
        <v>4165</v>
      </c>
      <c r="G132" s="221">
        <v>4046</v>
      </c>
      <c r="H132" s="221">
        <v>0</v>
      </c>
      <c r="I132" s="221">
        <v>0</v>
      </c>
      <c r="J132" s="221">
        <v>7683.4333333333334</v>
      </c>
      <c r="K132" s="221">
        <v>0</v>
      </c>
      <c r="L132" s="247">
        <f>AVERAGE(F132,J132)</f>
        <v>5924.2166666666672</v>
      </c>
      <c r="M132" s="247">
        <f>G132*E1</f>
        <v>4167.38</v>
      </c>
      <c r="N132" s="227">
        <v>5800</v>
      </c>
      <c r="O132" s="119">
        <f>+N132*0.19</f>
        <v>1102</v>
      </c>
      <c r="P132" s="119">
        <f>+N132+O132</f>
        <v>6902</v>
      </c>
      <c r="Q132" s="115"/>
      <c r="R132" s="115"/>
      <c r="S132" s="11"/>
      <c r="T132" s="247"/>
      <c r="U132" s="247"/>
      <c r="V132" s="247"/>
      <c r="W132" s="17"/>
      <c r="X132" s="11"/>
      <c r="Y132" s="11"/>
      <c r="Z132" s="247"/>
      <c r="AA132" s="247"/>
      <c r="AB132" s="247"/>
      <c r="AC132" s="47"/>
      <c r="AD132" s="22"/>
      <c r="AE132" s="17"/>
      <c r="AF132" s="247"/>
      <c r="AG132" s="247"/>
      <c r="AH132" s="153"/>
      <c r="AI132" s="4"/>
      <c r="AJ132" s="17"/>
      <c r="AK132" s="17"/>
      <c r="AL132" s="102"/>
      <c r="AM132" s="132"/>
      <c r="AN132" s="161"/>
      <c r="AO132" s="115"/>
      <c r="AP132" s="115"/>
      <c r="AQ132" s="17"/>
      <c r="AR132" s="247"/>
      <c r="AS132" s="247"/>
      <c r="AT132" s="247"/>
      <c r="AU132" s="17"/>
      <c r="AV132" s="17"/>
      <c r="AW132" s="17"/>
      <c r="AX132" s="247"/>
      <c r="AY132" s="247"/>
      <c r="AZ132" s="247"/>
      <c r="BA132" s="17"/>
      <c r="BB132" s="52"/>
      <c r="BC132" s="17"/>
      <c r="BD132" s="247"/>
      <c r="BE132" s="247"/>
      <c r="BF132" s="247"/>
      <c r="BG132" s="17"/>
      <c r="BH132" s="17"/>
      <c r="BI132" s="17"/>
      <c r="BJ132" s="247">
        <v>5300</v>
      </c>
      <c r="BK132" s="247">
        <f t="shared" si="33"/>
        <v>1007</v>
      </c>
      <c r="BL132" s="247">
        <f t="shared" si="34"/>
        <v>6307</v>
      </c>
      <c r="BM132" s="191" t="s">
        <v>140</v>
      </c>
      <c r="BN132" s="190" t="s">
        <v>1550</v>
      </c>
      <c r="BO132" s="17"/>
      <c r="BP132" s="247">
        <v>6500</v>
      </c>
      <c r="BQ132" s="247">
        <f t="shared" si="38"/>
        <v>1235</v>
      </c>
      <c r="BR132" s="247">
        <f t="shared" si="39"/>
        <v>7735</v>
      </c>
      <c r="BS132" s="17"/>
      <c r="BT132" s="17"/>
      <c r="BU132" s="17"/>
      <c r="BV132" s="195">
        <v>5460.5953</v>
      </c>
      <c r="BW132" s="195">
        <f t="shared" ref="BW132:BW137" si="43">+BV132*0.19</f>
        <v>1037.513107</v>
      </c>
      <c r="BX132" s="246">
        <f t="shared" ref="BX132:BX137" si="44">+BV132+BW132</f>
        <v>6498.1084069999997</v>
      </c>
      <c r="BY132" s="191" t="s">
        <v>140</v>
      </c>
      <c r="BZ132" s="190" t="s">
        <v>1550</v>
      </c>
      <c r="CA132" s="190"/>
      <c r="CB132" s="247"/>
      <c r="CC132" s="247"/>
      <c r="CD132" s="247"/>
      <c r="CE132" s="17"/>
      <c r="CF132" s="17"/>
      <c r="CG132" s="17"/>
      <c r="CH132" s="247"/>
      <c r="CI132" s="247"/>
      <c r="CJ132" s="247"/>
      <c r="CK132" s="17"/>
      <c r="CL132" s="17"/>
      <c r="CM132" s="17"/>
      <c r="CN132" s="17"/>
      <c r="CO132" s="17"/>
      <c r="CP132" s="11"/>
      <c r="CQ132" s="11"/>
      <c r="CR132" s="11"/>
      <c r="CS132" s="11"/>
      <c r="CT132" s="247"/>
      <c r="CU132" s="247"/>
      <c r="CV132" s="247"/>
      <c r="CW132" s="11"/>
      <c r="CX132" s="11"/>
      <c r="CY132" s="11"/>
      <c r="CZ132" s="11"/>
      <c r="DA132" s="11"/>
      <c r="DB132" s="11"/>
      <c r="DC132" s="11"/>
      <c r="DD132" s="11"/>
      <c r="DE132" s="11"/>
      <c r="DF132" s="11"/>
      <c r="DG132" s="11"/>
      <c r="DH132" s="11"/>
      <c r="DI132" s="11"/>
      <c r="DJ132" s="11"/>
      <c r="DK132" s="11"/>
      <c r="DL132" s="247"/>
      <c r="DM132" s="247"/>
      <c r="DN132" s="247"/>
      <c r="DO132" s="247"/>
      <c r="DP132" s="247"/>
      <c r="DQ132" s="247"/>
      <c r="DR132" s="247"/>
      <c r="DS132" s="247"/>
      <c r="DT132" s="247"/>
      <c r="DU132" s="247"/>
      <c r="DV132" s="247"/>
      <c r="DW132" s="247"/>
      <c r="DX132" s="247"/>
      <c r="DY132" s="247"/>
      <c r="DZ132" s="247"/>
      <c r="EA132" s="247"/>
      <c r="EB132" s="247"/>
      <c r="EC132" s="247"/>
      <c r="ED132" s="17">
        <f t="shared" si="36"/>
        <v>31609.488407000001</v>
      </c>
      <c r="EE132" s="29">
        <f t="shared" si="37"/>
        <v>5</v>
      </c>
      <c r="EF132" s="17">
        <f t="shared" si="35"/>
        <v>6321.8976813999998</v>
      </c>
    </row>
    <row r="133" spans="1:136" x14ac:dyDescent="0.25">
      <c r="A133" s="25">
        <f>Distribución_Elementos!A133</f>
        <v>131</v>
      </c>
      <c r="B133" s="22" t="str">
        <f>Distribución_Elementos!B133</f>
        <v>Churrusco con mechón extremo largo de 20 cms</v>
      </c>
      <c r="C133" s="22" t="str">
        <f>Distribución_Elementos!C133</f>
        <v>Cualquier marca</v>
      </c>
      <c r="D133" s="22" t="str">
        <f>Distribución_Elementos!D133</f>
        <v>Unidad</v>
      </c>
      <c r="E133" s="224">
        <v>1</v>
      </c>
      <c r="F133" s="221">
        <v>4462.5</v>
      </c>
      <c r="G133" s="221">
        <v>4284</v>
      </c>
      <c r="H133" s="221">
        <v>6747.3928199999991</v>
      </c>
      <c r="I133" s="221">
        <v>0</v>
      </c>
      <c r="J133" s="221">
        <v>8516.4333333333325</v>
      </c>
      <c r="K133" s="221">
        <v>0</v>
      </c>
      <c r="L133" s="247">
        <f>AVERAGE(F133,H133,J133)</f>
        <v>6575.4420511111102</v>
      </c>
      <c r="M133" s="247">
        <f>G133*E1</f>
        <v>4412.5200000000004</v>
      </c>
      <c r="N133" s="227">
        <v>5800</v>
      </c>
      <c r="O133" s="119">
        <f>+N133*0.19</f>
        <v>1102</v>
      </c>
      <c r="P133" s="119">
        <f>+N133+O133</f>
        <v>6902</v>
      </c>
      <c r="Q133" s="115"/>
      <c r="R133" s="115"/>
      <c r="S133" s="11"/>
      <c r="T133" s="247">
        <f>51700/16</f>
        <v>3231.25</v>
      </c>
      <c r="U133" s="247">
        <f>+T133*0.19</f>
        <v>613.9375</v>
      </c>
      <c r="V133" s="247">
        <f>+T133+U133</f>
        <v>3845.1875</v>
      </c>
      <c r="W133" s="17" t="s">
        <v>1552</v>
      </c>
      <c r="X133" s="11" t="s">
        <v>153</v>
      </c>
      <c r="Y133" s="11"/>
      <c r="Z133" s="247"/>
      <c r="AA133" s="247"/>
      <c r="AB133" s="247"/>
      <c r="AC133" s="44"/>
      <c r="AD133" s="22"/>
      <c r="AE133" s="17"/>
      <c r="AF133" s="247"/>
      <c r="AG133" s="247"/>
      <c r="AH133" s="151"/>
      <c r="AI133" s="4"/>
      <c r="AJ133" s="17"/>
      <c r="AK133" s="17"/>
      <c r="AL133" s="102"/>
      <c r="AM133" s="132"/>
      <c r="AN133" s="161"/>
      <c r="AO133" s="115"/>
      <c r="AP133" s="115"/>
      <c r="AQ133" s="17"/>
      <c r="AR133" s="247"/>
      <c r="AS133" s="247"/>
      <c r="AT133" s="247"/>
      <c r="AU133" s="17"/>
      <c r="AV133" s="17"/>
      <c r="AW133" s="17"/>
      <c r="AX133" s="247"/>
      <c r="AY133" s="247"/>
      <c r="AZ133" s="247"/>
      <c r="BA133" s="17"/>
      <c r="BB133" s="52"/>
      <c r="BC133" s="17"/>
      <c r="BD133" s="247"/>
      <c r="BE133" s="247"/>
      <c r="BF133" s="247"/>
      <c r="BG133" s="17"/>
      <c r="BH133" s="17"/>
      <c r="BI133" s="17"/>
      <c r="BJ133" s="247">
        <v>7100</v>
      </c>
      <c r="BK133" s="247">
        <f t="shared" si="33"/>
        <v>1349</v>
      </c>
      <c r="BL133" s="247">
        <f t="shared" si="34"/>
        <v>8449</v>
      </c>
      <c r="BM133" s="191" t="s">
        <v>140</v>
      </c>
      <c r="BN133" s="190" t="s">
        <v>1550</v>
      </c>
      <c r="BO133" s="17"/>
      <c r="BP133" s="247">
        <v>6800</v>
      </c>
      <c r="BQ133" s="247">
        <f t="shared" si="38"/>
        <v>1292</v>
      </c>
      <c r="BR133" s="247">
        <f t="shared" si="39"/>
        <v>8092</v>
      </c>
      <c r="BS133" s="17"/>
      <c r="BT133" s="17"/>
      <c r="BU133" s="17"/>
      <c r="BV133" s="195">
        <v>8140.1216000000013</v>
      </c>
      <c r="BW133" s="195">
        <f t="shared" si="43"/>
        <v>1546.6231040000002</v>
      </c>
      <c r="BX133" s="246">
        <f t="shared" si="44"/>
        <v>9686.7447040000006</v>
      </c>
      <c r="BY133" s="191" t="s">
        <v>140</v>
      </c>
      <c r="BZ133" s="190" t="s">
        <v>1550</v>
      </c>
      <c r="CA133" s="190"/>
      <c r="CB133" s="247"/>
      <c r="CC133" s="247"/>
      <c r="CD133" s="247"/>
      <c r="CE133" s="17"/>
      <c r="CF133" s="17"/>
      <c r="CG133" s="17"/>
      <c r="CH133" s="247"/>
      <c r="CI133" s="247"/>
      <c r="CJ133" s="247"/>
      <c r="CK133" s="17"/>
      <c r="CL133" s="17"/>
      <c r="CM133" s="17"/>
      <c r="CN133" s="17"/>
      <c r="CO133" s="17"/>
      <c r="CP133" s="11"/>
      <c r="CQ133" s="11"/>
      <c r="CR133" s="11"/>
      <c r="CS133" s="11"/>
      <c r="CT133" s="247"/>
      <c r="CU133" s="247"/>
      <c r="CV133" s="247"/>
      <c r="CW133" s="11"/>
      <c r="CX133" s="11"/>
      <c r="CY133" s="11"/>
      <c r="CZ133" s="11"/>
      <c r="DA133" s="11"/>
      <c r="DB133" s="11"/>
      <c r="DC133" s="11"/>
      <c r="DD133" s="11"/>
      <c r="DE133" s="11"/>
      <c r="DF133" s="11"/>
      <c r="DG133" s="11"/>
      <c r="DH133" s="11"/>
      <c r="DI133" s="11"/>
      <c r="DJ133" s="11"/>
      <c r="DK133" s="11"/>
      <c r="DL133" s="247"/>
      <c r="DM133" s="247"/>
      <c r="DN133" s="247"/>
      <c r="DO133" s="247"/>
      <c r="DP133" s="247"/>
      <c r="DQ133" s="247"/>
      <c r="DR133" s="247"/>
      <c r="DS133" s="247"/>
      <c r="DT133" s="247"/>
      <c r="DU133" s="247"/>
      <c r="DV133" s="247"/>
      <c r="DW133" s="247"/>
      <c r="DX133" s="247"/>
      <c r="DY133" s="247"/>
      <c r="DZ133" s="247"/>
      <c r="EA133" s="247"/>
      <c r="EB133" s="247"/>
      <c r="EC133" s="247"/>
      <c r="ED133" s="17">
        <f t="shared" si="36"/>
        <v>41387.452204000001</v>
      </c>
      <c r="EE133" s="29">
        <f t="shared" si="37"/>
        <v>6</v>
      </c>
      <c r="EF133" s="17">
        <f t="shared" si="35"/>
        <v>6897.9087006666668</v>
      </c>
    </row>
    <row r="134" spans="1:136" ht="25.5" x14ac:dyDescent="0.25">
      <c r="A134" s="25">
        <f>Distribución_Elementos!A134</f>
        <v>132</v>
      </c>
      <c r="B134" s="22" t="str">
        <f>Distribución_Elementos!B134</f>
        <v>Churrusco para lavar erlenmeyer cabeza 10 cm, longitud 40.6 cm</v>
      </c>
      <c r="C134" s="22" t="str">
        <f>Distribución_Elementos!C134</f>
        <v>VWR 17155-001</v>
      </c>
      <c r="D134" s="22" t="str">
        <f>Distribución_Elementos!D134</f>
        <v xml:space="preserve">Paquete x 5 </v>
      </c>
      <c r="E134" s="224">
        <v>1</v>
      </c>
      <c r="F134" s="221">
        <v>198730</v>
      </c>
      <c r="G134" s="221">
        <v>192661</v>
      </c>
      <c r="H134" s="221">
        <v>0</v>
      </c>
      <c r="I134" s="221">
        <v>0</v>
      </c>
      <c r="J134" s="221">
        <v>340709.09833333333</v>
      </c>
      <c r="K134" s="221">
        <v>236810</v>
      </c>
      <c r="L134" s="247">
        <f>AVERAGE(F134,J134)</f>
        <v>269719.54916666669</v>
      </c>
      <c r="M134" s="247">
        <f>AVERAGE(G134,K134)*E1</f>
        <v>221177.565</v>
      </c>
      <c r="N134" s="227"/>
      <c r="O134" s="119"/>
      <c r="P134" s="119"/>
      <c r="Q134" s="115"/>
      <c r="R134" s="115"/>
      <c r="S134" s="11"/>
      <c r="T134" s="247">
        <f>(51700/16)*5</f>
        <v>16156.25</v>
      </c>
      <c r="U134" s="247">
        <f>+T134*0.19</f>
        <v>3069.6875</v>
      </c>
      <c r="V134" s="247">
        <f>+T134+U134</f>
        <v>19225.9375</v>
      </c>
      <c r="W134" s="17" t="s">
        <v>1552</v>
      </c>
      <c r="X134" s="11" t="s">
        <v>153</v>
      </c>
      <c r="Y134" s="11"/>
      <c r="Z134" s="247"/>
      <c r="AA134" s="247"/>
      <c r="AB134" s="247"/>
      <c r="AC134" s="47"/>
      <c r="AD134" s="22"/>
      <c r="AE134" s="17"/>
      <c r="AF134" s="247"/>
      <c r="AG134" s="247"/>
      <c r="AH134" s="153"/>
      <c r="AI134" s="4"/>
      <c r="AJ134" s="17"/>
      <c r="AK134" s="17"/>
      <c r="AL134" s="102"/>
      <c r="AM134" s="132"/>
      <c r="AN134" s="161"/>
      <c r="AO134" s="115"/>
      <c r="AP134" s="115"/>
      <c r="AQ134" s="17"/>
      <c r="AR134" s="247"/>
      <c r="AS134" s="247"/>
      <c r="AT134" s="247"/>
      <c r="AU134" s="17"/>
      <c r="AV134" s="17"/>
      <c r="AW134" s="17"/>
      <c r="AX134" s="247"/>
      <c r="AY134" s="247"/>
      <c r="AZ134" s="247"/>
      <c r="BA134" s="17"/>
      <c r="BB134" s="52"/>
      <c r="BC134" s="17"/>
      <c r="BD134" s="247"/>
      <c r="BE134" s="247"/>
      <c r="BF134" s="247"/>
      <c r="BG134" s="17"/>
      <c r="BH134" s="17"/>
      <c r="BI134" s="17"/>
      <c r="BJ134" s="247">
        <v>339800</v>
      </c>
      <c r="BK134" s="247">
        <f t="shared" si="33"/>
        <v>64562</v>
      </c>
      <c r="BL134" s="247">
        <f t="shared" si="34"/>
        <v>404362</v>
      </c>
      <c r="BM134" s="191" t="s">
        <v>1553</v>
      </c>
      <c r="BN134" s="190" t="s">
        <v>316</v>
      </c>
      <c r="BO134" s="17"/>
      <c r="BP134" s="247">
        <v>198000</v>
      </c>
      <c r="BQ134" s="247">
        <f t="shared" si="38"/>
        <v>37620</v>
      </c>
      <c r="BR134" s="247">
        <f t="shared" si="39"/>
        <v>235620</v>
      </c>
      <c r="BS134" s="17"/>
      <c r="BT134" s="17"/>
      <c r="BU134" s="17"/>
      <c r="BV134" s="189">
        <v>378341.47520000004</v>
      </c>
      <c r="BW134" s="195">
        <f t="shared" si="43"/>
        <v>71884.880288000015</v>
      </c>
      <c r="BX134" s="246">
        <f t="shared" si="44"/>
        <v>450226.35548800009</v>
      </c>
      <c r="BY134" s="191" t="s">
        <v>1553</v>
      </c>
      <c r="BZ134" s="190" t="s">
        <v>316</v>
      </c>
      <c r="CA134" s="190"/>
      <c r="CB134" s="247"/>
      <c r="CC134" s="247"/>
      <c r="CD134" s="247"/>
      <c r="CE134" s="17"/>
      <c r="CF134" s="17"/>
      <c r="CG134" s="17"/>
      <c r="CH134" s="247"/>
      <c r="CI134" s="247"/>
      <c r="CJ134" s="247"/>
      <c r="CK134" s="17"/>
      <c r="CL134" s="17"/>
      <c r="CM134" s="17"/>
      <c r="CN134" s="17"/>
      <c r="CO134" s="17"/>
      <c r="CP134" s="11"/>
      <c r="CQ134" s="11"/>
      <c r="CR134" s="11"/>
      <c r="CS134" s="11"/>
      <c r="CT134" s="247"/>
      <c r="CU134" s="247"/>
      <c r="CV134" s="247"/>
      <c r="CW134" s="11"/>
      <c r="CX134" s="11"/>
      <c r="CY134" s="11"/>
      <c r="CZ134" s="11"/>
      <c r="DA134" s="11"/>
      <c r="DB134" s="11"/>
      <c r="DC134" s="11"/>
      <c r="DD134" s="11"/>
      <c r="DE134" s="11"/>
      <c r="DF134" s="11"/>
      <c r="DG134" s="11"/>
      <c r="DH134" s="11"/>
      <c r="DI134" s="11"/>
      <c r="DJ134" s="11"/>
      <c r="DK134" s="11"/>
      <c r="DL134" s="247"/>
      <c r="DM134" s="247"/>
      <c r="DN134" s="247"/>
      <c r="DO134" s="247"/>
      <c r="DP134" s="247"/>
      <c r="DQ134" s="247"/>
      <c r="DR134" s="247"/>
      <c r="DS134" s="247"/>
      <c r="DT134" s="247"/>
      <c r="DU134" s="247"/>
      <c r="DV134" s="247"/>
      <c r="DW134" s="247"/>
      <c r="DX134" s="247"/>
      <c r="DY134" s="247"/>
      <c r="DZ134" s="247"/>
      <c r="EA134" s="247"/>
      <c r="EB134" s="247"/>
      <c r="EC134" s="247"/>
      <c r="ED134" s="17">
        <f t="shared" si="36"/>
        <v>1330611.8579879999</v>
      </c>
      <c r="EE134" s="29">
        <f t="shared" si="37"/>
        <v>5</v>
      </c>
      <c r="EF134" s="17">
        <f t="shared" si="35"/>
        <v>266122.37159759999</v>
      </c>
    </row>
    <row r="135" spans="1:136" x14ac:dyDescent="0.25">
      <c r="A135" s="25">
        <f>Distribución_Elementos!A135</f>
        <v>133</v>
      </c>
      <c r="B135" s="22" t="str">
        <f>Distribución_Elementos!B135</f>
        <v>Churrusco para limpiar pipetas de 5mL - 25mL</v>
      </c>
      <c r="C135" s="22" t="str">
        <f>Distribución_Elementos!C135</f>
        <v>Cualquier marca</v>
      </c>
      <c r="D135" s="22" t="str">
        <f>Distribución_Elementos!D135</f>
        <v>Unidad</v>
      </c>
      <c r="E135" s="224">
        <v>1</v>
      </c>
      <c r="F135" s="221">
        <v>4700.5</v>
      </c>
      <c r="G135" s="221">
        <v>4522</v>
      </c>
      <c r="H135" s="221">
        <v>7473.2928199999997</v>
      </c>
      <c r="I135" s="221">
        <v>0</v>
      </c>
      <c r="J135" s="221">
        <v>9440.6666666666661</v>
      </c>
      <c r="K135" s="221">
        <v>0</v>
      </c>
      <c r="L135" s="247">
        <f>AVERAGE(F135,H135,J135)</f>
        <v>7204.8198288888889</v>
      </c>
      <c r="M135" s="247">
        <f>G135*E1</f>
        <v>4657.66</v>
      </c>
      <c r="N135" s="227">
        <v>7500</v>
      </c>
      <c r="O135" s="119">
        <f>+N135*0.19</f>
        <v>1425</v>
      </c>
      <c r="P135" s="119">
        <f>+N135+O135</f>
        <v>8925</v>
      </c>
      <c r="Q135" s="115"/>
      <c r="R135" s="115"/>
      <c r="S135" s="11"/>
      <c r="T135" s="247">
        <f>51700/16</f>
        <v>3231.25</v>
      </c>
      <c r="U135" s="247">
        <f>+T135*0.19</f>
        <v>613.9375</v>
      </c>
      <c r="V135" s="247">
        <f>+T135+U135</f>
        <v>3845.1875</v>
      </c>
      <c r="W135" s="17" t="s">
        <v>1552</v>
      </c>
      <c r="X135" s="11" t="s">
        <v>153</v>
      </c>
      <c r="Y135" s="11"/>
      <c r="Z135" s="247"/>
      <c r="AA135" s="247"/>
      <c r="AB135" s="247"/>
      <c r="AC135" s="47"/>
      <c r="AD135" s="22"/>
      <c r="AE135" s="17"/>
      <c r="AF135" s="247"/>
      <c r="AG135" s="247"/>
      <c r="AH135" s="153"/>
      <c r="AI135" s="4"/>
      <c r="AJ135" s="17"/>
      <c r="AK135" s="17"/>
      <c r="AL135" s="102"/>
      <c r="AM135" s="132"/>
      <c r="AN135" s="161"/>
      <c r="AO135" s="115"/>
      <c r="AP135" s="115"/>
      <c r="AQ135" s="17"/>
      <c r="AR135" s="247"/>
      <c r="AS135" s="247"/>
      <c r="AT135" s="247"/>
      <c r="AU135" s="17"/>
      <c r="AV135" s="17"/>
      <c r="AW135" s="17"/>
      <c r="AX135" s="247"/>
      <c r="AY135" s="247"/>
      <c r="AZ135" s="247"/>
      <c r="BA135" s="17"/>
      <c r="BB135" s="52"/>
      <c r="BC135" s="17"/>
      <c r="BD135" s="247"/>
      <c r="BE135" s="247"/>
      <c r="BF135" s="247"/>
      <c r="BG135" s="17"/>
      <c r="BH135" s="17"/>
      <c r="BI135" s="17"/>
      <c r="BJ135" s="247">
        <v>7300</v>
      </c>
      <c r="BK135" s="247">
        <f t="shared" si="33"/>
        <v>1387</v>
      </c>
      <c r="BL135" s="247">
        <f t="shared" si="34"/>
        <v>8687</v>
      </c>
      <c r="BM135" s="191" t="s">
        <v>140</v>
      </c>
      <c r="BN135" s="190" t="s">
        <v>1554</v>
      </c>
      <c r="BO135" s="17"/>
      <c r="BP135" s="247">
        <v>6800</v>
      </c>
      <c r="BQ135" s="247">
        <f t="shared" si="38"/>
        <v>1292</v>
      </c>
      <c r="BR135" s="247">
        <f t="shared" si="39"/>
        <v>8092</v>
      </c>
      <c r="BS135" s="17"/>
      <c r="BT135" s="17"/>
      <c r="BU135" s="17"/>
      <c r="BV135" s="195">
        <v>8687.4526000000005</v>
      </c>
      <c r="BW135" s="195">
        <f t="shared" si="43"/>
        <v>1650.6159940000002</v>
      </c>
      <c r="BX135" s="246">
        <f t="shared" si="44"/>
        <v>10338.068594</v>
      </c>
      <c r="BY135" s="191" t="s">
        <v>140</v>
      </c>
      <c r="BZ135" s="190" t="s">
        <v>1554</v>
      </c>
      <c r="CA135" s="190"/>
      <c r="CB135" s="247"/>
      <c r="CC135" s="247"/>
      <c r="CD135" s="247"/>
      <c r="CE135" s="17"/>
      <c r="CF135" s="17"/>
      <c r="CG135" s="17"/>
      <c r="CH135" s="247"/>
      <c r="CI135" s="247"/>
      <c r="CJ135" s="247"/>
      <c r="CK135" s="17"/>
      <c r="CL135" s="17"/>
      <c r="CM135" s="17"/>
      <c r="CN135" s="17"/>
      <c r="CO135" s="17"/>
      <c r="CP135" s="11"/>
      <c r="CQ135" s="11"/>
      <c r="CR135" s="11"/>
      <c r="CS135" s="11"/>
      <c r="CT135" s="247"/>
      <c r="CU135" s="247"/>
      <c r="CV135" s="247"/>
      <c r="CW135" s="11"/>
      <c r="CX135" s="11"/>
      <c r="CY135" s="11"/>
      <c r="CZ135" s="11"/>
      <c r="DA135" s="11"/>
      <c r="DB135" s="11"/>
      <c r="DC135" s="11"/>
      <c r="DD135" s="11"/>
      <c r="DE135" s="11"/>
      <c r="DF135" s="11"/>
      <c r="DG135" s="11"/>
      <c r="DH135" s="11"/>
      <c r="DI135" s="11"/>
      <c r="DJ135" s="11"/>
      <c r="DK135" s="11"/>
      <c r="DL135" s="247"/>
      <c r="DM135" s="247"/>
      <c r="DN135" s="247"/>
      <c r="DO135" s="247"/>
      <c r="DP135" s="247"/>
      <c r="DQ135" s="247"/>
      <c r="DR135" s="247"/>
      <c r="DS135" s="247"/>
      <c r="DT135" s="247"/>
      <c r="DU135" s="247"/>
      <c r="DV135" s="247"/>
      <c r="DW135" s="247"/>
      <c r="DX135" s="247"/>
      <c r="DY135" s="247"/>
      <c r="DZ135" s="247"/>
      <c r="EA135" s="247"/>
      <c r="EB135" s="247"/>
      <c r="EC135" s="247"/>
      <c r="ED135" s="17">
        <f t="shared" si="36"/>
        <v>44544.916094</v>
      </c>
      <c r="EE135" s="29">
        <f t="shared" si="37"/>
        <v>6</v>
      </c>
      <c r="EF135" s="17">
        <f t="shared" si="35"/>
        <v>7424.1526823333334</v>
      </c>
    </row>
    <row r="136" spans="1:136" ht="25.5" x14ac:dyDescent="0.25">
      <c r="A136" s="25">
        <f>Distribución_Elementos!A136</f>
        <v>134</v>
      </c>
      <c r="B136" s="22" t="str">
        <f>Distribución_Elementos!B136</f>
        <v>Churrusco para material de vidrio 25-30cm</v>
      </c>
      <c r="C136" s="22" t="str">
        <f>Distribución_Elementos!C136</f>
        <v>Fisherbrand, Cole Palmer 03-565, RZ-84550-89 o equivalente</v>
      </c>
      <c r="D136" s="22" t="str">
        <f>Distribución_Elementos!D136</f>
        <v>Unidad</v>
      </c>
      <c r="E136" s="224">
        <v>1</v>
      </c>
      <c r="F136" s="221">
        <v>21563.395</v>
      </c>
      <c r="G136" s="221">
        <v>0</v>
      </c>
      <c r="H136" s="221">
        <v>14399.154699999999</v>
      </c>
      <c r="I136" s="221">
        <v>0</v>
      </c>
      <c r="J136" s="221">
        <v>49792.508888888893</v>
      </c>
      <c r="K136" s="221">
        <v>47600</v>
      </c>
      <c r="L136" s="247">
        <f>AVERAGE(F136,H136,J136)</f>
        <v>28585.019529629633</v>
      </c>
      <c r="M136" s="247">
        <f>K136*E1</f>
        <v>49028</v>
      </c>
      <c r="N136" s="227"/>
      <c r="O136" s="119"/>
      <c r="P136" s="119"/>
      <c r="Q136" s="115"/>
      <c r="R136" s="115"/>
      <c r="S136" s="11"/>
      <c r="T136" s="247">
        <f>51700/16</f>
        <v>3231.25</v>
      </c>
      <c r="U136" s="247">
        <f>+T136*0.19</f>
        <v>613.9375</v>
      </c>
      <c r="V136" s="247">
        <f>+T136+U136</f>
        <v>3845.1875</v>
      </c>
      <c r="W136" s="17" t="s">
        <v>1552</v>
      </c>
      <c r="X136" s="11" t="s">
        <v>153</v>
      </c>
      <c r="Y136" s="11"/>
      <c r="Z136" s="247"/>
      <c r="AA136" s="247"/>
      <c r="AB136" s="247"/>
      <c r="AC136" s="47"/>
      <c r="AD136" s="22"/>
      <c r="AE136" s="17"/>
      <c r="AF136" s="247"/>
      <c r="AG136" s="247"/>
      <c r="AH136" s="153"/>
      <c r="AI136" s="4"/>
      <c r="AJ136" s="17"/>
      <c r="AK136" s="17"/>
      <c r="AL136" s="102"/>
      <c r="AM136" s="132"/>
      <c r="AN136" s="161"/>
      <c r="AO136" s="115"/>
      <c r="AP136" s="115"/>
      <c r="AQ136" s="17"/>
      <c r="AR136" s="247"/>
      <c r="AS136" s="247"/>
      <c r="AT136" s="247"/>
      <c r="AU136" s="17"/>
      <c r="AV136" s="17"/>
      <c r="AW136" s="17"/>
      <c r="AX136" s="247"/>
      <c r="AY136" s="247"/>
      <c r="AZ136" s="247"/>
      <c r="BA136" s="17"/>
      <c r="BB136" s="52"/>
      <c r="BC136" s="17"/>
      <c r="BD136" s="247"/>
      <c r="BE136" s="247"/>
      <c r="BF136" s="247"/>
      <c r="BG136" s="17"/>
      <c r="BH136" s="17"/>
      <c r="BI136" s="17"/>
      <c r="BJ136" s="247">
        <v>13600</v>
      </c>
      <c r="BK136" s="247">
        <f t="shared" si="33"/>
        <v>2584</v>
      </c>
      <c r="BL136" s="247">
        <f t="shared" si="34"/>
        <v>16184</v>
      </c>
      <c r="BM136" s="191" t="s">
        <v>140</v>
      </c>
      <c r="BN136" s="190" t="s">
        <v>153</v>
      </c>
      <c r="BO136" s="17"/>
      <c r="BP136" s="247">
        <v>136000</v>
      </c>
      <c r="BQ136" s="247">
        <f t="shared" si="38"/>
        <v>25840</v>
      </c>
      <c r="BR136" s="247">
        <f t="shared" si="39"/>
        <v>161840</v>
      </c>
      <c r="BS136" s="17"/>
      <c r="BT136" s="17"/>
      <c r="BU136" s="17"/>
      <c r="BV136" s="195">
        <v>15585.192000000001</v>
      </c>
      <c r="BW136" s="195">
        <f t="shared" si="43"/>
        <v>2961.1864800000003</v>
      </c>
      <c r="BX136" s="246">
        <f t="shared" si="44"/>
        <v>18546.378479999999</v>
      </c>
      <c r="BY136" s="191" t="s">
        <v>140</v>
      </c>
      <c r="BZ136" s="190" t="s">
        <v>153</v>
      </c>
      <c r="CA136" s="190"/>
      <c r="CB136" s="247"/>
      <c r="CC136" s="247"/>
      <c r="CD136" s="247"/>
      <c r="CE136" s="17"/>
      <c r="CF136" s="17"/>
      <c r="CG136" s="17"/>
      <c r="CH136" s="247"/>
      <c r="CI136" s="247"/>
      <c r="CJ136" s="247"/>
      <c r="CK136" s="17"/>
      <c r="CL136" s="17"/>
      <c r="CM136" s="17"/>
      <c r="CN136" s="17"/>
      <c r="CO136" s="17"/>
      <c r="CP136" s="11"/>
      <c r="CQ136" s="11"/>
      <c r="CR136" s="11"/>
      <c r="CS136" s="11"/>
      <c r="CT136" s="247"/>
      <c r="CU136" s="247"/>
      <c r="CV136" s="247"/>
      <c r="CW136" s="11"/>
      <c r="CX136" s="11"/>
      <c r="CY136" s="11"/>
      <c r="CZ136" s="11"/>
      <c r="DA136" s="11"/>
      <c r="DB136" s="11"/>
      <c r="DC136" s="11"/>
      <c r="DD136" s="11"/>
      <c r="DE136" s="11"/>
      <c r="DF136" s="11"/>
      <c r="DG136" s="11"/>
      <c r="DH136" s="11"/>
      <c r="DI136" s="11"/>
      <c r="DJ136" s="11"/>
      <c r="DK136" s="11"/>
      <c r="DL136" s="247"/>
      <c r="DM136" s="247"/>
      <c r="DN136" s="247"/>
      <c r="DO136" s="247"/>
      <c r="DP136" s="247"/>
      <c r="DQ136" s="247"/>
      <c r="DR136" s="247"/>
      <c r="DS136" s="247"/>
      <c r="DT136" s="247"/>
      <c r="DU136" s="247"/>
      <c r="DV136" s="247"/>
      <c r="DW136" s="247"/>
      <c r="DX136" s="247"/>
      <c r="DY136" s="247"/>
      <c r="DZ136" s="247"/>
      <c r="EA136" s="247"/>
      <c r="EB136" s="247"/>
      <c r="EC136" s="247"/>
      <c r="ED136" s="17">
        <f t="shared" si="36"/>
        <v>249443.56598000001</v>
      </c>
      <c r="EE136" s="29">
        <f t="shared" si="37"/>
        <v>5</v>
      </c>
      <c r="EF136" s="17">
        <f t="shared" si="35"/>
        <v>49888.713196000004</v>
      </c>
    </row>
    <row r="137" spans="1:136" ht="38.25" x14ac:dyDescent="0.25">
      <c r="A137" s="25">
        <f>Distribución_Elementos!A137</f>
        <v>135</v>
      </c>
      <c r="B137" s="22" t="str">
        <f>Distribución_Elementos!B137</f>
        <v>Churrusco pequeños para lavado de viales de 2 ml de medidas aproximadas de 10 cm de longitud por 1cm de diametro</v>
      </c>
      <c r="C137" s="22" t="str">
        <f>Distribución_Elementos!C137</f>
        <v>Cualquier marca</v>
      </c>
      <c r="D137" s="22" t="str">
        <f>Distribución_Elementos!D137</f>
        <v>Unidad</v>
      </c>
      <c r="E137" s="224">
        <v>1</v>
      </c>
      <c r="F137" s="221">
        <v>9044</v>
      </c>
      <c r="G137" s="221">
        <v>8687</v>
      </c>
      <c r="H137" s="221">
        <v>7925.4928199999995</v>
      </c>
      <c r="I137" s="221">
        <v>0</v>
      </c>
      <c r="J137" s="221">
        <v>11291.777777777779</v>
      </c>
      <c r="K137" s="221">
        <v>0</v>
      </c>
      <c r="L137" s="247">
        <f>AVERAGE(F137,H137,J137)</f>
        <v>9420.4235325925929</v>
      </c>
      <c r="M137" s="247">
        <f>G137*E1</f>
        <v>8947.61</v>
      </c>
      <c r="N137" s="227">
        <v>6000</v>
      </c>
      <c r="O137" s="119">
        <f>+N137*0.19</f>
        <v>1140</v>
      </c>
      <c r="P137" s="119">
        <f>+N137+O137</f>
        <v>7140</v>
      </c>
      <c r="Q137" s="115"/>
      <c r="R137" s="115"/>
      <c r="S137" s="11"/>
      <c r="T137" s="247">
        <f>51700/16</f>
        <v>3231.25</v>
      </c>
      <c r="U137" s="247">
        <f>+T137*0.19</f>
        <v>613.9375</v>
      </c>
      <c r="V137" s="247">
        <f>+T137+U137</f>
        <v>3845.1875</v>
      </c>
      <c r="W137" s="17" t="s">
        <v>1552</v>
      </c>
      <c r="X137" s="11" t="s">
        <v>153</v>
      </c>
      <c r="Y137" s="11"/>
      <c r="Z137" s="247"/>
      <c r="AA137" s="247"/>
      <c r="AB137" s="247"/>
      <c r="AC137" s="44"/>
      <c r="AD137" s="22"/>
      <c r="AE137" s="17"/>
      <c r="AF137" s="247"/>
      <c r="AG137" s="247"/>
      <c r="AH137" s="151"/>
      <c r="AI137" s="4"/>
      <c r="AJ137" s="17"/>
      <c r="AK137" s="17"/>
      <c r="AL137" s="102"/>
      <c r="AM137" s="132"/>
      <c r="AN137" s="161"/>
      <c r="AO137" s="115"/>
      <c r="AP137" s="115"/>
      <c r="AQ137" s="17"/>
      <c r="AR137" s="247"/>
      <c r="AS137" s="247"/>
      <c r="AT137" s="247"/>
      <c r="AU137" s="17"/>
      <c r="AV137" s="17"/>
      <c r="AW137" s="17"/>
      <c r="AX137" s="247"/>
      <c r="AY137" s="247"/>
      <c r="AZ137" s="247"/>
      <c r="BA137" s="17"/>
      <c r="BB137" s="52"/>
      <c r="BC137" s="17"/>
      <c r="BD137" s="247"/>
      <c r="BE137" s="247"/>
      <c r="BF137" s="247"/>
      <c r="BG137" s="17"/>
      <c r="BH137" s="17"/>
      <c r="BI137" s="17"/>
      <c r="BJ137" s="247">
        <v>18900</v>
      </c>
      <c r="BK137" s="247">
        <f t="shared" si="33"/>
        <v>3591</v>
      </c>
      <c r="BL137" s="247">
        <f t="shared" si="34"/>
        <v>22491</v>
      </c>
      <c r="BM137" s="191" t="s">
        <v>140</v>
      </c>
      <c r="BN137" s="190" t="s">
        <v>418</v>
      </c>
      <c r="BO137" s="17"/>
      <c r="BP137" s="247">
        <v>6800</v>
      </c>
      <c r="BQ137" s="247">
        <f t="shared" si="38"/>
        <v>1292</v>
      </c>
      <c r="BR137" s="247">
        <f t="shared" si="39"/>
        <v>8092</v>
      </c>
      <c r="BS137" s="17"/>
      <c r="BT137" s="17"/>
      <c r="BU137" s="17"/>
      <c r="BV137" s="195">
        <v>21051.576000000001</v>
      </c>
      <c r="BW137" s="195">
        <f t="shared" si="43"/>
        <v>3999.7994400000002</v>
      </c>
      <c r="BX137" s="246">
        <f t="shared" si="44"/>
        <v>25051.37544</v>
      </c>
      <c r="BY137" s="191" t="s">
        <v>140</v>
      </c>
      <c r="BZ137" s="190" t="s">
        <v>418</v>
      </c>
      <c r="CA137" s="190"/>
      <c r="CB137" s="247"/>
      <c r="CC137" s="247"/>
      <c r="CD137" s="247"/>
      <c r="CE137" s="17"/>
      <c r="CF137" s="17"/>
      <c r="CG137" s="17"/>
      <c r="CH137" s="247"/>
      <c r="CI137" s="247"/>
      <c r="CJ137" s="247"/>
      <c r="CK137" s="17"/>
      <c r="CL137" s="17"/>
      <c r="CM137" s="17"/>
      <c r="CN137" s="17"/>
      <c r="CO137" s="17"/>
      <c r="CP137" s="11"/>
      <c r="CQ137" s="11"/>
      <c r="CR137" s="11"/>
      <c r="CS137" s="11"/>
      <c r="CT137" s="247"/>
      <c r="CU137" s="247"/>
      <c r="CV137" s="247"/>
      <c r="CW137" s="11"/>
      <c r="CX137" s="11"/>
      <c r="CY137" s="11"/>
      <c r="CZ137" s="11"/>
      <c r="DA137" s="11"/>
      <c r="DB137" s="11"/>
      <c r="DC137" s="11"/>
      <c r="DD137" s="11"/>
      <c r="DE137" s="11"/>
      <c r="DF137" s="11"/>
      <c r="DG137" s="11"/>
      <c r="DH137" s="11"/>
      <c r="DI137" s="11"/>
      <c r="DJ137" s="11"/>
      <c r="DK137" s="11"/>
      <c r="DL137" s="247"/>
      <c r="DM137" s="247"/>
      <c r="DN137" s="247"/>
      <c r="DO137" s="247"/>
      <c r="DP137" s="247"/>
      <c r="DQ137" s="247"/>
      <c r="DR137" s="247"/>
      <c r="DS137" s="247"/>
      <c r="DT137" s="247"/>
      <c r="DU137" s="247"/>
      <c r="DV137" s="247"/>
      <c r="DW137" s="247"/>
      <c r="DX137" s="247"/>
      <c r="DY137" s="247"/>
      <c r="DZ137" s="247"/>
      <c r="EA137" s="247"/>
      <c r="EB137" s="247"/>
      <c r="EC137" s="247"/>
      <c r="ED137" s="17">
        <f t="shared" si="36"/>
        <v>75567.172940000004</v>
      </c>
      <c r="EE137" s="29">
        <f t="shared" si="37"/>
        <v>6</v>
      </c>
      <c r="EF137" s="17">
        <f t="shared" si="35"/>
        <v>12594.528823333334</v>
      </c>
    </row>
    <row r="138" spans="1:136" x14ac:dyDescent="0.25">
      <c r="A138" s="25">
        <f>Distribución_Elementos!A138</f>
        <v>136</v>
      </c>
      <c r="B138" s="22" t="str">
        <f>Distribución_Elementos!B138</f>
        <v>Cincel madera 25mm mango recto antideslizante</v>
      </c>
      <c r="C138" s="22" t="str">
        <f>Distribución_Elementos!C138</f>
        <v>Cualquier marca</v>
      </c>
      <c r="D138" s="22" t="str">
        <f>Distribución_Elementos!D138</f>
        <v>Unidad</v>
      </c>
      <c r="E138" s="224">
        <v>1</v>
      </c>
      <c r="F138" s="221">
        <v>0</v>
      </c>
      <c r="G138" s="221">
        <v>0</v>
      </c>
      <c r="H138" s="221">
        <v>0</v>
      </c>
      <c r="I138" s="221">
        <v>0</v>
      </c>
      <c r="J138" s="221">
        <v>0</v>
      </c>
      <c r="K138" s="221">
        <v>0</v>
      </c>
      <c r="L138" s="247"/>
      <c r="M138" s="247"/>
      <c r="N138" s="227">
        <v>130000</v>
      </c>
      <c r="O138" s="119">
        <f>+N138*0.19</f>
        <v>24700</v>
      </c>
      <c r="P138" s="119">
        <f>+N138+O138</f>
        <v>154700</v>
      </c>
      <c r="Q138" s="115"/>
      <c r="R138" s="115"/>
      <c r="S138" s="11"/>
      <c r="T138" s="247"/>
      <c r="U138" s="247"/>
      <c r="V138" s="247"/>
      <c r="W138" s="17"/>
      <c r="X138" s="11"/>
      <c r="Y138" s="11"/>
      <c r="Z138" s="247"/>
      <c r="AA138" s="247"/>
      <c r="AB138" s="247"/>
      <c r="AC138" s="47"/>
      <c r="AD138" s="23"/>
      <c r="AE138" s="17"/>
      <c r="AF138" s="247"/>
      <c r="AG138" s="247"/>
      <c r="AH138" s="153"/>
      <c r="AI138" s="24"/>
      <c r="AJ138" s="17"/>
      <c r="AK138" s="17"/>
      <c r="AL138" s="102"/>
      <c r="AM138" s="132"/>
      <c r="AN138" s="161"/>
      <c r="AO138" s="115"/>
      <c r="AP138" s="115"/>
      <c r="AQ138" s="17"/>
      <c r="AR138" s="247"/>
      <c r="AS138" s="247"/>
      <c r="AT138" s="247"/>
      <c r="AU138" s="17"/>
      <c r="AV138" s="17"/>
      <c r="AW138" s="17"/>
      <c r="AX138" s="247"/>
      <c r="AY138" s="247"/>
      <c r="AZ138" s="247"/>
      <c r="BA138" s="17"/>
      <c r="BB138" s="52"/>
      <c r="BC138" s="17"/>
      <c r="BD138" s="247"/>
      <c r="BE138" s="247"/>
      <c r="BF138" s="247"/>
      <c r="BG138" s="17"/>
      <c r="BH138" s="17"/>
      <c r="BI138" s="17"/>
      <c r="BJ138" s="247"/>
      <c r="BK138" s="247"/>
      <c r="BL138" s="247"/>
      <c r="BM138" s="190"/>
      <c r="BN138" s="190"/>
      <c r="BO138" s="17"/>
      <c r="BP138" s="247"/>
      <c r="BQ138" s="247"/>
      <c r="BR138" s="247"/>
      <c r="BS138" s="17"/>
      <c r="BT138" s="17"/>
      <c r="BU138" s="17"/>
      <c r="BV138" s="189"/>
      <c r="BW138" s="197"/>
      <c r="BX138" s="246"/>
      <c r="BY138" s="190"/>
      <c r="BZ138" s="190"/>
      <c r="CA138" s="190"/>
      <c r="CB138" s="247"/>
      <c r="CC138" s="247"/>
      <c r="CD138" s="247"/>
      <c r="CE138" s="17"/>
      <c r="CF138" s="17"/>
      <c r="CG138" s="17"/>
      <c r="CH138" s="247"/>
      <c r="CI138" s="247"/>
      <c r="CJ138" s="247"/>
      <c r="CK138" s="17"/>
      <c r="CL138" s="17"/>
      <c r="CM138" s="17"/>
      <c r="CN138" s="17"/>
      <c r="CO138" s="17"/>
      <c r="CP138" s="11"/>
      <c r="CQ138" s="11"/>
      <c r="CR138" s="11"/>
      <c r="CS138" s="11"/>
      <c r="CT138" s="247"/>
      <c r="CU138" s="247"/>
      <c r="CV138" s="247"/>
      <c r="CW138" s="11"/>
      <c r="CX138" s="11"/>
      <c r="CY138" s="11"/>
      <c r="CZ138" s="11"/>
      <c r="DA138" s="11"/>
      <c r="DB138" s="11"/>
      <c r="DC138" s="11"/>
      <c r="DD138" s="11"/>
      <c r="DE138" s="11"/>
      <c r="DF138" s="11"/>
      <c r="DG138" s="11"/>
      <c r="DH138" s="11"/>
      <c r="DI138" s="11"/>
      <c r="DJ138" s="11"/>
      <c r="DK138" s="11"/>
      <c r="DL138" s="247"/>
      <c r="DM138" s="247"/>
      <c r="DN138" s="247"/>
      <c r="DO138" s="247"/>
      <c r="DP138" s="247"/>
      <c r="DQ138" s="247"/>
      <c r="DR138" s="247"/>
      <c r="DS138" s="247"/>
      <c r="DT138" s="247"/>
      <c r="DU138" s="247"/>
      <c r="DV138" s="247"/>
      <c r="DW138" s="247"/>
      <c r="DX138" s="247"/>
      <c r="DY138" s="247"/>
      <c r="DZ138" s="247"/>
      <c r="EA138" s="247"/>
      <c r="EB138" s="247"/>
      <c r="EC138" s="247"/>
      <c r="ED138" s="17">
        <f t="shared" si="36"/>
        <v>154700</v>
      </c>
      <c r="EE138" s="29">
        <f t="shared" si="37"/>
        <v>1</v>
      </c>
      <c r="EF138" s="17">
        <f t="shared" si="35"/>
        <v>154700</v>
      </c>
    </row>
    <row r="139" spans="1:136" x14ac:dyDescent="0.25">
      <c r="A139" s="25">
        <f>Distribución_Elementos!A139</f>
        <v>137</v>
      </c>
      <c r="B139" s="22" t="str">
        <f>Distribución_Elementos!B139</f>
        <v xml:space="preserve">Cinta aislante 48Mn X55 M x 14 Mil metalizado </v>
      </c>
      <c r="C139" s="22" t="str">
        <f>Distribución_Elementos!C139</f>
        <v>Cualquier marca</v>
      </c>
      <c r="D139" s="22" t="str">
        <f>Distribución_Elementos!D139</f>
        <v xml:space="preserve">Rollo </v>
      </c>
      <c r="E139" s="224">
        <v>1</v>
      </c>
      <c r="F139" s="221">
        <v>0</v>
      </c>
      <c r="G139" s="221">
        <v>0</v>
      </c>
      <c r="H139" s="221">
        <v>10591</v>
      </c>
      <c r="I139" s="221">
        <v>0</v>
      </c>
      <c r="J139" s="221">
        <v>26735.333333333332</v>
      </c>
      <c r="K139" s="221">
        <v>0</v>
      </c>
      <c r="L139" s="247">
        <f>AVERAGE(H139,J139)</f>
        <v>18663.166666666664</v>
      </c>
      <c r="M139" s="247"/>
      <c r="N139" s="227">
        <v>9000</v>
      </c>
      <c r="O139" s="119">
        <f>+N139*0.19</f>
        <v>1710</v>
      </c>
      <c r="P139" s="119">
        <f>+N139+O139</f>
        <v>10710</v>
      </c>
      <c r="Q139" s="115"/>
      <c r="R139" s="115"/>
      <c r="S139" s="11"/>
      <c r="T139" s="247"/>
      <c r="U139" s="247"/>
      <c r="V139" s="247"/>
      <c r="W139" s="17"/>
      <c r="X139" s="11"/>
      <c r="Y139" s="11"/>
      <c r="Z139" s="247"/>
      <c r="AA139" s="247"/>
      <c r="AB139" s="247"/>
      <c r="AC139" s="47"/>
      <c r="AD139" s="23"/>
      <c r="AE139" s="17"/>
      <c r="AF139" s="247"/>
      <c r="AG139" s="247"/>
      <c r="AH139" s="153"/>
      <c r="AI139" s="24"/>
      <c r="AJ139" s="17"/>
      <c r="AK139" s="17"/>
      <c r="AL139" s="102"/>
      <c r="AM139" s="132"/>
      <c r="AN139" s="161"/>
      <c r="AO139" s="115"/>
      <c r="AP139" s="115"/>
      <c r="AQ139" s="17"/>
      <c r="AR139" s="247"/>
      <c r="AS139" s="247"/>
      <c r="AT139" s="247"/>
      <c r="AU139" s="17"/>
      <c r="AV139" s="17"/>
      <c r="AW139" s="17"/>
      <c r="AX139" s="247"/>
      <c r="AY139" s="247"/>
      <c r="AZ139" s="247"/>
      <c r="BA139" s="17"/>
      <c r="BB139" s="52"/>
      <c r="BC139" s="17"/>
      <c r="BD139" s="247"/>
      <c r="BE139" s="247"/>
      <c r="BF139" s="247"/>
      <c r="BG139" s="17"/>
      <c r="BH139" s="17"/>
      <c r="BI139" s="17"/>
      <c r="BJ139" s="247"/>
      <c r="BK139" s="247"/>
      <c r="BL139" s="247"/>
      <c r="BM139" s="190"/>
      <c r="BN139" s="190"/>
      <c r="BO139" s="17"/>
      <c r="BP139" s="247">
        <v>36500</v>
      </c>
      <c r="BQ139" s="247">
        <f t="shared" si="38"/>
        <v>6935</v>
      </c>
      <c r="BR139" s="247">
        <f t="shared" si="39"/>
        <v>43435</v>
      </c>
      <c r="BS139" s="17"/>
      <c r="BT139" s="17"/>
      <c r="BU139" s="17"/>
      <c r="BV139" s="189"/>
      <c r="BW139" s="197"/>
      <c r="BX139" s="246"/>
      <c r="BY139" s="190"/>
      <c r="BZ139" s="190"/>
      <c r="CA139" s="190"/>
      <c r="CB139" s="247"/>
      <c r="CC139" s="247"/>
      <c r="CD139" s="247"/>
      <c r="CE139" s="17"/>
      <c r="CF139" s="17"/>
      <c r="CG139" s="17"/>
      <c r="CH139" s="247"/>
      <c r="CI139" s="247"/>
      <c r="CJ139" s="247"/>
      <c r="CK139" s="17"/>
      <c r="CL139" s="17"/>
      <c r="CM139" s="17"/>
      <c r="CN139" s="17"/>
      <c r="CO139" s="17"/>
      <c r="CP139" s="11"/>
      <c r="CQ139" s="11"/>
      <c r="CR139" s="11"/>
      <c r="CS139" s="11"/>
      <c r="CT139" s="247"/>
      <c r="CU139" s="247"/>
      <c r="CV139" s="247"/>
      <c r="CW139" s="11"/>
      <c r="CX139" s="11"/>
      <c r="CY139" s="11"/>
      <c r="CZ139" s="11"/>
      <c r="DA139" s="11"/>
      <c r="DB139" s="11"/>
      <c r="DC139" s="11"/>
      <c r="DD139" s="11"/>
      <c r="DE139" s="11"/>
      <c r="DF139" s="11"/>
      <c r="DG139" s="11"/>
      <c r="DH139" s="11"/>
      <c r="DI139" s="11"/>
      <c r="DJ139" s="11"/>
      <c r="DK139" s="11"/>
      <c r="DL139" s="247"/>
      <c r="DM139" s="247"/>
      <c r="DN139" s="247"/>
      <c r="DO139" s="247"/>
      <c r="DP139" s="247"/>
      <c r="DQ139" s="247"/>
      <c r="DR139" s="247"/>
      <c r="DS139" s="247"/>
      <c r="DT139" s="247"/>
      <c r="DU139" s="247"/>
      <c r="DV139" s="247"/>
      <c r="DW139" s="247"/>
      <c r="DX139" s="247"/>
      <c r="DY139" s="247"/>
      <c r="DZ139" s="247"/>
      <c r="EA139" s="247"/>
      <c r="EB139" s="247"/>
      <c r="EC139" s="247"/>
      <c r="ED139" s="17">
        <f t="shared" si="36"/>
        <v>54145</v>
      </c>
      <c r="EE139" s="29">
        <f t="shared" si="37"/>
        <v>2</v>
      </c>
      <c r="EF139" s="17">
        <f t="shared" si="35"/>
        <v>27072.5</v>
      </c>
    </row>
    <row r="140" spans="1:136" ht="36" x14ac:dyDescent="0.25">
      <c r="A140" s="25">
        <f>Distribución_Elementos!A140</f>
        <v>138</v>
      </c>
      <c r="B140" s="22" t="str">
        <f>Distribución_Elementos!B140</f>
        <v>Cinta de colores para etiquetar 13mm, resistente al agua, al ácido y al aceite</v>
      </c>
      <c r="C140" s="22" t="str">
        <f>Distribución_Elementos!C140</f>
        <v>Fisherbrand 15-901R o equivalente</v>
      </c>
      <c r="D140" s="22" t="str">
        <f>Distribución_Elementos!D140</f>
        <v xml:space="preserve">Caja x 24 </v>
      </c>
      <c r="E140" s="224">
        <v>1</v>
      </c>
      <c r="F140" s="221">
        <v>420482.33500000002</v>
      </c>
      <c r="G140" s="221">
        <v>407813</v>
      </c>
      <c r="H140" s="221">
        <v>358951.44529999996</v>
      </c>
      <c r="I140" s="221">
        <v>358904</v>
      </c>
      <c r="J140" s="221">
        <v>428301.82500000001</v>
      </c>
      <c r="K140" s="221">
        <v>321300</v>
      </c>
      <c r="L140" s="247">
        <f>AVERAGE(F140,H140,J140)</f>
        <v>402578.53509999998</v>
      </c>
      <c r="M140" s="247">
        <f>AVERAGE(G140,I140,K140)*E1</f>
        <v>373552.5033333333</v>
      </c>
      <c r="N140" s="227"/>
      <c r="O140" s="119"/>
      <c r="P140" s="119"/>
      <c r="Q140" s="115"/>
      <c r="R140" s="115"/>
      <c r="S140" s="11"/>
      <c r="T140" s="247"/>
      <c r="U140" s="247"/>
      <c r="V140" s="247"/>
      <c r="W140" s="17"/>
      <c r="X140" s="11"/>
      <c r="Y140" s="11"/>
      <c r="Z140" s="247"/>
      <c r="AA140" s="247"/>
      <c r="AB140" s="247"/>
      <c r="AC140" s="47"/>
      <c r="AD140" s="23"/>
      <c r="AE140" s="17"/>
      <c r="AF140" s="247"/>
      <c r="AG140" s="247"/>
      <c r="AH140" s="153"/>
      <c r="AI140" s="24"/>
      <c r="AJ140" s="17"/>
      <c r="AK140" s="17"/>
      <c r="AL140" s="102"/>
      <c r="AM140" s="132"/>
      <c r="AN140" s="161"/>
      <c r="AO140" s="115"/>
      <c r="AP140" s="115"/>
      <c r="AQ140" s="17"/>
      <c r="AR140" s="247"/>
      <c r="AS140" s="247"/>
      <c r="AT140" s="247"/>
      <c r="AU140" s="17"/>
      <c r="AV140" s="17"/>
      <c r="AW140" s="17"/>
      <c r="AX140" s="247"/>
      <c r="AY140" s="247"/>
      <c r="AZ140" s="247"/>
      <c r="BA140" s="17"/>
      <c r="BB140" s="52"/>
      <c r="BC140" s="17"/>
      <c r="BD140" s="247"/>
      <c r="BE140" s="247"/>
      <c r="BF140" s="247"/>
      <c r="BG140" s="17"/>
      <c r="BH140" s="17"/>
      <c r="BI140" s="17"/>
      <c r="BJ140" s="247">
        <v>816800</v>
      </c>
      <c r="BK140" s="247">
        <f t="shared" si="33"/>
        <v>155192</v>
      </c>
      <c r="BL140" s="247">
        <f t="shared" si="34"/>
        <v>971992</v>
      </c>
      <c r="BM140" s="190" t="s">
        <v>1555</v>
      </c>
      <c r="BN140" s="190" t="s">
        <v>418</v>
      </c>
      <c r="BO140" s="17"/>
      <c r="BP140" s="247">
        <f>65000*24</f>
        <v>1560000</v>
      </c>
      <c r="BQ140" s="247">
        <f t="shared" si="38"/>
        <v>296400</v>
      </c>
      <c r="BR140" s="247">
        <f t="shared" si="39"/>
        <v>1856400</v>
      </c>
      <c r="BS140" s="17"/>
      <c r="BT140" s="17"/>
      <c r="BU140" s="17"/>
      <c r="BV140" s="195">
        <v>1000265.5320000002</v>
      </c>
      <c r="BW140" s="195">
        <f>+BV140*0.19</f>
        <v>190050.45108000006</v>
      </c>
      <c r="BX140" s="246">
        <f>+BV140+BW140</f>
        <v>1190315.9830800004</v>
      </c>
      <c r="BY140" s="190" t="s">
        <v>1555</v>
      </c>
      <c r="BZ140" s="190" t="s">
        <v>418</v>
      </c>
      <c r="CA140" s="190"/>
      <c r="CB140" s="247"/>
      <c r="CC140" s="247"/>
      <c r="CD140" s="247"/>
      <c r="CE140" s="17"/>
      <c r="CF140" s="17"/>
      <c r="CG140" s="17"/>
      <c r="CH140" s="247"/>
      <c r="CI140" s="247"/>
      <c r="CJ140" s="247"/>
      <c r="CK140" s="17"/>
      <c r="CL140" s="17"/>
      <c r="CM140" s="17"/>
      <c r="CN140" s="17"/>
      <c r="CO140" s="17"/>
      <c r="CP140" s="11"/>
      <c r="CQ140" s="11"/>
      <c r="CR140" s="11"/>
      <c r="CS140" s="11"/>
      <c r="CT140" s="247"/>
      <c r="CU140" s="247"/>
      <c r="CV140" s="247"/>
      <c r="CW140" s="11"/>
      <c r="CX140" s="11"/>
      <c r="CY140" s="11"/>
      <c r="CZ140" s="11"/>
      <c r="DA140" s="11"/>
      <c r="DB140" s="11"/>
      <c r="DC140" s="11"/>
      <c r="DD140" s="11"/>
      <c r="DE140" s="11"/>
      <c r="DF140" s="11"/>
      <c r="DG140" s="11"/>
      <c r="DH140" s="11"/>
      <c r="DI140" s="11"/>
      <c r="DJ140" s="11"/>
      <c r="DK140" s="11"/>
      <c r="DL140" s="247"/>
      <c r="DM140" s="247"/>
      <c r="DN140" s="247"/>
      <c r="DO140" s="247"/>
      <c r="DP140" s="247"/>
      <c r="DQ140" s="247"/>
      <c r="DR140" s="247"/>
      <c r="DS140" s="247"/>
      <c r="DT140" s="247"/>
      <c r="DU140" s="247"/>
      <c r="DV140" s="247"/>
      <c r="DW140" s="247"/>
      <c r="DX140" s="247"/>
      <c r="DY140" s="247"/>
      <c r="DZ140" s="247"/>
      <c r="EA140" s="247"/>
      <c r="EB140" s="247"/>
      <c r="EC140" s="247"/>
      <c r="ED140" s="17">
        <f t="shared" si="36"/>
        <v>4392260.4864133336</v>
      </c>
      <c r="EE140" s="29">
        <f t="shared" si="37"/>
        <v>4</v>
      </c>
      <c r="EF140" s="17">
        <f t="shared" si="35"/>
        <v>1098065.1216033334</v>
      </c>
    </row>
    <row r="141" spans="1:136" x14ac:dyDescent="0.25">
      <c r="A141" s="25">
        <f>Distribución_Elementos!A141</f>
        <v>139</v>
      </c>
      <c r="B141" s="22" t="str">
        <f>Distribución_Elementos!B141</f>
        <v>Cinta de enmascarar de 1 cm</v>
      </c>
      <c r="C141" s="22" t="str">
        <f>Distribución_Elementos!C141</f>
        <v>Cualquier marca</v>
      </c>
      <c r="D141" s="22" t="str">
        <f>Distribución_Elementos!D141</f>
        <v>Rollo</v>
      </c>
      <c r="E141" s="224">
        <v>1</v>
      </c>
      <c r="F141" s="221">
        <v>0</v>
      </c>
      <c r="G141" s="221">
        <v>0</v>
      </c>
      <c r="H141" s="221">
        <v>4840.875</v>
      </c>
      <c r="I141" s="221">
        <v>0</v>
      </c>
      <c r="J141" s="221">
        <v>7946.5555555555557</v>
      </c>
      <c r="K141" s="221">
        <v>7854</v>
      </c>
      <c r="L141" s="247">
        <f>AVERAGE(H141,J141)</f>
        <v>6393.7152777777774</v>
      </c>
      <c r="M141" s="247">
        <f>K141*E1</f>
        <v>8089.62</v>
      </c>
      <c r="N141" s="227">
        <v>4500</v>
      </c>
      <c r="O141" s="119">
        <f t="shared" ref="O141:O152" si="45">+N141*0.19</f>
        <v>855</v>
      </c>
      <c r="P141" s="119">
        <f t="shared" ref="P141:P152" si="46">+N141+O141</f>
        <v>5355</v>
      </c>
      <c r="Q141" s="115"/>
      <c r="R141" s="115"/>
      <c r="S141" s="11"/>
      <c r="T141" s="247"/>
      <c r="U141" s="247"/>
      <c r="V141" s="247"/>
      <c r="W141" s="17"/>
      <c r="X141" s="11"/>
      <c r="Y141" s="11"/>
      <c r="Z141" s="247"/>
      <c r="AA141" s="247"/>
      <c r="AB141" s="247"/>
      <c r="AC141" s="47"/>
      <c r="AD141" s="22"/>
      <c r="AE141" s="17"/>
      <c r="AF141" s="247"/>
      <c r="AG141" s="247"/>
      <c r="AH141" s="153"/>
      <c r="AI141" s="4"/>
      <c r="AJ141" s="17"/>
      <c r="AK141" s="17"/>
      <c r="AL141" s="102"/>
      <c r="AM141" s="132"/>
      <c r="AN141" s="161"/>
      <c r="AO141" s="115"/>
      <c r="AP141" s="115"/>
      <c r="AQ141" s="17"/>
      <c r="AR141" s="247"/>
      <c r="AS141" s="247"/>
      <c r="AT141" s="247"/>
      <c r="AU141" s="17"/>
      <c r="AV141" s="17"/>
      <c r="AW141" s="17"/>
      <c r="AX141" s="247"/>
      <c r="AY141" s="247"/>
      <c r="AZ141" s="247"/>
      <c r="BA141" s="17"/>
      <c r="BB141" s="52"/>
      <c r="BC141" s="17"/>
      <c r="BD141" s="247"/>
      <c r="BE141" s="247"/>
      <c r="BF141" s="247"/>
      <c r="BG141" s="17"/>
      <c r="BH141" s="17"/>
      <c r="BI141" s="17"/>
      <c r="BJ141" s="247"/>
      <c r="BK141" s="247"/>
      <c r="BL141" s="247"/>
      <c r="BM141" s="190"/>
      <c r="BN141" s="190"/>
      <c r="BO141" s="17"/>
      <c r="BP141" s="247">
        <v>6500</v>
      </c>
      <c r="BQ141" s="247">
        <f t="shared" si="38"/>
        <v>1235</v>
      </c>
      <c r="BR141" s="247">
        <f t="shared" si="39"/>
        <v>7735</v>
      </c>
      <c r="BS141" s="17"/>
      <c r="BT141" s="17"/>
      <c r="BU141" s="17"/>
      <c r="BV141" s="189"/>
      <c r="BW141" s="197"/>
      <c r="BX141" s="246"/>
      <c r="BY141" s="190"/>
      <c r="BZ141" s="190"/>
      <c r="CA141" s="190"/>
      <c r="CB141" s="247"/>
      <c r="CC141" s="247"/>
      <c r="CD141" s="247"/>
      <c r="CE141" s="17"/>
      <c r="CF141" s="17"/>
      <c r="CG141" s="17"/>
      <c r="CH141" s="247"/>
      <c r="CI141" s="247"/>
      <c r="CJ141" s="247"/>
      <c r="CK141" s="17"/>
      <c r="CL141" s="17"/>
      <c r="CM141" s="17"/>
      <c r="CN141" s="17"/>
      <c r="CO141" s="17"/>
      <c r="CP141" s="11"/>
      <c r="CQ141" s="11"/>
      <c r="CR141" s="11"/>
      <c r="CS141" s="11"/>
      <c r="CT141" s="247"/>
      <c r="CU141" s="247"/>
      <c r="CV141" s="247"/>
      <c r="CW141" s="11"/>
      <c r="CX141" s="11"/>
      <c r="CY141" s="11"/>
      <c r="CZ141" s="11"/>
      <c r="DA141" s="11"/>
      <c r="DB141" s="11"/>
      <c r="DC141" s="11"/>
      <c r="DD141" s="11"/>
      <c r="DE141" s="11"/>
      <c r="DF141" s="11"/>
      <c r="DG141" s="11"/>
      <c r="DH141" s="11"/>
      <c r="DI141" s="11"/>
      <c r="DJ141" s="11"/>
      <c r="DK141" s="11"/>
      <c r="DL141" s="247"/>
      <c r="DM141" s="247"/>
      <c r="DN141" s="247"/>
      <c r="DO141" s="247"/>
      <c r="DP141" s="247"/>
      <c r="DQ141" s="247"/>
      <c r="DR141" s="247"/>
      <c r="DS141" s="247"/>
      <c r="DT141" s="247"/>
      <c r="DU141" s="247"/>
      <c r="DV141" s="247"/>
      <c r="DW141" s="247"/>
      <c r="DX141" s="247"/>
      <c r="DY141" s="247"/>
      <c r="DZ141" s="247"/>
      <c r="EA141" s="247"/>
      <c r="EB141" s="247"/>
      <c r="EC141" s="247"/>
      <c r="ED141" s="17">
        <f t="shared" si="36"/>
        <v>21179.62</v>
      </c>
      <c r="EE141" s="29">
        <f t="shared" si="37"/>
        <v>3</v>
      </c>
      <c r="EF141" s="17">
        <f t="shared" si="35"/>
        <v>7059.873333333333</v>
      </c>
    </row>
    <row r="142" spans="1:136" x14ac:dyDescent="0.25">
      <c r="A142" s="25">
        <f>Distribución_Elementos!A142</f>
        <v>140</v>
      </c>
      <c r="B142" s="22" t="str">
        <f>Distribución_Elementos!B142</f>
        <v>Cinta de enmascarar de 2 cm</v>
      </c>
      <c r="C142" s="22" t="str">
        <f>Distribución_Elementos!C142</f>
        <v>Cualquier marca</v>
      </c>
      <c r="D142" s="22" t="str">
        <f>Distribución_Elementos!D142</f>
        <v>Rollo x 25 M</v>
      </c>
      <c r="E142" s="224">
        <v>1</v>
      </c>
      <c r="F142" s="221">
        <v>0</v>
      </c>
      <c r="G142" s="221">
        <v>0</v>
      </c>
      <c r="H142" s="221">
        <v>7228.333333333333</v>
      </c>
      <c r="I142" s="221">
        <v>7140</v>
      </c>
      <c r="J142" s="221">
        <v>8271.5</v>
      </c>
      <c r="K142" s="221">
        <v>8211</v>
      </c>
      <c r="L142" s="247">
        <f>AVERAGE(H142,J142)</f>
        <v>7749.9166666666661</v>
      </c>
      <c r="M142" s="247">
        <f>AVERAGE(I142,K142)*E1</f>
        <v>7905.7650000000003</v>
      </c>
      <c r="N142" s="227">
        <v>6800</v>
      </c>
      <c r="O142" s="119">
        <f t="shared" si="45"/>
        <v>1292</v>
      </c>
      <c r="P142" s="119">
        <f t="shared" si="46"/>
        <v>8092</v>
      </c>
      <c r="Q142" s="115"/>
      <c r="R142" s="115"/>
      <c r="S142" s="11"/>
      <c r="T142" s="247"/>
      <c r="U142" s="247"/>
      <c r="V142" s="247"/>
      <c r="W142" s="17"/>
      <c r="X142" s="11"/>
      <c r="Y142" s="11"/>
      <c r="Z142" s="247"/>
      <c r="AA142" s="247"/>
      <c r="AB142" s="247"/>
      <c r="AC142" s="47"/>
      <c r="AD142" s="22"/>
      <c r="AE142" s="17"/>
      <c r="AF142" s="247"/>
      <c r="AG142" s="247"/>
      <c r="AH142" s="153"/>
      <c r="AI142" s="4"/>
      <c r="AJ142" s="17"/>
      <c r="AK142" s="17"/>
      <c r="AL142" s="102"/>
      <c r="AM142" s="132"/>
      <c r="AN142" s="161"/>
      <c r="AO142" s="115"/>
      <c r="AP142" s="115"/>
      <c r="AQ142" s="17"/>
      <c r="AR142" s="247"/>
      <c r="AS142" s="247"/>
      <c r="AT142" s="247"/>
      <c r="AU142" s="17"/>
      <c r="AV142" s="17"/>
      <c r="AW142" s="17"/>
      <c r="AX142" s="247"/>
      <c r="AY142" s="247"/>
      <c r="AZ142" s="247"/>
      <c r="BA142" s="17"/>
      <c r="BB142" s="52"/>
      <c r="BC142" s="17"/>
      <c r="BD142" s="247"/>
      <c r="BE142" s="247"/>
      <c r="BF142" s="247"/>
      <c r="BG142" s="17"/>
      <c r="BH142" s="17"/>
      <c r="BI142" s="17"/>
      <c r="BJ142" s="247"/>
      <c r="BK142" s="247"/>
      <c r="BL142" s="247"/>
      <c r="BM142" s="192"/>
      <c r="BN142" s="190"/>
      <c r="BO142" s="17"/>
      <c r="BP142" s="247">
        <v>6800</v>
      </c>
      <c r="BQ142" s="247">
        <f t="shared" si="38"/>
        <v>1292</v>
      </c>
      <c r="BR142" s="247">
        <f t="shared" si="39"/>
        <v>8092</v>
      </c>
      <c r="BS142" s="17"/>
      <c r="BT142" s="17"/>
      <c r="BU142" s="17"/>
      <c r="BV142" s="195"/>
      <c r="BW142" s="195"/>
      <c r="BX142" s="246"/>
      <c r="BY142" s="192"/>
      <c r="BZ142" s="190"/>
      <c r="CA142" s="190"/>
      <c r="CB142" s="247"/>
      <c r="CC142" s="247"/>
      <c r="CD142" s="247"/>
      <c r="CE142" s="17"/>
      <c r="CF142" s="17"/>
      <c r="CG142" s="17"/>
      <c r="CH142" s="247"/>
      <c r="CI142" s="247"/>
      <c r="CJ142" s="247"/>
      <c r="CK142" s="17"/>
      <c r="CL142" s="17"/>
      <c r="CM142" s="17"/>
      <c r="CN142" s="17"/>
      <c r="CO142" s="17"/>
      <c r="CP142" s="11"/>
      <c r="CQ142" s="11"/>
      <c r="CR142" s="11"/>
      <c r="CS142" s="11"/>
      <c r="CT142" s="247"/>
      <c r="CU142" s="247"/>
      <c r="CV142" s="247"/>
      <c r="CW142" s="11"/>
      <c r="CX142" s="11"/>
      <c r="CY142" s="11"/>
      <c r="CZ142" s="11"/>
      <c r="DA142" s="11"/>
      <c r="DB142" s="11"/>
      <c r="DC142" s="11"/>
      <c r="DD142" s="11"/>
      <c r="DE142" s="11"/>
      <c r="DF142" s="11"/>
      <c r="DG142" s="11"/>
      <c r="DH142" s="11"/>
      <c r="DI142" s="11"/>
      <c r="DJ142" s="11"/>
      <c r="DK142" s="11"/>
      <c r="DL142" s="247"/>
      <c r="DM142" s="247"/>
      <c r="DN142" s="247"/>
      <c r="DO142" s="247"/>
      <c r="DP142" s="247"/>
      <c r="DQ142" s="247"/>
      <c r="DR142" s="247"/>
      <c r="DS142" s="247"/>
      <c r="DT142" s="247"/>
      <c r="DU142" s="247"/>
      <c r="DV142" s="247"/>
      <c r="DW142" s="247"/>
      <c r="DX142" s="247"/>
      <c r="DY142" s="247"/>
      <c r="DZ142" s="247"/>
      <c r="EA142" s="247"/>
      <c r="EB142" s="247"/>
      <c r="EC142" s="247"/>
      <c r="ED142" s="17">
        <f t="shared" si="36"/>
        <v>24089.764999999999</v>
      </c>
      <c r="EE142" s="29">
        <f t="shared" si="37"/>
        <v>3</v>
      </c>
      <c r="EF142" s="17">
        <f t="shared" si="35"/>
        <v>8029.9216666666662</v>
      </c>
    </row>
    <row r="143" spans="1:136" x14ac:dyDescent="0.25">
      <c r="A143" s="25">
        <f>Distribución_Elementos!A143</f>
        <v>141</v>
      </c>
      <c r="B143" s="22" t="str">
        <f>Distribución_Elementos!B143</f>
        <v>Cinta de enmascarar de 5 cm</v>
      </c>
      <c r="C143" s="22" t="str">
        <f>Distribución_Elementos!C143</f>
        <v>Cualquier marca</v>
      </c>
      <c r="D143" s="22" t="str">
        <f>Distribución_Elementos!D143</f>
        <v>Rollo x 25 M</v>
      </c>
      <c r="E143" s="224">
        <v>1</v>
      </c>
      <c r="F143" s="221">
        <v>0</v>
      </c>
      <c r="G143" s="221">
        <v>0</v>
      </c>
      <c r="H143" s="221">
        <v>8131.666666666667</v>
      </c>
      <c r="I143" s="221">
        <v>7973</v>
      </c>
      <c r="J143" s="221">
        <v>13846.63777777778</v>
      </c>
      <c r="K143" s="221">
        <v>13804</v>
      </c>
      <c r="L143" s="247">
        <f>AVERAGE(H143,J143)</f>
        <v>10989.152222222223</v>
      </c>
      <c r="M143" s="247">
        <f>AVERAGE(I143,K143)*E1</f>
        <v>11215.155000000001</v>
      </c>
      <c r="N143" s="227">
        <v>8200</v>
      </c>
      <c r="O143" s="119">
        <f t="shared" si="45"/>
        <v>1558</v>
      </c>
      <c r="P143" s="119">
        <f t="shared" si="46"/>
        <v>9758</v>
      </c>
      <c r="Q143" s="115"/>
      <c r="R143" s="115"/>
      <c r="S143" s="11"/>
      <c r="T143" s="247"/>
      <c r="U143" s="247"/>
      <c r="V143" s="247"/>
      <c r="W143" s="17"/>
      <c r="X143" s="11"/>
      <c r="Y143" s="11"/>
      <c r="Z143" s="247"/>
      <c r="AA143" s="247"/>
      <c r="AB143" s="247"/>
      <c r="AC143" s="47"/>
      <c r="AD143" s="22"/>
      <c r="AE143" s="17"/>
      <c r="AF143" s="247"/>
      <c r="AG143" s="247"/>
      <c r="AH143" s="153"/>
      <c r="AI143" s="4"/>
      <c r="AJ143" s="17"/>
      <c r="AK143" s="17"/>
      <c r="AL143" s="102"/>
      <c r="AM143" s="132"/>
      <c r="AN143" s="161"/>
      <c r="AO143" s="115"/>
      <c r="AP143" s="115"/>
      <c r="AQ143" s="17"/>
      <c r="AR143" s="247"/>
      <c r="AS143" s="247"/>
      <c r="AT143" s="247"/>
      <c r="AU143" s="17"/>
      <c r="AV143" s="17"/>
      <c r="AW143" s="17"/>
      <c r="AX143" s="247"/>
      <c r="AY143" s="247"/>
      <c r="AZ143" s="247"/>
      <c r="BA143" s="17"/>
      <c r="BB143" s="52"/>
      <c r="BC143" s="17"/>
      <c r="BD143" s="247"/>
      <c r="BE143" s="247"/>
      <c r="BF143" s="247"/>
      <c r="BG143" s="17"/>
      <c r="BH143" s="17"/>
      <c r="BI143" s="17"/>
      <c r="BJ143" s="247"/>
      <c r="BK143" s="247"/>
      <c r="BL143" s="247"/>
      <c r="BM143" s="190"/>
      <c r="BN143" s="190"/>
      <c r="BO143" s="17"/>
      <c r="BP143" s="247">
        <v>7500</v>
      </c>
      <c r="BQ143" s="247">
        <f t="shared" si="38"/>
        <v>1425</v>
      </c>
      <c r="BR143" s="247">
        <f t="shared" si="39"/>
        <v>8925</v>
      </c>
      <c r="BS143" s="17"/>
      <c r="BT143" s="17"/>
      <c r="BU143" s="17"/>
      <c r="BV143" s="189"/>
      <c r="BW143" s="197"/>
      <c r="BX143" s="246"/>
      <c r="BY143" s="190"/>
      <c r="BZ143" s="190"/>
      <c r="CA143" s="190"/>
      <c r="CB143" s="247"/>
      <c r="CC143" s="247"/>
      <c r="CD143" s="247"/>
      <c r="CE143" s="17"/>
      <c r="CF143" s="17"/>
      <c r="CG143" s="17"/>
      <c r="CH143" s="247"/>
      <c r="CI143" s="247"/>
      <c r="CJ143" s="247"/>
      <c r="CK143" s="17"/>
      <c r="CL143" s="17"/>
      <c r="CM143" s="17"/>
      <c r="CN143" s="17"/>
      <c r="CO143" s="17"/>
      <c r="CP143" s="11"/>
      <c r="CQ143" s="11"/>
      <c r="CR143" s="11"/>
      <c r="CS143" s="11"/>
      <c r="CT143" s="247"/>
      <c r="CU143" s="247"/>
      <c r="CV143" s="247"/>
      <c r="CW143" s="11"/>
      <c r="CX143" s="11"/>
      <c r="CY143" s="11"/>
      <c r="CZ143" s="11"/>
      <c r="DA143" s="11"/>
      <c r="DB143" s="11"/>
      <c r="DC143" s="11"/>
      <c r="DD143" s="11"/>
      <c r="DE143" s="11"/>
      <c r="DF143" s="11"/>
      <c r="DG143" s="11"/>
      <c r="DH143" s="11"/>
      <c r="DI143" s="11"/>
      <c r="DJ143" s="11"/>
      <c r="DK143" s="11"/>
      <c r="DL143" s="247"/>
      <c r="DM143" s="247"/>
      <c r="DN143" s="247"/>
      <c r="DO143" s="247"/>
      <c r="DP143" s="247"/>
      <c r="DQ143" s="247"/>
      <c r="DR143" s="247"/>
      <c r="DS143" s="247"/>
      <c r="DT143" s="247"/>
      <c r="DU143" s="247"/>
      <c r="DV143" s="247"/>
      <c r="DW143" s="247"/>
      <c r="DX143" s="247"/>
      <c r="DY143" s="247"/>
      <c r="DZ143" s="247"/>
      <c r="EA143" s="247"/>
      <c r="EB143" s="247"/>
      <c r="EC143" s="247"/>
      <c r="ED143" s="17">
        <f t="shared" si="36"/>
        <v>29898.154999999999</v>
      </c>
      <c r="EE143" s="29">
        <f t="shared" si="37"/>
        <v>3</v>
      </c>
      <c r="EF143" s="17">
        <f t="shared" si="35"/>
        <v>9966.0516666666663</v>
      </c>
    </row>
    <row r="144" spans="1:136" ht="36" x14ac:dyDescent="0.25">
      <c r="A144" s="25">
        <f>Distribución_Elementos!A144</f>
        <v>142</v>
      </c>
      <c r="B144" s="22" t="str">
        <f>Distribución_Elementos!B144</f>
        <v>Cinta indicadora de esterilidad</v>
      </c>
      <c r="C144" s="22" t="str">
        <f>Distribución_Elementos!C144</f>
        <v>Cualquier marca</v>
      </c>
      <c r="D144" s="22" t="str">
        <f>Distribución_Elementos!D144</f>
        <v>Rollo</v>
      </c>
      <c r="E144" s="224">
        <v>1</v>
      </c>
      <c r="F144" s="221">
        <v>38444.933333333334</v>
      </c>
      <c r="G144" s="221">
        <v>37366</v>
      </c>
      <c r="H144" s="221">
        <v>34172.833333333336</v>
      </c>
      <c r="I144" s="221">
        <v>34034</v>
      </c>
      <c r="J144" s="221">
        <v>57676.324999999997</v>
      </c>
      <c r="K144" s="221">
        <v>32130</v>
      </c>
      <c r="L144" s="247">
        <f>AVERAGE(F144,H144,J144)</f>
        <v>43431.363888888889</v>
      </c>
      <c r="M144" s="247">
        <f>AVERAGE(G144,I144,K144)*E1</f>
        <v>35545.300000000003</v>
      </c>
      <c r="N144" s="227">
        <v>35000</v>
      </c>
      <c r="O144" s="119">
        <f t="shared" si="45"/>
        <v>6650</v>
      </c>
      <c r="P144" s="119">
        <f t="shared" si="46"/>
        <v>41650</v>
      </c>
      <c r="Q144" s="115"/>
      <c r="R144" s="115"/>
      <c r="S144" s="11"/>
      <c r="T144" s="247">
        <v>26400.000000000004</v>
      </c>
      <c r="U144" s="247">
        <f>+T144*0.19</f>
        <v>5016.0000000000009</v>
      </c>
      <c r="V144" s="247">
        <f>+T144+U144</f>
        <v>31416.000000000004</v>
      </c>
      <c r="W144" s="17" t="s">
        <v>1514</v>
      </c>
      <c r="X144" s="11" t="s">
        <v>1517</v>
      </c>
      <c r="Y144" s="11"/>
      <c r="Z144" s="247"/>
      <c r="AA144" s="247"/>
      <c r="AB144" s="247"/>
      <c r="AC144" s="47"/>
      <c r="AD144" s="22"/>
      <c r="AE144" s="17"/>
      <c r="AF144" s="247"/>
      <c r="AG144" s="247"/>
      <c r="AH144" s="153"/>
      <c r="AI144" s="4"/>
      <c r="AJ144" s="17"/>
      <c r="AK144" s="17"/>
      <c r="AL144" s="102"/>
      <c r="AM144" s="132"/>
      <c r="AN144" s="161"/>
      <c r="AO144" s="115"/>
      <c r="AP144" s="115"/>
      <c r="AQ144" s="17"/>
      <c r="AR144" s="247"/>
      <c r="AS144" s="247"/>
      <c r="AT144" s="247"/>
      <c r="AU144" s="17"/>
      <c r="AV144" s="17"/>
      <c r="AW144" s="17"/>
      <c r="AX144" s="247"/>
      <c r="AY144" s="247"/>
      <c r="AZ144" s="247"/>
      <c r="BA144" s="17"/>
      <c r="BB144" s="52"/>
      <c r="BC144" s="17"/>
      <c r="BD144" s="247"/>
      <c r="BE144" s="247"/>
      <c r="BF144" s="247"/>
      <c r="BG144" s="17"/>
      <c r="BH144" s="17"/>
      <c r="BI144" s="17"/>
      <c r="BJ144" s="247">
        <v>66000</v>
      </c>
      <c r="BK144" s="247">
        <f t="shared" si="33"/>
        <v>12540</v>
      </c>
      <c r="BL144" s="247">
        <f t="shared" si="34"/>
        <v>78540</v>
      </c>
      <c r="BM144" s="191" t="s">
        <v>1556</v>
      </c>
      <c r="BN144" s="190" t="s">
        <v>418</v>
      </c>
      <c r="BO144" s="17"/>
      <c r="BP144" s="247">
        <v>38500</v>
      </c>
      <c r="BQ144" s="247">
        <f t="shared" si="38"/>
        <v>7315</v>
      </c>
      <c r="BR144" s="247">
        <f t="shared" si="39"/>
        <v>45815</v>
      </c>
      <c r="BS144" s="17"/>
      <c r="BT144" s="17"/>
      <c r="BU144" s="17"/>
      <c r="BV144" s="195">
        <v>74954.880000000005</v>
      </c>
      <c r="BW144" s="195">
        <f>+BV144*0.19</f>
        <v>14241.427200000002</v>
      </c>
      <c r="BX144" s="246">
        <f>+BV144+BW144</f>
        <v>89196.30720000001</v>
      </c>
      <c r="BY144" s="191" t="s">
        <v>1556</v>
      </c>
      <c r="BZ144" s="190" t="s">
        <v>418</v>
      </c>
      <c r="CA144" s="190"/>
      <c r="CB144" s="247"/>
      <c r="CC144" s="247"/>
      <c r="CD144" s="247"/>
      <c r="CE144" s="17"/>
      <c r="CF144" s="17"/>
      <c r="CG144" s="17"/>
      <c r="CH144" s="247"/>
      <c r="CI144" s="247"/>
      <c r="CJ144" s="247"/>
      <c r="CK144" s="17"/>
      <c r="CL144" s="17"/>
      <c r="CM144" s="17"/>
      <c r="CN144" s="17"/>
      <c r="CO144" s="17"/>
      <c r="CP144" s="11"/>
      <c r="CQ144" s="11"/>
      <c r="CR144" s="11"/>
      <c r="CS144" s="11"/>
      <c r="CT144" s="247"/>
      <c r="CU144" s="247"/>
      <c r="CV144" s="247"/>
      <c r="CW144" s="11"/>
      <c r="CX144" s="11"/>
      <c r="CY144" s="11"/>
      <c r="CZ144" s="11"/>
      <c r="DA144" s="11"/>
      <c r="DB144" s="11"/>
      <c r="DC144" s="11"/>
      <c r="DD144" s="11"/>
      <c r="DE144" s="11"/>
      <c r="DF144" s="11"/>
      <c r="DG144" s="11"/>
      <c r="DH144" s="11"/>
      <c r="DI144" s="11"/>
      <c r="DJ144" s="11"/>
      <c r="DK144" s="11"/>
      <c r="DL144" s="247"/>
      <c r="DM144" s="247"/>
      <c r="DN144" s="247"/>
      <c r="DO144" s="247"/>
      <c r="DP144" s="247"/>
      <c r="DQ144" s="247"/>
      <c r="DR144" s="247"/>
      <c r="DS144" s="247"/>
      <c r="DT144" s="247"/>
      <c r="DU144" s="247"/>
      <c r="DV144" s="247"/>
      <c r="DW144" s="247"/>
      <c r="DX144" s="247"/>
      <c r="DY144" s="247"/>
      <c r="DZ144" s="247"/>
      <c r="EA144" s="247"/>
      <c r="EB144" s="247"/>
      <c r="EC144" s="247"/>
      <c r="ED144" s="17">
        <f t="shared" si="36"/>
        <v>322162.60719999997</v>
      </c>
      <c r="EE144" s="29">
        <f t="shared" si="37"/>
        <v>6</v>
      </c>
      <c r="EF144" s="17">
        <f t="shared" si="35"/>
        <v>53693.767866666662</v>
      </c>
    </row>
    <row r="145" spans="1:136" x14ac:dyDescent="0.25">
      <c r="A145" s="25">
        <f>Distribución_Elementos!A145</f>
        <v>143</v>
      </c>
      <c r="B145" s="22" t="str">
        <f>Distribución_Elementos!B145</f>
        <v>Cinta indicadora de pH 0-14</v>
      </c>
      <c r="C145" s="22" t="str">
        <f>Distribución_Elementos!C145</f>
        <v>Cualquier marca</v>
      </c>
      <c r="D145" s="22" t="str">
        <f>Distribución_Elementos!D145</f>
        <v>Rollo o tira</v>
      </c>
      <c r="E145" s="224">
        <v>1</v>
      </c>
      <c r="F145" s="221">
        <v>66788.75</v>
      </c>
      <c r="G145" s="221">
        <v>64736</v>
      </c>
      <c r="H145" s="221">
        <v>41253.333333333336</v>
      </c>
      <c r="I145" s="221">
        <v>41174</v>
      </c>
      <c r="J145" s="221">
        <v>116336.78000000001</v>
      </c>
      <c r="K145" s="221">
        <v>45696</v>
      </c>
      <c r="L145" s="247">
        <f>AVERAGE(F145,H145,J145)</f>
        <v>74792.954444444447</v>
      </c>
      <c r="M145" s="247">
        <f>AVERAGE(G145,I145,K145)*E1</f>
        <v>52051.393333333341</v>
      </c>
      <c r="N145" s="227">
        <v>42000</v>
      </c>
      <c r="O145" s="119">
        <f t="shared" si="45"/>
        <v>7980</v>
      </c>
      <c r="P145" s="119">
        <f t="shared" si="46"/>
        <v>49980</v>
      </c>
      <c r="Q145" s="115"/>
      <c r="R145" s="115"/>
      <c r="S145" s="11"/>
      <c r="T145" s="247">
        <v>85800</v>
      </c>
      <c r="U145" s="247">
        <f>+T145*0.19</f>
        <v>16302</v>
      </c>
      <c r="V145" s="247">
        <f>+T145+U145</f>
        <v>102102</v>
      </c>
      <c r="W145" s="17" t="s">
        <v>1557</v>
      </c>
      <c r="X145" s="11" t="s">
        <v>52</v>
      </c>
      <c r="Y145" s="11"/>
      <c r="Z145" s="247"/>
      <c r="AA145" s="247"/>
      <c r="AB145" s="247"/>
      <c r="AC145" s="47"/>
      <c r="AD145" s="23"/>
      <c r="AE145" s="17"/>
      <c r="AF145" s="247"/>
      <c r="AG145" s="247"/>
      <c r="AH145" s="153"/>
      <c r="AI145" s="24"/>
      <c r="AJ145" s="17"/>
      <c r="AK145" s="17"/>
      <c r="AL145" s="102"/>
      <c r="AM145" s="132"/>
      <c r="AN145" s="161"/>
      <c r="AO145" s="115"/>
      <c r="AP145" s="115"/>
      <c r="AQ145" s="17"/>
      <c r="AR145" s="247"/>
      <c r="AS145" s="247"/>
      <c r="AT145" s="247"/>
      <c r="AU145" s="17"/>
      <c r="AV145" s="17"/>
      <c r="AW145" s="17"/>
      <c r="AX145" s="247"/>
      <c r="AY145" s="247"/>
      <c r="AZ145" s="247"/>
      <c r="BA145" s="17"/>
      <c r="BB145" s="52"/>
      <c r="BC145" s="17"/>
      <c r="BD145" s="247"/>
      <c r="BE145" s="247"/>
      <c r="BF145" s="247"/>
      <c r="BG145" s="17"/>
      <c r="BH145" s="17"/>
      <c r="BI145" s="17"/>
      <c r="BJ145" s="247">
        <v>92200</v>
      </c>
      <c r="BK145" s="247">
        <f t="shared" si="33"/>
        <v>17518</v>
      </c>
      <c r="BL145" s="247">
        <f t="shared" si="34"/>
        <v>109718</v>
      </c>
      <c r="BM145" s="190" t="s">
        <v>1496</v>
      </c>
      <c r="BN145" s="190" t="s">
        <v>1558</v>
      </c>
      <c r="BO145" s="17"/>
      <c r="BP145" s="247">
        <v>85600</v>
      </c>
      <c r="BQ145" s="247">
        <f t="shared" si="38"/>
        <v>16264</v>
      </c>
      <c r="BR145" s="247">
        <f t="shared" si="39"/>
        <v>101864</v>
      </c>
      <c r="BS145" s="17"/>
      <c r="BT145" s="17"/>
      <c r="BU145" s="17"/>
      <c r="BV145" s="195">
        <v>98783.817600000009</v>
      </c>
      <c r="BW145" s="195">
        <f>+BV145*0.19</f>
        <v>18768.925344000003</v>
      </c>
      <c r="BX145" s="246">
        <f>+BV145+BW145</f>
        <v>117552.74294400001</v>
      </c>
      <c r="BY145" s="190" t="s">
        <v>1496</v>
      </c>
      <c r="BZ145" s="190" t="s">
        <v>1558</v>
      </c>
      <c r="CA145" s="190"/>
      <c r="CB145" s="247"/>
      <c r="CC145" s="247"/>
      <c r="CD145" s="247"/>
      <c r="CE145" s="17"/>
      <c r="CF145" s="17"/>
      <c r="CG145" s="17"/>
      <c r="CH145" s="247"/>
      <c r="CI145" s="247"/>
      <c r="CJ145" s="247"/>
      <c r="CK145" s="17"/>
      <c r="CL145" s="17"/>
      <c r="CM145" s="17"/>
      <c r="CN145" s="17"/>
      <c r="CO145" s="17"/>
      <c r="CP145" s="11"/>
      <c r="CQ145" s="11"/>
      <c r="CR145" s="11"/>
      <c r="CS145" s="11"/>
      <c r="CT145" s="247"/>
      <c r="CU145" s="247"/>
      <c r="CV145" s="247"/>
      <c r="CW145" s="11"/>
      <c r="CX145" s="11"/>
      <c r="CY145" s="11"/>
      <c r="CZ145" s="11"/>
      <c r="DA145" s="11"/>
      <c r="DB145" s="11"/>
      <c r="DC145" s="11"/>
      <c r="DD145" s="11"/>
      <c r="DE145" s="11"/>
      <c r="DF145" s="11"/>
      <c r="DG145" s="11"/>
      <c r="DH145" s="11"/>
      <c r="DI145" s="11"/>
      <c r="DJ145" s="11"/>
      <c r="DK145" s="11"/>
      <c r="DL145" s="247"/>
      <c r="DM145" s="247"/>
      <c r="DN145" s="247"/>
      <c r="DO145" s="247"/>
      <c r="DP145" s="247"/>
      <c r="DQ145" s="247"/>
      <c r="DR145" s="247"/>
      <c r="DS145" s="247"/>
      <c r="DT145" s="247"/>
      <c r="DU145" s="247"/>
      <c r="DV145" s="247"/>
      <c r="DW145" s="247"/>
      <c r="DX145" s="247"/>
      <c r="DY145" s="247"/>
      <c r="DZ145" s="247"/>
      <c r="EA145" s="247"/>
      <c r="EB145" s="247"/>
      <c r="EC145" s="247"/>
      <c r="ED145" s="17">
        <f t="shared" si="36"/>
        <v>533268.13627733337</v>
      </c>
      <c r="EE145" s="29">
        <f t="shared" si="37"/>
        <v>6</v>
      </c>
      <c r="EF145" s="17">
        <f t="shared" si="35"/>
        <v>88878.022712888895</v>
      </c>
    </row>
    <row r="146" spans="1:136" x14ac:dyDescent="0.25">
      <c r="A146" s="25">
        <f>Distribución_Elementos!A146</f>
        <v>144</v>
      </c>
      <c r="B146" s="22" t="str">
        <f>Distribución_Elementos!B146</f>
        <v>Cinta indicadora de pH 6.4 - 8.0</v>
      </c>
      <c r="C146" s="22" t="str">
        <f>Distribución_Elementos!C146</f>
        <v>Cualquier marca</v>
      </c>
      <c r="D146" s="22" t="str">
        <f>Distribución_Elementos!D146</f>
        <v>Rollo o tira</v>
      </c>
      <c r="E146" s="224">
        <v>1</v>
      </c>
      <c r="F146" s="221">
        <v>203549.5</v>
      </c>
      <c r="G146" s="221">
        <v>0</v>
      </c>
      <c r="H146" s="221">
        <v>146072.5</v>
      </c>
      <c r="I146" s="221">
        <v>146013</v>
      </c>
      <c r="J146" s="221">
        <v>225826.43999999997</v>
      </c>
      <c r="K146" s="221">
        <v>45696</v>
      </c>
      <c r="L146" s="247">
        <f>AVERAGE(F146,H146,J146)</f>
        <v>191816.14666666664</v>
      </c>
      <c r="M146" s="247">
        <f>AVERAGE(I146,K146)*E1</f>
        <v>98730.135000000009</v>
      </c>
      <c r="N146" s="227">
        <v>150000</v>
      </c>
      <c r="O146" s="119">
        <f t="shared" si="45"/>
        <v>28500</v>
      </c>
      <c r="P146" s="119">
        <f t="shared" si="46"/>
        <v>178500</v>
      </c>
      <c r="Q146" s="115"/>
      <c r="R146" s="115"/>
      <c r="S146" s="11"/>
      <c r="T146" s="247">
        <v>107800.00000000001</v>
      </c>
      <c r="U146" s="247">
        <f>+T146*0.19</f>
        <v>20482.000000000004</v>
      </c>
      <c r="V146" s="247">
        <f>+T146+U146</f>
        <v>128282.00000000001</v>
      </c>
      <c r="W146" s="17" t="s">
        <v>1466</v>
      </c>
      <c r="X146" s="11" t="s">
        <v>93</v>
      </c>
      <c r="Y146" s="11"/>
      <c r="Z146" s="247"/>
      <c r="AA146" s="247"/>
      <c r="AB146" s="247"/>
      <c r="AC146" s="44"/>
      <c r="AD146" s="22"/>
      <c r="AE146" s="17"/>
      <c r="AF146" s="247"/>
      <c r="AG146" s="247"/>
      <c r="AH146" s="151"/>
      <c r="AI146" s="4"/>
      <c r="AJ146" s="17"/>
      <c r="AK146" s="17"/>
      <c r="AL146" s="102"/>
      <c r="AM146" s="132"/>
      <c r="AN146" s="161"/>
      <c r="AO146" s="115"/>
      <c r="AP146" s="115"/>
      <c r="AQ146" s="17"/>
      <c r="AR146" s="247"/>
      <c r="AS146" s="247"/>
      <c r="AT146" s="247"/>
      <c r="AU146" s="17"/>
      <c r="AV146" s="17"/>
      <c r="AW146" s="17"/>
      <c r="AX146" s="247"/>
      <c r="AY146" s="247"/>
      <c r="AZ146" s="247"/>
      <c r="BA146" s="17"/>
      <c r="BB146" s="52"/>
      <c r="BC146" s="17"/>
      <c r="BD146" s="247"/>
      <c r="BE146" s="247"/>
      <c r="BF146" s="247"/>
      <c r="BG146" s="17"/>
      <c r="BH146" s="17"/>
      <c r="BI146" s="17"/>
      <c r="BJ146" s="247">
        <v>598500</v>
      </c>
      <c r="BK146" s="247">
        <f t="shared" si="33"/>
        <v>113715</v>
      </c>
      <c r="BL146" s="247">
        <f t="shared" si="34"/>
        <v>712215</v>
      </c>
      <c r="BM146" s="190" t="s">
        <v>1496</v>
      </c>
      <c r="BN146" s="190" t="s">
        <v>1559</v>
      </c>
      <c r="BO146" s="17"/>
      <c r="BP146" s="247">
        <v>135000</v>
      </c>
      <c r="BQ146" s="247">
        <f t="shared" si="38"/>
        <v>25650</v>
      </c>
      <c r="BR146" s="247">
        <f t="shared" si="39"/>
        <v>160650</v>
      </c>
      <c r="BS146" s="17"/>
      <c r="BT146" s="17"/>
      <c r="BU146" s="17"/>
      <c r="BV146" s="195">
        <v>712569.31200000015</v>
      </c>
      <c r="BW146" s="195">
        <f>+BV146*0.19</f>
        <v>135388.16928000003</v>
      </c>
      <c r="BX146" s="246">
        <f>+BV146+BW146</f>
        <v>847957.48128000018</v>
      </c>
      <c r="BY146" s="190" t="s">
        <v>1496</v>
      </c>
      <c r="BZ146" s="190" t="s">
        <v>1559</v>
      </c>
      <c r="CA146" s="190"/>
      <c r="CB146" s="247"/>
      <c r="CC146" s="247"/>
      <c r="CD146" s="247"/>
      <c r="CE146" s="17"/>
      <c r="CF146" s="17"/>
      <c r="CG146" s="17"/>
      <c r="CH146" s="247"/>
      <c r="CI146" s="247"/>
      <c r="CJ146" s="247"/>
      <c r="CK146" s="17"/>
      <c r="CL146" s="17"/>
      <c r="CM146" s="17"/>
      <c r="CN146" s="17"/>
      <c r="CO146" s="17"/>
      <c r="CP146" s="11"/>
      <c r="CQ146" s="11"/>
      <c r="CR146" s="11"/>
      <c r="CS146" s="11"/>
      <c r="CT146" s="247"/>
      <c r="CU146" s="247"/>
      <c r="CV146" s="247"/>
      <c r="CW146" s="11"/>
      <c r="CX146" s="11"/>
      <c r="CY146" s="11"/>
      <c r="CZ146" s="11"/>
      <c r="DA146" s="11"/>
      <c r="DB146" s="11"/>
      <c r="DC146" s="11"/>
      <c r="DD146" s="11"/>
      <c r="DE146" s="11"/>
      <c r="DF146" s="11"/>
      <c r="DG146" s="11"/>
      <c r="DH146" s="11"/>
      <c r="DI146" s="11"/>
      <c r="DJ146" s="11"/>
      <c r="DK146" s="11"/>
      <c r="DL146" s="247"/>
      <c r="DM146" s="247"/>
      <c r="DN146" s="247"/>
      <c r="DO146" s="247"/>
      <c r="DP146" s="247"/>
      <c r="DQ146" s="247"/>
      <c r="DR146" s="247"/>
      <c r="DS146" s="247"/>
      <c r="DT146" s="247"/>
      <c r="DU146" s="247"/>
      <c r="DV146" s="247"/>
      <c r="DW146" s="247"/>
      <c r="DX146" s="247"/>
      <c r="DY146" s="247"/>
      <c r="DZ146" s="247"/>
      <c r="EA146" s="247"/>
      <c r="EB146" s="247"/>
      <c r="EC146" s="247"/>
      <c r="ED146" s="17">
        <f t="shared" si="36"/>
        <v>2126334.6162800002</v>
      </c>
      <c r="EE146" s="29">
        <f t="shared" si="37"/>
        <v>6</v>
      </c>
      <c r="EF146" s="17">
        <f t="shared" si="35"/>
        <v>354389.10271333338</v>
      </c>
    </row>
    <row r="147" spans="1:136" x14ac:dyDescent="0.25">
      <c r="A147" s="25">
        <f>Distribución_Elementos!A147</f>
        <v>145</v>
      </c>
      <c r="B147" s="22" t="str">
        <f>Distribución_Elementos!B147</f>
        <v>Cinta Teflon</v>
      </c>
      <c r="C147" s="22" t="str">
        <f>Distribución_Elementos!C147</f>
        <v>Cualquier marca</v>
      </c>
      <c r="D147" s="22" t="str">
        <f>Distribución_Elementos!D147</f>
        <v>Rollo</v>
      </c>
      <c r="E147" s="224">
        <v>1</v>
      </c>
      <c r="F147" s="221">
        <v>11900</v>
      </c>
      <c r="G147" s="221">
        <v>11305</v>
      </c>
      <c r="H147" s="221">
        <v>6648.1903750000001</v>
      </c>
      <c r="I147" s="221">
        <v>0</v>
      </c>
      <c r="J147" s="221">
        <v>7471.8777777777786</v>
      </c>
      <c r="K147" s="221">
        <v>5117</v>
      </c>
      <c r="L147" s="247">
        <f>AVERAGE(F147,H147,J147)</f>
        <v>8673.356050925926</v>
      </c>
      <c r="M147" s="247">
        <f>AVERAGE(G147,K147)*E1</f>
        <v>8457.33</v>
      </c>
      <c r="N147" s="227">
        <v>6500</v>
      </c>
      <c r="O147" s="119">
        <f t="shared" si="45"/>
        <v>1235</v>
      </c>
      <c r="P147" s="119">
        <f t="shared" si="46"/>
        <v>7735</v>
      </c>
      <c r="Q147" s="115"/>
      <c r="R147" s="115"/>
      <c r="S147" s="11"/>
      <c r="T147" s="247"/>
      <c r="U147" s="247"/>
      <c r="V147" s="247"/>
      <c r="W147" s="17"/>
      <c r="X147" s="11"/>
      <c r="Y147" s="11"/>
      <c r="Z147" s="247"/>
      <c r="AA147" s="247"/>
      <c r="AB147" s="247"/>
      <c r="AC147" s="47"/>
      <c r="AD147" s="22"/>
      <c r="AE147" s="17"/>
      <c r="AF147" s="247"/>
      <c r="AG147" s="247"/>
      <c r="AH147" s="153"/>
      <c r="AI147" s="4"/>
      <c r="AJ147" s="17"/>
      <c r="AK147" s="17"/>
      <c r="AL147" s="102"/>
      <c r="AM147" s="132"/>
      <c r="AN147" s="161"/>
      <c r="AO147" s="115"/>
      <c r="AP147" s="115"/>
      <c r="AQ147" s="17"/>
      <c r="AR147" s="247"/>
      <c r="AS147" s="247"/>
      <c r="AT147" s="247"/>
      <c r="AU147" s="17"/>
      <c r="AV147" s="17"/>
      <c r="AW147" s="17"/>
      <c r="AX147" s="247"/>
      <c r="AY147" s="247"/>
      <c r="AZ147" s="247"/>
      <c r="BA147" s="17"/>
      <c r="BB147" s="52"/>
      <c r="BC147" s="17"/>
      <c r="BD147" s="247"/>
      <c r="BE147" s="247"/>
      <c r="BF147" s="247"/>
      <c r="BG147" s="17"/>
      <c r="BH147" s="17"/>
      <c r="BI147" s="17"/>
      <c r="BJ147" s="252">
        <v>17500</v>
      </c>
      <c r="BK147" s="247">
        <f t="shared" si="33"/>
        <v>3325</v>
      </c>
      <c r="BL147" s="247">
        <f t="shared" si="34"/>
        <v>20825</v>
      </c>
      <c r="BM147" s="191" t="s">
        <v>1556</v>
      </c>
      <c r="BN147" s="190" t="s">
        <v>1560</v>
      </c>
      <c r="BO147" s="17"/>
      <c r="BP147" s="247">
        <v>3500</v>
      </c>
      <c r="BQ147" s="247">
        <f t="shared" si="38"/>
        <v>665</v>
      </c>
      <c r="BR147" s="247">
        <f t="shared" si="39"/>
        <v>4165</v>
      </c>
      <c r="BS147" s="17"/>
      <c r="BT147" s="17"/>
      <c r="BU147" s="17"/>
      <c r="BV147" s="195">
        <v>20835.36</v>
      </c>
      <c r="BW147" s="195">
        <f>+BV147*0.19</f>
        <v>3958.7184000000002</v>
      </c>
      <c r="BX147" s="246">
        <f>+BV147+BW147</f>
        <v>24794.078400000002</v>
      </c>
      <c r="BY147" s="191" t="s">
        <v>1556</v>
      </c>
      <c r="BZ147" s="190" t="s">
        <v>1560</v>
      </c>
      <c r="CA147" s="190"/>
      <c r="CB147" s="247"/>
      <c r="CC147" s="247"/>
      <c r="CD147" s="247"/>
      <c r="CE147" s="17"/>
      <c r="CF147" s="17"/>
      <c r="CG147" s="17"/>
      <c r="CH147" s="247"/>
      <c r="CI147" s="247"/>
      <c r="CJ147" s="247"/>
      <c r="CK147" s="17"/>
      <c r="CL147" s="17"/>
      <c r="CM147" s="17"/>
      <c r="CN147" s="17"/>
      <c r="CO147" s="17"/>
      <c r="CP147" s="11"/>
      <c r="CQ147" s="11"/>
      <c r="CR147" s="11"/>
      <c r="CS147" s="11"/>
      <c r="CT147" s="247"/>
      <c r="CU147" s="247"/>
      <c r="CV147" s="247"/>
      <c r="CW147" s="11"/>
      <c r="CX147" s="11"/>
      <c r="CY147" s="11"/>
      <c r="CZ147" s="11"/>
      <c r="DA147" s="11"/>
      <c r="DB147" s="11"/>
      <c r="DC147" s="11"/>
      <c r="DD147" s="11"/>
      <c r="DE147" s="11"/>
      <c r="DF147" s="11"/>
      <c r="DG147" s="11"/>
      <c r="DH147" s="11"/>
      <c r="DI147" s="11"/>
      <c r="DJ147" s="11"/>
      <c r="DK147" s="11"/>
      <c r="DL147" s="247"/>
      <c r="DM147" s="247"/>
      <c r="DN147" s="247"/>
      <c r="DO147" s="247"/>
      <c r="DP147" s="247"/>
      <c r="DQ147" s="247"/>
      <c r="DR147" s="247"/>
      <c r="DS147" s="247"/>
      <c r="DT147" s="247"/>
      <c r="DU147" s="247"/>
      <c r="DV147" s="247"/>
      <c r="DW147" s="247"/>
      <c r="DX147" s="247"/>
      <c r="DY147" s="247"/>
      <c r="DZ147" s="247"/>
      <c r="EA147" s="247"/>
      <c r="EB147" s="247"/>
      <c r="EC147" s="247"/>
      <c r="ED147" s="17">
        <f t="shared" si="36"/>
        <v>65976.4084</v>
      </c>
      <c r="EE147" s="29">
        <f t="shared" si="37"/>
        <v>5</v>
      </c>
      <c r="EF147" s="17">
        <f t="shared" si="35"/>
        <v>13195.28168</v>
      </c>
    </row>
    <row r="148" spans="1:136" x14ac:dyDescent="0.25">
      <c r="A148" s="25">
        <f>Distribución_Elementos!A148</f>
        <v>146</v>
      </c>
      <c r="B148" s="22" t="str">
        <f>Distribución_Elementos!B148</f>
        <v>cinta transparente 5 cm</v>
      </c>
      <c r="C148" s="22" t="str">
        <f>Distribución_Elementos!C148</f>
        <v>Cualquier marca</v>
      </c>
      <c r="D148" s="22" t="str">
        <f>Distribución_Elementos!D148</f>
        <v>Unidad x 300 yardas</v>
      </c>
      <c r="E148" s="224">
        <v>1</v>
      </c>
      <c r="F148" s="221">
        <v>0</v>
      </c>
      <c r="G148" s="221">
        <v>0</v>
      </c>
      <c r="H148" s="221">
        <v>8924.43</v>
      </c>
      <c r="I148" s="221">
        <v>0</v>
      </c>
      <c r="J148" s="221">
        <v>9383.1500000000015</v>
      </c>
      <c r="K148" s="221">
        <v>9282</v>
      </c>
      <c r="L148" s="247">
        <f>AVERAGE(H148,J148)</f>
        <v>9153.7900000000009</v>
      </c>
      <c r="M148" s="247">
        <f>K148*E1</f>
        <v>9560.4600000000009</v>
      </c>
      <c r="N148" s="227">
        <v>8000</v>
      </c>
      <c r="O148" s="119">
        <f t="shared" si="45"/>
        <v>1520</v>
      </c>
      <c r="P148" s="119">
        <f t="shared" si="46"/>
        <v>9520</v>
      </c>
      <c r="Q148" s="115"/>
      <c r="R148" s="115"/>
      <c r="S148" s="11"/>
      <c r="T148" s="247"/>
      <c r="U148" s="247"/>
      <c r="V148" s="247"/>
      <c r="W148" s="17"/>
      <c r="X148" s="11"/>
      <c r="Y148" s="11"/>
      <c r="Z148" s="247"/>
      <c r="AA148" s="247"/>
      <c r="AB148" s="247"/>
      <c r="AC148" s="47"/>
      <c r="AD148" s="22"/>
      <c r="AE148" s="17"/>
      <c r="AF148" s="247"/>
      <c r="AG148" s="247"/>
      <c r="AH148" s="153"/>
      <c r="AI148" s="4"/>
      <c r="AJ148" s="17"/>
      <c r="AK148" s="17"/>
      <c r="AL148" s="102"/>
      <c r="AM148" s="132"/>
      <c r="AN148" s="161"/>
      <c r="AO148" s="115"/>
      <c r="AP148" s="115"/>
      <c r="AQ148" s="17"/>
      <c r="AR148" s="247"/>
      <c r="AS148" s="247"/>
      <c r="AT148" s="247"/>
      <c r="AU148" s="17"/>
      <c r="AV148" s="17"/>
      <c r="AW148" s="17"/>
      <c r="AX148" s="247"/>
      <c r="AY148" s="247"/>
      <c r="AZ148" s="247"/>
      <c r="BA148" s="17"/>
      <c r="BB148" s="52"/>
      <c r="BC148" s="17"/>
      <c r="BD148" s="247"/>
      <c r="BE148" s="247"/>
      <c r="BF148" s="247"/>
      <c r="BG148" s="17"/>
      <c r="BH148" s="17"/>
      <c r="BI148" s="17"/>
      <c r="BJ148" s="247"/>
      <c r="BK148" s="247"/>
      <c r="BL148" s="247"/>
      <c r="BM148" s="190"/>
      <c r="BN148" s="190"/>
      <c r="BO148" s="17"/>
      <c r="BP148" s="247">
        <v>65000</v>
      </c>
      <c r="BQ148" s="247">
        <f t="shared" si="38"/>
        <v>12350</v>
      </c>
      <c r="BR148" s="247">
        <f t="shared" si="39"/>
        <v>77350</v>
      </c>
      <c r="BS148" s="17"/>
      <c r="BT148" s="17"/>
      <c r="BU148" s="17"/>
      <c r="BV148" s="189"/>
      <c r="BW148" s="197"/>
      <c r="BX148" s="246"/>
      <c r="BY148" s="190"/>
      <c r="BZ148" s="190"/>
      <c r="CA148" s="190"/>
      <c r="CB148" s="247"/>
      <c r="CC148" s="247"/>
      <c r="CD148" s="247"/>
      <c r="CE148" s="17"/>
      <c r="CF148" s="17"/>
      <c r="CG148" s="17"/>
      <c r="CH148" s="247"/>
      <c r="CI148" s="247"/>
      <c r="CJ148" s="247"/>
      <c r="CK148" s="17"/>
      <c r="CL148" s="17"/>
      <c r="CM148" s="17"/>
      <c r="CN148" s="17"/>
      <c r="CO148" s="17"/>
      <c r="CP148" s="11"/>
      <c r="CQ148" s="11"/>
      <c r="CR148" s="11"/>
      <c r="CS148" s="11"/>
      <c r="CT148" s="247"/>
      <c r="CU148" s="247"/>
      <c r="CV148" s="247"/>
      <c r="CW148" s="11"/>
      <c r="CX148" s="11"/>
      <c r="CY148" s="11"/>
      <c r="CZ148" s="11"/>
      <c r="DA148" s="11"/>
      <c r="DB148" s="11"/>
      <c r="DC148" s="11"/>
      <c r="DD148" s="11"/>
      <c r="DE148" s="11"/>
      <c r="DF148" s="11"/>
      <c r="DG148" s="11"/>
      <c r="DH148" s="11"/>
      <c r="DI148" s="11"/>
      <c r="DJ148" s="11"/>
      <c r="DK148" s="11"/>
      <c r="DL148" s="247"/>
      <c r="DM148" s="247"/>
      <c r="DN148" s="247"/>
      <c r="DO148" s="247"/>
      <c r="DP148" s="247"/>
      <c r="DQ148" s="247"/>
      <c r="DR148" s="247"/>
      <c r="DS148" s="247"/>
      <c r="DT148" s="247"/>
      <c r="DU148" s="247"/>
      <c r="DV148" s="247"/>
      <c r="DW148" s="247"/>
      <c r="DX148" s="247"/>
      <c r="DY148" s="247"/>
      <c r="DZ148" s="247"/>
      <c r="EA148" s="247"/>
      <c r="EB148" s="247"/>
      <c r="EC148" s="247"/>
      <c r="ED148" s="17">
        <f t="shared" si="36"/>
        <v>96430.459999999992</v>
      </c>
      <c r="EE148" s="29">
        <f t="shared" si="37"/>
        <v>3</v>
      </c>
      <c r="EF148" s="17">
        <f t="shared" si="35"/>
        <v>32143.486666666664</v>
      </c>
    </row>
    <row r="149" spans="1:136" x14ac:dyDescent="0.25">
      <c r="A149" s="25">
        <f>Distribución_Elementos!A149</f>
        <v>147</v>
      </c>
      <c r="B149" s="22" t="str">
        <f>Distribución_Elementos!B149</f>
        <v>Cinta transparente mágica 12,7 x 32,9 m</v>
      </c>
      <c r="C149" s="22" t="str">
        <f>Distribución_Elementos!C149</f>
        <v>3M 301 o equivalente</v>
      </c>
      <c r="D149" s="22" t="str">
        <f>Distribución_Elementos!D149</f>
        <v>Unidad</v>
      </c>
      <c r="E149" s="224">
        <v>1</v>
      </c>
      <c r="F149" s="221">
        <v>15410.5</v>
      </c>
      <c r="G149" s="221">
        <v>14875</v>
      </c>
      <c r="H149" s="221">
        <v>17702</v>
      </c>
      <c r="I149" s="221">
        <v>0</v>
      </c>
      <c r="J149" s="221">
        <v>29797.600000000002</v>
      </c>
      <c r="K149" s="221">
        <v>29750</v>
      </c>
      <c r="L149" s="247">
        <f>AVERAGE(F149,H149,J149)</f>
        <v>20970.033333333336</v>
      </c>
      <c r="M149" s="247">
        <f>AVERAGE(G149,K149)*E1</f>
        <v>22981.875</v>
      </c>
      <c r="N149" s="227">
        <v>20000</v>
      </c>
      <c r="O149" s="119">
        <f t="shared" si="45"/>
        <v>3800</v>
      </c>
      <c r="P149" s="119">
        <f t="shared" si="46"/>
        <v>23800</v>
      </c>
      <c r="Q149" s="115"/>
      <c r="R149" s="115"/>
      <c r="S149" s="11"/>
      <c r="T149" s="247"/>
      <c r="U149" s="247"/>
      <c r="V149" s="247"/>
      <c r="W149" s="17"/>
      <c r="X149" s="11"/>
      <c r="Y149" s="11"/>
      <c r="Z149" s="247"/>
      <c r="AA149" s="247"/>
      <c r="AB149" s="247"/>
      <c r="AC149" s="47"/>
      <c r="AD149" s="22"/>
      <c r="AE149" s="17"/>
      <c r="AF149" s="247"/>
      <c r="AG149" s="247"/>
      <c r="AH149" s="153"/>
      <c r="AI149" s="4"/>
      <c r="AJ149" s="17"/>
      <c r="AK149" s="17"/>
      <c r="AL149" s="102"/>
      <c r="AM149" s="132"/>
      <c r="AN149" s="161"/>
      <c r="AO149" s="115"/>
      <c r="AP149" s="115"/>
      <c r="AQ149" s="17"/>
      <c r="AR149" s="247"/>
      <c r="AS149" s="247"/>
      <c r="AT149" s="247"/>
      <c r="AU149" s="17"/>
      <c r="AV149" s="17"/>
      <c r="AW149" s="17"/>
      <c r="AX149" s="247"/>
      <c r="AY149" s="247"/>
      <c r="AZ149" s="247"/>
      <c r="BA149" s="17"/>
      <c r="BB149" s="52"/>
      <c r="BC149" s="17"/>
      <c r="BD149" s="247"/>
      <c r="BE149" s="247"/>
      <c r="BF149" s="247"/>
      <c r="BG149" s="17"/>
      <c r="BH149" s="17"/>
      <c r="BI149" s="17"/>
      <c r="BJ149" s="247"/>
      <c r="BK149" s="247"/>
      <c r="BL149" s="247"/>
      <c r="BM149" s="190"/>
      <c r="BN149" s="190"/>
      <c r="BO149" s="17"/>
      <c r="BP149" s="247">
        <v>38900</v>
      </c>
      <c r="BQ149" s="247">
        <f t="shared" si="38"/>
        <v>7391</v>
      </c>
      <c r="BR149" s="247">
        <f t="shared" si="39"/>
        <v>46291</v>
      </c>
      <c r="BS149" s="17"/>
      <c r="BT149" s="17"/>
      <c r="BU149" s="17"/>
      <c r="BV149" s="189"/>
      <c r="BW149" s="197"/>
      <c r="BX149" s="246"/>
      <c r="BY149" s="190"/>
      <c r="BZ149" s="190"/>
      <c r="CA149" s="190"/>
      <c r="CB149" s="252"/>
      <c r="CC149" s="252"/>
      <c r="CD149" s="252"/>
      <c r="CE149" s="17"/>
      <c r="CF149" s="17"/>
      <c r="CG149" s="17"/>
      <c r="CH149" s="247"/>
      <c r="CI149" s="247"/>
      <c r="CJ149" s="247"/>
      <c r="CK149" s="17"/>
      <c r="CL149" s="17"/>
      <c r="CM149" s="17"/>
      <c r="CN149" s="17"/>
      <c r="CO149" s="17"/>
      <c r="CP149" s="11"/>
      <c r="CQ149" s="11"/>
      <c r="CR149" s="11"/>
      <c r="CS149" s="11"/>
      <c r="CT149" s="247"/>
      <c r="CU149" s="247"/>
      <c r="CV149" s="247"/>
      <c r="CW149" s="11"/>
      <c r="CX149" s="11"/>
      <c r="CY149" s="11"/>
      <c r="CZ149" s="11"/>
      <c r="DA149" s="11"/>
      <c r="DB149" s="11"/>
      <c r="DC149" s="11"/>
      <c r="DD149" s="11"/>
      <c r="DE149" s="11"/>
      <c r="DF149" s="11"/>
      <c r="DG149" s="11"/>
      <c r="DH149" s="11"/>
      <c r="DI149" s="11"/>
      <c r="DJ149" s="11"/>
      <c r="DK149" s="11"/>
      <c r="DL149" s="247"/>
      <c r="DM149" s="247"/>
      <c r="DN149" s="247"/>
      <c r="DO149" s="247"/>
      <c r="DP149" s="247"/>
      <c r="DQ149" s="247"/>
      <c r="DR149" s="247"/>
      <c r="DS149" s="247"/>
      <c r="DT149" s="247"/>
      <c r="DU149" s="247"/>
      <c r="DV149" s="247"/>
      <c r="DW149" s="247"/>
      <c r="DX149" s="247"/>
      <c r="DY149" s="247"/>
      <c r="DZ149" s="247"/>
      <c r="EA149" s="247"/>
      <c r="EB149" s="247"/>
      <c r="EC149" s="247"/>
      <c r="ED149" s="17">
        <f t="shared" si="36"/>
        <v>93072.875</v>
      </c>
      <c r="EE149" s="29">
        <f t="shared" si="37"/>
        <v>3</v>
      </c>
      <c r="EF149" s="17">
        <f t="shared" si="35"/>
        <v>31024.291666666668</v>
      </c>
    </row>
    <row r="150" spans="1:136" ht="25.5" x14ac:dyDescent="0.25">
      <c r="A150" s="25">
        <f>Distribución_Elementos!A150</f>
        <v>148</v>
      </c>
      <c r="B150" s="22" t="str">
        <f>Distribución_Elementos!B150</f>
        <v>Coladera pequeña Coladera de malla plástica ; Descripción : Diámetro de 8-10 cm</v>
      </c>
      <c r="C150" s="22" t="str">
        <f>Distribución_Elementos!C150</f>
        <v>Cualquier marca</v>
      </c>
      <c r="D150" s="22" t="str">
        <f>Distribución_Elementos!D150</f>
        <v>Unidad</v>
      </c>
      <c r="E150" s="224">
        <v>1</v>
      </c>
      <c r="F150" s="221">
        <v>0</v>
      </c>
      <c r="G150" s="221">
        <v>0</v>
      </c>
      <c r="H150" s="221">
        <v>11305</v>
      </c>
      <c r="I150" s="221">
        <v>11186</v>
      </c>
      <c r="J150" s="221">
        <v>17515.594444444447</v>
      </c>
      <c r="K150" s="221">
        <v>16660</v>
      </c>
      <c r="L150" s="247">
        <f>AVERAGE(H150,J150)</f>
        <v>14410.297222222223</v>
      </c>
      <c r="M150" s="247">
        <f>AVERAGE(I150,K150)*E1</f>
        <v>14340.69</v>
      </c>
      <c r="N150" s="228">
        <v>15500</v>
      </c>
      <c r="O150" s="119">
        <f t="shared" si="45"/>
        <v>2945</v>
      </c>
      <c r="P150" s="119">
        <f t="shared" si="46"/>
        <v>18445</v>
      </c>
      <c r="Q150" s="115"/>
      <c r="R150" s="115"/>
      <c r="S150" s="11"/>
      <c r="T150" s="247"/>
      <c r="U150" s="247"/>
      <c r="V150" s="247"/>
      <c r="W150" s="17"/>
      <c r="X150" s="11"/>
      <c r="Y150" s="11"/>
      <c r="Z150" s="247"/>
      <c r="AA150" s="247"/>
      <c r="AB150" s="247"/>
      <c r="AC150" s="44"/>
      <c r="AD150" s="22"/>
      <c r="AE150" s="17"/>
      <c r="AF150" s="247"/>
      <c r="AG150" s="247"/>
      <c r="AH150" s="97"/>
      <c r="AI150" s="4"/>
      <c r="AJ150" s="17"/>
      <c r="AK150" s="17"/>
      <c r="AL150" s="102"/>
      <c r="AM150" s="132"/>
      <c r="AN150" s="161"/>
      <c r="AO150" s="115"/>
      <c r="AP150" s="115"/>
      <c r="AQ150" s="17"/>
      <c r="AR150" s="247">
        <v>3200</v>
      </c>
      <c r="AS150" s="247">
        <f>+AR150*0.19</f>
        <v>608</v>
      </c>
      <c r="AT150" s="247">
        <f>+AR150+AS150</f>
        <v>3808</v>
      </c>
      <c r="AU150" s="17"/>
      <c r="AV150" s="17"/>
      <c r="AW150" s="17"/>
      <c r="AX150" s="252"/>
      <c r="AY150" s="247"/>
      <c r="AZ150" s="247"/>
      <c r="BA150" s="17"/>
      <c r="BB150" s="52"/>
      <c r="BC150" s="17"/>
      <c r="BD150" s="247"/>
      <c r="BE150" s="247"/>
      <c r="BF150" s="247"/>
      <c r="BG150" s="17"/>
      <c r="BH150" s="17"/>
      <c r="BI150" s="17"/>
      <c r="BJ150" s="252">
        <v>49200</v>
      </c>
      <c r="BK150" s="247">
        <f t="shared" si="33"/>
        <v>9348</v>
      </c>
      <c r="BL150" s="247">
        <f t="shared" si="34"/>
        <v>58548</v>
      </c>
      <c r="BM150" s="191" t="s">
        <v>140</v>
      </c>
      <c r="BN150" s="190" t="s">
        <v>1561</v>
      </c>
      <c r="BO150" s="17"/>
      <c r="BP150" s="247">
        <v>6500</v>
      </c>
      <c r="BQ150" s="247">
        <f t="shared" si="38"/>
        <v>1235</v>
      </c>
      <c r="BR150" s="247">
        <f t="shared" si="39"/>
        <v>7735</v>
      </c>
      <c r="BS150" s="17"/>
      <c r="BT150" s="17"/>
      <c r="BU150" s="17"/>
      <c r="BV150" s="189">
        <v>58013.884800000007</v>
      </c>
      <c r="BW150" s="195">
        <f>+BV150*0.19</f>
        <v>11022.638112000002</v>
      </c>
      <c r="BX150" s="246">
        <f>+BV150+BW150</f>
        <v>69036.522912000015</v>
      </c>
      <c r="BY150" s="191" t="s">
        <v>140</v>
      </c>
      <c r="BZ150" s="190" t="s">
        <v>1561</v>
      </c>
      <c r="CA150" s="190"/>
      <c r="CB150" s="247"/>
      <c r="CC150" s="247"/>
      <c r="CD150" s="247"/>
      <c r="CE150" s="17"/>
      <c r="CF150" s="17"/>
      <c r="CG150" s="17"/>
      <c r="CH150" s="252"/>
      <c r="CI150" s="252"/>
      <c r="CJ150" s="252"/>
      <c r="CK150" s="17"/>
      <c r="CL150" s="17"/>
      <c r="CM150" s="17"/>
      <c r="CN150" s="17"/>
      <c r="CO150" s="17"/>
      <c r="CP150" s="11"/>
      <c r="CQ150" s="11"/>
      <c r="CR150" s="11"/>
      <c r="CS150" s="11"/>
      <c r="CT150" s="247"/>
      <c r="CU150" s="247"/>
      <c r="CV150" s="247"/>
      <c r="CW150" s="11"/>
      <c r="CX150" s="11"/>
      <c r="CY150" s="11"/>
      <c r="CZ150" s="11"/>
      <c r="DA150" s="11"/>
      <c r="DB150" s="11"/>
      <c r="DC150" s="11"/>
      <c r="DD150" s="11"/>
      <c r="DE150" s="11"/>
      <c r="DF150" s="11"/>
      <c r="DG150" s="11"/>
      <c r="DH150" s="11"/>
      <c r="DI150" s="11"/>
      <c r="DJ150" s="11"/>
      <c r="DK150" s="11"/>
      <c r="DL150" s="247"/>
      <c r="DM150" s="247"/>
      <c r="DN150" s="247"/>
      <c r="DO150" s="247"/>
      <c r="DP150" s="247"/>
      <c r="DQ150" s="247"/>
      <c r="DR150" s="247"/>
      <c r="DS150" s="247"/>
      <c r="DT150" s="247"/>
      <c r="DU150" s="247"/>
      <c r="DV150" s="247"/>
      <c r="DW150" s="247"/>
      <c r="DX150" s="247"/>
      <c r="DY150" s="247"/>
      <c r="DZ150" s="247"/>
      <c r="EA150" s="247"/>
      <c r="EB150" s="247"/>
      <c r="EC150" s="247"/>
      <c r="ED150" s="17">
        <f t="shared" si="36"/>
        <v>171913.21291200002</v>
      </c>
      <c r="EE150" s="29">
        <f t="shared" si="37"/>
        <v>6</v>
      </c>
      <c r="EF150" s="17">
        <f t="shared" si="35"/>
        <v>28652.202152000002</v>
      </c>
    </row>
    <row r="151" spans="1:136" x14ac:dyDescent="0.25">
      <c r="A151" s="25">
        <f>Distribución_Elementos!A151</f>
        <v>149</v>
      </c>
      <c r="B151" s="22" t="str">
        <f>Distribución_Elementos!B151</f>
        <v>Colador grande diámetro &gt;25 cm</v>
      </c>
      <c r="C151" s="22" t="str">
        <f>Distribución_Elementos!C151</f>
        <v>Cualquier marca</v>
      </c>
      <c r="D151" s="22" t="str">
        <f>Distribución_Elementos!D151</f>
        <v>Unidad</v>
      </c>
      <c r="E151" s="224">
        <v>1</v>
      </c>
      <c r="F151" s="221">
        <v>0</v>
      </c>
      <c r="G151" s="221">
        <v>0</v>
      </c>
      <c r="H151" s="221">
        <v>19040</v>
      </c>
      <c r="I151" s="221">
        <v>0</v>
      </c>
      <c r="J151" s="221">
        <v>24371.200000000001</v>
      </c>
      <c r="K151" s="221">
        <v>0</v>
      </c>
      <c r="L151" s="247">
        <f>AVERAGE(H151,J151)</f>
        <v>21705.599999999999</v>
      </c>
      <c r="M151" s="247"/>
      <c r="N151" s="227">
        <v>25000</v>
      </c>
      <c r="O151" s="119">
        <f t="shared" si="45"/>
        <v>4750</v>
      </c>
      <c r="P151" s="119">
        <f t="shared" si="46"/>
        <v>29750</v>
      </c>
      <c r="Q151" s="11"/>
      <c r="R151" s="11"/>
      <c r="S151" s="11"/>
      <c r="T151" s="247"/>
      <c r="U151" s="247"/>
      <c r="V151" s="247"/>
      <c r="W151" s="11"/>
      <c r="X151" s="11"/>
      <c r="Y151" s="11"/>
      <c r="Z151" s="247"/>
      <c r="AA151" s="247"/>
      <c r="AB151" s="247"/>
      <c r="AC151" s="11"/>
      <c r="AD151" s="11"/>
      <c r="AE151" s="11"/>
      <c r="AF151" s="247"/>
      <c r="AG151" s="247"/>
      <c r="AH151" s="247"/>
      <c r="AI151" s="11"/>
      <c r="AJ151" s="11"/>
      <c r="AK151" s="11"/>
      <c r="AL151" s="102"/>
      <c r="AM151" s="102"/>
      <c r="AN151" s="102"/>
      <c r="AO151" s="44"/>
      <c r="AP151" s="44"/>
      <c r="AQ151" s="11"/>
      <c r="AR151" s="247">
        <v>10000</v>
      </c>
      <c r="AS151" s="247">
        <f>+AR151*0.19</f>
        <v>1900</v>
      </c>
      <c r="AT151" s="247">
        <f>+AR151+AS151</f>
        <v>11900</v>
      </c>
      <c r="AU151" s="11"/>
      <c r="AV151" s="11"/>
      <c r="AW151" s="11"/>
      <c r="AX151" s="247"/>
      <c r="AY151" s="247"/>
      <c r="AZ151" s="247"/>
      <c r="BA151" s="11"/>
      <c r="BB151" s="11"/>
      <c r="BC151" s="11"/>
      <c r="BD151" s="247"/>
      <c r="BE151" s="247"/>
      <c r="BF151" s="247"/>
      <c r="BG151" s="11"/>
      <c r="BH151" s="11"/>
      <c r="BI151" s="11"/>
      <c r="BJ151" s="247"/>
      <c r="BK151" s="247"/>
      <c r="BL151" s="247"/>
      <c r="BM151" s="190"/>
      <c r="BN151" s="190"/>
      <c r="BO151" s="11"/>
      <c r="BP151" s="247">
        <v>8500</v>
      </c>
      <c r="BQ151" s="247">
        <f t="shared" si="38"/>
        <v>1615</v>
      </c>
      <c r="BR151" s="247">
        <f t="shared" si="39"/>
        <v>10115</v>
      </c>
      <c r="BS151" s="17"/>
      <c r="BT151" s="17"/>
      <c r="BU151" s="40"/>
      <c r="BV151" s="189"/>
      <c r="BW151" s="197"/>
      <c r="BX151" s="246"/>
      <c r="BY151" s="190"/>
      <c r="BZ151" s="190"/>
      <c r="CA151" s="190"/>
      <c r="CB151" s="247"/>
      <c r="CC151" s="247"/>
      <c r="CD151" s="247"/>
      <c r="CE151" s="11"/>
      <c r="CF151" s="11"/>
      <c r="CG151" s="11"/>
      <c r="CH151" s="247"/>
      <c r="CI151" s="247"/>
      <c r="CJ151" s="247"/>
      <c r="CK151" s="11"/>
      <c r="CL151" s="11"/>
      <c r="CM151" s="11"/>
      <c r="CN151" s="11"/>
      <c r="CO151" s="11"/>
      <c r="CP151" s="11"/>
      <c r="CQ151" s="11"/>
      <c r="CR151" s="11"/>
      <c r="CS151" s="11"/>
      <c r="CT151" s="247"/>
      <c r="CU151" s="247"/>
      <c r="CV151" s="247"/>
      <c r="CW151" s="11"/>
      <c r="CX151" s="11"/>
      <c r="CY151" s="11"/>
      <c r="CZ151" s="11"/>
      <c r="DA151" s="11"/>
      <c r="DB151" s="11"/>
      <c r="DC151" s="11"/>
      <c r="DD151" s="11"/>
      <c r="DE151" s="11"/>
      <c r="DF151" s="11"/>
      <c r="DG151" s="11"/>
      <c r="DH151" s="11"/>
      <c r="DI151" s="11"/>
      <c r="DJ151" s="11"/>
      <c r="DK151" s="11"/>
      <c r="DL151" s="247"/>
      <c r="DM151" s="247"/>
      <c r="DN151" s="247"/>
      <c r="DO151" s="247"/>
      <c r="DP151" s="247"/>
      <c r="DQ151" s="247"/>
      <c r="DR151" s="247"/>
      <c r="DS151" s="247"/>
      <c r="DT151" s="247"/>
      <c r="DU151" s="247"/>
      <c r="DV151" s="247"/>
      <c r="DW151" s="247"/>
      <c r="DX151" s="247"/>
      <c r="DY151" s="247"/>
      <c r="DZ151" s="247"/>
      <c r="EA151" s="247"/>
      <c r="EB151" s="247"/>
      <c r="EC151" s="247"/>
      <c r="ED151" s="17">
        <f t="shared" si="36"/>
        <v>51765</v>
      </c>
      <c r="EE151" s="29">
        <f t="shared" si="37"/>
        <v>3</v>
      </c>
      <c r="EF151" s="17">
        <f t="shared" si="35"/>
        <v>17255</v>
      </c>
    </row>
    <row r="152" spans="1:136" x14ac:dyDescent="0.25">
      <c r="A152" s="25">
        <f>Distribución_Elementos!A152</f>
        <v>150</v>
      </c>
      <c r="B152" s="22" t="str">
        <f>Distribución_Elementos!B152</f>
        <v>Colador plástico mediano diámetro aproximado 15 cm</v>
      </c>
      <c r="C152" s="22" t="str">
        <f>Distribución_Elementos!C152</f>
        <v>Cualquier marca</v>
      </c>
      <c r="D152" s="22" t="str">
        <f>Distribución_Elementos!D152</f>
        <v>Unidad</v>
      </c>
      <c r="E152" s="224">
        <v>1</v>
      </c>
      <c r="F152" s="221">
        <v>0</v>
      </c>
      <c r="G152" s="221">
        <v>0</v>
      </c>
      <c r="H152" s="221">
        <v>16065</v>
      </c>
      <c r="I152" s="221">
        <v>0</v>
      </c>
      <c r="J152" s="221">
        <v>21211.75</v>
      </c>
      <c r="K152" s="221">
        <v>0</v>
      </c>
      <c r="L152" s="247">
        <f>AVERAGE(H152,J152)</f>
        <v>18638.375</v>
      </c>
      <c r="M152" s="247"/>
      <c r="N152" s="227">
        <v>20000</v>
      </c>
      <c r="O152" s="119">
        <f t="shared" si="45"/>
        <v>3800</v>
      </c>
      <c r="P152" s="119">
        <f t="shared" si="46"/>
        <v>23800</v>
      </c>
      <c r="Q152" s="115"/>
      <c r="R152" s="115"/>
      <c r="S152" s="11"/>
      <c r="T152" s="247"/>
      <c r="U152" s="247"/>
      <c r="V152" s="247"/>
      <c r="W152" s="17"/>
      <c r="X152" s="11"/>
      <c r="Y152" s="11"/>
      <c r="Z152" s="247"/>
      <c r="AA152" s="247"/>
      <c r="AB152" s="247"/>
      <c r="AC152" s="4"/>
      <c r="AD152" s="22"/>
      <c r="AE152" s="17"/>
      <c r="AF152" s="247"/>
      <c r="AG152" s="247"/>
      <c r="AH152" s="105"/>
      <c r="AI152" s="4"/>
      <c r="AJ152" s="17"/>
      <c r="AK152" s="17"/>
      <c r="AL152" s="102"/>
      <c r="AM152" s="132"/>
      <c r="AN152" s="161"/>
      <c r="AO152" s="115"/>
      <c r="AP152" s="115"/>
      <c r="AQ152" s="17"/>
      <c r="AR152" s="247">
        <v>3000</v>
      </c>
      <c r="AS152" s="247">
        <f>+AR152*0.19</f>
        <v>570</v>
      </c>
      <c r="AT152" s="247">
        <f>+AR152+AS152</f>
        <v>3570</v>
      </c>
      <c r="AU152" s="17"/>
      <c r="AV152" s="17"/>
      <c r="AW152" s="17"/>
      <c r="AX152" s="247"/>
      <c r="AY152" s="247"/>
      <c r="AZ152" s="247"/>
      <c r="BA152" s="17"/>
      <c r="BB152" s="52"/>
      <c r="BC152" s="17"/>
      <c r="BD152" s="247"/>
      <c r="BE152" s="247"/>
      <c r="BF152" s="247"/>
      <c r="BG152" s="17"/>
      <c r="BH152" s="17"/>
      <c r="BI152" s="17"/>
      <c r="BJ152" s="247"/>
      <c r="BK152" s="247"/>
      <c r="BL152" s="247"/>
      <c r="BM152" s="190"/>
      <c r="BN152" s="190"/>
      <c r="BO152" s="17"/>
      <c r="BP152" s="247">
        <v>12500</v>
      </c>
      <c r="BQ152" s="247">
        <f t="shared" si="38"/>
        <v>2375</v>
      </c>
      <c r="BR152" s="247">
        <f t="shared" si="39"/>
        <v>14875</v>
      </c>
      <c r="BS152" s="17"/>
      <c r="BT152" s="17"/>
      <c r="BU152" s="17"/>
      <c r="BV152" s="189"/>
      <c r="BW152" s="197"/>
      <c r="BX152" s="246"/>
      <c r="BY152" s="190"/>
      <c r="BZ152" s="190"/>
      <c r="CA152" s="190"/>
      <c r="CB152" s="247"/>
      <c r="CC152" s="247"/>
      <c r="CD152" s="247"/>
      <c r="CE152" s="17"/>
      <c r="CF152" s="17"/>
      <c r="CG152" s="17"/>
      <c r="CH152" s="247"/>
      <c r="CI152" s="247"/>
      <c r="CJ152" s="247"/>
      <c r="CK152" s="17"/>
      <c r="CL152" s="17"/>
      <c r="CM152" s="17"/>
      <c r="CN152" s="17"/>
      <c r="CO152" s="17"/>
      <c r="CP152" s="11"/>
      <c r="CQ152" s="11"/>
      <c r="CR152" s="11"/>
      <c r="CS152" s="11"/>
      <c r="CT152" s="247"/>
      <c r="CU152" s="247"/>
      <c r="CV152" s="247"/>
      <c r="CW152" s="11"/>
      <c r="CX152" s="11"/>
      <c r="CY152" s="11"/>
      <c r="CZ152" s="11"/>
      <c r="DA152" s="11"/>
      <c r="DB152" s="11"/>
      <c r="DC152" s="11"/>
      <c r="DD152" s="11"/>
      <c r="DE152" s="11"/>
      <c r="DF152" s="11"/>
      <c r="DG152" s="11"/>
      <c r="DH152" s="11"/>
      <c r="DI152" s="11"/>
      <c r="DJ152" s="11"/>
      <c r="DK152" s="11"/>
      <c r="DL152" s="247"/>
      <c r="DM152" s="247"/>
      <c r="DN152" s="247"/>
      <c r="DO152" s="247"/>
      <c r="DP152" s="247"/>
      <c r="DQ152" s="247"/>
      <c r="DR152" s="247"/>
      <c r="DS152" s="247"/>
      <c r="DT152" s="247"/>
      <c r="DU152" s="247"/>
      <c r="DV152" s="247"/>
      <c r="DW152" s="247"/>
      <c r="DX152" s="247"/>
      <c r="DY152" s="247"/>
      <c r="DZ152" s="247"/>
      <c r="EA152" s="247"/>
      <c r="EB152" s="247"/>
      <c r="EC152" s="247"/>
      <c r="ED152" s="17">
        <f t="shared" si="36"/>
        <v>42245</v>
      </c>
      <c r="EE152" s="29">
        <f t="shared" si="37"/>
        <v>3</v>
      </c>
      <c r="EF152" s="17">
        <f t="shared" si="35"/>
        <v>14081.666666666666</v>
      </c>
    </row>
    <row r="153" spans="1:136" x14ac:dyDescent="0.25">
      <c r="A153" s="25">
        <f>Distribución_Elementos!A153</f>
        <v>151</v>
      </c>
      <c r="B153" s="22" t="str">
        <f>Distribución_Elementos!B153</f>
        <v>Columna SAX (100 mm x 4,6 x 5 µ)</v>
      </c>
      <c r="C153" s="22" t="str">
        <f>Distribución_Elementos!C153</f>
        <v>cualquier marca</v>
      </c>
      <c r="D153" s="22" t="str">
        <f>Distribución_Elementos!D153</f>
        <v>Unidad</v>
      </c>
      <c r="E153" s="224">
        <v>1</v>
      </c>
      <c r="F153" s="221">
        <v>0</v>
      </c>
      <c r="G153" s="221">
        <v>0</v>
      </c>
      <c r="H153" s="221">
        <v>0</v>
      </c>
      <c r="I153" s="221">
        <v>0</v>
      </c>
      <c r="J153" s="221">
        <v>2265132.87</v>
      </c>
      <c r="K153" s="221">
        <v>0</v>
      </c>
      <c r="L153" s="247">
        <f t="shared" ref="L153:L159" si="47">J153</f>
        <v>2265132.87</v>
      </c>
      <c r="M153" s="247"/>
      <c r="N153" s="227"/>
      <c r="O153" s="119"/>
      <c r="P153" s="119"/>
      <c r="Q153" s="11"/>
      <c r="R153" s="11"/>
      <c r="S153" s="11"/>
      <c r="T153" s="247"/>
      <c r="U153" s="247"/>
      <c r="V153" s="247"/>
      <c r="W153" s="11"/>
      <c r="X153" s="11"/>
      <c r="Y153" s="11"/>
      <c r="Z153" s="247"/>
      <c r="AA153" s="247"/>
      <c r="AB153" s="247"/>
      <c r="AC153" s="11"/>
      <c r="AD153" s="11"/>
      <c r="AE153" s="11"/>
      <c r="AF153" s="247"/>
      <c r="AG153" s="247"/>
      <c r="AH153" s="247"/>
      <c r="AI153" s="11"/>
      <c r="AJ153" s="11"/>
      <c r="AK153" s="11"/>
      <c r="AL153" s="102"/>
      <c r="AM153" s="102"/>
      <c r="AN153" s="102"/>
      <c r="AO153" s="44"/>
      <c r="AP153" s="44"/>
      <c r="AQ153" s="11"/>
      <c r="AR153" s="247"/>
      <c r="AS153" s="247"/>
      <c r="AT153" s="247"/>
      <c r="AU153" s="11"/>
      <c r="AV153" s="11"/>
      <c r="AW153" s="11"/>
      <c r="AX153" s="247"/>
      <c r="AY153" s="247"/>
      <c r="AZ153" s="247"/>
      <c r="BA153" s="11"/>
      <c r="BB153" s="11"/>
      <c r="BC153" s="11"/>
      <c r="BD153" s="247"/>
      <c r="BE153" s="247"/>
      <c r="BF153" s="247"/>
      <c r="BG153" s="11"/>
      <c r="BH153" s="11"/>
      <c r="BI153" s="11"/>
      <c r="BJ153" s="247"/>
      <c r="BK153" s="247"/>
      <c r="BL153" s="247"/>
      <c r="BM153" s="190"/>
      <c r="BN153" s="190"/>
      <c r="BO153" s="11"/>
      <c r="BP153" s="247"/>
      <c r="BQ153" s="247"/>
      <c r="BR153" s="247"/>
      <c r="BS153" s="17"/>
      <c r="BT153" s="17"/>
      <c r="BU153" s="40"/>
      <c r="BV153" s="189"/>
      <c r="BW153" s="197"/>
      <c r="BX153" s="246"/>
      <c r="BY153" s="190"/>
      <c r="BZ153" s="190"/>
      <c r="CA153" s="190"/>
      <c r="CB153" s="247">
        <v>2047006</v>
      </c>
      <c r="CC153" s="247">
        <f>+CB153*0.19</f>
        <v>388931.14</v>
      </c>
      <c r="CD153" s="247">
        <f>+CB153+CC153</f>
        <v>2435937.14</v>
      </c>
      <c r="CE153" s="11"/>
      <c r="CF153" s="11"/>
      <c r="CG153" s="11"/>
      <c r="CH153" s="247">
        <v>6012000</v>
      </c>
      <c r="CI153" s="247">
        <f>CH153*19%</f>
        <v>1142280</v>
      </c>
      <c r="CJ153" s="247">
        <f>CH153+CI153</f>
        <v>7154280</v>
      </c>
      <c r="CK153" s="11"/>
      <c r="CL153" s="11"/>
      <c r="CM153" s="11"/>
      <c r="CN153" s="11"/>
      <c r="CO153" s="11"/>
      <c r="CP153" s="11"/>
      <c r="CQ153" s="11"/>
      <c r="CR153" s="11"/>
      <c r="CS153" s="11"/>
      <c r="CT153" s="247"/>
      <c r="CU153" s="247"/>
      <c r="CV153" s="247"/>
      <c r="CW153" s="11"/>
      <c r="CX153" s="11"/>
      <c r="CY153" s="11"/>
      <c r="CZ153" s="11"/>
      <c r="DA153" s="11"/>
      <c r="DB153" s="11"/>
      <c r="DC153" s="11"/>
      <c r="DD153" s="11"/>
      <c r="DE153" s="11"/>
      <c r="DF153" s="11"/>
      <c r="DG153" s="11"/>
      <c r="DH153" s="11"/>
      <c r="DI153" s="11"/>
      <c r="DJ153" s="11"/>
      <c r="DK153" s="11"/>
      <c r="DL153" s="247"/>
      <c r="DM153" s="247"/>
      <c r="DN153" s="247"/>
      <c r="DO153" s="247"/>
      <c r="DP153" s="247"/>
      <c r="DQ153" s="247"/>
      <c r="DR153" s="247"/>
      <c r="DS153" s="247"/>
      <c r="DT153" s="247"/>
      <c r="DU153" s="247"/>
      <c r="DV153" s="247"/>
      <c r="DW153" s="247"/>
      <c r="DX153" s="247"/>
      <c r="DY153" s="247"/>
      <c r="DZ153" s="247"/>
      <c r="EA153" s="247"/>
      <c r="EB153" s="247"/>
      <c r="EC153" s="247"/>
      <c r="ED153" s="17">
        <f t="shared" si="36"/>
        <v>9590217.1400000006</v>
      </c>
      <c r="EE153" s="29">
        <f t="shared" si="37"/>
        <v>2</v>
      </c>
      <c r="EF153" s="17">
        <f t="shared" si="35"/>
        <v>4795108.57</v>
      </c>
    </row>
    <row r="154" spans="1:136" ht="25.5" x14ac:dyDescent="0.25">
      <c r="A154" s="25">
        <f>Distribución_Elementos!A154</f>
        <v>152</v>
      </c>
      <c r="B154" s="22" t="str">
        <f>Distribución_Elementos!B154</f>
        <v xml:space="preserve">Columna SPE Lichrolut RP 18 (40-63 um) 500 mg, 6ml standard PP-tubes. Merck 2023 </v>
      </c>
      <c r="C154" s="22" t="str">
        <f>Distribución_Elementos!C154</f>
        <v xml:space="preserve">Merck  REF: Referencia A1.19687.0001 </v>
      </c>
      <c r="D154" s="22" t="str">
        <f>Distribución_Elementos!D154</f>
        <v>Caja x 30 Unidades</v>
      </c>
      <c r="E154" s="224">
        <v>1</v>
      </c>
      <c r="F154" s="221">
        <v>0</v>
      </c>
      <c r="G154" s="221">
        <v>0</v>
      </c>
      <c r="H154" s="221">
        <v>0</v>
      </c>
      <c r="I154" s="221">
        <v>0</v>
      </c>
      <c r="J154" s="221">
        <v>2280040</v>
      </c>
      <c r="K154" s="221">
        <v>2280040</v>
      </c>
      <c r="L154" s="247">
        <f t="shared" si="47"/>
        <v>2280040</v>
      </c>
      <c r="M154" s="247">
        <f>K154*E1</f>
        <v>2348441.2000000002</v>
      </c>
      <c r="N154" s="227"/>
      <c r="O154" s="119"/>
      <c r="P154" s="119"/>
      <c r="Q154" s="11"/>
      <c r="R154" s="11"/>
      <c r="S154" s="11"/>
      <c r="T154" s="247"/>
      <c r="U154" s="247"/>
      <c r="V154" s="247"/>
      <c r="W154" s="11"/>
      <c r="X154" s="11"/>
      <c r="Y154" s="11"/>
      <c r="Z154" s="247"/>
      <c r="AA154" s="247"/>
      <c r="AB154" s="247"/>
      <c r="AC154" s="11"/>
      <c r="AD154" s="11"/>
      <c r="AE154" s="11"/>
      <c r="AF154" s="247"/>
      <c r="AG154" s="247"/>
      <c r="AH154" s="247"/>
      <c r="AI154" s="11"/>
      <c r="AJ154" s="11"/>
      <c r="AK154" s="11"/>
      <c r="AL154" s="102"/>
      <c r="AM154" s="102"/>
      <c r="AN154" s="102"/>
      <c r="AO154" s="44"/>
      <c r="AP154" s="44"/>
      <c r="AQ154" s="11"/>
      <c r="AR154" s="247"/>
      <c r="AS154" s="247"/>
      <c r="AT154" s="247"/>
      <c r="AU154" s="11"/>
      <c r="AV154" s="11"/>
      <c r="AW154" s="11"/>
      <c r="AX154" s="247"/>
      <c r="AY154" s="247"/>
      <c r="AZ154" s="247"/>
      <c r="BA154" s="11"/>
      <c r="BB154" s="11"/>
      <c r="BC154" s="11"/>
      <c r="BD154" s="247"/>
      <c r="BE154" s="247"/>
      <c r="BF154" s="247"/>
      <c r="BG154" s="11"/>
      <c r="BH154" s="11"/>
      <c r="BI154" s="11"/>
      <c r="BJ154" s="247"/>
      <c r="BK154" s="247"/>
      <c r="BL154" s="247"/>
      <c r="BM154" s="190"/>
      <c r="BN154" s="190"/>
      <c r="BO154" s="11"/>
      <c r="BP154" s="247"/>
      <c r="BQ154" s="247"/>
      <c r="BR154" s="247"/>
      <c r="BS154" s="17"/>
      <c r="BT154" s="17"/>
      <c r="BU154" s="40"/>
      <c r="BV154" s="189"/>
      <c r="BW154" s="197"/>
      <c r="BX154" s="246"/>
      <c r="BY154" s="190"/>
      <c r="BZ154" s="190"/>
      <c r="CA154" s="190"/>
      <c r="CB154" s="247">
        <v>1019350</v>
      </c>
      <c r="CC154" s="247">
        <f>+CB154*0.19</f>
        <v>193676.5</v>
      </c>
      <c r="CD154" s="247">
        <f>+CB154+CC154</f>
        <v>1213026.5</v>
      </c>
      <c r="CE154" s="11"/>
      <c r="CF154" s="11"/>
      <c r="CG154" s="11"/>
      <c r="CH154" s="247">
        <v>714000</v>
      </c>
      <c r="CI154" s="247">
        <f>CH154*19%</f>
        <v>135660</v>
      </c>
      <c r="CJ154" s="247">
        <f>CH154+CI154</f>
        <v>849660</v>
      </c>
      <c r="CK154" s="11"/>
      <c r="CL154" s="11"/>
      <c r="CM154" s="11"/>
      <c r="CN154" s="11"/>
      <c r="CO154" s="11"/>
      <c r="CP154" s="11"/>
      <c r="CQ154" s="11"/>
      <c r="CR154" s="11"/>
      <c r="CS154" s="11"/>
      <c r="CT154" s="247"/>
      <c r="CU154" s="247"/>
      <c r="CV154" s="247"/>
      <c r="CW154" s="11"/>
      <c r="CX154" s="11"/>
      <c r="CY154" s="11"/>
      <c r="CZ154" s="11"/>
      <c r="DA154" s="11"/>
      <c r="DB154" s="11"/>
      <c r="DC154" s="11"/>
      <c r="DD154" s="11"/>
      <c r="DE154" s="11"/>
      <c r="DF154" s="11"/>
      <c r="DG154" s="11"/>
      <c r="DH154" s="11"/>
      <c r="DI154" s="11"/>
      <c r="DJ154" s="11"/>
      <c r="DK154" s="11"/>
      <c r="DL154" s="247"/>
      <c r="DM154" s="247"/>
      <c r="DN154" s="247"/>
      <c r="DO154" s="247"/>
      <c r="DP154" s="247"/>
      <c r="DQ154" s="247"/>
      <c r="DR154" s="247"/>
      <c r="DS154" s="247"/>
      <c r="DT154" s="247"/>
      <c r="DU154" s="247"/>
      <c r="DV154" s="247"/>
      <c r="DW154" s="247"/>
      <c r="DX154" s="247"/>
      <c r="DY154" s="247"/>
      <c r="DZ154" s="247"/>
      <c r="EA154" s="247"/>
      <c r="EB154" s="247"/>
      <c r="EC154" s="247"/>
      <c r="ED154" s="17">
        <f t="shared" si="36"/>
        <v>4411127.7</v>
      </c>
      <c r="EE154" s="29">
        <f t="shared" si="37"/>
        <v>3</v>
      </c>
      <c r="EF154" s="17">
        <f t="shared" si="35"/>
        <v>1470375.9000000001</v>
      </c>
    </row>
    <row r="155" spans="1:136" ht="25.5" x14ac:dyDescent="0.25">
      <c r="A155" s="25">
        <f>Distribución_Elementos!A155</f>
        <v>153</v>
      </c>
      <c r="B155" s="22" t="str">
        <f>Distribución_Elementos!B155</f>
        <v>Columnas C18  para extracción en fase sólida,  adsorbente octadecyl, 100 mg end capped sorbent. De capacidad de 1 ml.</v>
      </c>
      <c r="C155" s="22" t="str">
        <f>Distribución_Elementos!C155</f>
        <v>RIDA C18 REF R002  o equivalente</v>
      </c>
      <c r="D155" s="22" t="str">
        <f>Distribución_Elementos!D155</f>
        <v>Caja x 100</v>
      </c>
      <c r="E155" s="224">
        <v>1</v>
      </c>
      <c r="F155" s="221">
        <v>0</v>
      </c>
      <c r="G155" s="221">
        <v>0</v>
      </c>
      <c r="H155" s="221">
        <v>0</v>
      </c>
      <c r="I155" s="221">
        <v>0</v>
      </c>
      <c r="J155" s="221">
        <v>2776218.0366666666</v>
      </c>
      <c r="K155" s="221">
        <v>2737000</v>
      </c>
      <c r="L155" s="247">
        <f t="shared" si="47"/>
        <v>2776218.0366666666</v>
      </c>
      <c r="M155" s="247">
        <f>K155*E1</f>
        <v>2819110</v>
      </c>
      <c r="N155" s="227"/>
      <c r="O155" s="119"/>
      <c r="P155" s="119"/>
      <c r="Q155" s="115"/>
      <c r="R155" s="115"/>
      <c r="S155" s="11"/>
      <c r="T155" s="247"/>
      <c r="U155" s="247"/>
      <c r="V155" s="247"/>
      <c r="W155" s="17"/>
      <c r="X155" s="11"/>
      <c r="Y155" s="11"/>
      <c r="Z155" s="247"/>
      <c r="AA155" s="247"/>
      <c r="AB155" s="247"/>
      <c r="AC155" s="44"/>
      <c r="AD155" s="22"/>
      <c r="AE155" s="17"/>
      <c r="AF155" s="247"/>
      <c r="AG155" s="247"/>
      <c r="AH155" s="151"/>
      <c r="AI155" s="4"/>
      <c r="AJ155" s="17"/>
      <c r="AK155" s="17"/>
      <c r="AL155" s="102"/>
      <c r="AM155" s="132"/>
      <c r="AN155" s="161"/>
      <c r="AO155" s="115"/>
      <c r="AP155" s="115"/>
      <c r="AQ155" s="17"/>
      <c r="AR155" s="247"/>
      <c r="AS155" s="247"/>
      <c r="AT155" s="247"/>
      <c r="AU155" s="17"/>
      <c r="AV155" s="17"/>
      <c r="AW155" s="17"/>
      <c r="AX155" s="247"/>
      <c r="AY155" s="247"/>
      <c r="AZ155" s="247"/>
      <c r="BA155" s="17"/>
      <c r="BB155" s="52"/>
      <c r="BC155" s="17"/>
      <c r="BD155" s="247"/>
      <c r="BE155" s="247"/>
      <c r="BF155" s="247"/>
      <c r="BG155" s="17"/>
      <c r="BH155" s="17"/>
      <c r="BI155" s="17"/>
      <c r="BJ155" s="247"/>
      <c r="BK155" s="247"/>
      <c r="BL155" s="247"/>
      <c r="BM155" s="190"/>
      <c r="BN155" s="190"/>
      <c r="BO155" s="17"/>
      <c r="BP155" s="247"/>
      <c r="BQ155" s="247"/>
      <c r="BR155" s="247"/>
      <c r="BS155" s="17"/>
      <c r="BT155" s="17"/>
      <c r="BU155" s="17"/>
      <c r="BV155" s="189"/>
      <c r="BW155" s="197"/>
      <c r="BX155" s="246"/>
      <c r="BY155" s="190"/>
      <c r="BZ155" s="190"/>
      <c r="CA155" s="190"/>
      <c r="CB155" s="247">
        <v>999588</v>
      </c>
      <c r="CC155" s="247">
        <f>+CB155*0.19</f>
        <v>189921.72</v>
      </c>
      <c r="CD155" s="247">
        <f>+CB155+CC155</f>
        <v>1189509.72</v>
      </c>
      <c r="CE155" s="17"/>
      <c r="CF155" s="17"/>
      <c r="CG155" s="17"/>
      <c r="CH155" s="247">
        <v>967000</v>
      </c>
      <c r="CI155" s="247">
        <f>CH155*19%</f>
        <v>183730</v>
      </c>
      <c r="CJ155" s="247">
        <f>CH155+CI155</f>
        <v>1150730</v>
      </c>
      <c r="CK155" s="17"/>
      <c r="CL155" s="17"/>
      <c r="CM155" s="17"/>
      <c r="CN155" s="17"/>
      <c r="CO155" s="17"/>
      <c r="CP155" s="11"/>
      <c r="CQ155" s="11"/>
      <c r="CR155" s="11"/>
      <c r="CS155" s="11"/>
      <c r="CT155" s="247"/>
      <c r="CU155" s="247"/>
      <c r="CV155" s="247"/>
      <c r="CW155" s="11"/>
      <c r="CX155" s="11"/>
      <c r="CY155" s="11"/>
      <c r="CZ155" s="11"/>
      <c r="DA155" s="11"/>
      <c r="DB155" s="11"/>
      <c r="DC155" s="11"/>
      <c r="DD155" s="11"/>
      <c r="DE155" s="11"/>
      <c r="DF155" s="11"/>
      <c r="DG155" s="11"/>
      <c r="DH155" s="11"/>
      <c r="DI155" s="11"/>
      <c r="DJ155" s="11"/>
      <c r="DK155" s="11"/>
      <c r="DL155" s="247"/>
      <c r="DM155" s="247"/>
      <c r="DN155" s="247"/>
      <c r="DO155" s="247"/>
      <c r="DP155" s="247"/>
      <c r="DQ155" s="247"/>
      <c r="DR155" s="247"/>
      <c r="DS155" s="247"/>
      <c r="DT155" s="247"/>
      <c r="DU155" s="247"/>
      <c r="DV155" s="247"/>
      <c r="DW155" s="247"/>
      <c r="DX155" s="247"/>
      <c r="DY155" s="247"/>
      <c r="DZ155" s="247"/>
      <c r="EA155" s="247"/>
      <c r="EB155" s="247"/>
      <c r="EC155" s="247"/>
      <c r="ED155" s="17">
        <f t="shared" si="36"/>
        <v>5159349.72</v>
      </c>
      <c r="EE155" s="29">
        <f t="shared" si="37"/>
        <v>3</v>
      </c>
      <c r="EF155" s="17">
        <f t="shared" si="35"/>
        <v>1719783.24</v>
      </c>
    </row>
    <row r="156" spans="1:136" x14ac:dyDescent="0.25">
      <c r="A156" s="25">
        <f>Distribución_Elementos!A156</f>
        <v>154</v>
      </c>
      <c r="B156" s="22" t="str">
        <f>Distribución_Elementos!B156</f>
        <v>Columnas C8 (150 mm x 4,6 x 5 µ)</v>
      </c>
      <c r="C156" s="22" t="str">
        <f>Distribución_Elementos!C156</f>
        <v>Cualquier marca</v>
      </c>
      <c r="D156" s="22" t="str">
        <f>Distribución_Elementos!D156</f>
        <v>Unidad</v>
      </c>
      <c r="E156" s="224">
        <v>1</v>
      </c>
      <c r="F156" s="221">
        <v>0</v>
      </c>
      <c r="G156" s="221">
        <v>0</v>
      </c>
      <c r="H156" s="221">
        <v>0</v>
      </c>
      <c r="I156" s="221">
        <v>0</v>
      </c>
      <c r="J156" s="221">
        <v>2581040.98</v>
      </c>
      <c r="K156" s="221">
        <v>0</v>
      </c>
      <c r="L156" s="247">
        <f t="shared" si="47"/>
        <v>2581040.98</v>
      </c>
      <c r="M156" s="247"/>
      <c r="N156" s="227"/>
      <c r="O156" s="119"/>
      <c r="P156" s="119"/>
      <c r="Q156" s="115"/>
      <c r="R156" s="115"/>
      <c r="S156" s="11"/>
      <c r="T156" s="247"/>
      <c r="U156" s="247"/>
      <c r="V156" s="247"/>
      <c r="W156" s="17"/>
      <c r="X156" s="11"/>
      <c r="Y156" s="11"/>
      <c r="Z156" s="247"/>
      <c r="AA156" s="247"/>
      <c r="AB156" s="247"/>
      <c r="AC156" s="44"/>
      <c r="AD156" s="22"/>
      <c r="AE156" s="17"/>
      <c r="AF156" s="247"/>
      <c r="AG156" s="247"/>
      <c r="AH156" s="151"/>
      <c r="AI156" s="22"/>
      <c r="AJ156" s="17"/>
      <c r="AK156" s="17"/>
      <c r="AL156" s="102"/>
      <c r="AM156" s="132"/>
      <c r="AN156" s="161"/>
      <c r="AO156" s="115"/>
      <c r="AP156" s="115"/>
      <c r="AQ156" s="17"/>
      <c r="AR156" s="247"/>
      <c r="AS156" s="247"/>
      <c r="AT156" s="247"/>
      <c r="AU156" s="17"/>
      <c r="AV156" s="17"/>
      <c r="AW156" s="17"/>
      <c r="AX156" s="247"/>
      <c r="AY156" s="247"/>
      <c r="AZ156" s="247"/>
      <c r="BA156" s="17"/>
      <c r="BB156" s="52"/>
      <c r="BC156" s="17"/>
      <c r="BD156" s="247"/>
      <c r="BE156" s="247"/>
      <c r="BF156" s="247"/>
      <c r="BG156" s="17"/>
      <c r="BH156" s="17"/>
      <c r="BI156" s="17"/>
      <c r="BJ156" s="247"/>
      <c r="BK156" s="247"/>
      <c r="BL156" s="247"/>
      <c r="BM156" s="190"/>
      <c r="BN156" s="190"/>
      <c r="BO156" s="17"/>
      <c r="BP156" s="247"/>
      <c r="BQ156" s="247"/>
      <c r="BR156" s="247"/>
      <c r="BS156" s="17"/>
      <c r="BT156" s="17"/>
      <c r="BU156" s="17"/>
      <c r="BV156" s="189"/>
      <c r="BW156" s="197"/>
      <c r="BX156" s="246"/>
      <c r="BY156" s="190"/>
      <c r="BZ156" s="190"/>
      <c r="CA156" s="190"/>
      <c r="CB156" s="247">
        <v>1987718</v>
      </c>
      <c r="CC156" s="247">
        <f>+CB156*0.19</f>
        <v>377666.42</v>
      </c>
      <c r="CD156" s="247">
        <f>+CB156+CC156</f>
        <v>2365384.42</v>
      </c>
      <c r="CE156" s="17"/>
      <c r="CF156" s="17"/>
      <c r="CG156" s="17"/>
      <c r="CH156" s="247">
        <v>2387000</v>
      </c>
      <c r="CI156" s="247">
        <f>CH156*19%</f>
        <v>453530</v>
      </c>
      <c r="CJ156" s="247">
        <f>CH156+CI156</f>
        <v>2840530</v>
      </c>
      <c r="CK156" s="17"/>
      <c r="CL156" s="17"/>
      <c r="CM156" s="17"/>
      <c r="CN156" s="17"/>
      <c r="CO156" s="17"/>
      <c r="CP156" s="11"/>
      <c r="CQ156" s="11"/>
      <c r="CR156" s="11"/>
      <c r="CS156" s="11"/>
      <c r="CT156" s="247"/>
      <c r="CU156" s="247"/>
      <c r="CV156" s="247"/>
      <c r="CW156" s="11"/>
      <c r="CX156" s="11"/>
      <c r="CY156" s="11"/>
      <c r="CZ156" s="11"/>
      <c r="DA156" s="11"/>
      <c r="DB156" s="11"/>
      <c r="DC156" s="11"/>
      <c r="DD156" s="11"/>
      <c r="DE156" s="11"/>
      <c r="DF156" s="11"/>
      <c r="DG156" s="11"/>
      <c r="DH156" s="11"/>
      <c r="DI156" s="11"/>
      <c r="DJ156" s="11"/>
      <c r="DK156" s="11"/>
      <c r="DL156" s="247"/>
      <c r="DM156" s="247"/>
      <c r="DN156" s="247"/>
      <c r="DO156" s="247"/>
      <c r="DP156" s="247"/>
      <c r="DQ156" s="247"/>
      <c r="DR156" s="247"/>
      <c r="DS156" s="247"/>
      <c r="DT156" s="247"/>
      <c r="DU156" s="247"/>
      <c r="DV156" s="247"/>
      <c r="DW156" s="247"/>
      <c r="DX156" s="247"/>
      <c r="DY156" s="247"/>
      <c r="DZ156" s="247"/>
      <c r="EA156" s="247"/>
      <c r="EB156" s="247"/>
      <c r="EC156" s="247"/>
      <c r="ED156" s="17">
        <f t="shared" si="36"/>
        <v>5205914.42</v>
      </c>
      <c r="EE156" s="29">
        <f t="shared" si="37"/>
        <v>2</v>
      </c>
      <c r="EF156" s="17">
        <f t="shared" si="35"/>
        <v>2602957.21</v>
      </c>
    </row>
    <row r="157" spans="1:136" ht="51" x14ac:dyDescent="0.25">
      <c r="A157" s="25">
        <f>Distribución_Elementos!A157</f>
        <v>155</v>
      </c>
      <c r="B157" s="22" t="str">
        <f>Distribución_Elementos!B157</f>
        <v>Columnas capilares (5% fenilo/ 95% dimetilpolisiloxano) Dimensiones: 30 metros de longitud - 0,25 mm de Diámetro interno y (0,22 um a 0,25um) de grosor de fase estacionaria o film.  Soporte de 5 pulgadas</v>
      </c>
      <c r="C157" s="22" t="str">
        <f>Distribución_Elementos!C157</f>
        <v>Restek, Phenomenex, Agilent, Thermo o equivalentes</v>
      </c>
      <c r="D157" s="22" t="str">
        <f>Distribución_Elementos!D157</f>
        <v>Unidad</v>
      </c>
      <c r="E157" s="224">
        <v>1</v>
      </c>
      <c r="F157" s="221">
        <v>0</v>
      </c>
      <c r="G157" s="221">
        <v>0</v>
      </c>
      <c r="H157" s="221">
        <v>0</v>
      </c>
      <c r="I157" s="221">
        <v>0</v>
      </c>
      <c r="J157" s="221">
        <v>3117252.6</v>
      </c>
      <c r="K157" s="221">
        <v>0</v>
      </c>
      <c r="L157" s="247">
        <f t="shared" si="47"/>
        <v>3117252.6</v>
      </c>
      <c r="M157" s="247"/>
      <c r="N157" s="227"/>
      <c r="O157" s="119"/>
      <c r="P157" s="119"/>
      <c r="Q157" s="115"/>
      <c r="R157" s="115"/>
      <c r="S157" s="11"/>
      <c r="T157" s="247"/>
      <c r="U157" s="247"/>
      <c r="V157" s="247"/>
      <c r="W157" s="17"/>
      <c r="X157" s="11"/>
      <c r="Y157" s="11"/>
      <c r="Z157" s="247"/>
      <c r="AA157" s="247"/>
      <c r="AB157" s="247"/>
      <c r="AC157" s="44"/>
      <c r="AD157" s="22"/>
      <c r="AE157" s="17"/>
      <c r="AF157" s="247"/>
      <c r="AG157" s="247"/>
      <c r="AH157" s="151"/>
      <c r="AI157" s="4"/>
      <c r="AJ157" s="17"/>
      <c r="AK157" s="17"/>
      <c r="AL157" s="102"/>
      <c r="AM157" s="132"/>
      <c r="AN157" s="161"/>
      <c r="AO157" s="115"/>
      <c r="AP157" s="115"/>
      <c r="AQ157" s="17"/>
      <c r="AR157" s="247"/>
      <c r="AS157" s="247"/>
      <c r="AT157" s="247"/>
      <c r="AU157" s="17"/>
      <c r="AV157" s="17"/>
      <c r="AW157" s="17"/>
      <c r="AX157" s="247"/>
      <c r="AY157" s="247"/>
      <c r="AZ157" s="247"/>
      <c r="BA157" s="17"/>
      <c r="BB157" s="52"/>
      <c r="BC157" s="17"/>
      <c r="BD157" s="247"/>
      <c r="BE157" s="247"/>
      <c r="BF157" s="247"/>
      <c r="BG157" s="17"/>
      <c r="BH157" s="17"/>
      <c r="BI157" s="17"/>
      <c r="BJ157" s="247"/>
      <c r="BK157" s="247"/>
      <c r="BL157" s="247"/>
      <c r="BM157" s="190"/>
      <c r="BN157" s="190"/>
      <c r="BO157" s="17"/>
      <c r="BP157" s="247"/>
      <c r="BQ157" s="247"/>
      <c r="BR157" s="247"/>
      <c r="BS157" s="17"/>
      <c r="BT157" s="17"/>
      <c r="BU157" s="17"/>
      <c r="BV157" s="189"/>
      <c r="BW157" s="197"/>
      <c r="BX157" s="246"/>
      <c r="BY157" s="190"/>
      <c r="BZ157" s="190"/>
      <c r="CA157" s="190"/>
      <c r="CB157" s="247">
        <v>2817748</v>
      </c>
      <c r="CC157" s="247">
        <f>+CB157*0.19</f>
        <v>535372.12</v>
      </c>
      <c r="CD157" s="247">
        <f>+CB157+CC157</f>
        <v>3353120.12</v>
      </c>
      <c r="CE157" s="17"/>
      <c r="CF157" s="17"/>
      <c r="CG157" s="17"/>
      <c r="CH157" s="247">
        <v>3350000</v>
      </c>
      <c r="CI157" s="247">
        <f>CH157*19%</f>
        <v>636500</v>
      </c>
      <c r="CJ157" s="247">
        <f>CH157+CI157</f>
        <v>3986500</v>
      </c>
      <c r="CK157" s="17"/>
      <c r="CL157" s="17"/>
      <c r="CM157" s="17"/>
      <c r="CN157" s="17"/>
      <c r="CO157" s="17"/>
      <c r="CP157" s="11"/>
      <c r="CQ157" s="11"/>
      <c r="CR157" s="11"/>
      <c r="CS157" s="11"/>
      <c r="CT157" s="247"/>
      <c r="CU157" s="247"/>
      <c r="CV157" s="247"/>
      <c r="CW157" s="11"/>
      <c r="CX157" s="11"/>
      <c r="CY157" s="11"/>
      <c r="CZ157" s="11"/>
      <c r="DA157" s="11"/>
      <c r="DB157" s="11"/>
      <c r="DC157" s="11"/>
      <c r="DD157" s="11"/>
      <c r="DE157" s="11"/>
      <c r="DF157" s="11"/>
      <c r="DG157" s="11"/>
      <c r="DH157" s="11"/>
      <c r="DI157" s="11"/>
      <c r="DJ157" s="11"/>
      <c r="DK157" s="11"/>
      <c r="DL157" s="247"/>
      <c r="DM157" s="247"/>
      <c r="DN157" s="247"/>
      <c r="DO157" s="247"/>
      <c r="DP157" s="247"/>
      <c r="DQ157" s="247"/>
      <c r="DR157" s="247"/>
      <c r="DS157" s="247"/>
      <c r="DT157" s="247"/>
      <c r="DU157" s="247"/>
      <c r="DV157" s="247"/>
      <c r="DW157" s="247"/>
      <c r="DX157" s="247"/>
      <c r="DY157" s="247"/>
      <c r="DZ157" s="247"/>
      <c r="EA157" s="247"/>
      <c r="EB157" s="247"/>
      <c r="EC157" s="247"/>
      <c r="ED157" s="17">
        <f t="shared" si="36"/>
        <v>7339620.1200000001</v>
      </c>
      <c r="EE157" s="29">
        <f t="shared" si="37"/>
        <v>2</v>
      </c>
      <c r="EF157" s="17">
        <f t="shared" si="35"/>
        <v>3669810.06</v>
      </c>
    </row>
    <row r="158" spans="1:136" x14ac:dyDescent="0.25">
      <c r="A158" s="25">
        <f>Distribución_Elementos!A158</f>
        <v>156</v>
      </c>
      <c r="B158" s="22" t="str">
        <f>Distribución_Elementos!B158</f>
        <v>Cooler para tubos de 1.5 a 2.0 mL -20 °C para 12 tubos</v>
      </c>
      <c r="C158" s="22" t="str">
        <f>Distribución_Elementos!C158</f>
        <v>Cualquier marca</v>
      </c>
      <c r="D158" s="22" t="str">
        <f>Distribución_Elementos!D158</f>
        <v>Unidad</v>
      </c>
      <c r="E158" s="224">
        <v>1</v>
      </c>
      <c r="F158" s="221">
        <v>0</v>
      </c>
      <c r="G158" s="221">
        <v>0</v>
      </c>
      <c r="H158" s="221">
        <v>0</v>
      </c>
      <c r="I158" s="221">
        <v>0</v>
      </c>
      <c r="J158" s="221">
        <v>846638.37080199982</v>
      </c>
      <c r="K158" s="221">
        <v>773500</v>
      </c>
      <c r="L158" s="247">
        <f t="shared" si="47"/>
        <v>846638.37080199982</v>
      </c>
      <c r="M158" s="247">
        <f>K158*E1</f>
        <v>796705</v>
      </c>
      <c r="N158" s="227"/>
      <c r="O158" s="119"/>
      <c r="P158" s="119"/>
      <c r="Q158" s="115"/>
      <c r="R158" s="115"/>
      <c r="S158" s="11"/>
      <c r="T158" s="247"/>
      <c r="U158" s="247"/>
      <c r="V158" s="247"/>
      <c r="W158" s="17"/>
      <c r="X158" s="11"/>
      <c r="Y158" s="11"/>
      <c r="Z158" s="247"/>
      <c r="AA158" s="247"/>
      <c r="AB158" s="247"/>
      <c r="AC158" s="44"/>
      <c r="AD158" s="22"/>
      <c r="AE158" s="17"/>
      <c r="AF158" s="247"/>
      <c r="AG158" s="247"/>
      <c r="AH158" s="97"/>
      <c r="AI158" s="4"/>
      <c r="AJ158" s="17"/>
      <c r="AK158" s="17"/>
      <c r="AL158" s="102"/>
      <c r="AM158" s="132"/>
      <c r="AN158" s="161"/>
      <c r="AO158" s="115"/>
      <c r="AP158" s="115"/>
      <c r="AQ158" s="17"/>
      <c r="AR158" s="247"/>
      <c r="AS158" s="247"/>
      <c r="AT158" s="247"/>
      <c r="AU158" s="17"/>
      <c r="AV158" s="17"/>
      <c r="AW158" s="17"/>
      <c r="AX158" s="247">
        <v>718000</v>
      </c>
      <c r="AY158" s="247">
        <f>+AX158*0.19</f>
        <v>136420</v>
      </c>
      <c r="AZ158" s="247">
        <f>+AX158+AY158</f>
        <v>854420</v>
      </c>
      <c r="BA158" s="17" t="s">
        <v>140</v>
      </c>
      <c r="BB158" s="52" t="s">
        <v>1493</v>
      </c>
      <c r="BC158" s="17"/>
      <c r="BD158" s="247"/>
      <c r="BE158" s="247"/>
      <c r="BF158" s="247"/>
      <c r="BG158" s="17"/>
      <c r="BH158" s="17"/>
      <c r="BI158" s="17"/>
      <c r="BJ158" s="247"/>
      <c r="BK158" s="247"/>
      <c r="BL158" s="247"/>
      <c r="BM158" s="190"/>
      <c r="BN158" s="190"/>
      <c r="BO158" s="17"/>
      <c r="BP158" s="247">
        <v>960000</v>
      </c>
      <c r="BQ158" s="247">
        <f t="shared" ref="BQ158:BQ207" si="48">+BP158*19%</f>
        <v>182400</v>
      </c>
      <c r="BR158" s="247">
        <f t="shared" si="39"/>
        <v>1142400</v>
      </c>
      <c r="BS158" s="17"/>
      <c r="BT158" s="17"/>
      <c r="BU158" s="17"/>
      <c r="BV158" s="189"/>
      <c r="BW158" s="197"/>
      <c r="BX158" s="246"/>
      <c r="BY158" s="190"/>
      <c r="BZ158" s="190"/>
      <c r="CA158" s="190"/>
      <c r="CB158" s="247"/>
      <c r="CC158" s="247"/>
      <c r="CD158" s="247"/>
      <c r="CE158" s="17"/>
      <c r="CF158" s="17"/>
      <c r="CG158" s="17"/>
      <c r="CH158" s="247"/>
      <c r="CI158" s="247"/>
      <c r="CJ158" s="247"/>
      <c r="CK158" s="17"/>
      <c r="CL158" s="17"/>
      <c r="CM158" s="17"/>
      <c r="CN158" s="17"/>
      <c r="CO158" s="17"/>
      <c r="CP158" s="11"/>
      <c r="CQ158" s="11"/>
      <c r="CR158" s="11"/>
      <c r="CS158" s="11"/>
      <c r="CT158" s="247"/>
      <c r="CU158" s="247"/>
      <c r="CV158" s="247"/>
      <c r="CW158" s="11"/>
      <c r="CX158" s="11"/>
      <c r="CY158" s="11"/>
      <c r="CZ158" s="11"/>
      <c r="DA158" s="11"/>
      <c r="DB158" s="11"/>
      <c r="DC158" s="11"/>
      <c r="DD158" s="11"/>
      <c r="DE158" s="11"/>
      <c r="DF158" s="11"/>
      <c r="DG158" s="11"/>
      <c r="DH158" s="11"/>
      <c r="DI158" s="11"/>
      <c r="DJ158" s="11"/>
      <c r="DK158" s="11"/>
      <c r="DL158" s="247"/>
      <c r="DM158" s="247"/>
      <c r="DN158" s="247"/>
      <c r="DO158" s="247"/>
      <c r="DP158" s="247"/>
      <c r="DQ158" s="247"/>
      <c r="DR158" s="247"/>
      <c r="DS158" s="247"/>
      <c r="DT158" s="247"/>
      <c r="DU158" s="247"/>
      <c r="DV158" s="247"/>
      <c r="DW158" s="247"/>
      <c r="DX158" s="247"/>
      <c r="DY158" s="247"/>
      <c r="DZ158" s="247"/>
      <c r="EA158" s="247"/>
      <c r="EB158" s="247"/>
      <c r="EC158" s="247"/>
      <c r="ED158" s="17">
        <f t="shared" ref="ED158:ED207" si="49">SUM(M158,P158,V158,AB158,AH158,AN158,AT158,AZ158,BF158,BL158,BR158,BX158,CD158,CJ158,CP158,CV158,DB158,DH158,DN158,DT158,DZ158)</f>
        <v>2793525</v>
      </c>
      <c r="EE158" s="29">
        <f t="shared" ref="EE158:EE207" si="50">COUNTA(M158,N158,T158,Z158,AF158,AL158,AR158,AX158,BD158,BJ158,BP158,BV158,CB158,CH158,CN158,CT158,CZ158,DF158,DL158,DR158,DX158)</f>
        <v>3</v>
      </c>
      <c r="EF158" s="17">
        <f t="shared" ref="EF158:EF206" si="51">IFERROR(ED158/EE158," ")</f>
        <v>931175</v>
      </c>
    </row>
    <row r="159" spans="1:136" x14ac:dyDescent="0.25">
      <c r="A159" s="25">
        <f>Distribución_Elementos!A159</f>
        <v>157</v>
      </c>
      <c r="B159" s="22" t="str">
        <f>Distribución_Elementos!B159</f>
        <v>Cooler para tubos de 1.5 a 2.0 mL -20 °C para 32 tubos</v>
      </c>
      <c r="C159" s="22" t="str">
        <f>Distribución_Elementos!C159</f>
        <v>Cualquier marca</v>
      </c>
      <c r="D159" s="22" t="str">
        <f>Distribución_Elementos!D159</f>
        <v>Unidad</v>
      </c>
      <c r="E159" s="224">
        <v>1</v>
      </c>
      <c r="F159" s="221">
        <v>0</v>
      </c>
      <c r="G159" s="221">
        <v>0</v>
      </c>
      <c r="H159" s="221">
        <v>0</v>
      </c>
      <c r="I159" s="221">
        <v>0</v>
      </c>
      <c r="J159" s="221">
        <v>1693657.4813899999</v>
      </c>
      <c r="K159" s="221">
        <v>1693370</v>
      </c>
      <c r="L159" s="247">
        <f t="shared" si="47"/>
        <v>1693657.4813899999</v>
      </c>
      <c r="M159" s="247">
        <f>K159*E1</f>
        <v>1744171.1</v>
      </c>
      <c r="N159" s="227"/>
      <c r="O159" s="119"/>
      <c r="P159" s="119"/>
      <c r="Q159" s="115"/>
      <c r="R159" s="115"/>
      <c r="S159" s="11"/>
      <c r="T159" s="247"/>
      <c r="U159" s="247"/>
      <c r="V159" s="247"/>
      <c r="W159" s="17"/>
      <c r="X159" s="11"/>
      <c r="Y159" s="11"/>
      <c r="Z159" s="142"/>
      <c r="AA159" s="247"/>
      <c r="AB159" s="247"/>
      <c r="AC159" s="44"/>
      <c r="AD159" s="22"/>
      <c r="AE159" s="17"/>
      <c r="AF159" s="247"/>
      <c r="AG159" s="247"/>
      <c r="AH159" s="151"/>
      <c r="AI159" s="22"/>
      <c r="AJ159" s="17"/>
      <c r="AK159" s="17"/>
      <c r="AL159" s="102"/>
      <c r="AM159" s="132"/>
      <c r="AN159" s="132"/>
      <c r="AO159" s="115"/>
      <c r="AP159" s="115"/>
      <c r="AQ159" s="17"/>
      <c r="AR159" s="247"/>
      <c r="AS159" s="247"/>
      <c r="AT159" s="247"/>
      <c r="AU159" s="17"/>
      <c r="AV159" s="17"/>
      <c r="AW159" s="17"/>
      <c r="AX159" s="247"/>
      <c r="AY159" s="247"/>
      <c r="AZ159" s="247"/>
      <c r="BA159" s="17"/>
      <c r="BB159" s="52"/>
      <c r="BC159" s="17"/>
      <c r="BD159" s="247"/>
      <c r="BE159" s="247"/>
      <c r="BF159" s="247"/>
      <c r="BG159" s="17"/>
      <c r="BH159" s="17"/>
      <c r="BI159" s="17"/>
      <c r="BJ159" s="247"/>
      <c r="BK159" s="247"/>
      <c r="BL159" s="247"/>
      <c r="BM159" s="190"/>
      <c r="BN159" s="190"/>
      <c r="BO159" s="17"/>
      <c r="BP159" s="247">
        <v>960000</v>
      </c>
      <c r="BQ159" s="247">
        <f t="shared" si="48"/>
        <v>182400</v>
      </c>
      <c r="BR159" s="247">
        <f t="shared" si="39"/>
        <v>1142400</v>
      </c>
      <c r="BS159" s="17"/>
      <c r="BT159" s="17"/>
      <c r="BU159" s="17"/>
      <c r="BV159" s="189"/>
      <c r="BW159" s="197"/>
      <c r="BX159" s="246"/>
      <c r="BY159" s="190"/>
      <c r="BZ159" s="190"/>
      <c r="CA159" s="190"/>
      <c r="CB159" s="247"/>
      <c r="CC159" s="247"/>
      <c r="CD159" s="247"/>
      <c r="CE159" s="17"/>
      <c r="CF159" s="17"/>
      <c r="CG159" s="17"/>
      <c r="CH159" s="247"/>
      <c r="CI159" s="247"/>
      <c r="CJ159" s="247"/>
      <c r="CK159" s="17"/>
      <c r="CL159" s="17"/>
      <c r="CM159" s="17"/>
      <c r="CN159" s="17"/>
      <c r="CO159" s="17"/>
      <c r="CP159" s="11"/>
      <c r="CQ159" s="11"/>
      <c r="CR159" s="11"/>
      <c r="CS159" s="11"/>
      <c r="CT159" s="247"/>
      <c r="CU159" s="247"/>
      <c r="CV159" s="247"/>
      <c r="CW159" s="11"/>
      <c r="CX159" s="11"/>
      <c r="CY159" s="11"/>
      <c r="CZ159" s="11"/>
      <c r="DA159" s="11"/>
      <c r="DB159" s="11"/>
      <c r="DC159" s="11"/>
      <c r="DD159" s="11"/>
      <c r="DE159" s="11"/>
      <c r="DF159" s="11"/>
      <c r="DG159" s="11"/>
      <c r="DH159" s="11"/>
      <c r="DI159" s="11"/>
      <c r="DJ159" s="11"/>
      <c r="DK159" s="11"/>
      <c r="DL159" s="247"/>
      <c r="DM159" s="247"/>
      <c r="DN159" s="247"/>
      <c r="DO159" s="247"/>
      <c r="DP159" s="247"/>
      <c r="DQ159" s="247"/>
      <c r="DR159" s="247"/>
      <c r="DS159" s="247"/>
      <c r="DT159" s="247"/>
      <c r="DU159" s="247"/>
      <c r="DV159" s="247"/>
      <c r="DW159" s="247"/>
      <c r="DX159" s="247"/>
      <c r="DY159" s="247"/>
      <c r="DZ159" s="247"/>
      <c r="EA159" s="247"/>
      <c r="EB159" s="247"/>
      <c r="EC159" s="247"/>
      <c r="ED159" s="17">
        <f t="shared" si="49"/>
        <v>2886571.1</v>
      </c>
      <c r="EE159" s="29">
        <f t="shared" si="50"/>
        <v>2</v>
      </c>
      <c r="EF159" s="17">
        <f t="shared" si="51"/>
        <v>1443285.55</v>
      </c>
    </row>
    <row r="160" spans="1:136" x14ac:dyDescent="0.25">
      <c r="A160" s="25">
        <f>Distribución_Elementos!A160</f>
        <v>158</v>
      </c>
      <c r="B160" s="22" t="str">
        <f>Distribución_Elementos!B160</f>
        <v>Coolers con tapa para tubos de PCR de 0,2 ml de 96 pozos</v>
      </c>
      <c r="C160" s="22" t="str">
        <f>Distribución_Elementos!C160</f>
        <v>Brand o equivalente</v>
      </c>
      <c r="D160" s="22" t="str">
        <f>Distribución_Elementos!D160</f>
        <v>Unidad</v>
      </c>
      <c r="E160" s="224">
        <v>1</v>
      </c>
      <c r="F160" s="221">
        <v>647122</v>
      </c>
      <c r="G160" s="221">
        <v>357000</v>
      </c>
      <c r="H160" s="221">
        <v>285331.06</v>
      </c>
      <c r="I160" s="221">
        <v>0</v>
      </c>
      <c r="J160" s="221">
        <v>953505.7466666667</v>
      </c>
      <c r="K160" s="221">
        <v>833000</v>
      </c>
      <c r="L160" s="247">
        <f>AVERAGE(F160,H160,J160)</f>
        <v>628652.93555555551</v>
      </c>
      <c r="M160" s="247">
        <f>AVERAGE(G160,K160)*E1</f>
        <v>612850</v>
      </c>
      <c r="N160" s="227"/>
      <c r="O160" s="119"/>
      <c r="P160" s="119"/>
      <c r="Q160" s="115"/>
      <c r="R160" s="115"/>
      <c r="S160" s="11"/>
      <c r="T160" s="247"/>
      <c r="U160" s="247"/>
      <c r="V160" s="247"/>
      <c r="W160" s="17"/>
      <c r="X160" s="11"/>
      <c r="Y160" s="11"/>
      <c r="Z160" s="247"/>
      <c r="AA160" s="247"/>
      <c r="AB160" s="247"/>
      <c r="AC160" s="44"/>
      <c r="AD160" s="22"/>
      <c r="AE160" s="17"/>
      <c r="AF160" s="247"/>
      <c r="AG160" s="247"/>
      <c r="AH160" s="151"/>
      <c r="AI160" s="4"/>
      <c r="AJ160" s="17"/>
      <c r="AK160" s="17"/>
      <c r="AL160" s="102"/>
      <c r="AM160" s="132"/>
      <c r="AN160" s="132"/>
      <c r="AO160" s="115"/>
      <c r="AP160" s="115"/>
      <c r="AQ160" s="17"/>
      <c r="AR160" s="247"/>
      <c r="AS160" s="247"/>
      <c r="AT160" s="247"/>
      <c r="AU160" s="17"/>
      <c r="AV160" s="17"/>
      <c r="AW160" s="17"/>
      <c r="AX160" s="247">
        <f>608000/2</f>
        <v>304000</v>
      </c>
      <c r="AY160" s="247">
        <f>+AX160*0.19</f>
        <v>57760</v>
      </c>
      <c r="AZ160" s="247">
        <f>+AX160+AY160</f>
        <v>361760</v>
      </c>
      <c r="BA160" s="17" t="s">
        <v>1562</v>
      </c>
      <c r="BB160" s="52" t="s">
        <v>1493</v>
      </c>
      <c r="BC160" s="17"/>
      <c r="BD160" s="247"/>
      <c r="BE160" s="247"/>
      <c r="BF160" s="247"/>
      <c r="BG160" s="17"/>
      <c r="BH160" s="17"/>
      <c r="BI160" s="17"/>
      <c r="BJ160" s="247"/>
      <c r="BK160" s="247"/>
      <c r="BL160" s="247"/>
      <c r="BM160" s="190"/>
      <c r="BN160" s="190"/>
      <c r="BO160" s="17"/>
      <c r="BP160" s="247">
        <v>980000</v>
      </c>
      <c r="BQ160" s="247">
        <f t="shared" si="48"/>
        <v>186200</v>
      </c>
      <c r="BR160" s="247">
        <f t="shared" ref="BR160:BR209" si="52">+BQ160+BP160</f>
        <v>1166200</v>
      </c>
      <c r="BS160" s="17"/>
      <c r="BT160" s="17"/>
      <c r="BU160" s="17"/>
      <c r="BV160" s="189"/>
      <c r="BW160" s="197"/>
      <c r="BX160" s="246"/>
      <c r="BY160" s="190"/>
      <c r="BZ160" s="190"/>
      <c r="CA160" s="190"/>
      <c r="CB160" s="247"/>
      <c r="CC160" s="247"/>
      <c r="CD160" s="247"/>
      <c r="CE160" s="17"/>
      <c r="CF160" s="17"/>
      <c r="CG160" s="17"/>
      <c r="CH160" s="247"/>
      <c r="CI160" s="247"/>
      <c r="CJ160" s="247"/>
      <c r="CK160" s="17"/>
      <c r="CL160" s="17"/>
      <c r="CM160" s="17"/>
      <c r="CN160" s="17"/>
      <c r="CO160" s="17"/>
      <c r="CP160" s="11"/>
      <c r="CQ160" s="11"/>
      <c r="CR160" s="11"/>
      <c r="CS160" s="11"/>
      <c r="CT160" s="247"/>
      <c r="CU160" s="247"/>
      <c r="CV160" s="247"/>
      <c r="CW160" s="11"/>
      <c r="CX160" s="11"/>
      <c r="CY160" s="11"/>
      <c r="CZ160" s="11"/>
      <c r="DA160" s="11"/>
      <c r="DB160" s="11"/>
      <c r="DC160" s="11"/>
      <c r="DD160" s="11"/>
      <c r="DE160" s="11"/>
      <c r="DF160" s="11"/>
      <c r="DG160" s="11"/>
      <c r="DH160" s="11"/>
      <c r="DI160" s="11"/>
      <c r="DJ160" s="11"/>
      <c r="DK160" s="11"/>
      <c r="DL160" s="247"/>
      <c r="DM160" s="247"/>
      <c r="DN160" s="247"/>
      <c r="DO160" s="247"/>
      <c r="DP160" s="247"/>
      <c r="DQ160" s="247"/>
      <c r="DR160" s="247"/>
      <c r="DS160" s="247"/>
      <c r="DT160" s="247"/>
      <c r="DU160" s="247"/>
      <c r="DV160" s="247"/>
      <c r="DW160" s="247"/>
      <c r="DX160" s="247"/>
      <c r="DY160" s="247"/>
      <c r="DZ160" s="247"/>
      <c r="EA160" s="247"/>
      <c r="EB160" s="247"/>
      <c r="EC160" s="247"/>
      <c r="ED160" s="17">
        <f t="shared" si="49"/>
        <v>2140810</v>
      </c>
      <c r="EE160" s="29">
        <f t="shared" si="50"/>
        <v>3</v>
      </c>
      <c r="EF160" s="17">
        <f t="shared" si="51"/>
        <v>713603.33333333337</v>
      </c>
    </row>
    <row r="161" spans="1:136" x14ac:dyDescent="0.25">
      <c r="A161" s="25">
        <f>Distribución_Elementos!A161</f>
        <v>159</v>
      </c>
      <c r="B161" s="22" t="str">
        <f>Distribución_Elementos!B161</f>
        <v>Criocaja para almacenamiento de tubos de 0.2 ml</v>
      </c>
      <c r="C161" s="22" t="str">
        <f>Distribución_Elementos!C161</f>
        <v>Nalgene  o equivalente</v>
      </c>
      <c r="D161" s="22" t="str">
        <f>Distribución_Elementos!D161</f>
        <v>Unidad</v>
      </c>
      <c r="E161" s="224">
        <v>1</v>
      </c>
      <c r="F161" s="221">
        <v>60975.6</v>
      </c>
      <c r="G161" s="221">
        <v>0</v>
      </c>
      <c r="H161" s="221">
        <v>42046.666666666664</v>
      </c>
      <c r="I161" s="221">
        <v>0</v>
      </c>
      <c r="J161" s="221">
        <v>39567.5</v>
      </c>
      <c r="K161" s="221">
        <v>0</v>
      </c>
      <c r="L161" s="247">
        <f>AVERAGE(F161,H161,J161)</f>
        <v>47529.922222222223</v>
      </c>
      <c r="M161" s="247"/>
      <c r="N161" s="227">
        <v>50000</v>
      </c>
      <c r="O161" s="119">
        <f t="shared" ref="O161:O166" si="53">+N161*0.19</f>
        <v>9500</v>
      </c>
      <c r="P161" s="119">
        <f t="shared" ref="P161:P166" si="54">+N161+O161</f>
        <v>59500</v>
      </c>
      <c r="Q161" s="115"/>
      <c r="R161" s="115"/>
      <c r="S161" s="11"/>
      <c r="T161" s="247"/>
      <c r="U161" s="247"/>
      <c r="V161" s="247"/>
      <c r="W161" s="17"/>
      <c r="X161" s="11"/>
      <c r="Y161" s="11"/>
      <c r="Z161" s="247">
        <v>22000</v>
      </c>
      <c r="AA161" s="247">
        <f>+Z161*0.19</f>
        <v>4180</v>
      </c>
      <c r="AB161" s="247">
        <f>+Z161+AA161</f>
        <v>26180</v>
      </c>
      <c r="AC161" s="4" t="s">
        <v>140</v>
      </c>
      <c r="AD161" s="22" t="s">
        <v>1563</v>
      </c>
      <c r="AE161" s="17" t="s">
        <v>1564</v>
      </c>
      <c r="AF161" s="247"/>
      <c r="AG161" s="247"/>
      <c r="AH161" s="151"/>
      <c r="AI161" s="4"/>
      <c r="AJ161" s="17"/>
      <c r="AK161" s="17"/>
      <c r="AL161" s="102"/>
      <c r="AM161" s="132"/>
      <c r="AN161" s="161"/>
      <c r="AO161" s="115"/>
      <c r="AP161" s="115"/>
      <c r="AQ161" s="17"/>
      <c r="AR161" s="247"/>
      <c r="AS161" s="247"/>
      <c r="AT161" s="247"/>
      <c r="AU161" s="17"/>
      <c r="AV161" s="17"/>
      <c r="AW161" s="17"/>
      <c r="AX161" s="247"/>
      <c r="AY161" s="247"/>
      <c r="AZ161" s="247"/>
      <c r="BA161" s="17"/>
      <c r="BB161" s="52"/>
      <c r="BC161" s="17"/>
      <c r="BD161" s="247"/>
      <c r="BE161" s="247"/>
      <c r="BF161" s="247"/>
      <c r="BG161" s="17"/>
      <c r="BH161" s="17"/>
      <c r="BI161" s="17"/>
      <c r="BJ161" s="252">
        <v>295500</v>
      </c>
      <c r="BK161" s="247">
        <f t="shared" ref="BK161:BK206" si="55">+BJ161*0.19</f>
        <v>56145</v>
      </c>
      <c r="BL161" s="247">
        <f t="shared" ref="BL161:BL206" si="56">+BJ161+BK161</f>
        <v>351645</v>
      </c>
      <c r="BM161" s="190" t="s">
        <v>375</v>
      </c>
      <c r="BN161" s="190" t="s">
        <v>1565</v>
      </c>
      <c r="BO161" s="17"/>
      <c r="BP161" s="247">
        <v>42500</v>
      </c>
      <c r="BQ161" s="247">
        <f t="shared" si="48"/>
        <v>8075</v>
      </c>
      <c r="BR161" s="247">
        <f t="shared" si="52"/>
        <v>50575</v>
      </c>
      <c r="BS161" s="17"/>
      <c r="BT161" s="17"/>
      <c r="BU161" s="17"/>
      <c r="BV161" s="195">
        <v>342078.1875</v>
      </c>
      <c r="BW161" s="195">
        <f t="shared" ref="BW161:BW171" si="57">+BV161*0.19</f>
        <v>64994.855625000004</v>
      </c>
      <c r="BX161" s="246">
        <f t="shared" ref="BX161:BX171" si="58">+BV161+BW161</f>
        <v>407073.04312500003</v>
      </c>
      <c r="BY161" s="190" t="s">
        <v>375</v>
      </c>
      <c r="BZ161" s="190" t="s">
        <v>1565</v>
      </c>
      <c r="CA161" s="190"/>
      <c r="CB161" s="247"/>
      <c r="CC161" s="247"/>
      <c r="CD161" s="247"/>
      <c r="CE161" s="17"/>
      <c r="CF161" s="17"/>
      <c r="CG161" s="17"/>
      <c r="CH161" s="247"/>
      <c r="CI161" s="247"/>
      <c r="CJ161" s="247"/>
      <c r="CK161" s="17"/>
      <c r="CL161" s="17"/>
      <c r="CM161" s="17"/>
      <c r="CN161" s="17"/>
      <c r="CO161" s="17"/>
      <c r="CP161" s="11"/>
      <c r="CQ161" s="11"/>
      <c r="CR161" s="11"/>
      <c r="CS161" s="11"/>
      <c r="CT161" s="247"/>
      <c r="CU161" s="247"/>
      <c r="CV161" s="247"/>
      <c r="CW161" s="11"/>
      <c r="CX161" s="11"/>
      <c r="CY161" s="11"/>
      <c r="CZ161" s="11"/>
      <c r="DA161" s="11"/>
      <c r="DB161" s="11"/>
      <c r="DC161" s="11"/>
      <c r="DD161" s="11"/>
      <c r="DE161" s="11"/>
      <c r="DF161" s="11"/>
      <c r="DG161" s="11"/>
      <c r="DH161" s="11"/>
      <c r="DI161" s="11"/>
      <c r="DJ161" s="11"/>
      <c r="DK161" s="11"/>
      <c r="DL161" s="247"/>
      <c r="DM161" s="247"/>
      <c r="DN161" s="247"/>
      <c r="DO161" s="247"/>
      <c r="DP161" s="247"/>
      <c r="DQ161" s="247"/>
      <c r="DR161" s="247"/>
      <c r="DS161" s="247"/>
      <c r="DT161" s="247"/>
      <c r="DU161" s="247"/>
      <c r="DV161" s="247"/>
      <c r="DW161" s="247"/>
      <c r="DX161" s="247"/>
      <c r="DY161" s="247"/>
      <c r="DZ161" s="247"/>
      <c r="EA161" s="247"/>
      <c r="EB161" s="247"/>
      <c r="EC161" s="247"/>
      <c r="ED161" s="17">
        <f t="shared" si="49"/>
        <v>894973.04312500008</v>
      </c>
      <c r="EE161" s="29">
        <f t="shared" si="50"/>
        <v>5</v>
      </c>
      <c r="EF161" s="17">
        <f t="shared" si="51"/>
        <v>178994.60862500002</v>
      </c>
    </row>
    <row r="162" spans="1:136" ht="102" x14ac:dyDescent="0.25">
      <c r="A162" s="25">
        <f>Distribución_Elementos!A162</f>
        <v>160</v>
      </c>
      <c r="B162" s="22" t="str">
        <f>Distribución_Elementos!B162</f>
        <v>Criocaja para crioviales de 2 ml, color natural. Numero de lugares para colocar tubos: 100. Es una caja durable, fabricada en polipropileno que son diseñadas para almacenar en congeladores de –80°C (–112°F)— y no absorben agua. Se pueden colocar 100 tubos de capacidades entre 1.5 y 2.0mL. viene con marcación en la tapa alfa numérica para fácil identificación de las muestras. Son Autoclavables a 121°C (249.8°F). Dimensiones: 142Lx142Wx55Hmm.</v>
      </c>
      <c r="C162" s="22" t="str">
        <f>Distribución_Elementos!C162</f>
        <v>Nalgene  o equivalente</v>
      </c>
      <c r="D162" s="22" t="str">
        <f>Distribución_Elementos!D162</f>
        <v xml:space="preserve">Caja x 24 </v>
      </c>
      <c r="E162" s="224">
        <v>1</v>
      </c>
      <c r="F162" s="221">
        <v>0</v>
      </c>
      <c r="G162" s="221">
        <v>0</v>
      </c>
      <c r="H162" s="221">
        <v>0</v>
      </c>
      <c r="I162" s="221">
        <v>0</v>
      </c>
      <c r="J162" s="221">
        <v>0</v>
      </c>
      <c r="K162" s="221">
        <v>0</v>
      </c>
      <c r="L162" s="247"/>
      <c r="M162" s="247"/>
      <c r="N162" s="227">
        <v>700000</v>
      </c>
      <c r="O162" s="119">
        <f t="shared" si="53"/>
        <v>133000</v>
      </c>
      <c r="P162" s="119">
        <f t="shared" si="54"/>
        <v>833000</v>
      </c>
      <c r="Q162" s="115"/>
      <c r="R162" s="115"/>
      <c r="S162" s="11"/>
      <c r="T162" s="247"/>
      <c r="U162" s="247"/>
      <c r="V162" s="247"/>
      <c r="W162" s="17"/>
      <c r="X162" s="11"/>
      <c r="Y162" s="11"/>
      <c r="Z162" s="201">
        <f>39000*24</f>
        <v>936000</v>
      </c>
      <c r="AA162" s="247">
        <f>+Z162*0.19</f>
        <v>177840</v>
      </c>
      <c r="AB162" s="247">
        <f>+Z162+AA162</f>
        <v>1113840</v>
      </c>
      <c r="AC162" s="4" t="s">
        <v>140</v>
      </c>
      <c r="AD162" s="22" t="s">
        <v>1539</v>
      </c>
      <c r="AE162" s="17" t="s">
        <v>1566</v>
      </c>
      <c r="AF162" s="247"/>
      <c r="AG162" s="247"/>
      <c r="AH162" s="151"/>
      <c r="AI162" s="4"/>
      <c r="AJ162" s="17"/>
      <c r="AK162" s="17"/>
      <c r="AL162" s="102"/>
      <c r="AM162" s="132"/>
      <c r="AN162" s="161"/>
      <c r="AO162" s="115"/>
      <c r="AP162" s="115"/>
      <c r="AQ162" s="17"/>
      <c r="AR162" s="247"/>
      <c r="AS162" s="247"/>
      <c r="AT162" s="247"/>
      <c r="AU162" s="17"/>
      <c r="AV162" s="17"/>
      <c r="AW162" s="17"/>
      <c r="AX162" s="247"/>
      <c r="AY162" s="247"/>
      <c r="AZ162" s="247"/>
      <c r="BA162" s="17"/>
      <c r="BB162" s="52"/>
      <c r="BC162" s="17"/>
      <c r="BD162" s="202">
        <f>27190*24</f>
        <v>652560</v>
      </c>
      <c r="BE162" s="247">
        <f>+BD162*0.19</f>
        <v>123986.4</v>
      </c>
      <c r="BF162" s="247">
        <f>+BD162+BE162</f>
        <v>776546.4</v>
      </c>
      <c r="BG162" s="186" t="s">
        <v>140</v>
      </c>
      <c r="BH162" s="184" t="s">
        <v>1567</v>
      </c>
      <c r="BI162" s="5" t="s">
        <v>1568</v>
      </c>
      <c r="BJ162" s="252">
        <f>+(3376800/36)*24</f>
        <v>2251200</v>
      </c>
      <c r="BK162" s="247">
        <f t="shared" si="55"/>
        <v>427728</v>
      </c>
      <c r="BL162" s="247">
        <f t="shared" si="56"/>
        <v>2678928</v>
      </c>
      <c r="BM162" s="190" t="s">
        <v>1569</v>
      </c>
      <c r="BN162" s="190" t="s">
        <v>316</v>
      </c>
      <c r="BO162" s="17"/>
      <c r="BP162" s="247">
        <f>42500*24</f>
        <v>1020000</v>
      </c>
      <c r="BQ162" s="247">
        <f t="shared" si="48"/>
        <v>193800</v>
      </c>
      <c r="BR162" s="247">
        <f t="shared" si="52"/>
        <v>1213800</v>
      </c>
      <c r="BS162" s="17"/>
      <c r="BT162" s="17"/>
      <c r="BU162" s="17"/>
      <c r="BV162" s="200"/>
      <c r="BW162" s="195"/>
      <c r="BX162" s="246"/>
      <c r="BY162" s="190"/>
      <c r="BZ162" s="190"/>
      <c r="CA162" s="190"/>
      <c r="CB162" s="247"/>
      <c r="CC162" s="247"/>
      <c r="CD162" s="247"/>
      <c r="CE162" s="17"/>
      <c r="CF162" s="17"/>
      <c r="CG162" s="17"/>
      <c r="CH162" s="247"/>
      <c r="CI162" s="247"/>
      <c r="CJ162" s="247"/>
      <c r="CK162" s="17"/>
      <c r="CL162" s="17"/>
      <c r="CM162" s="17"/>
      <c r="CN162" s="17"/>
      <c r="CO162" s="17"/>
      <c r="CP162" s="11"/>
      <c r="CQ162" s="11"/>
      <c r="CR162" s="11"/>
      <c r="CS162" s="11"/>
      <c r="CT162" s="247"/>
      <c r="CU162" s="247"/>
      <c r="CV162" s="247"/>
      <c r="CW162" s="11"/>
      <c r="CX162" s="11"/>
      <c r="CY162" s="11"/>
      <c r="CZ162" s="11"/>
      <c r="DA162" s="11"/>
      <c r="DB162" s="11"/>
      <c r="DC162" s="11"/>
      <c r="DD162" s="11"/>
      <c r="DE162" s="11"/>
      <c r="DF162" s="11"/>
      <c r="DG162" s="11"/>
      <c r="DH162" s="11"/>
      <c r="DI162" s="11"/>
      <c r="DJ162" s="11"/>
      <c r="DK162" s="11"/>
      <c r="DL162" s="247"/>
      <c r="DM162" s="247"/>
      <c r="DN162" s="247"/>
      <c r="DO162" s="247"/>
      <c r="DP162" s="247"/>
      <c r="DQ162" s="247"/>
      <c r="DR162" s="247"/>
      <c r="DS162" s="247"/>
      <c r="DT162" s="247"/>
      <c r="DU162" s="247"/>
      <c r="DV162" s="247"/>
      <c r="DW162" s="247"/>
      <c r="DX162" s="247"/>
      <c r="DY162" s="247"/>
      <c r="DZ162" s="247"/>
      <c r="EA162" s="247"/>
      <c r="EB162" s="247"/>
      <c r="EC162" s="247"/>
      <c r="ED162" s="17">
        <f t="shared" si="49"/>
        <v>6616114.4000000004</v>
      </c>
      <c r="EE162" s="29">
        <f t="shared" si="50"/>
        <v>5</v>
      </c>
      <c r="EF162" s="17">
        <f t="shared" si="51"/>
        <v>1323222.8800000001</v>
      </c>
    </row>
    <row r="163" spans="1:136" x14ac:dyDescent="0.25">
      <c r="A163" s="25">
        <f>Distribución_Elementos!A163</f>
        <v>161</v>
      </c>
      <c r="B163" s="22" t="str">
        <f>Distribución_Elementos!B163</f>
        <v>Criomarcador indeleble punta fina color azul oscuro</v>
      </c>
      <c r="C163" s="22" t="str">
        <f>Distribución_Elementos!C163</f>
        <v>VWR o equivalente</v>
      </c>
      <c r="D163" s="22" t="str">
        <f>Distribución_Elementos!D163</f>
        <v>Paquete x 10</v>
      </c>
      <c r="E163" s="224">
        <v>1</v>
      </c>
      <c r="F163" s="221">
        <v>232585.5</v>
      </c>
      <c r="G163" s="221">
        <v>224434</v>
      </c>
      <c r="H163" s="221">
        <v>228904.02873333334</v>
      </c>
      <c r="I163" s="221">
        <v>228837</v>
      </c>
      <c r="J163" s="221">
        <v>206918.29083333333</v>
      </c>
      <c r="K163" s="221">
        <v>49742</v>
      </c>
      <c r="L163" s="247">
        <f>AVERAGE(F163,H163,J163)</f>
        <v>222802.6065222222</v>
      </c>
      <c r="M163" s="247">
        <f>AVERAGE(G163,I163,K163)*E1</f>
        <v>172701.13</v>
      </c>
      <c r="N163" s="227">
        <v>270000</v>
      </c>
      <c r="O163" s="119">
        <f t="shared" si="53"/>
        <v>51300</v>
      </c>
      <c r="P163" s="119">
        <f t="shared" si="54"/>
        <v>321300</v>
      </c>
      <c r="Q163" s="115"/>
      <c r="R163" s="115"/>
      <c r="S163" s="11"/>
      <c r="T163" s="247"/>
      <c r="U163" s="247"/>
      <c r="V163" s="247"/>
      <c r="W163" s="17"/>
      <c r="X163" s="11"/>
      <c r="Y163" s="11"/>
      <c r="Z163" s="247"/>
      <c r="AA163" s="247"/>
      <c r="AB163" s="247"/>
      <c r="AC163" s="44"/>
      <c r="AD163" s="22"/>
      <c r="AE163" s="17"/>
      <c r="AF163" s="247"/>
      <c r="AG163" s="247"/>
      <c r="AH163" s="151"/>
      <c r="AI163" s="4"/>
      <c r="AJ163" s="17"/>
      <c r="AK163" s="17"/>
      <c r="AL163" s="102"/>
      <c r="AM163" s="132"/>
      <c r="AN163" s="161"/>
      <c r="AO163" s="115"/>
      <c r="AP163" s="115"/>
      <c r="AQ163" s="17"/>
      <c r="AR163" s="247"/>
      <c r="AS163" s="247"/>
      <c r="AT163" s="247"/>
      <c r="AU163" s="17"/>
      <c r="AV163" s="17"/>
      <c r="AW163" s="17"/>
      <c r="AX163" s="247"/>
      <c r="AY163" s="247"/>
      <c r="AZ163" s="247"/>
      <c r="BA163" s="17"/>
      <c r="BB163" s="52"/>
      <c r="BC163" s="17"/>
      <c r="BD163" s="247"/>
      <c r="BE163" s="247"/>
      <c r="BF163" s="247"/>
      <c r="BG163" s="17"/>
      <c r="BH163" s="17"/>
      <c r="BI163" s="17"/>
      <c r="BJ163" s="252">
        <v>233300</v>
      </c>
      <c r="BK163" s="247">
        <f t="shared" si="55"/>
        <v>44327</v>
      </c>
      <c r="BL163" s="247">
        <f t="shared" si="56"/>
        <v>277627</v>
      </c>
      <c r="BM163" s="190" t="s">
        <v>165</v>
      </c>
      <c r="BN163" s="190" t="s">
        <v>1570</v>
      </c>
      <c r="BO163" s="17"/>
      <c r="BP163" s="247">
        <v>198000</v>
      </c>
      <c r="BQ163" s="247">
        <f t="shared" si="48"/>
        <v>37620</v>
      </c>
      <c r="BR163" s="247">
        <f t="shared" si="52"/>
        <v>235620</v>
      </c>
      <c r="BS163" s="17"/>
      <c r="BT163" s="17"/>
      <c r="BU163" s="17"/>
      <c r="BV163" s="195">
        <v>245152.57320000001</v>
      </c>
      <c r="BW163" s="195">
        <f t="shared" si="57"/>
        <v>46578.988908000007</v>
      </c>
      <c r="BX163" s="246">
        <f t="shared" si="58"/>
        <v>291731.56210800004</v>
      </c>
      <c r="BY163" s="190" t="s">
        <v>165</v>
      </c>
      <c r="BZ163" s="190" t="s">
        <v>1570</v>
      </c>
      <c r="CA163" s="190"/>
      <c r="CB163" s="247"/>
      <c r="CC163" s="247"/>
      <c r="CD163" s="247"/>
      <c r="CE163" s="17"/>
      <c r="CF163" s="17"/>
      <c r="CG163" s="17"/>
      <c r="CH163" s="247"/>
      <c r="CI163" s="247"/>
      <c r="CJ163" s="247"/>
      <c r="CK163" s="17"/>
      <c r="CL163" s="17"/>
      <c r="CM163" s="17"/>
      <c r="CN163" s="17"/>
      <c r="CO163" s="17"/>
      <c r="CP163" s="11"/>
      <c r="CQ163" s="11"/>
      <c r="CR163" s="11"/>
      <c r="CS163" s="11"/>
      <c r="CT163" s="247"/>
      <c r="CU163" s="247"/>
      <c r="CV163" s="247"/>
      <c r="CW163" s="11"/>
      <c r="CX163" s="11"/>
      <c r="CY163" s="11"/>
      <c r="CZ163" s="11"/>
      <c r="DA163" s="11"/>
      <c r="DB163" s="11"/>
      <c r="DC163" s="11"/>
      <c r="DD163" s="11"/>
      <c r="DE163" s="11"/>
      <c r="DF163" s="11"/>
      <c r="DG163" s="11"/>
      <c r="DH163" s="11"/>
      <c r="DI163" s="11"/>
      <c r="DJ163" s="11"/>
      <c r="DK163" s="11"/>
      <c r="DL163" s="247"/>
      <c r="DM163" s="247"/>
      <c r="DN163" s="247"/>
      <c r="DO163" s="247"/>
      <c r="DP163" s="247"/>
      <c r="DQ163" s="247"/>
      <c r="DR163" s="247"/>
      <c r="DS163" s="247"/>
      <c r="DT163" s="247"/>
      <c r="DU163" s="247"/>
      <c r="DV163" s="247"/>
      <c r="DW163" s="247"/>
      <c r="DX163" s="247"/>
      <c r="DY163" s="247"/>
      <c r="DZ163" s="247"/>
      <c r="EA163" s="247"/>
      <c r="EB163" s="247"/>
      <c r="EC163" s="247"/>
      <c r="ED163" s="17">
        <f t="shared" si="49"/>
        <v>1298979.6921080002</v>
      </c>
      <c r="EE163" s="29">
        <f t="shared" si="50"/>
        <v>5</v>
      </c>
      <c r="EF163" s="17">
        <f t="shared" si="51"/>
        <v>259795.93842160003</v>
      </c>
    </row>
    <row r="164" spans="1:136" x14ac:dyDescent="0.25">
      <c r="A164" s="25">
        <f>Distribución_Elementos!A164</f>
        <v>162</v>
      </c>
      <c r="B164" s="22" t="str">
        <f>Distribución_Elementos!B164</f>
        <v xml:space="preserve">Criomarcador indeleble punta fina color negro </v>
      </c>
      <c r="C164" s="22" t="str">
        <f>Distribución_Elementos!C164</f>
        <v>VWR o equivalente</v>
      </c>
      <c r="D164" s="22" t="str">
        <f>Distribución_Elementos!D164</f>
        <v xml:space="preserve">Paquete x 10 </v>
      </c>
      <c r="E164" s="224">
        <v>1</v>
      </c>
      <c r="F164" s="221">
        <v>163659.90666666668</v>
      </c>
      <c r="G164" s="221">
        <v>158746</v>
      </c>
      <c r="H164" s="221">
        <v>185749.32926666667</v>
      </c>
      <c r="I164" s="221">
        <v>185640</v>
      </c>
      <c r="J164" s="221">
        <v>176728.88333333333</v>
      </c>
      <c r="K164" s="221">
        <v>49742</v>
      </c>
      <c r="L164" s="247">
        <f>AVERAGE(F164,H164,J164)</f>
        <v>175379.37308888891</v>
      </c>
      <c r="M164" s="247">
        <f>AVERAGE(G164,I164,K164)*E1</f>
        <v>135317.28</v>
      </c>
      <c r="N164" s="227">
        <v>270000</v>
      </c>
      <c r="O164" s="119">
        <f t="shared" si="53"/>
        <v>51300</v>
      </c>
      <c r="P164" s="119">
        <f t="shared" si="54"/>
        <v>321300</v>
      </c>
      <c r="Q164" s="115"/>
      <c r="R164" s="115"/>
      <c r="S164" s="11"/>
      <c r="T164" s="247"/>
      <c r="U164" s="247"/>
      <c r="V164" s="247"/>
      <c r="W164" s="17"/>
      <c r="X164" s="11"/>
      <c r="Y164" s="11"/>
      <c r="Z164" s="247"/>
      <c r="AA164" s="247"/>
      <c r="AB164" s="247"/>
      <c r="AC164" s="44"/>
      <c r="AD164" s="22"/>
      <c r="AE164" s="17"/>
      <c r="AF164" s="247"/>
      <c r="AG164" s="247"/>
      <c r="AH164" s="151"/>
      <c r="AI164" s="4"/>
      <c r="AJ164" s="17"/>
      <c r="AK164" s="17"/>
      <c r="AL164" s="102"/>
      <c r="AM164" s="132"/>
      <c r="AN164" s="161"/>
      <c r="AO164" s="115"/>
      <c r="AP164" s="115"/>
      <c r="AQ164" s="17"/>
      <c r="AR164" s="247"/>
      <c r="AS164" s="247"/>
      <c r="AT164" s="247"/>
      <c r="AU164" s="17"/>
      <c r="AV164" s="17"/>
      <c r="AW164" s="17"/>
      <c r="AX164" s="247"/>
      <c r="AY164" s="247"/>
      <c r="AZ164" s="247"/>
      <c r="BA164" s="17"/>
      <c r="BB164" s="52"/>
      <c r="BC164" s="17"/>
      <c r="BD164" s="247"/>
      <c r="BE164" s="247"/>
      <c r="BF164" s="247"/>
      <c r="BG164" s="17"/>
      <c r="BH164" s="17"/>
      <c r="BI164" s="17"/>
      <c r="BJ164" s="252">
        <v>233300</v>
      </c>
      <c r="BK164" s="247">
        <f t="shared" si="55"/>
        <v>44327</v>
      </c>
      <c r="BL164" s="247">
        <f t="shared" si="56"/>
        <v>277627</v>
      </c>
      <c r="BM164" s="190" t="s">
        <v>165</v>
      </c>
      <c r="BN164" s="190" t="s">
        <v>1570</v>
      </c>
      <c r="BO164" s="17"/>
      <c r="BP164" s="247">
        <v>198000</v>
      </c>
      <c r="BQ164" s="247">
        <f t="shared" si="48"/>
        <v>37620</v>
      </c>
      <c r="BR164" s="247">
        <f t="shared" si="52"/>
        <v>235620</v>
      </c>
      <c r="BS164" s="17"/>
      <c r="BT164" s="17"/>
      <c r="BU164" s="17"/>
      <c r="BV164" s="195">
        <v>254861.58600000001</v>
      </c>
      <c r="BW164" s="195">
        <f t="shared" si="57"/>
        <v>48423.70134</v>
      </c>
      <c r="BX164" s="246">
        <f t="shared" si="58"/>
        <v>303285.28734000004</v>
      </c>
      <c r="BY164" s="190" t="s">
        <v>165</v>
      </c>
      <c r="BZ164" s="190" t="s">
        <v>1570</v>
      </c>
      <c r="CA164" s="190"/>
      <c r="CB164" s="247"/>
      <c r="CC164" s="247"/>
      <c r="CD164" s="247"/>
      <c r="CE164" s="17"/>
      <c r="CF164" s="17"/>
      <c r="CG164" s="17"/>
      <c r="CH164" s="247"/>
      <c r="CI164" s="247"/>
      <c r="CJ164" s="247"/>
      <c r="CK164" s="17"/>
      <c r="CL164" s="17"/>
      <c r="CM164" s="17"/>
      <c r="CN164" s="17"/>
      <c r="CO164" s="17"/>
      <c r="CP164" s="11"/>
      <c r="CQ164" s="11"/>
      <c r="CR164" s="11"/>
      <c r="CS164" s="11"/>
      <c r="CT164" s="247"/>
      <c r="CU164" s="247"/>
      <c r="CV164" s="247"/>
      <c r="CW164" s="11"/>
      <c r="CX164" s="11"/>
      <c r="CY164" s="11"/>
      <c r="CZ164" s="11"/>
      <c r="DA164" s="11"/>
      <c r="DB164" s="11"/>
      <c r="DC164" s="11"/>
      <c r="DD164" s="11"/>
      <c r="DE164" s="11"/>
      <c r="DF164" s="11"/>
      <c r="DG164" s="11"/>
      <c r="DH164" s="11"/>
      <c r="DI164" s="11"/>
      <c r="DJ164" s="11"/>
      <c r="DK164" s="11"/>
      <c r="DL164" s="247"/>
      <c r="DM164" s="247"/>
      <c r="DN164" s="247"/>
      <c r="DO164" s="247"/>
      <c r="DP164" s="247"/>
      <c r="DQ164" s="247"/>
      <c r="DR164" s="247"/>
      <c r="DS164" s="247"/>
      <c r="DT164" s="247"/>
      <c r="DU164" s="247"/>
      <c r="DV164" s="247"/>
      <c r="DW164" s="247"/>
      <c r="DX164" s="247"/>
      <c r="DY164" s="247"/>
      <c r="DZ164" s="247"/>
      <c r="EA164" s="247"/>
      <c r="EB164" s="247"/>
      <c r="EC164" s="247"/>
      <c r="ED164" s="17">
        <f t="shared" si="49"/>
        <v>1273149.5673400001</v>
      </c>
      <c r="EE164" s="29">
        <f t="shared" si="50"/>
        <v>5</v>
      </c>
      <c r="EF164" s="17">
        <f t="shared" si="51"/>
        <v>254629.91346800001</v>
      </c>
    </row>
    <row r="165" spans="1:136" x14ac:dyDescent="0.25">
      <c r="A165" s="25">
        <f>Distribución_Elementos!A165</f>
        <v>163</v>
      </c>
      <c r="B165" s="22" t="str">
        <f>Distribución_Elementos!B165</f>
        <v>Criomarcador indeleble punta gruesa color azul</v>
      </c>
      <c r="C165" s="22" t="str">
        <f>Distribución_Elementos!C165</f>
        <v>VWR o equivalente</v>
      </c>
      <c r="D165" s="22" t="str">
        <f>Distribución_Elementos!D165</f>
        <v xml:space="preserve">Paquete x 4 </v>
      </c>
      <c r="E165" s="224">
        <v>1</v>
      </c>
      <c r="F165" s="221">
        <v>148274</v>
      </c>
      <c r="G165" s="221">
        <v>140777</v>
      </c>
      <c r="H165" s="221">
        <v>117413.33333333333</v>
      </c>
      <c r="I165" s="221">
        <v>0</v>
      </c>
      <c r="J165" s="221">
        <v>76904.444166666668</v>
      </c>
      <c r="K165" s="221">
        <v>13566</v>
      </c>
      <c r="L165" s="247">
        <f>AVERAGE(F165,H165,J165)</f>
        <v>114197.25916666666</v>
      </c>
      <c r="M165" s="247">
        <f>AVERAGE(G165,K165)*E1</f>
        <v>79486.645000000004</v>
      </c>
      <c r="N165" s="227">
        <v>110000</v>
      </c>
      <c r="O165" s="119">
        <f t="shared" si="53"/>
        <v>20900</v>
      </c>
      <c r="P165" s="119">
        <f t="shared" si="54"/>
        <v>130900</v>
      </c>
      <c r="Q165" s="115"/>
      <c r="R165" s="115"/>
      <c r="S165" s="11"/>
      <c r="T165" s="247"/>
      <c r="U165" s="247"/>
      <c r="V165" s="247"/>
      <c r="W165" s="17"/>
      <c r="X165" s="11"/>
      <c r="Y165" s="11"/>
      <c r="Z165" s="247"/>
      <c r="AA165" s="247"/>
      <c r="AB165" s="247"/>
      <c r="AC165" s="5"/>
      <c r="AD165" s="22"/>
      <c r="AE165" s="17"/>
      <c r="AF165" s="247"/>
      <c r="AG165" s="247"/>
      <c r="AH165" s="149"/>
      <c r="AI165" s="4"/>
      <c r="AJ165" s="17"/>
      <c r="AK165" s="17"/>
      <c r="AL165" s="102"/>
      <c r="AM165" s="132"/>
      <c r="AN165" s="161"/>
      <c r="AO165" s="115"/>
      <c r="AP165" s="115"/>
      <c r="AQ165" s="17"/>
      <c r="AR165" s="247"/>
      <c r="AS165" s="247"/>
      <c r="AT165" s="247"/>
      <c r="AU165" s="17"/>
      <c r="AV165" s="17"/>
      <c r="AW165" s="17"/>
      <c r="AX165" s="247"/>
      <c r="AY165" s="247"/>
      <c r="AZ165" s="247"/>
      <c r="BA165" s="17"/>
      <c r="BB165" s="52"/>
      <c r="BC165" s="17"/>
      <c r="BD165" s="247"/>
      <c r="BE165" s="247"/>
      <c r="BF165" s="247"/>
      <c r="BG165" s="17"/>
      <c r="BH165" s="17"/>
      <c r="BI165" s="17"/>
      <c r="BJ165" s="252">
        <f>162500/3</f>
        <v>54166.666666666664</v>
      </c>
      <c r="BK165" s="247">
        <f t="shared" si="55"/>
        <v>10291.666666666666</v>
      </c>
      <c r="BL165" s="247">
        <f t="shared" si="56"/>
        <v>64458.333333333328</v>
      </c>
      <c r="BM165" s="190" t="s">
        <v>1571</v>
      </c>
      <c r="BN165" s="190" t="s">
        <v>1570</v>
      </c>
      <c r="BO165" s="17"/>
      <c r="BP165" s="247">
        <v>165000</v>
      </c>
      <c r="BQ165" s="247">
        <f t="shared" si="48"/>
        <v>31350</v>
      </c>
      <c r="BR165" s="247">
        <f t="shared" si="52"/>
        <v>196350</v>
      </c>
      <c r="BS165" s="17"/>
      <c r="BT165" s="17"/>
      <c r="BU165" s="17"/>
      <c r="BV165" s="195">
        <f>179126.025/3</f>
        <v>59708.674999999996</v>
      </c>
      <c r="BW165" s="195">
        <f t="shared" si="57"/>
        <v>11344.64825</v>
      </c>
      <c r="BX165" s="246">
        <f t="shared" si="58"/>
        <v>71053.323250000001</v>
      </c>
      <c r="BY165" s="190" t="s">
        <v>1571</v>
      </c>
      <c r="BZ165" s="190" t="s">
        <v>1570</v>
      </c>
      <c r="CA165" s="190"/>
      <c r="CB165" s="247"/>
      <c r="CC165" s="247"/>
      <c r="CD165" s="247"/>
      <c r="CE165" s="17"/>
      <c r="CF165" s="17"/>
      <c r="CG165" s="17"/>
      <c r="CH165" s="247"/>
      <c r="CI165" s="247"/>
      <c r="CJ165" s="247"/>
      <c r="CK165" s="17"/>
      <c r="CL165" s="17"/>
      <c r="CM165" s="17"/>
      <c r="CN165" s="17"/>
      <c r="CO165" s="17"/>
      <c r="CP165" s="11"/>
      <c r="CQ165" s="11"/>
      <c r="CR165" s="11"/>
      <c r="CS165" s="11"/>
      <c r="CT165" s="247"/>
      <c r="CU165" s="247"/>
      <c r="CV165" s="247"/>
      <c r="CW165" s="11"/>
      <c r="CX165" s="11"/>
      <c r="CY165" s="11"/>
      <c r="CZ165" s="11"/>
      <c r="DA165" s="11"/>
      <c r="DB165" s="11"/>
      <c r="DC165" s="11"/>
      <c r="DD165" s="11"/>
      <c r="DE165" s="11"/>
      <c r="DF165" s="11"/>
      <c r="DG165" s="11"/>
      <c r="DH165" s="11"/>
      <c r="DI165" s="11"/>
      <c r="DJ165" s="11"/>
      <c r="DK165" s="11"/>
      <c r="DL165" s="247"/>
      <c r="DM165" s="247"/>
      <c r="DN165" s="247"/>
      <c r="DO165" s="247"/>
      <c r="DP165" s="247"/>
      <c r="DQ165" s="247"/>
      <c r="DR165" s="247"/>
      <c r="DS165" s="247"/>
      <c r="DT165" s="247"/>
      <c r="DU165" s="247"/>
      <c r="DV165" s="247"/>
      <c r="DW165" s="247"/>
      <c r="DX165" s="247"/>
      <c r="DY165" s="247"/>
      <c r="DZ165" s="247"/>
      <c r="EA165" s="247"/>
      <c r="EB165" s="247"/>
      <c r="EC165" s="247"/>
      <c r="ED165" s="17">
        <f t="shared" si="49"/>
        <v>542248.30158333329</v>
      </c>
      <c r="EE165" s="29">
        <f t="shared" si="50"/>
        <v>5</v>
      </c>
      <c r="EF165" s="17">
        <f t="shared" si="51"/>
        <v>108449.66031666666</v>
      </c>
    </row>
    <row r="166" spans="1:136" x14ac:dyDescent="0.25">
      <c r="A166" s="25">
        <f>Distribución_Elementos!A166</f>
        <v>164</v>
      </c>
      <c r="B166" s="22" t="str">
        <f>Distribución_Elementos!B166</f>
        <v>Criomarcador indeleble punta gruesa color negro</v>
      </c>
      <c r="C166" s="22" t="str">
        <f>Distribución_Elementos!C166</f>
        <v>VWR o equivalente</v>
      </c>
      <c r="D166" s="22" t="str">
        <f>Distribución_Elementos!D166</f>
        <v xml:space="preserve">Paquete x 4 </v>
      </c>
      <c r="E166" s="224">
        <v>1</v>
      </c>
      <c r="F166" s="221">
        <v>107452.24</v>
      </c>
      <c r="G166" s="221">
        <v>101983</v>
      </c>
      <c r="H166" s="221">
        <v>114430.25422500001</v>
      </c>
      <c r="I166" s="221">
        <v>0</v>
      </c>
      <c r="J166" s="221">
        <v>97876.111666666664</v>
      </c>
      <c r="K166" s="221">
        <v>13566</v>
      </c>
      <c r="L166" s="247">
        <f>AVERAGE(F166,H166,J166)</f>
        <v>106586.2019638889</v>
      </c>
      <c r="M166" s="247">
        <f>AVERAGE(G166,K166)*E1</f>
        <v>59507.735000000001</v>
      </c>
      <c r="N166" s="227">
        <v>110000</v>
      </c>
      <c r="O166" s="119">
        <f t="shared" si="53"/>
        <v>20900</v>
      </c>
      <c r="P166" s="119">
        <f t="shared" si="54"/>
        <v>130900</v>
      </c>
      <c r="Q166" s="115"/>
      <c r="R166" s="115"/>
      <c r="S166" s="11"/>
      <c r="T166" s="247"/>
      <c r="U166" s="247"/>
      <c r="V166" s="247"/>
      <c r="W166" s="17"/>
      <c r="X166" s="11"/>
      <c r="Y166" s="11"/>
      <c r="Z166" s="247"/>
      <c r="AA166" s="247"/>
      <c r="AB166" s="247"/>
      <c r="AC166" s="5"/>
      <c r="AD166" s="22"/>
      <c r="AE166" s="17"/>
      <c r="AF166" s="247"/>
      <c r="AG166" s="247"/>
      <c r="AH166" s="149"/>
      <c r="AI166" s="4"/>
      <c r="AJ166" s="17"/>
      <c r="AK166" s="17"/>
      <c r="AL166" s="102"/>
      <c r="AM166" s="132"/>
      <c r="AN166" s="132"/>
      <c r="AO166" s="115"/>
      <c r="AP166" s="115"/>
      <c r="AQ166" s="17"/>
      <c r="AR166" s="247"/>
      <c r="AS166" s="247"/>
      <c r="AT166" s="247"/>
      <c r="AU166" s="17"/>
      <c r="AV166" s="17"/>
      <c r="AW166" s="17"/>
      <c r="AX166" s="247"/>
      <c r="AY166" s="247"/>
      <c r="AZ166" s="247"/>
      <c r="BA166" s="17"/>
      <c r="BB166" s="52"/>
      <c r="BC166" s="17"/>
      <c r="BD166" s="247"/>
      <c r="BE166" s="247"/>
      <c r="BF166" s="247"/>
      <c r="BG166" s="17"/>
      <c r="BH166" s="17"/>
      <c r="BI166" s="17"/>
      <c r="BJ166" s="252">
        <f>162500/3</f>
        <v>54166.666666666664</v>
      </c>
      <c r="BK166" s="247">
        <f t="shared" si="55"/>
        <v>10291.666666666666</v>
      </c>
      <c r="BL166" s="247">
        <f t="shared" si="56"/>
        <v>64458.333333333328</v>
      </c>
      <c r="BM166" s="190" t="s">
        <v>1571</v>
      </c>
      <c r="BN166" s="190" t="s">
        <v>1570</v>
      </c>
      <c r="BO166" s="17"/>
      <c r="BP166" s="247">
        <v>165000</v>
      </c>
      <c r="BQ166" s="247">
        <f t="shared" si="48"/>
        <v>31350</v>
      </c>
      <c r="BR166" s="247">
        <f t="shared" si="52"/>
        <v>196350</v>
      </c>
      <c r="BS166" s="17"/>
      <c r="BT166" s="17"/>
      <c r="BU166" s="17"/>
      <c r="BV166" s="195">
        <f>187960.5/3</f>
        <v>62653.5</v>
      </c>
      <c r="BW166" s="195">
        <f t="shared" si="57"/>
        <v>11904.165000000001</v>
      </c>
      <c r="BX166" s="246">
        <f t="shared" si="58"/>
        <v>74557.665000000008</v>
      </c>
      <c r="BY166" s="190" t="s">
        <v>1571</v>
      </c>
      <c r="BZ166" s="190" t="s">
        <v>1570</v>
      </c>
      <c r="CA166" s="190"/>
      <c r="CB166" s="247"/>
      <c r="CC166" s="247"/>
      <c r="CD166" s="247"/>
      <c r="CE166" s="17"/>
      <c r="CF166" s="17"/>
      <c r="CG166" s="17"/>
      <c r="CH166" s="247"/>
      <c r="CI166" s="247"/>
      <c r="CJ166" s="247"/>
      <c r="CK166" s="17"/>
      <c r="CL166" s="17"/>
      <c r="CM166" s="17"/>
      <c r="CN166" s="17"/>
      <c r="CO166" s="17"/>
      <c r="CP166" s="11"/>
      <c r="CQ166" s="11"/>
      <c r="CR166" s="11"/>
      <c r="CS166" s="11"/>
      <c r="CT166" s="247"/>
      <c r="CU166" s="247"/>
      <c r="CV166" s="247"/>
      <c r="CW166" s="11"/>
      <c r="CX166" s="11"/>
      <c r="CY166" s="11"/>
      <c r="CZ166" s="11"/>
      <c r="DA166" s="11"/>
      <c r="DB166" s="11"/>
      <c r="DC166" s="11"/>
      <c r="DD166" s="11"/>
      <c r="DE166" s="11"/>
      <c r="DF166" s="11"/>
      <c r="DG166" s="11"/>
      <c r="DH166" s="11"/>
      <c r="DI166" s="11"/>
      <c r="DJ166" s="11"/>
      <c r="DK166" s="11"/>
      <c r="DL166" s="247"/>
      <c r="DM166" s="247"/>
      <c r="DN166" s="247"/>
      <c r="DO166" s="247"/>
      <c r="DP166" s="247"/>
      <c r="DQ166" s="247"/>
      <c r="DR166" s="247"/>
      <c r="DS166" s="247"/>
      <c r="DT166" s="247"/>
      <c r="DU166" s="247"/>
      <c r="DV166" s="247"/>
      <c r="DW166" s="247"/>
      <c r="DX166" s="247"/>
      <c r="DY166" s="247"/>
      <c r="DZ166" s="247"/>
      <c r="EA166" s="247"/>
      <c r="EB166" s="247"/>
      <c r="EC166" s="247"/>
      <c r="ED166" s="17">
        <f t="shared" si="49"/>
        <v>525773.73333333328</v>
      </c>
      <c r="EE166" s="29">
        <f t="shared" si="50"/>
        <v>5</v>
      </c>
      <c r="EF166" s="17">
        <f t="shared" si="51"/>
        <v>105154.74666666666</v>
      </c>
    </row>
    <row r="167" spans="1:136" x14ac:dyDescent="0.25">
      <c r="A167" s="25">
        <f>Distribución_Elementos!A167</f>
        <v>165</v>
      </c>
      <c r="B167" s="22" t="str">
        <f>Distribución_Elementos!B167</f>
        <v xml:space="preserve">Criomarcador indeleble punta ultra fina color negro </v>
      </c>
      <c r="C167" s="22" t="str">
        <f>Distribución_Elementos!C167</f>
        <v>VWR o equivalente</v>
      </c>
      <c r="D167" s="22" t="str">
        <f>Distribución_Elementos!D167</f>
        <v>Unidad</v>
      </c>
      <c r="E167" s="224">
        <v>1</v>
      </c>
      <c r="F167" s="221">
        <v>28604.823333333334</v>
      </c>
      <c r="G167" s="221">
        <v>27727</v>
      </c>
      <c r="H167" s="221">
        <v>28996.012033333333</v>
      </c>
      <c r="I167" s="221">
        <v>0</v>
      </c>
      <c r="J167" s="221">
        <v>19419.709166666667</v>
      </c>
      <c r="K167" s="221">
        <v>4998</v>
      </c>
      <c r="L167" s="247">
        <f>AVERAGE(F167,H167,J167)</f>
        <v>25673.514844444446</v>
      </c>
      <c r="M167" s="247">
        <f>AVERAGE(G167,K167)*E1</f>
        <v>16853.375</v>
      </c>
      <c r="N167" s="227"/>
      <c r="O167" s="119"/>
      <c r="P167" s="119"/>
      <c r="Q167" s="115"/>
      <c r="R167" s="115"/>
      <c r="S167" s="11"/>
      <c r="T167" s="247"/>
      <c r="U167" s="247"/>
      <c r="V167" s="247"/>
      <c r="W167" s="17"/>
      <c r="X167" s="11"/>
      <c r="Y167" s="11"/>
      <c r="Z167" s="247"/>
      <c r="AA167" s="247"/>
      <c r="AB167" s="247"/>
      <c r="AC167" s="5"/>
      <c r="AD167" s="22"/>
      <c r="AE167" s="17"/>
      <c r="AF167" s="247"/>
      <c r="AG167" s="247"/>
      <c r="AH167" s="149"/>
      <c r="AI167" s="4"/>
      <c r="AJ167" s="17"/>
      <c r="AK167" s="17"/>
      <c r="AL167" s="102"/>
      <c r="AM167" s="132"/>
      <c r="AN167" s="132"/>
      <c r="AO167" s="115"/>
      <c r="AP167" s="115"/>
      <c r="AQ167" s="17"/>
      <c r="AR167" s="247"/>
      <c r="AS167" s="247"/>
      <c r="AT167" s="247"/>
      <c r="AU167" s="17"/>
      <c r="AV167" s="17"/>
      <c r="AW167" s="17"/>
      <c r="AX167" s="247"/>
      <c r="AY167" s="247"/>
      <c r="AZ167" s="247"/>
      <c r="BA167" s="17"/>
      <c r="BB167" s="52"/>
      <c r="BC167" s="17"/>
      <c r="BD167" s="247"/>
      <c r="BE167" s="247"/>
      <c r="BF167" s="247"/>
      <c r="BG167" s="17"/>
      <c r="BH167" s="17"/>
      <c r="BI167" s="17"/>
      <c r="BJ167" s="252">
        <v>1733.3333333333333</v>
      </c>
      <c r="BK167" s="247">
        <f t="shared" si="55"/>
        <v>329.33333333333331</v>
      </c>
      <c r="BL167" s="247">
        <f t="shared" si="56"/>
        <v>2062.6666666666665</v>
      </c>
      <c r="BM167" s="190" t="s">
        <v>1571</v>
      </c>
      <c r="BN167" s="190" t="s">
        <v>1570</v>
      </c>
      <c r="BO167" s="17"/>
      <c r="BP167" s="247">
        <v>78500</v>
      </c>
      <c r="BQ167" s="247">
        <f t="shared" si="48"/>
        <v>14915</v>
      </c>
      <c r="BR167" s="247">
        <f t="shared" si="52"/>
        <v>93415</v>
      </c>
      <c r="BS167" s="17"/>
      <c r="BT167" s="17"/>
      <c r="BU167" s="17"/>
      <c r="BV167" s="195">
        <f>23587.9488/12</f>
        <v>1965.6623999999999</v>
      </c>
      <c r="BW167" s="195">
        <f t="shared" si="57"/>
        <v>373.47585599999996</v>
      </c>
      <c r="BX167" s="246">
        <f t="shared" si="58"/>
        <v>2339.1382559999997</v>
      </c>
      <c r="BY167" s="190" t="s">
        <v>1571</v>
      </c>
      <c r="BZ167" s="190" t="s">
        <v>1570</v>
      </c>
      <c r="CA167" s="190"/>
      <c r="CB167" s="247"/>
      <c r="CC167" s="247"/>
      <c r="CD167" s="247"/>
      <c r="CE167" s="17"/>
      <c r="CF167" s="17"/>
      <c r="CG167" s="17"/>
      <c r="CH167" s="247"/>
      <c r="CI167" s="247"/>
      <c r="CJ167" s="247"/>
      <c r="CK167" s="17"/>
      <c r="CL167" s="17"/>
      <c r="CM167" s="17"/>
      <c r="CN167" s="17"/>
      <c r="CO167" s="17"/>
      <c r="CP167" s="11"/>
      <c r="CQ167" s="11"/>
      <c r="CR167" s="11"/>
      <c r="CS167" s="11"/>
      <c r="CT167" s="247"/>
      <c r="CU167" s="247"/>
      <c r="CV167" s="247"/>
      <c r="CW167" s="11"/>
      <c r="CX167" s="11"/>
      <c r="CY167" s="11"/>
      <c r="CZ167" s="11"/>
      <c r="DA167" s="11"/>
      <c r="DB167" s="11"/>
      <c r="DC167" s="11"/>
      <c r="DD167" s="11"/>
      <c r="DE167" s="11"/>
      <c r="DF167" s="11"/>
      <c r="DG167" s="11"/>
      <c r="DH167" s="11"/>
      <c r="DI167" s="11"/>
      <c r="DJ167" s="11"/>
      <c r="DK167" s="11"/>
      <c r="DL167" s="247"/>
      <c r="DM167" s="247"/>
      <c r="DN167" s="247"/>
      <c r="DO167" s="247"/>
      <c r="DP167" s="247"/>
      <c r="DQ167" s="247"/>
      <c r="DR167" s="247"/>
      <c r="DS167" s="247"/>
      <c r="DT167" s="247"/>
      <c r="DU167" s="247"/>
      <c r="DV167" s="247"/>
      <c r="DW167" s="247"/>
      <c r="DX167" s="247"/>
      <c r="DY167" s="247"/>
      <c r="DZ167" s="247"/>
      <c r="EA167" s="247"/>
      <c r="EB167" s="247"/>
      <c r="EC167" s="247"/>
      <c r="ED167" s="17">
        <f t="shared" si="49"/>
        <v>114670.17992266668</v>
      </c>
      <c r="EE167" s="29">
        <f t="shared" si="50"/>
        <v>4</v>
      </c>
      <c r="EF167" s="17">
        <f t="shared" si="51"/>
        <v>28667.544980666669</v>
      </c>
    </row>
    <row r="168" spans="1:136" ht="38.25" x14ac:dyDescent="0.25">
      <c r="A168" s="25">
        <f>Distribución_Elementos!A168</f>
        <v>166</v>
      </c>
      <c r="B168" s="22" t="str">
        <f>Distribución_Elementos!B168</f>
        <v>Criovial 1 -1,2ml cónico estéril tapa rosca con base plana. Rosca interna, fondo redondo con base, libres de tóxicos y de pirógenos</v>
      </c>
      <c r="C168" s="22" t="str">
        <f>Distribución_Elementos!C168</f>
        <v>Fisher o equivalente</v>
      </c>
      <c r="D168" s="22" t="str">
        <f>Distribución_Elementos!D168</f>
        <v xml:space="preserve">Paquete x 1000 </v>
      </c>
      <c r="E168" s="224">
        <v>1</v>
      </c>
      <c r="F168" s="221">
        <v>1110270</v>
      </c>
      <c r="G168" s="221">
        <v>1110270</v>
      </c>
      <c r="H168" s="221">
        <v>0</v>
      </c>
      <c r="I168" s="221">
        <v>0</v>
      </c>
      <c r="J168" s="221">
        <v>1165783.5</v>
      </c>
      <c r="K168" s="221">
        <v>1165010</v>
      </c>
      <c r="L168" s="247">
        <f>AVERAGE(F168,J168)</f>
        <v>1138026.75</v>
      </c>
      <c r="M168" s="247">
        <f>AVERAGE(G168,K168)*E1</f>
        <v>1171769.2</v>
      </c>
      <c r="N168" s="227"/>
      <c r="O168" s="119"/>
      <c r="P168" s="119"/>
      <c r="Q168" s="115"/>
      <c r="R168" s="115"/>
      <c r="S168" s="11"/>
      <c r="T168" s="247"/>
      <c r="U168" s="247"/>
      <c r="V168" s="247"/>
      <c r="W168" s="17"/>
      <c r="X168" s="11"/>
      <c r="Y168" s="11"/>
      <c r="Z168" s="247"/>
      <c r="AA168" s="247"/>
      <c r="AB168" s="247"/>
      <c r="AC168" s="44"/>
      <c r="AD168" s="22"/>
      <c r="AE168" s="17"/>
      <c r="AF168" s="247"/>
      <c r="AG168" s="247"/>
      <c r="AH168" s="151"/>
      <c r="AI168" s="4"/>
      <c r="AJ168" s="17"/>
      <c r="AK168" s="17"/>
      <c r="AL168" s="102"/>
      <c r="AM168" s="132"/>
      <c r="AN168" s="161"/>
      <c r="AO168" s="115"/>
      <c r="AP168" s="115"/>
      <c r="AQ168" s="17"/>
      <c r="AR168" s="247"/>
      <c r="AS168" s="247"/>
      <c r="AT168" s="247"/>
      <c r="AU168" s="17"/>
      <c r="AV168" s="17"/>
      <c r="AW168" s="17"/>
      <c r="AX168" s="247"/>
      <c r="AY168" s="247"/>
      <c r="AZ168" s="247"/>
      <c r="BA168" s="17"/>
      <c r="BB168" s="52"/>
      <c r="BC168" s="17"/>
      <c r="BD168" s="102">
        <f>89234*10</f>
        <v>892340</v>
      </c>
      <c r="BE168" s="247">
        <f>+BD168*0.19</f>
        <v>169544.6</v>
      </c>
      <c r="BF168" s="247">
        <f>+BD168+BE168</f>
        <v>1061884.6000000001</v>
      </c>
      <c r="BG168" s="186" t="s">
        <v>1572</v>
      </c>
      <c r="BH168" s="184" t="s">
        <v>1573</v>
      </c>
      <c r="BI168" s="5" t="s">
        <v>1574</v>
      </c>
      <c r="BJ168" s="252">
        <v>2522800</v>
      </c>
      <c r="BK168" s="247">
        <f t="shared" si="55"/>
        <v>479332</v>
      </c>
      <c r="BL168" s="247">
        <f t="shared" si="56"/>
        <v>3002132</v>
      </c>
      <c r="BM168" s="190" t="s">
        <v>1575</v>
      </c>
      <c r="BN168" s="190" t="s">
        <v>1565</v>
      </c>
      <c r="BO168" s="17"/>
      <c r="BP168" s="247">
        <v>785000</v>
      </c>
      <c r="BQ168" s="247">
        <f t="shared" si="48"/>
        <v>149150</v>
      </c>
      <c r="BR168" s="247">
        <f t="shared" si="52"/>
        <v>934150</v>
      </c>
      <c r="BS168" s="17"/>
      <c r="BT168" s="17"/>
      <c r="BU168" s="17"/>
      <c r="BV168" s="199"/>
      <c r="BW168" s="195"/>
      <c r="BX168" s="246"/>
      <c r="BY168" s="190"/>
      <c r="BZ168" s="190"/>
      <c r="CA168" s="190"/>
      <c r="CB168" s="247"/>
      <c r="CC168" s="247"/>
      <c r="CD168" s="247"/>
      <c r="CE168" s="17"/>
      <c r="CF168" s="17"/>
      <c r="CG168" s="17"/>
      <c r="CH168" s="247"/>
      <c r="CI168" s="247"/>
      <c r="CJ168" s="247"/>
      <c r="CK168" s="17"/>
      <c r="CL168" s="17"/>
      <c r="CM168" s="17"/>
      <c r="CN168" s="17"/>
      <c r="CO168" s="17"/>
      <c r="CP168" s="11"/>
      <c r="CQ168" s="11"/>
      <c r="CR168" s="11"/>
      <c r="CS168" s="11"/>
      <c r="CT168" s="247"/>
      <c r="CU168" s="247"/>
      <c r="CV168" s="247"/>
      <c r="CW168" s="11"/>
      <c r="CX168" s="11"/>
      <c r="CY168" s="11"/>
      <c r="CZ168" s="11"/>
      <c r="DA168" s="11"/>
      <c r="DB168" s="11"/>
      <c r="DC168" s="11"/>
      <c r="DD168" s="11"/>
      <c r="DE168" s="11"/>
      <c r="DF168" s="11"/>
      <c r="DG168" s="11"/>
      <c r="DH168" s="11"/>
      <c r="DI168" s="11"/>
      <c r="DJ168" s="11"/>
      <c r="DK168" s="11"/>
      <c r="DL168" s="247"/>
      <c r="DM168" s="247"/>
      <c r="DN168" s="247"/>
      <c r="DO168" s="247"/>
      <c r="DP168" s="247"/>
      <c r="DQ168" s="247"/>
      <c r="DR168" s="247"/>
      <c r="DS168" s="247"/>
      <c r="DT168" s="247"/>
      <c r="DU168" s="247"/>
      <c r="DV168" s="247"/>
      <c r="DW168" s="247"/>
      <c r="DX168" s="247"/>
      <c r="DY168" s="247"/>
      <c r="DZ168" s="247"/>
      <c r="EA168" s="247"/>
      <c r="EB168" s="247"/>
      <c r="EC168" s="247"/>
      <c r="ED168" s="17">
        <f t="shared" si="49"/>
        <v>6169935.7999999998</v>
      </c>
      <c r="EE168" s="29">
        <f t="shared" si="50"/>
        <v>4</v>
      </c>
      <c r="EF168" s="17">
        <f t="shared" si="51"/>
        <v>1542483.95</v>
      </c>
    </row>
    <row r="169" spans="1:136" ht="38.25" x14ac:dyDescent="0.25">
      <c r="A169" s="25">
        <f>Distribución_Elementos!A169</f>
        <v>167</v>
      </c>
      <c r="B169" s="22" t="str">
        <f>Distribución_Elementos!B169</f>
        <v>Criovial 2 ml estéril, tapa rosca en polipropileno base plana. Rosca interna, fondo redondo con base, estériles de 12.5 x 49 mm libres de tóxicos y de pirógenos</v>
      </c>
      <c r="C169" s="22" t="str">
        <f>Distribución_Elementos!C169</f>
        <v>Fisher 12-567-501 o equivalente</v>
      </c>
      <c r="D169" s="22" t="str">
        <f>Distribución_Elementos!D169</f>
        <v>Caja x 1000</v>
      </c>
      <c r="E169" s="224">
        <v>1</v>
      </c>
      <c r="F169" s="221">
        <v>2621530.333333333</v>
      </c>
      <c r="G169" s="221">
        <v>2542792</v>
      </c>
      <c r="H169" s="221">
        <v>967092.17500000005</v>
      </c>
      <c r="I169" s="221">
        <v>0</v>
      </c>
      <c r="J169" s="221">
        <v>1647610.5333333332</v>
      </c>
      <c r="K169" s="221">
        <v>1646960</v>
      </c>
      <c r="L169" s="247">
        <f>AVERAGE(F169,H169,J169)</f>
        <v>1745411.0138888888</v>
      </c>
      <c r="M169" s="247">
        <f>AVERAGE(G169,K169)*E1</f>
        <v>2157722.2800000003</v>
      </c>
      <c r="N169" s="227">
        <v>2200000</v>
      </c>
      <c r="O169" s="119">
        <f>+N169*0.19</f>
        <v>418000</v>
      </c>
      <c r="P169" s="119">
        <f>+N169+O169</f>
        <v>2618000</v>
      </c>
      <c r="Q169" s="115"/>
      <c r="R169" s="115"/>
      <c r="S169" s="11"/>
      <c r="T169" s="247"/>
      <c r="U169" s="247"/>
      <c r="V169" s="247"/>
      <c r="W169" s="17"/>
      <c r="X169" s="11"/>
      <c r="Y169" s="11"/>
      <c r="Z169" s="247">
        <v>710000</v>
      </c>
      <c r="AA169" s="247">
        <f>+Z169*0.19</f>
        <v>134900</v>
      </c>
      <c r="AB169" s="247">
        <f>+Z169+AA169</f>
        <v>844900</v>
      </c>
      <c r="AC169" s="44" t="s">
        <v>1576</v>
      </c>
      <c r="AD169" s="22" t="s">
        <v>1539</v>
      </c>
      <c r="AE169" s="17"/>
      <c r="AF169" s="247"/>
      <c r="AG169" s="247"/>
      <c r="AH169" s="151"/>
      <c r="AI169" s="4"/>
      <c r="AJ169" s="17"/>
      <c r="AK169" s="17"/>
      <c r="AL169" s="102"/>
      <c r="AM169" s="132"/>
      <c r="AN169" s="161"/>
      <c r="AO169" s="115"/>
      <c r="AP169" s="115"/>
      <c r="AQ169" s="17"/>
      <c r="AR169" s="247"/>
      <c r="AS169" s="247"/>
      <c r="AT169" s="247"/>
      <c r="AU169" s="17"/>
      <c r="AV169" s="17"/>
      <c r="AW169" s="17"/>
      <c r="AX169" s="247"/>
      <c r="AY169" s="247"/>
      <c r="AZ169" s="247"/>
      <c r="BA169" s="17"/>
      <c r="BB169" s="52"/>
      <c r="BC169" s="17"/>
      <c r="BD169" s="102">
        <f>103000*10</f>
        <v>1030000</v>
      </c>
      <c r="BE169" s="247">
        <f>+BD169*0.19</f>
        <v>195700</v>
      </c>
      <c r="BF169" s="247">
        <f>+BD169+BE169</f>
        <v>1225700</v>
      </c>
      <c r="BG169" s="186" t="s">
        <v>1572</v>
      </c>
      <c r="BH169" s="184" t="s">
        <v>1577</v>
      </c>
      <c r="BI169" s="5" t="s">
        <v>1578</v>
      </c>
      <c r="BJ169" s="252">
        <v>4693100</v>
      </c>
      <c r="BK169" s="247">
        <f t="shared" si="55"/>
        <v>891689</v>
      </c>
      <c r="BL169" s="247">
        <f t="shared" si="56"/>
        <v>5584789</v>
      </c>
      <c r="BM169" s="190" t="s">
        <v>1575</v>
      </c>
      <c r="BN169" s="190" t="s">
        <v>316</v>
      </c>
      <c r="BO169" s="17"/>
      <c r="BP169" s="247">
        <f>398000*2</f>
        <v>796000</v>
      </c>
      <c r="BQ169" s="247">
        <f t="shared" si="48"/>
        <v>151240</v>
      </c>
      <c r="BR169" s="247">
        <f t="shared" si="52"/>
        <v>947240</v>
      </c>
      <c r="BS169" s="17"/>
      <c r="BT169" s="17"/>
      <c r="BU169" s="17"/>
      <c r="BV169" s="199"/>
      <c r="BW169" s="195"/>
      <c r="BX169" s="246"/>
      <c r="BY169" s="190"/>
      <c r="BZ169" s="190"/>
      <c r="CA169" s="190"/>
      <c r="CB169" s="247"/>
      <c r="CC169" s="247"/>
      <c r="CD169" s="247"/>
      <c r="CE169" s="17"/>
      <c r="CF169" s="17"/>
      <c r="CG169" s="17"/>
      <c r="CH169" s="247"/>
      <c r="CI169" s="247"/>
      <c r="CJ169" s="247"/>
      <c r="CK169" s="17"/>
      <c r="CL169" s="17"/>
      <c r="CM169" s="17"/>
      <c r="CN169" s="17"/>
      <c r="CO169" s="17"/>
      <c r="CP169" s="11"/>
      <c r="CQ169" s="11"/>
      <c r="CR169" s="11"/>
      <c r="CS169" s="11"/>
      <c r="CT169" s="247"/>
      <c r="CU169" s="247"/>
      <c r="CV169" s="247"/>
      <c r="CW169" s="11"/>
      <c r="CX169" s="11"/>
      <c r="CY169" s="11"/>
      <c r="CZ169" s="11"/>
      <c r="DA169" s="11"/>
      <c r="DB169" s="11"/>
      <c r="DC169" s="11"/>
      <c r="DD169" s="11"/>
      <c r="DE169" s="11"/>
      <c r="DF169" s="11"/>
      <c r="DG169" s="11"/>
      <c r="DH169" s="11"/>
      <c r="DI169" s="11"/>
      <c r="DJ169" s="11"/>
      <c r="DK169" s="11"/>
      <c r="DL169" s="247"/>
      <c r="DM169" s="247"/>
      <c r="DN169" s="247"/>
      <c r="DO169" s="247"/>
      <c r="DP169" s="247"/>
      <c r="DQ169" s="247"/>
      <c r="DR169" s="247"/>
      <c r="DS169" s="247"/>
      <c r="DT169" s="247"/>
      <c r="DU169" s="247"/>
      <c r="DV169" s="247"/>
      <c r="DW169" s="247"/>
      <c r="DX169" s="247"/>
      <c r="DY169" s="247"/>
      <c r="DZ169" s="247"/>
      <c r="EA169" s="247"/>
      <c r="EB169" s="247"/>
      <c r="EC169" s="247"/>
      <c r="ED169" s="17">
        <f t="shared" si="49"/>
        <v>13378351.280000001</v>
      </c>
      <c r="EE169" s="29">
        <f t="shared" si="50"/>
        <v>6</v>
      </c>
      <c r="EF169" s="17">
        <f t="shared" si="51"/>
        <v>2229725.2133333334</v>
      </c>
    </row>
    <row r="170" spans="1:136" ht="51" x14ac:dyDescent="0.25">
      <c r="A170" s="25">
        <f>Distribución_Elementos!A170</f>
        <v>168</v>
      </c>
      <c r="B170" s="22" t="str">
        <f>Distribución_Elementos!B170</f>
        <v>Criovial 5 ml estéril, tapa rosca en polipropileno base plana. Medidas 12.5 a 13.5 x 90 a 92 mm. Rosca interna, fondo redondo con base, estériles de 12.5 a 13.5 x 90 a 92 mm libres de tóxicos y de pirógenos</v>
      </c>
      <c r="C170" s="22" t="str">
        <f>Distribución_Elementos!C170</f>
        <v>Fisher o equivalente</v>
      </c>
      <c r="D170" s="22" t="str">
        <f>Distribución_Elementos!D170</f>
        <v xml:space="preserve">Caja x 250 </v>
      </c>
      <c r="E170" s="224">
        <v>1</v>
      </c>
      <c r="F170" s="221">
        <v>0</v>
      </c>
      <c r="G170" s="221">
        <v>0</v>
      </c>
      <c r="H170" s="221">
        <v>0</v>
      </c>
      <c r="I170" s="221">
        <v>0</v>
      </c>
      <c r="J170" s="221">
        <v>1206477.5333333334</v>
      </c>
      <c r="K170" s="221">
        <v>0</v>
      </c>
      <c r="L170" s="247">
        <f>J170</f>
        <v>1206477.5333333334</v>
      </c>
      <c r="M170" s="247"/>
      <c r="N170" s="227"/>
      <c r="O170" s="119"/>
      <c r="P170" s="119"/>
      <c r="Q170" s="115"/>
      <c r="R170" s="115"/>
      <c r="S170" s="11"/>
      <c r="T170" s="247"/>
      <c r="U170" s="247"/>
      <c r="V170" s="247"/>
      <c r="W170" s="17"/>
      <c r="X170" s="11"/>
      <c r="Y170" s="11"/>
      <c r="Z170" s="247">
        <f>1500000/2</f>
        <v>750000</v>
      </c>
      <c r="AA170" s="247">
        <f>+Z170*0.19</f>
        <v>142500</v>
      </c>
      <c r="AB170" s="247">
        <f>+Z170+AA170</f>
        <v>892500</v>
      </c>
      <c r="AC170" s="44" t="s">
        <v>1525</v>
      </c>
      <c r="AD170" s="22" t="s">
        <v>1579</v>
      </c>
      <c r="AE170" s="17"/>
      <c r="AF170" s="247"/>
      <c r="AG170" s="247"/>
      <c r="AH170" s="151"/>
      <c r="AI170" s="4"/>
      <c r="AJ170" s="17"/>
      <c r="AK170" s="17"/>
      <c r="AL170" s="102"/>
      <c r="AM170" s="132"/>
      <c r="AN170" s="161"/>
      <c r="AO170" s="115"/>
      <c r="AP170" s="115"/>
      <c r="AQ170" s="17"/>
      <c r="AR170" s="247"/>
      <c r="AS170" s="247"/>
      <c r="AT170" s="247"/>
      <c r="AU170" s="17"/>
      <c r="AV170" s="17"/>
      <c r="AW170" s="17"/>
      <c r="AX170" s="247"/>
      <c r="AY170" s="247"/>
      <c r="AZ170" s="247"/>
      <c r="BA170" s="17"/>
      <c r="BB170" s="52"/>
      <c r="BC170" s="17"/>
      <c r="BD170" s="102">
        <f>+(520112/100)*250</f>
        <v>1300280</v>
      </c>
      <c r="BE170" s="247">
        <f>+BD170*0.19</f>
        <v>247053.2</v>
      </c>
      <c r="BF170" s="247">
        <f>+BD170+BE170</f>
        <v>1547333.2</v>
      </c>
      <c r="BG170" s="25" t="s">
        <v>1572</v>
      </c>
      <c r="BH170" s="184" t="s">
        <v>1580</v>
      </c>
      <c r="BI170" s="5" t="s">
        <v>1581</v>
      </c>
      <c r="BJ170" s="252">
        <f>5445400/4</f>
        <v>1361350</v>
      </c>
      <c r="BK170" s="247">
        <f t="shared" si="55"/>
        <v>258656.5</v>
      </c>
      <c r="BL170" s="247">
        <f t="shared" si="56"/>
        <v>1620006.5</v>
      </c>
      <c r="BM170" s="190" t="s">
        <v>1575</v>
      </c>
      <c r="BN170" s="190" t="s">
        <v>316</v>
      </c>
      <c r="BO170" s="17"/>
      <c r="BP170" s="247">
        <v>563000</v>
      </c>
      <c r="BQ170" s="247">
        <f t="shared" si="48"/>
        <v>106970</v>
      </c>
      <c r="BR170" s="247">
        <f t="shared" si="52"/>
        <v>669970</v>
      </c>
      <c r="BS170" s="17"/>
      <c r="BT170" s="17"/>
      <c r="BU170" s="17"/>
      <c r="BV170" s="199"/>
      <c r="BW170" s="195"/>
      <c r="BX170" s="246"/>
      <c r="BY170" s="190"/>
      <c r="BZ170" s="190"/>
      <c r="CA170" s="190"/>
      <c r="CB170" s="247"/>
      <c r="CC170" s="247"/>
      <c r="CD170" s="247"/>
      <c r="CE170" s="17"/>
      <c r="CF170" s="17"/>
      <c r="CG170" s="17"/>
      <c r="CH170" s="247"/>
      <c r="CI170" s="247"/>
      <c r="CJ170" s="247"/>
      <c r="CK170" s="17"/>
      <c r="CL170" s="17"/>
      <c r="CM170" s="17"/>
      <c r="CN170" s="17"/>
      <c r="CO170" s="17"/>
      <c r="CP170" s="11"/>
      <c r="CQ170" s="11"/>
      <c r="CR170" s="11"/>
      <c r="CS170" s="11"/>
      <c r="CT170" s="247"/>
      <c r="CU170" s="247"/>
      <c r="CV170" s="247"/>
      <c r="CW170" s="11"/>
      <c r="CX170" s="11"/>
      <c r="CY170" s="11"/>
      <c r="CZ170" s="11"/>
      <c r="DA170" s="11"/>
      <c r="DB170" s="11"/>
      <c r="DC170" s="11"/>
      <c r="DD170" s="11"/>
      <c r="DE170" s="11"/>
      <c r="DF170" s="11"/>
      <c r="DG170" s="11"/>
      <c r="DH170" s="11"/>
      <c r="DI170" s="11"/>
      <c r="DJ170" s="11"/>
      <c r="DK170" s="11"/>
      <c r="DL170" s="247"/>
      <c r="DM170" s="247"/>
      <c r="DN170" s="247"/>
      <c r="DO170" s="247"/>
      <c r="DP170" s="247"/>
      <c r="DQ170" s="247"/>
      <c r="DR170" s="247"/>
      <c r="DS170" s="247"/>
      <c r="DT170" s="247"/>
      <c r="DU170" s="247"/>
      <c r="DV170" s="247"/>
      <c r="DW170" s="247"/>
      <c r="DX170" s="247"/>
      <c r="DY170" s="247"/>
      <c r="DZ170" s="247"/>
      <c r="EA170" s="247"/>
      <c r="EB170" s="247"/>
      <c r="EC170" s="247"/>
      <c r="ED170" s="17">
        <f t="shared" si="49"/>
        <v>4729809.7</v>
      </c>
      <c r="EE170" s="29">
        <f t="shared" si="50"/>
        <v>4</v>
      </c>
      <c r="EF170" s="17">
        <f t="shared" si="51"/>
        <v>1182452.425</v>
      </c>
    </row>
    <row r="171" spans="1:136" x14ac:dyDescent="0.25">
      <c r="A171" s="25">
        <f>Distribución_Elementos!A171</f>
        <v>169</v>
      </c>
      <c r="B171" s="22" t="str">
        <f>Distribución_Elementos!B171</f>
        <v>Crisoles en porcelana para ceniza de 30mL</v>
      </c>
      <c r="C171" s="22" t="str">
        <f>Distribución_Elementos!C171</f>
        <v>Cualquier marca</v>
      </c>
      <c r="D171" s="22" t="str">
        <f>Distribución_Elementos!D171</f>
        <v>Unidad</v>
      </c>
      <c r="E171" s="224">
        <v>1</v>
      </c>
      <c r="F171" s="221">
        <v>85144.5</v>
      </c>
      <c r="G171" s="221">
        <v>30940</v>
      </c>
      <c r="H171" s="221">
        <v>45556.518336604517</v>
      </c>
      <c r="I171" s="221">
        <v>14946</v>
      </c>
      <c r="J171" s="221">
        <v>101533.44444444444</v>
      </c>
      <c r="K171" s="221">
        <v>101150</v>
      </c>
      <c r="L171" s="247">
        <f>AVERAGE(F171,H171,J171)</f>
        <v>77411.487593682992</v>
      </c>
      <c r="M171" s="247">
        <f>AVERAGE(G171,I171,K171)*E1</f>
        <v>50482.36</v>
      </c>
      <c r="N171" s="227">
        <v>75000</v>
      </c>
      <c r="O171" s="119">
        <f>+N171*0.19</f>
        <v>14250</v>
      </c>
      <c r="P171" s="119">
        <f>+N171+O171</f>
        <v>89250</v>
      </c>
      <c r="Q171" s="115"/>
      <c r="R171" s="115"/>
      <c r="S171" s="11"/>
      <c r="T171" s="247">
        <v>13860.000000000002</v>
      </c>
      <c r="U171" s="247">
        <f>+T171*0.19</f>
        <v>2633.4000000000005</v>
      </c>
      <c r="V171" s="247">
        <f>+T171+U171</f>
        <v>16493.400000000001</v>
      </c>
      <c r="W171" s="17" t="s">
        <v>1514</v>
      </c>
      <c r="X171" s="11" t="s">
        <v>1582</v>
      </c>
      <c r="Y171" s="11"/>
      <c r="Z171" s="247"/>
      <c r="AA171" s="247"/>
      <c r="AB171" s="247"/>
      <c r="AC171" s="44"/>
      <c r="AD171" s="22"/>
      <c r="AE171" s="17"/>
      <c r="AF171" s="247"/>
      <c r="AG171" s="247"/>
      <c r="AH171" s="151"/>
      <c r="AI171" s="22"/>
      <c r="AJ171" s="17"/>
      <c r="AK171" s="17"/>
      <c r="AL171" s="102"/>
      <c r="AM171" s="132"/>
      <c r="AN171" s="161"/>
      <c r="AO171" s="115"/>
      <c r="AP171" s="115"/>
      <c r="AQ171" s="17"/>
      <c r="AR171" s="247"/>
      <c r="AS171" s="247"/>
      <c r="AT171" s="247"/>
      <c r="AU171" s="17"/>
      <c r="AV171" s="17"/>
      <c r="AW171" s="17"/>
      <c r="AX171" s="247"/>
      <c r="AY171" s="247"/>
      <c r="AZ171" s="247"/>
      <c r="BA171" s="17"/>
      <c r="BB171" s="52"/>
      <c r="BC171" s="17"/>
      <c r="BD171" s="247"/>
      <c r="BE171" s="247"/>
      <c r="BF171" s="247"/>
      <c r="BG171" s="17"/>
      <c r="BH171" s="17"/>
      <c r="BI171" s="17"/>
      <c r="BJ171" s="252">
        <v>86200</v>
      </c>
      <c r="BK171" s="247">
        <f t="shared" si="55"/>
        <v>16378</v>
      </c>
      <c r="BL171" s="247">
        <f t="shared" si="56"/>
        <v>102578</v>
      </c>
      <c r="BM171" s="191" t="s">
        <v>140</v>
      </c>
      <c r="BN171" s="190" t="s">
        <v>316</v>
      </c>
      <c r="BO171" s="17"/>
      <c r="BP171" s="247">
        <v>45600</v>
      </c>
      <c r="BQ171" s="247">
        <f t="shared" si="48"/>
        <v>8664</v>
      </c>
      <c r="BR171" s="247">
        <f t="shared" si="52"/>
        <v>54264</v>
      </c>
      <c r="BS171" s="17"/>
      <c r="BT171" s="17"/>
      <c r="BU171" s="17"/>
      <c r="BV171" s="195">
        <v>103588.69500000001</v>
      </c>
      <c r="BW171" s="195">
        <f t="shared" si="57"/>
        <v>19681.852050000001</v>
      </c>
      <c r="BX171" s="246">
        <f t="shared" si="58"/>
        <v>123270.54705000001</v>
      </c>
      <c r="BY171" s="191" t="s">
        <v>140</v>
      </c>
      <c r="BZ171" s="190" t="s">
        <v>316</v>
      </c>
      <c r="CA171" s="190"/>
      <c r="CB171" s="247"/>
      <c r="CC171" s="247"/>
      <c r="CD171" s="247"/>
      <c r="CE171" s="17"/>
      <c r="CF171" s="17"/>
      <c r="CG171" s="17"/>
      <c r="CH171" s="247"/>
      <c r="CI171" s="247"/>
      <c r="CJ171" s="247"/>
      <c r="CK171" s="17"/>
      <c r="CL171" s="17"/>
      <c r="CM171" s="17"/>
      <c r="CN171" s="17"/>
      <c r="CO171" s="17"/>
      <c r="CP171" s="11"/>
      <c r="CQ171" s="11"/>
      <c r="CR171" s="11"/>
      <c r="CS171" s="11"/>
      <c r="CT171" s="247"/>
      <c r="CU171" s="247"/>
      <c r="CV171" s="247"/>
      <c r="CW171" s="11"/>
      <c r="CX171" s="11"/>
      <c r="CY171" s="11"/>
      <c r="CZ171" s="11"/>
      <c r="DA171" s="11"/>
      <c r="DB171" s="11"/>
      <c r="DC171" s="11"/>
      <c r="DD171" s="11"/>
      <c r="DE171" s="11"/>
      <c r="DF171" s="11"/>
      <c r="DG171" s="11"/>
      <c r="DH171" s="11"/>
      <c r="DI171" s="11"/>
      <c r="DJ171" s="11"/>
      <c r="DK171" s="11"/>
      <c r="DL171" s="247"/>
      <c r="DM171" s="247"/>
      <c r="DN171" s="247"/>
      <c r="DO171" s="247"/>
      <c r="DP171" s="247"/>
      <c r="DQ171" s="247"/>
      <c r="DR171" s="247"/>
      <c r="DS171" s="247"/>
      <c r="DT171" s="247"/>
      <c r="DU171" s="247"/>
      <c r="DV171" s="247"/>
      <c r="DW171" s="247"/>
      <c r="DX171" s="247"/>
      <c r="DY171" s="247"/>
      <c r="DZ171" s="247"/>
      <c r="EA171" s="247"/>
      <c r="EB171" s="247"/>
      <c r="EC171" s="247"/>
      <c r="ED171" s="17">
        <f t="shared" si="49"/>
        <v>436338.30705</v>
      </c>
      <c r="EE171" s="29">
        <f t="shared" si="50"/>
        <v>6</v>
      </c>
      <c r="EF171" s="17">
        <f t="shared" si="51"/>
        <v>72723.051175000001</v>
      </c>
    </row>
    <row r="172" spans="1:136" x14ac:dyDescent="0.25">
      <c r="A172" s="25">
        <f>Distribución_Elementos!A172</f>
        <v>170</v>
      </c>
      <c r="B172" s="22" t="str">
        <f>Distribución_Elementos!B172</f>
        <v>Cubeta plastica rectangular  de laboratorio  534X634X140 mm</v>
      </c>
      <c r="C172" s="22" t="str">
        <f>Distribución_Elementos!C172</f>
        <v>Cualquier marca</v>
      </c>
      <c r="D172" s="22" t="str">
        <f>Distribución_Elementos!D172</f>
        <v>Unidad</v>
      </c>
      <c r="E172" s="224">
        <v>1</v>
      </c>
      <c r="F172" s="221">
        <v>83300</v>
      </c>
      <c r="G172" s="221">
        <v>83300</v>
      </c>
      <c r="H172" s="221">
        <v>84728.595000000001</v>
      </c>
      <c r="I172" s="221">
        <v>0</v>
      </c>
      <c r="J172" s="221">
        <v>87465</v>
      </c>
      <c r="K172" s="221">
        <v>0</v>
      </c>
      <c r="L172" s="247">
        <f>AVERAGE(F172,H172,J172)</f>
        <v>85164.531666666662</v>
      </c>
      <c r="M172" s="247">
        <f>G172*E1</f>
        <v>85799</v>
      </c>
      <c r="N172" s="227"/>
      <c r="O172" s="119"/>
      <c r="P172" s="119"/>
      <c r="Q172" s="115"/>
      <c r="R172" s="115"/>
      <c r="S172" s="11"/>
      <c r="T172" s="247"/>
      <c r="U172" s="247"/>
      <c r="V172" s="247"/>
      <c r="W172" s="17"/>
      <c r="X172" s="11"/>
      <c r="Y172" s="11"/>
      <c r="Z172" s="247"/>
      <c r="AA172" s="247"/>
      <c r="AB172" s="247"/>
      <c r="AC172" s="44"/>
      <c r="AD172" s="22"/>
      <c r="AE172" s="17"/>
      <c r="AF172" s="247"/>
      <c r="AG172" s="247"/>
      <c r="AH172" s="151"/>
      <c r="AI172" s="22"/>
      <c r="AJ172" s="17"/>
      <c r="AK172" s="17"/>
      <c r="AL172" s="102"/>
      <c r="AM172" s="132"/>
      <c r="AN172" s="161"/>
      <c r="AO172" s="115"/>
      <c r="AP172" s="115"/>
      <c r="AQ172" s="17"/>
      <c r="AR172" s="247"/>
      <c r="AS172" s="247"/>
      <c r="AT172" s="247"/>
      <c r="AU172" s="17"/>
      <c r="AV172" s="17"/>
      <c r="AW172" s="17"/>
      <c r="AX172" s="247"/>
      <c r="AY172" s="247"/>
      <c r="AZ172" s="247"/>
      <c r="BA172" s="17"/>
      <c r="BB172" s="52"/>
      <c r="BC172" s="17"/>
      <c r="BD172" s="247"/>
      <c r="BE172" s="247"/>
      <c r="BF172" s="247"/>
      <c r="BG172" s="17"/>
      <c r="BH172" s="17"/>
      <c r="BI172" s="17"/>
      <c r="BJ172" s="247"/>
      <c r="BK172" s="247"/>
      <c r="BL172" s="247"/>
      <c r="BM172" s="190"/>
      <c r="BN172" s="190"/>
      <c r="BO172" s="17"/>
      <c r="BP172" s="247"/>
      <c r="BQ172" s="247"/>
      <c r="BR172" s="247"/>
      <c r="BS172" s="17"/>
      <c r="BT172" s="17"/>
      <c r="BU172" s="17"/>
      <c r="BV172" s="189"/>
      <c r="BW172" s="197"/>
      <c r="BX172" s="246"/>
      <c r="BY172" s="190"/>
      <c r="BZ172" s="190"/>
      <c r="CA172" s="190"/>
      <c r="CB172" s="247"/>
      <c r="CC172" s="247"/>
      <c r="CD172" s="247"/>
      <c r="CE172" s="17"/>
      <c r="CF172" s="17"/>
      <c r="CG172" s="17"/>
      <c r="CH172" s="247"/>
      <c r="CI172" s="247"/>
      <c r="CJ172" s="247"/>
      <c r="CK172" s="17"/>
      <c r="CL172" s="17"/>
      <c r="CM172" s="17"/>
      <c r="CN172" s="17"/>
      <c r="CO172" s="17"/>
      <c r="CP172" s="11"/>
      <c r="CQ172" s="11"/>
      <c r="CR172" s="11"/>
      <c r="CS172" s="11"/>
      <c r="CT172" s="247"/>
      <c r="CU172" s="247"/>
      <c r="CV172" s="247"/>
      <c r="CW172" s="11"/>
      <c r="CX172" s="11"/>
      <c r="CY172" s="11"/>
      <c r="CZ172" s="11"/>
      <c r="DA172" s="11"/>
      <c r="DB172" s="11"/>
      <c r="DC172" s="11"/>
      <c r="DD172" s="11"/>
      <c r="DE172" s="11"/>
      <c r="DF172" s="11"/>
      <c r="DG172" s="11"/>
      <c r="DH172" s="11"/>
      <c r="DI172" s="11"/>
      <c r="DJ172" s="11"/>
      <c r="DK172" s="11"/>
      <c r="DL172" s="247"/>
      <c r="DM172" s="247"/>
      <c r="DN172" s="247"/>
      <c r="DO172" s="247"/>
      <c r="DP172" s="247"/>
      <c r="DQ172" s="247"/>
      <c r="DR172" s="247"/>
      <c r="DS172" s="247"/>
      <c r="DT172" s="247"/>
      <c r="DU172" s="247"/>
      <c r="DV172" s="247"/>
      <c r="DW172" s="247"/>
      <c r="DX172" s="247"/>
      <c r="DY172" s="247"/>
      <c r="DZ172" s="247"/>
      <c r="EA172" s="247"/>
      <c r="EB172" s="247"/>
      <c r="EC172" s="247"/>
      <c r="ED172" s="17">
        <f t="shared" si="49"/>
        <v>85799</v>
      </c>
      <c r="EE172" s="29">
        <f t="shared" si="50"/>
        <v>1</v>
      </c>
      <c r="EF172" s="17">
        <f t="shared" si="51"/>
        <v>85799</v>
      </c>
    </row>
    <row r="173" spans="1:136" x14ac:dyDescent="0.25">
      <c r="A173" s="25">
        <f>Distribución_Elementos!A173</f>
        <v>171</v>
      </c>
      <c r="B173" s="22" t="str">
        <f>Distribución_Elementos!B173</f>
        <v>Cubetas plásticas para 30 huevos</v>
      </c>
      <c r="C173" s="22" t="str">
        <f>Distribución_Elementos!C173</f>
        <v>Cualquier marca</v>
      </c>
      <c r="D173" s="22" t="str">
        <f>Distribución_Elementos!D173</f>
        <v>Unidad</v>
      </c>
      <c r="E173" s="224">
        <v>1</v>
      </c>
      <c r="F173" s="221">
        <v>33320</v>
      </c>
      <c r="G173" s="221">
        <v>33320</v>
      </c>
      <c r="H173" s="221">
        <v>25767.62533333333</v>
      </c>
      <c r="I173" s="221">
        <v>0</v>
      </c>
      <c r="J173" s="221">
        <v>22044.75</v>
      </c>
      <c r="K173" s="221">
        <v>0</v>
      </c>
      <c r="L173" s="247">
        <f>AVERAGE(F173,H173,J173)</f>
        <v>27044.125111111109</v>
      </c>
      <c r="M173" s="247">
        <f>G173*E1</f>
        <v>34319.599999999999</v>
      </c>
      <c r="N173" s="227">
        <v>15000</v>
      </c>
      <c r="O173" s="119">
        <f>+N173*0.19</f>
        <v>2850</v>
      </c>
      <c r="P173" s="119">
        <f>+N173+O173</f>
        <v>17850</v>
      </c>
      <c r="Q173" s="115"/>
      <c r="R173" s="115"/>
      <c r="S173" s="11"/>
      <c r="T173" s="247"/>
      <c r="U173" s="247"/>
      <c r="V173" s="247"/>
      <c r="W173" s="17"/>
      <c r="X173" s="11"/>
      <c r="Y173" s="11"/>
      <c r="Z173" s="247"/>
      <c r="AA173" s="247"/>
      <c r="AB173" s="247"/>
      <c r="AC173" s="44"/>
      <c r="AD173" s="22"/>
      <c r="AE173" s="17"/>
      <c r="AF173" s="247"/>
      <c r="AG173" s="247"/>
      <c r="AH173" s="151"/>
      <c r="AI173" s="4"/>
      <c r="AJ173" s="17"/>
      <c r="AK173" s="17"/>
      <c r="AL173" s="102"/>
      <c r="AM173" s="132"/>
      <c r="AN173" s="161"/>
      <c r="AO173" s="115"/>
      <c r="AP173" s="115"/>
      <c r="AQ173" s="17"/>
      <c r="AR173" s="247"/>
      <c r="AS173" s="247"/>
      <c r="AT173" s="247"/>
      <c r="AU173" s="17"/>
      <c r="AV173" s="17"/>
      <c r="AW173" s="17"/>
      <c r="AX173" s="247"/>
      <c r="AY173" s="247"/>
      <c r="AZ173" s="247"/>
      <c r="BA173" s="17"/>
      <c r="BB173" s="52"/>
      <c r="BC173" s="17"/>
      <c r="BD173" s="247"/>
      <c r="BE173" s="247"/>
      <c r="BF173" s="247"/>
      <c r="BG173" s="17"/>
      <c r="BH173" s="17"/>
      <c r="BI173" s="17"/>
      <c r="BJ173" s="247"/>
      <c r="BK173" s="247"/>
      <c r="BL173" s="247"/>
      <c r="BM173" s="190"/>
      <c r="BN173" s="190"/>
      <c r="BO173" s="17"/>
      <c r="BP173" s="247">
        <v>12500</v>
      </c>
      <c r="BQ173" s="247">
        <f t="shared" si="48"/>
        <v>2375</v>
      </c>
      <c r="BR173" s="247">
        <f t="shared" si="52"/>
        <v>14875</v>
      </c>
      <c r="BS173" s="17"/>
      <c r="BT173" s="17"/>
      <c r="BU173" s="17"/>
      <c r="BV173" s="189"/>
      <c r="BW173" s="197"/>
      <c r="BX173" s="246"/>
      <c r="BY173" s="190"/>
      <c r="BZ173" s="190"/>
      <c r="CA173" s="190"/>
      <c r="CB173" s="247"/>
      <c r="CC173" s="247"/>
      <c r="CD173" s="247"/>
      <c r="CE173" s="17"/>
      <c r="CF173" s="17"/>
      <c r="CG173" s="17"/>
      <c r="CH173" s="247"/>
      <c r="CI173" s="247"/>
      <c r="CJ173" s="247"/>
      <c r="CK173" s="17"/>
      <c r="CL173" s="17"/>
      <c r="CM173" s="17"/>
      <c r="CN173" s="17"/>
      <c r="CO173" s="17"/>
      <c r="CP173" s="11"/>
      <c r="CQ173" s="11"/>
      <c r="CR173" s="11"/>
      <c r="CS173" s="11"/>
      <c r="CT173" s="247"/>
      <c r="CU173" s="247"/>
      <c r="CV173" s="247"/>
      <c r="CW173" s="11"/>
      <c r="CX173" s="11"/>
      <c r="CY173" s="11"/>
      <c r="CZ173" s="11"/>
      <c r="DA173" s="11"/>
      <c r="DB173" s="11"/>
      <c r="DC173" s="11"/>
      <c r="DD173" s="11"/>
      <c r="DE173" s="11"/>
      <c r="DF173" s="11"/>
      <c r="DG173" s="11"/>
      <c r="DH173" s="11"/>
      <c r="DI173" s="11"/>
      <c r="DJ173" s="11"/>
      <c r="DK173" s="11"/>
      <c r="DL173" s="247"/>
      <c r="DM173" s="247"/>
      <c r="DN173" s="247"/>
      <c r="DO173" s="247"/>
      <c r="DP173" s="247"/>
      <c r="DQ173" s="247"/>
      <c r="DR173" s="247"/>
      <c r="DS173" s="247"/>
      <c r="DT173" s="247"/>
      <c r="DU173" s="247"/>
      <c r="DV173" s="247"/>
      <c r="DW173" s="247"/>
      <c r="DX173" s="247"/>
      <c r="DY173" s="247"/>
      <c r="DZ173" s="247"/>
      <c r="EA173" s="247"/>
      <c r="EB173" s="247"/>
      <c r="EC173" s="247"/>
      <c r="ED173" s="17">
        <f t="shared" si="49"/>
        <v>67044.600000000006</v>
      </c>
      <c r="EE173" s="29">
        <f t="shared" si="50"/>
        <v>3</v>
      </c>
      <c r="EF173" s="17">
        <f t="shared" si="51"/>
        <v>22348.2</v>
      </c>
    </row>
    <row r="174" spans="1:136" ht="25.5" x14ac:dyDescent="0.25">
      <c r="A174" s="25">
        <f>Distribución_Elementos!A174</f>
        <v>172</v>
      </c>
      <c r="B174" s="22" t="str">
        <f>Distribución_Elementos!B174</f>
        <v xml:space="preserve">Cubreplacas (X-pierce film) </v>
      </c>
      <c r="C174" s="22" t="str">
        <f>Distribución_Elementos!C174</f>
        <v>Cualquier marca</v>
      </c>
      <c r="D174" s="22" t="str">
        <f>Distribución_Elementos!D174</f>
        <v>Bolsa X 100</v>
      </c>
      <c r="E174" s="224">
        <v>1</v>
      </c>
      <c r="F174" s="221">
        <v>1459987.2</v>
      </c>
      <c r="G174" s="221">
        <v>1416100</v>
      </c>
      <c r="H174" s="221">
        <v>1105805.3333333333</v>
      </c>
      <c r="I174" s="221">
        <v>0</v>
      </c>
      <c r="J174" s="221">
        <v>1070702.5</v>
      </c>
      <c r="K174" s="221">
        <v>0</v>
      </c>
      <c r="L174" s="247">
        <f>AVERAGE(F174,H174,J174)</f>
        <v>1212165.0111111111</v>
      </c>
      <c r="M174" s="247">
        <f>G174*E1</f>
        <v>1458583</v>
      </c>
      <c r="N174" s="227"/>
      <c r="O174" s="119"/>
      <c r="P174" s="119"/>
      <c r="Q174" s="115"/>
      <c r="R174" s="115"/>
      <c r="S174" s="11"/>
      <c r="T174" s="247"/>
      <c r="U174" s="247"/>
      <c r="V174" s="247"/>
      <c r="W174" s="17"/>
      <c r="X174" s="11"/>
      <c r="Y174" s="11"/>
      <c r="Z174" s="247">
        <v>550000</v>
      </c>
      <c r="AA174" s="247">
        <f>+Z174*0.19</f>
        <v>104500</v>
      </c>
      <c r="AB174" s="247">
        <f>+Z174+AA174</f>
        <v>654500</v>
      </c>
      <c r="AC174" s="44" t="s">
        <v>1583</v>
      </c>
      <c r="AD174" s="22" t="s">
        <v>1579</v>
      </c>
      <c r="AE174" s="17"/>
      <c r="AF174" s="247"/>
      <c r="AG174" s="247"/>
      <c r="AH174" s="151"/>
      <c r="AI174" s="4"/>
      <c r="AJ174" s="17"/>
      <c r="AK174" s="17"/>
      <c r="AL174" s="102"/>
      <c r="AM174" s="132"/>
      <c r="AN174" s="161"/>
      <c r="AO174" s="115"/>
      <c r="AP174" s="115"/>
      <c r="AQ174" s="17"/>
      <c r="AR174" s="247"/>
      <c r="AS174" s="247"/>
      <c r="AT174" s="247"/>
      <c r="AU174" s="17"/>
      <c r="AV174" s="17"/>
      <c r="AW174" s="17"/>
      <c r="AX174" s="247"/>
      <c r="AY174" s="247"/>
      <c r="AZ174" s="247"/>
      <c r="BA174" s="17"/>
      <c r="BB174" s="52"/>
      <c r="BC174" s="17"/>
      <c r="BD174" s="247"/>
      <c r="BE174" s="247"/>
      <c r="BF174" s="247"/>
      <c r="BG174" s="17"/>
      <c r="BH174" s="17"/>
      <c r="BI174" s="17"/>
      <c r="BJ174" s="247"/>
      <c r="BK174" s="247"/>
      <c r="BL174" s="247"/>
      <c r="BM174" s="190"/>
      <c r="BN174" s="190"/>
      <c r="BO174" s="17"/>
      <c r="BP174" s="247"/>
      <c r="BQ174" s="247"/>
      <c r="BR174" s="247"/>
      <c r="BS174" s="17"/>
      <c r="BT174" s="17"/>
      <c r="BU174" s="17"/>
      <c r="BV174" s="189"/>
      <c r="BW174" s="197"/>
      <c r="BX174" s="246"/>
      <c r="BY174" s="190"/>
      <c r="BZ174" s="190"/>
      <c r="CA174" s="190"/>
      <c r="CB174" s="247"/>
      <c r="CC174" s="247"/>
      <c r="CD174" s="247"/>
      <c r="CE174" s="17"/>
      <c r="CF174" s="17"/>
      <c r="CG174" s="17"/>
      <c r="CH174" s="247"/>
      <c r="CI174" s="247"/>
      <c r="CJ174" s="247"/>
      <c r="CK174" s="17"/>
      <c r="CL174" s="17"/>
      <c r="CM174" s="17"/>
      <c r="CN174" s="17"/>
      <c r="CO174" s="17"/>
      <c r="CP174" s="11"/>
      <c r="CQ174" s="11"/>
      <c r="CR174" s="11"/>
      <c r="CS174" s="11"/>
      <c r="CT174" s="247"/>
      <c r="CU174" s="247"/>
      <c r="CV174" s="247"/>
      <c r="CW174" s="11"/>
      <c r="CX174" s="11"/>
      <c r="CY174" s="11"/>
      <c r="CZ174" s="11"/>
      <c r="DA174" s="11"/>
      <c r="DB174" s="11"/>
      <c r="DC174" s="11"/>
      <c r="DD174" s="11"/>
      <c r="DE174" s="11"/>
      <c r="DF174" s="11"/>
      <c r="DG174" s="11"/>
      <c r="DH174" s="11"/>
      <c r="DI174" s="11"/>
      <c r="DJ174" s="11"/>
      <c r="DK174" s="11"/>
      <c r="DL174" s="247"/>
      <c r="DM174" s="247"/>
      <c r="DN174" s="247"/>
      <c r="DO174" s="247"/>
      <c r="DP174" s="247"/>
      <c r="DQ174" s="247"/>
      <c r="DR174" s="247"/>
      <c r="DS174" s="247"/>
      <c r="DT174" s="247"/>
      <c r="DU174" s="247"/>
      <c r="DV174" s="247"/>
      <c r="DW174" s="247"/>
      <c r="DX174" s="247"/>
      <c r="DY174" s="247"/>
      <c r="DZ174" s="247"/>
      <c r="EA174" s="247"/>
      <c r="EB174" s="247"/>
      <c r="EC174" s="247"/>
      <c r="ED174" s="17">
        <f t="shared" si="49"/>
        <v>2113083</v>
      </c>
      <c r="EE174" s="29">
        <f t="shared" si="50"/>
        <v>2</v>
      </c>
      <c r="EF174" s="17">
        <f t="shared" si="51"/>
        <v>1056541.5</v>
      </c>
    </row>
    <row r="175" spans="1:136" ht="38.25" x14ac:dyDescent="0.25">
      <c r="A175" s="25">
        <f>Distribución_Elementos!A175</f>
        <v>173</v>
      </c>
      <c r="B175" s="22" t="str">
        <f>Distribución_Elementos!B175</f>
        <v>Cuchilla minora con platino para uso con navaja de barbero</v>
      </c>
      <c r="C175" s="22" t="str">
        <f>Distribución_Elementos!C175</f>
        <v>Cualquier marca</v>
      </c>
      <c r="D175" s="22" t="str">
        <f>Distribución_Elementos!D175</f>
        <v>Carton x 60 Unidades (Caja x 5 Unidades)</v>
      </c>
      <c r="E175" s="224">
        <v>1</v>
      </c>
      <c r="F175" s="221">
        <v>0</v>
      </c>
      <c r="G175" s="221">
        <v>0</v>
      </c>
      <c r="H175" s="221">
        <v>60095</v>
      </c>
      <c r="I175" s="221">
        <v>0</v>
      </c>
      <c r="J175" s="221">
        <v>57516.666666666664</v>
      </c>
      <c r="K175" s="221">
        <v>53550</v>
      </c>
      <c r="L175" s="247">
        <f>AVERAGE(H175,J175)</f>
        <v>58805.833333333328</v>
      </c>
      <c r="M175" s="247">
        <f>K175*E1</f>
        <v>55156.5</v>
      </c>
      <c r="N175" s="227">
        <v>51000</v>
      </c>
      <c r="O175" s="119">
        <f>+N175*0.19</f>
        <v>9690</v>
      </c>
      <c r="P175" s="119">
        <f>+N175+O175</f>
        <v>60690</v>
      </c>
      <c r="Q175" s="115"/>
      <c r="R175" s="115"/>
      <c r="S175" s="11"/>
      <c r="T175" s="247"/>
      <c r="U175" s="247"/>
      <c r="V175" s="247"/>
      <c r="W175" s="17"/>
      <c r="X175" s="11"/>
      <c r="Y175" s="11"/>
      <c r="Z175" s="247"/>
      <c r="AA175" s="247"/>
      <c r="AB175" s="247"/>
      <c r="AC175" s="44"/>
      <c r="AD175" s="22"/>
      <c r="AE175" s="17"/>
      <c r="AF175" s="247"/>
      <c r="AG175" s="247"/>
      <c r="AH175" s="151"/>
      <c r="AI175" s="4"/>
      <c r="AJ175" s="17"/>
      <c r="AK175" s="17"/>
      <c r="AL175" s="102"/>
      <c r="AM175" s="132"/>
      <c r="AN175" s="161"/>
      <c r="AO175" s="115"/>
      <c r="AP175" s="115"/>
      <c r="AQ175" s="17"/>
      <c r="AR175" s="247"/>
      <c r="AS175" s="247"/>
      <c r="AT175" s="247"/>
      <c r="AU175" s="17"/>
      <c r="AV175" s="17"/>
      <c r="AW175" s="17"/>
      <c r="AX175" s="247"/>
      <c r="AY175" s="247"/>
      <c r="AZ175" s="247"/>
      <c r="BA175" s="17"/>
      <c r="BB175" s="52"/>
      <c r="BC175" s="17"/>
      <c r="BD175" s="247"/>
      <c r="BE175" s="247"/>
      <c r="BF175" s="247"/>
      <c r="BG175" s="17"/>
      <c r="BH175" s="17"/>
      <c r="BI175" s="17"/>
      <c r="BJ175" s="252">
        <v>200000</v>
      </c>
      <c r="BK175" s="247">
        <f t="shared" si="55"/>
        <v>38000</v>
      </c>
      <c r="BL175" s="247">
        <f t="shared" si="56"/>
        <v>238000</v>
      </c>
      <c r="BM175" s="190" t="s">
        <v>1584</v>
      </c>
      <c r="BN175" s="190" t="s">
        <v>153</v>
      </c>
      <c r="BO175" s="17"/>
      <c r="BP175" s="247"/>
      <c r="BQ175" s="247"/>
      <c r="BR175" s="247"/>
      <c r="BS175" s="17"/>
      <c r="BT175" s="17"/>
      <c r="BU175" s="17"/>
      <c r="BV175" s="195"/>
      <c r="BW175" s="195"/>
      <c r="BX175" s="246"/>
      <c r="BY175" s="190"/>
      <c r="BZ175" s="190"/>
      <c r="CA175" s="190"/>
      <c r="CB175" s="247"/>
      <c r="CC175" s="247"/>
      <c r="CD175" s="247"/>
      <c r="CE175" s="17"/>
      <c r="CF175" s="17"/>
      <c r="CG175" s="17"/>
      <c r="CH175" s="247"/>
      <c r="CI175" s="247"/>
      <c r="CJ175" s="247"/>
      <c r="CK175" s="17"/>
      <c r="CL175" s="17"/>
      <c r="CM175" s="17"/>
      <c r="CN175" s="17"/>
      <c r="CO175" s="17"/>
      <c r="CP175" s="11"/>
      <c r="CQ175" s="11"/>
      <c r="CR175" s="11"/>
      <c r="CS175" s="11"/>
      <c r="CT175" s="247"/>
      <c r="CU175" s="247"/>
      <c r="CV175" s="247"/>
      <c r="CW175" s="11"/>
      <c r="CX175" s="11"/>
      <c r="CY175" s="11"/>
      <c r="CZ175" s="11"/>
      <c r="DA175" s="11"/>
      <c r="DB175" s="11"/>
      <c r="DC175" s="11"/>
      <c r="DD175" s="11"/>
      <c r="DE175" s="11"/>
      <c r="DF175" s="11"/>
      <c r="DG175" s="11"/>
      <c r="DH175" s="11"/>
      <c r="DI175" s="11"/>
      <c r="DJ175" s="11"/>
      <c r="DK175" s="11"/>
      <c r="DL175" s="247"/>
      <c r="DM175" s="247"/>
      <c r="DN175" s="247"/>
      <c r="DO175" s="247"/>
      <c r="DP175" s="247"/>
      <c r="DQ175" s="247"/>
      <c r="DR175" s="247"/>
      <c r="DS175" s="247"/>
      <c r="DT175" s="247"/>
      <c r="DU175" s="247"/>
      <c r="DV175" s="247"/>
      <c r="DW175" s="247"/>
      <c r="DX175" s="247"/>
      <c r="DY175" s="247"/>
      <c r="DZ175" s="247"/>
      <c r="EA175" s="247"/>
      <c r="EB175" s="247"/>
      <c r="EC175" s="247"/>
      <c r="ED175" s="17">
        <f t="shared" si="49"/>
        <v>353846.5</v>
      </c>
      <c r="EE175" s="29">
        <f t="shared" si="50"/>
        <v>3</v>
      </c>
      <c r="EF175" s="17">
        <f t="shared" si="51"/>
        <v>117948.83333333333</v>
      </c>
    </row>
    <row r="176" spans="1:136" ht="22.5" customHeight="1" x14ac:dyDescent="0.25">
      <c r="A176" s="25">
        <f>Distribución_Elementos!A176</f>
        <v>174</v>
      </c>
      <c r="B176" s="22" t="str">
        <f>Distribución_Elementos!B176</f>
        <v>Cuchilla para bisturí quirúrgico desechable y estéril No. 15</v>
      </c>
      <c r="C176" s="22" t="str">
        <f>Distribución_Elementos!C176</f>
        <v>Cualquier marca</v>
      </c>
      <c r="D176" s="22" t="str">
        <f>Distribución_Elementos!D176</f>
        <v>Caja x 100</v>
      </c>
      <c r="E176" s="224">
        <v>1</v>
      </c>
      <c r="F176" s="221">
        <v>29968.166666666664</v>
      </c>
      <c r="G176" s="221">
        <v>29155</v>
      </c>
      <c r="H176" s="221">
        <v>30591.00275</v>
      </c>
      <c r="I176" s="221">
        <v>30464</v>
      </c>
      <c r="J176" s="221">
        <v>39882.354166666672</v>
      </c>
      <c r="K176" s="221">
        <v>37485</v>
      </c>
      <c r="L176" s="247">
        <f t="shared" ref="L176:L182" si="59">AVERAGE(F176,H176,J176)</f>
        <v>33480.507861111109</v>
      </c>
      <c r="M176" s="247">
        <f>AVERAGE(G176,I176,K176)*E1</f>
        <v>33339.040000000001</v>
      </c>
      <c r="N176" s="227">
        <v>25000</v>
      </c>
      <c r="O176" s="119">
        <f>+N176*0.19</f>
        <v>4750</v>
      </c>
      <c r="P176" s="119">
        <f>+N176+O176</f>
        <v>29750</v>
      </c>
      <c r="Q176" s="115"/>
      <c r="R176" s="115"/>
      <c r="S176" s="11"/>
      <c r="T176" s="247"/>
      <c r="U176" s="247"/>
      <c r="V176" s="247"/>
      <c r="W176" s="17"/>
      <c r="X176" s="11"/>
      <c r="Y176" s="11"/>
      <c r="Z176" s="247"/>
      <c r="AA176" s="247"/>
      <c r="AB176" s="247"/>
      <c r="AC176" s="44"/>
      <c r="AD176" s="22"/>
      <c r="AE176" s="17"/>
      <c r="AF176" s="247"/>
      <c r="AG176" s="247"/>
      <c r="AH176" s="151"/>
      <c r="AI176" s="4"/>
      <c r="AJ176" s="17"/>
      <c r="AK176" s="17"/>
      <c r="AL176" s="102"/>
      <c r="AM176" s="132"/>
      <c r="AN176" s="161"/>
      <c r="AO176" s="115"/>
      <c r="AP176" s="115"/>
      <c r="AQ176" s="17"/>
      <c r="AR176" s="247">
        <v>37000</v>
      </c>
      <c r="AS176" s="247">
        <f t="shared" ref="AS176:AS183" si="60">+AR176*0.19</f>
        <v>7030</v>
      </c>
      <c r="AT176" s="247">
        <f t="shared" ref="AT176:AT183" si="61">+AR176+AS176</f>
        <v>44030</v>
      </c>
      <c r="AU176" s="17"/>
      <c r="AV176" s="17"/>
      <c r="AW176" s="17"/>
      <c r="AX176" s="247"/>
      <c r="AY176" s="247"/>
      <c r="AZ176" s="247"/>
      <c r="BA176" s="17"/>
      <c r="BB176" s="52"/>
      <c r="BC176" s="17"/>
      <c r="BD176" s="247"/>
      <c r="BE176" s="247"/>
      <c r="BF176" s="247"/>
      <c r="BG176" s="17"/>
      <c r="BH176" s="17"/>
      <c r="BI176" s="17"/>
      <c r="BJ176" s="247">
        <v>28300</v>
      </c>
      <c r="BK176" s="247">
        <f t="shared" si="55"/>
        <v>5377</v>
      </c>
      <c r="BL176" s="247">
        <f t="shared" si="56"/>
        <v>33677</v>
      </c>
      <c r="BM176" s="190" t="s">
        <v>1498</v>
      </c>
      <c r="BN176" s="190" t="s">
        <v>1585</v>
      </c>
      <c r="BO176" s="17"/>
      <c r="BP176" s="247">
        <v>68500</v>
      </c>
      <c r="BQ176" s="247">
        <f t="shared" si="48"/>
        <v>13015</v>
      </c>
      <c r="BR176" s="247">
        <f t="shared" si="52"/>
        <v>81515</v>
      </c>
      <c r="BS176" s="17"/>
      <c r="BT176" s="17"/>
      <c r="BU176" s="17"/>
      <c r="BV176" s="195">
        <v>30612.393000000004</v>
      </c>
      <c r="BW176" s="195">
        <f>+BV176*0.19</f>
        <v>5816.3546700000006</v>
      </c>
      <c r="BX176" s="246">
        <f>+BV176+BW176</f>
        <v>36428.747670000004</v>
      </c>
      <c r="BY176" s="190" t="s">
        <v>1498</v>
      </c>
      <c r="BZ176" s="190" t="s">
        <v>1585</v>
      </c>
      <c r="CA176" s="190"/>
      <c r="CB176" s="247"/>
      <c r="CC176" s="247"/>
      <c r="CD176" s="247"/>
      <c r="CE176" s="17"/>
      <c r="CF176" s="17"/>
      <c r="CG176" s="17"/>
      <c r="CH176" s="247"/>
      <c r="CI176" s="247"/>
      <c r="CJ176" s="247"/>
      <c r="CK176" s="17"/>
      <c r="CL176" s="17"/>
      <c r="CM176" s="17"/>
      <c r="CN176" s="17"/>
      <c r="CO176" s="17"/>
      <c r="CP176" s="11"/>
      <c r="CQ176" s="11"/>
      <c r="CR176" s="11"/>
      <c r="CS176" s="11"/>
      <c r="CT176" s="247"/>
      <c r="CU176" s="247"/>
      <c r="CV176" s="247"/>
      <c r="CW176" s="11"/>
      <c r="CX176" s="11"/>
      <c r="CY176" s="11"/>
      <c r="CZ176" s="11"/>
      <c r="DA176" s="11"/>
      <c r="DB176" s="11"/>
      <c r="DC176" s="11"/>
      <c r="DD176" s="11"/>
      <c r="DE176" s="11"/>
      <c r="DF176" s="11"/>
      <c r="DG176" s="11"/>
      <c r="DH176" s="11"/>
      <c r="DI176" s="11"/>
      <c r="DJ176" s="11"/>
      <c r="DK176" s="11"/>
      <c r="DL176" s="247"/>
      <c r="DM176" s="247"/>
      <c r="DN176" s="247"/>
      <c r="DO176" s="247"/>
      <c r="DP176" s="247"/>
      <c r="DQ176" s="247"/>
      <c r="DR176" s="247"/>
      <c r="DS176" s="247"/>
      <c r="DT176" s="247"/>
      <c r="DU176" s="247"/>
      <c r="DV176" s="247"/>
      <c r="DW176" s="247"/>
      <c r="DX176" s="247"/>
      <c r="DY176" s="247"/>
      <c r="DZ176" s="247"/>
      <c r="EA176" s="247"/>
      <c r="EB176" s="247"/>
      <c r="EC176" s="247"/>
      <c r="ED176" s="17">
        <f t="shared" si="49"/>
        <v>258739.78767000002</v>
      </c>
      <c r="EE176" s="29">
        <f t="shared" si="50"/>
        <v>6</v>
      </c>
      <c r="EF176" s="17">
        <f t="shared" si="51"/>
        <v>43123.297945000006</v>
      </c>
    </row>
    <row r="177" spans="1:136" ht="22.5" customHeight="1" x14ac:dyDescent="0.25">
      <c r="A177" s="25">
        <f>Distribución_Elementos!A177</f>
        <v>175</v>
      </c>
      <c r="B177" s="22" t="str">
        <f>Distribución_Elementos!B177</f>
        <v>Cuchilla para bisturí quirúrgico desechable y estéril No. 21</v>
      </c>
      <c r="C177" s="22" t="str">
        <f>Distribución_Elementos!C177</f>
        <v>Cualquier marca</v>
      </c>
      <c r="D177" s="22" t="str">
        <f>Distribución_Elementos!D177</f>
        <v>Caja x 100</v>
      </c>
      <c r="E177" s="224">
        <v>1</v>
      </c>
      <c r="F177" s="221">
        <v>27891.22</v>
      </c>
      <c r="G177" s="221">
        <v>27370</v>
      </c>
      <c r="H177" s="221">
        <v>30283.298500000001</v>
      </c>
      <c r="I177" s="221">
        <v>30107</v>
      </c>
      <c r="J177" s="221">
        <v>39413.791666666672</v>
      </c>
      <c r="K177" s="221">
        <v>37485</v>
      </c>
      <c r="L177" s="247">
        <f t="shared" si="59"/>
        <v>32529.436722222224</v>
      </c>
      <c r="M177" s="247">
        <f>AVERAGE(G177,I177,K177)*E1</f>
        <v>32603.620000000003</v>
      </c>
      <c r="N177" s="227">
        <v>25000</v>
      </c>
      <c r="O177" s="119">
        <f>+N177*0.19</f>
        <v>4750</v>
      </c>
      <c r="P177" s="119">
        <f>+N177+O177</f>
        <v>29750</v>
      </c>
      <c r="Q177" s="115"/>
      <c r="R177" s="115"/>
      <c r="S177" s="11"/>
      <c r="T177" s="247"/>
      <c r="U177" s="247"/>
      <c r="V177" s="247"/>
      <c r="W177" s="17"/>
      <c r="X177" s="11"/>
      <c r="Y177" s="11"/>
      <c r="Z177" s="247"/>
      <c r="AA177" s="247"/>
      <c r="AB177" s="247"/>
      <c r="AC177" s="44"/>
      <c r="AD177" s="22"/>
      <c r="AE177" s="17"/>
      <c r="AF177" s="247"/>
      <c r="AG177" s="247"/>
      <c r="AH177" s="151"/>
      <c r="AI177" s="22"/>
      <c r="AJ177" s="17"/>
      <c r="AK177" s="17"/>
      <c r="AL177" s="102"/>
      <c r="AM177" s="132"/>
      <c r="AN177" s="161"/>
      <c r="AO177" s="115"/>
      <c r="AP177" s="115"/>
      <c r="AQ177" s="17"/>
      <c r="AR177" s="247">
        <v>37000</v>
      </c>
      <c r="AS177" s="247">
        <f t="shared" si="60"/>
        <v>7030</v>
      </c>
      <c r="AT177" s="247">
        <f t="shared" si="61"/>
        <v>44030</v>
      </c>
      <c r="AU177" s="17"/>
      <c r="AV177" s="17"/>
      <c r="AW177" s="17"/>
      <c r="AX177" s="247"/>
      <c r="AY177" s="247"/>
      <c r="AZ177" s="247"/>
      <c r="BA177" s="17"/>
      <c r="BB177" s="52"/>
      <c r="BC177" s="17"/>
      <c r="BD177" s="247"/>
      <c r="BE177" s="247"/>
      <c r="BF177" s="247"/>
      <c r="BG177" s="17"/>
      <c r="BH177" s="17"/>
      <c r="BI177" s="17"/>
      <c r="BJ177" s="247">
        <v>35600</v>
      </c>
      <c r="BK177" s="247">
        <f t="shared" si="55"/>
        <v>6764</v>
      </c>
      <c r="BL177" s="247">
        <f t="shared" si="56"/>
        <v>42364</v>
      </c>
      <c r="BM177" s="190" t="s">
        <v>1498</v>
      </c>
      <c r="BN177" s="190" t="s">
        <v>1585</v>
      </c>
      <c r="BO177" s="17"/>
      <c r="BP177" s="247">
        <v>68500</v>
      </c>
      <c r="BQ177" s="247">
        <f t="shared" si="48"/>
        <v>13015</v>
      </c>
      <c r="BR177" s="247">
        <f t="shared" si="52"/>
        <v>81515</v>
      </c>
      <c r="BS177" s="17"/>
      <c r="BT177" s="17"/>
      <c r="BU177" s="17"/>
      <c r="BV177" s="195">
        <v>39660.108800000002</v>
      </c>
      <c r="BW177" s="195">
        <f>+BV177*0.19</f>
        <v>7535.4206720000002</v>
      </c>
      <c r="BX177" s="246">
        <f>+BV177+BW177</f>
        <v>47195.529472000002</v>
      </c>
      <c r="BY177" s="190" t="s">
        <v>1498</v>
      </c>
      <c r="BZ177" s="190" t="s">
        <v>1585</v>
      </c>
      <c r="CA177" s="190"/>
      <c r="CB177" s="247"/>
      <c r="CC177" s="247"/>
      <c r="CD177" s="247"/>
      <c r="CE177" s="17"/>
      <c r="CF177" s="17"/>
      <c r="CG177" s="17"/>
      <c r="CH177" s="247"/>
      <c r="CI177" s="247"/>
      <c r="CJ177" s="247"/>
      <c r="CK177" s="17"/>
      <c r="CL177" s="17"/>
      <c r="CM177" s="17"/>
      <c r="CN177" s="17"/>
      <c r="CO177" s="17"/>
      <c r="CP177" s="11"/>
      <c r="CQ177" s="11"/>
      <c r="CR177" s="11"/>
      <c r="CS177" s="11"/>
      <c r="CT177" s="247"/>
      <c r="CU177" s="247"/>
      <c r="CV177" s="247"/>
      <c r="CW177" s="11"/>
      <c r="CX177" s="11"/>
      <c r="CY177" s="11"/>
      <c r="CZ177" s="11"/>
      <c r="DA177" s="11"/>
      <c r="DB177" s="11"/>
      <c r="DC177" s="11"/>
      <c r="DD177" s="11"/>
      <c r="DE177" s="11"/>
      <c r="DF177" s="11"/>
      <c r="DG177" s="11"/>
      <c r="DH177" s="11"/>
      <c r="DI177" s="11"/>
      <c r="DJ177" s="11"/>
      <c r="DK177" s="11"/>
      <c r="DL177" s="247"/>
      <c r="DM177" s="247"/>
      <c r="DN177" s="247"/>
      <c r="DO177" s="247"/>
      <c r="DP177" s="247"/>
      <c r="DQ177" s="247"/>
      <c r="DR177" s="247"/>
      <c r="DS177" s="247"/>
      <c r="DT177" s="247"/>
      <c r="DU177" s="247"/>
      <c r="DV177" s="247"/>
      <c r="DW177" s="247"/>
      <c r="DX177" s="247"/>
      <c r="DY177" s="247"/>
      <c r="DZ177" s="247"/>
      <c r="EA177" s="247"/>
      <c r="EB177" s="247"/>
      <c r="EC177" s="247"/>
      <c r="ED177" s="17">
        <f t="shared" si="49"/>
        <v>277458.14947200002</v>
      </c>
      <c r="EE177" s="29">
        <f t="shared" si="50"/>
        <v>6</v>
      </c>
      <c r="EF177" s="17">
        <f t="shared" si="51"/>
        <v>46243.024912000001</v>
      </c>
    </row>
    <row r="178" spans="1:136" ht="17.25" customHeight="1" x14ac:dyDescent="0.25">
      <c r="A178" s="25">
        <f>Distribución_Elementos!A178</f>
        <v>176</v>
      </c>
      <c r="B178" s="22" t="str">
        <f>Distribución_Elementos!B178</f>
        <v>Cuchilla para bisturí quirúrgico desechable y estéril No. 22</v>
      </c>
      <c r="C178" s="22" t="str">
        <f>Distribución_Elementos!C178</f>
        <v>Cualquier marca</v>
      </c>
      <c r="D178" s="22" t="str">
        <f>Distribución_Elementos!D178</f>
        <v>Caja x 100</v>
      </c>
      <c r="E178" s="224">
        <v>1</v>
      </c>
      <c r="F178" s="221">
        <v>29968.166666666664</v>
      </c>
      <c r="G178" s="221">
        <v>29155</v>
      </c>
      <c r="H178" s="221">
        <v>30591.00275</v>
      </c>
      <c r="I178" s="221">
        <v>30464</v>
      </c>
      <c r="J178" s="221">
        <v>39882.354166666672</v>
      </c>
      <c r="K178" s="221">
        <v>37485</v>
      </c>
      <c r="L178" s="247">
        <f t="shared" si="59"/>
        <v>33480.507861111109</v>
      </c>
      <c r="M178" s="247">
        <f>AVERAGE(G178,I178,K178)*E1</f>
        <v>33339.040000000001</v>
      </c>
      <c r="N178" s="227">
        <v>25000</v>
      </c>
      <c r="O178" s="119">
        <f>+N178*0.19</f>
        <v>4750</v>
      </c>
      <c r="P178" s="119">
        <f>+N178+O178</f>
        <v>29750</v>
      </c>
      <c r="Q178" s="115"/>
      <c r="R178" s="115"/>
      <c r="S178" s="11"/>
      <c r="T178" s="247"/>
      <c r="U178" s="247"/>
      <c r="V178" s="247"/>
      <c r="W178" s="17"/>
      <c r="X178" s="11"/>
      <c r="Y178" s="11"/>
      <c r="Z178" s="247"/>
      <c r="AA178" s="247"/>
      <c r="AB178" s="247"/>
      <c r="AC178" s="5"/>
      <c r="AD178" s="22"/>
      <c r="AE178" s="17"/>
      <c r="AF178" s="247"/>
      <c r="AG178" s="247"/>
      <c r="AH178" s="149"/>
      <c r="AI178" s="4"/>
      <c r="AJ178" s="17"/>
      <c r="AK178" s="17"/>
      <c r="AL178" s="102"/>
      <c r="AM178" s="132"/>
      <c r="AN178" s="161"/>
      <c r="AO178" s="115"/>
      <c r="AP178" s="115"/>
      <c r="AQ178" s="17"/>
      <c r="AR178" s="247">
        <v>37000</v>
      </c>
      <c r="AS178" s="247">
        <f t="shared" si="60"/>
        <v>7030</v>
      </c>
      <c r="AT178" s="247">
        <f t="shared" si="61"/>
        <v>44030</v>
      </c>
      <c r="AU178" s="17"/>
      <c r="AV178" s="17"/>
      <c r="AW178" s="17"/>
      <c r="AX178" s="247"/>
      <c r="AY178" s="247"/>
      <c r="AZ178" s="247"/>
      <c r="BA178" s="17"/>
      <c r="BB178" s="52"/>
      <c r="BC178" s="17"/>
      <c r="BD178" s="247"/>
      <c r="BE178" s="247"/>
      <c r="BF178" s="247"/>
      <c r="BG178" s="17"/>
      <c r="BH178" s="17"/>
      <c r="BI178" s="17"/>
      <c r="BJ178" s="247">
        <v>35600</v>
      </c>
      <c r="BK178" s="247">
        <f t="shared" si="55"/>
        <v>6764</v>
      </c>
      <c r="BL178" s="247">
        <f t="shared" si="56"/>
        <v>42364</v>
      </c>
      <c r="BM178" s="190" t="s">
        <v>1498</v>
      </c>
      <c r="BN178" s="190" t="s">
        <v>1585</v>
      </c>
      <c r="BO178" s="17"/>
      <c r="BP178" s="247">
        <v>68500</v>
      </c>
      <c r="BQ178" s="247">
        <f t="shared" si="48"/>
        <v>13015</v>
      </c>
      <c r="BR178" s="247">
        <f t="shared" si="52"/>
        <v>81515</v>
      </c>
      <c r="BS178" s="17"/>
      <c r="BT178" s="17"/>
      <c r="BU178" s="17"/>
      <c r="BV178" s="195">
        <v>42373.968000000008</v>
      </c>
      <c r="BW178" s="195">
        <f>+BV178*0.19</f>
        <v>8051.0539200000012</v>
      </c>
      <c r="BX178" s="246">
        <f>+BV178+BW178</f>
        <v>50425.021920000007</v>
      </c>
      <c r="BY178" s="190" t="s">
        <v>1498</v>
      </c>
      <c r="BZ178" s="190" t="s">
        <v>1585</v>
      </c>
      <c r="CA178" s="190"/>
      <c r="CB178" s="247"/>
      <c r="CC178" s="247"/>
      <c r="CD178" s="247"/>
      <c r="CE178" s="17"/>
      <c r="CF178" s="17"/>
      <c r="CG178" s="17"/>
      <c r="CH178" s="247"/>
      <c r="CI178" s="247"/>
      <c r="CJ178" s="247"/>
      <c r="CK178" s="17"/>
      <c r="CL178" s="17"/>
      <c r="CM178" s="17"/>
      <c r="CN178" s="17"/>
      <c r="CO178" s="17"/>
      <c r="CP178" s="11"/>
      <c r="CQ178" s="11"/>
      <c r="CR178" s="11"/>
      <c r="CS178" s="11"/>
      <c r="CT178" s="247"/>
      <c r="CU178" s="247"/>
      <c r="CV178" s="247"/>
      <c r="CW178" s="11"/>
      <c r="CX178" s="11"/>
      <c r="CY178" s="11"/>
      <c r="CZ178" s="11"/>
      <c r="DA178" s="11"/>
      <c r="DB178" s="11"/>
      <c r="DC178" s="11"/>
      <c r="DD178" s="11"/>
      <c r="DE178" s="11"/>
      <c r="DF178" s="11"/>
      <c r="DG178" s="11"/>
      <c r="DH178" s="11"/>
      <c r="DI178" s="11"/>
      <c r="DJ178" s="11"/>
      <c r="DK178" s="11"/>
      <c r="DL178" s="247"/>
      <c r="DM178" s="247"/>
      <c r="DN178" s="247"/>
      <c r="DO178" s="247"/>
      <c r="DP178" s="247"/>
      <c r="DQ178" s="247"/>
      <c r="DR178" s="247"/>
      <c r="DS178" s="247"/>
      <c r="DT178" s="247"/>
      <c r="DU178" s="247"/>
      <c r="DV178" s="247"/>
      <c r="DW178" s="247"/>
      <c r="DX178" s="247"/>
      <c r="DY178" s="247"/>
      <c r="DZ178" s="247"/>
      <c r="EA178" s="247"/>
      <c r="EB178" s="247"/>
      <c r="EC178" s="247"/>
      <c r="ED178" s="17">
        <f t="shared" si="49"/>
        <v>281423.06192000001</v>
      </c>
      <c r="EE178" s="29">
        <f t="shared" si="50"/>
        <v>6</v>
      </c>
      <c r="EF178" s="17">
        <f t="shared" si="51"/>
        <v>46903.843653333337</v>
      </c>
    </row>
    <row r="179" spans="1:136" ht="24" x14ac:dyDescent="0.25">
      <c r="A179" s="25">
        <f>Distribución_Elementos!A179</f>
        <v>177</v>
      </c>
      <c r="B179" s="22" t="str">
        <f>Distribución_Elementos!B179</f>
        <v>Cuchilla para bisturí quirúrgico desechable y estéril No. 24</v>
      </c>
      <c r="C179" s="22" t="str">
        <f>Distribución_Elementos!C179</f>
        <v>Cualquier marca</v>
      </c>
      <c r="D179" s="22" t="str">
        <f>Distribución_Elementos!D179</f>
        <v>Caja x 100</v>
      </c>
      <c r="E179" s="224">
        <v>1</v>
      </c>
      <c r="F179" s="221">
        <v>29496.133333333335</v>
      </c>
      <c r="G179" s="221">
        <v>29036</v>
      </c>
      <c r="H179" s="221">
        <v>33304.986959999995</v>
      </c>
      <c r="I179" s="221">
        <v>33201</v>
      </c>
      <c r="J179" s="221">
        <v>39851.116666666669</v>
      </c>
      <c r="K179" s="221">
        <v>37485</v>
      </c>
      <c r="L179" s="247">
        <f t="shared" si="59"/>
        <v>34217.412319999996</v>
      </c>
      <c r="M179" s="247">
        <f>AVERAGE(G179,I179,K179)*E1</f>
        <v>34237.886666666665</v>
      </c>
      <c r="N179" s="227">
        <v>25000</v>
      </c>
      <c r="O179" s="119">
        <f>+N179*0.19</f>
        <v>4750</v>
      </c>
      <c r="P179" s="119">
        <f>+N179+O179</f>
        <v>29750</v>
      </c>
      <c r="Q179" s="115"/>
      <c r="R179" s="115"/>
      <c r="S179" s="11"/>
      <c r="T179" s="247"/>
      <c r="U179" s="247"/>
      <c r="V179" s="247"/>
      <c r="W179" s="17"/>
      <c r="X179" s="11"/>
      <c r="Y179" s="11"/>
      <c r="Z179" s="247"/>
      <c r="AA179" s="247"/>
      <c r="AB179" s="247"/>
      <c r="AC179" s="44"/>
      <c r="AD179" s="22"/>
      <c r="AE179" s="17"/>
      <c r="AF179" s="247"/>
      <c r="AG179" s="247"/>
      <c r="AH179" s="151"/>
      <c r="AI179" s="4"/>
      <c r="AJ179" s="17"/>
      <c r="AK179" s="17"/>
      <c r="AL179" s="102"/>
      <c r="AM179" s="132"/>
      <c r="AN179" s="161"/>
      <c r="AO179" s="115"/>
      <c r="AP179" s="115"/>
      <c r="AQ179" s="17"/>
      <c r="AR179" s="247">
        <v>37000</v>
      </c>
      <c r="AS179" s="247">
        <f t="shared" si="60"/>
        <v>7030</v>
      </c>
      <c r="AT179" s="247">
        <f t="shared" si="61"/>
        <v>44030</v>
      </c>
      <c r="AU179" s="17"/>
      <c r="AV179" s="17"/>
      <c r="AW179" s="17"/>
      <c r="AX179" s="247"/>
      <c r="AY179" s="247"/>
      <c r="AZ179" s="247"/>
      <c r="BA179" s="17"/>
      <c r="BB179" s="52"/>
      <c r="BC179" s="17"/>
      <c r="BD179" s="247"/>
      <c r="BE179" s="247"/>
      <c r="BF179" s="247"/>
      <c r="BG179" s="17"/>
      <c r="BH179" s="17"/>
      <c r="BI179" s="17"/>
      <c r="BJ179" s="247">
        <v>42800</v>
      </c>
      <c r="BK179" s="247">
        <f t="shared" si="55"/>
        <v>8132</v>
      </c>
      <c r="BL179" s="247">
        <f t="shared" si="56"/>
        <v>50932</v>
      </c>
      <c r="BM179" s="190" t="s">
        <v>1498</v>
      </c>
      <c r="BN179" s="190" t="s">
        <v>1585</v>
      </c>
      <c r="BO179" s="17"/>
      <c r="BP179" s="247">
        <v>68500</v>
      </c>
      <c r="BQ179" s="247">
        <f t="shared" si="48"/>
        <v>13015</v>
      </c>
      <c r="BR179" s="247">
        <f t="shared" si="52"/>
        <v>81515</v>
      </c>
      <c r="BS179" s="17"/>
      <c r="BT179" s="17"/>
      <c r="BU179" s="17"/>
      <c r="BV179" s="195">
        <v>47619.964800000002</v>
      </c>
      <c r="BW179" s="195">
        <f>+BV179*0.19</f>
        <v>9047.7933119999998</v>
      </c>
      <c r="BX179" s="246">
        <f>+BV179+BW179</f>
        <v>56667.758112000003</v>
      </c>
      <c r="BY179" s="190" t="s">
        <v>1498</v>
      </c>
      <c r="BZ179" s="190" t="s">
        <v>1585</v>
      </c>
      <c r="CA179" s="190"/>
      <c r="CB179" s="247"/>
      <c r="CC179" s="247"/>
      <c r="CD179" s="247"/>
      <c r="CE179" s="17"/>
      <c r="CF179" s="17"/>
      <c r="CG179" s="17"/>
      <c r="CH179" s="247"/>
      <c r="CI179" s="247"/>
      <c r="CJ179" s="247"/>
      <c r="CK179" s="17"/>
      <c r="CL179" s="17"/>
      <c r="CM179" s="17"/>
      <c r="CN179" s="17"/>
      <c r="CO179" s="17"/>
      <c r="CP179" s="11"/>
      <c r="CQ179" s="11"/>
      <c r="CR179" s="11"/>
      <c r="CS179" s="11"/>
      <c r="CT179" s="247"/>
      <c r="CU179" s="247"/>
      <c r="CV179" s="247"/>
      <c r="CW179" s="11"/>
      <c r="CX179" s="11"/>
      <c r="CY179" s="11"/>
      <c r="CZ179" s="11"/>
      <c r="DA179" s="11"/>
      <c r="DB179" s="11"/>
      <c r="DC179" s="11"/>
      <c r="DD179" s="11"/>
      <c r="DE179" s="11"/>
      <c r="DF179" s="11"/>
      <c r="DG179" s="11"/>
      <c r="DH179" s="11"/>
      <c r="DI179" s="11"/>
      <c r="DJ179" s="11"/>
      <c r="DK179" s="11"/>
      <c r="DL179" s="247"/>
      <c r="DM179" s="247"/>
      <c r="DN179" s="247"/>
      <c r="DO179" s="247"/>
      <c r="DP179" s="247"/>
      <c r="DQ179" s="247"/>
      <c r="DR179" s="247"/>
      <c r="DS179" s="247"/>
      <c r="DT179" s="247"/>
      <c r="DU179" s="247"/>
      <c r="DV179" s="247"/>
      <c r="DW179" s="247"/>
      <c r="DX179" s="247"/>
      <c r="DY179" s="247"/>
      <c r="DZ179" s="247"/>
      <c r="EA179" s="247"/>
      <c r="EB179" s="247"/>
      <c r="EC179" s="247"/>
      <c r="ED179" s="17">
        <f t="shared" si="49"/>
        <v>297132.64477866667</v>
      </c>
      <c r="EE179" s="29">
        <f t="shared" si="50"/>
        <v>6</v>
      </c>
      <c r="EF179" s="17">
        <f t="shared" si="51"/>
        <v>49522.107463111111</v>
      </c>
    </row>
    <row r="180" spans="1:136" ht="25.5" x14ac:dyDescent="0.25">
      <c r="A180" s="25">
        <f>Distribución_Elementos!A180</f>
        <v>178</v>
      </c>
      <c r="B180" s="22" t="str">
        <f>Distribución_Elementos!B180</f>
        <v>Cuchillas desechables para micrótomo High Profile</v>
      </c>
      <c r="C180" s="22" t="str">
        <f>Distribución_Elementos!C180</f>
        <v>Macroedge 818 High Profile o equivalente</v>
      </c>
      <c r="D180" s="22" t="str">
        <f>Distribución_Elementos!D180</f>
        <v>Caja x 50</v>
      </c>
      <c r="E180" s="224">
        <v>1</v>
      </c>
      <c r="F180" s="221">
        <v>853825</v>
      </c>
      <c r="G180" s="221">
        <v>828121</v>
      </c>
      <c r="H180" s="221">
        <v>1142030.8501000002</v>
      </c>
      <c r="I180" s="221">
        <v>1141924</v>
      </c>
      <c r="J180" s="221">
        <v>648963.52500000002</v>
      </c>
      <c r="K180" s="221">
        <v>648550</v>
      </c>
      <c r="L180" s="247">
        <f t="shared" si="59"/>
        <v>881606.4583666668</v>
      </c>
      <c r="M180" s="247">
        <f>AVERAGE(G180,I180,K180)*E1</f>
        <v>899050.95000000007</v>
      </c>
      <c r="N180" s="227"/>
      <c r="O180" s="119"/>
      <c r="P180" s="119"/>
      <c r="Q180" s="115"/>
      <c r="R180" s="115"/>
      <c r="S180" s="11"/>
      <c r="T180" s="247"/>
      <c r="U180" s="247"/>
      <c r="V180" s="247"/>
      <c r="W180" s="17"/>
      <c r="X180" s="11"/>
      <c r="Y180" s="11"/>
      <c r="Z180" s="247"/>
      <c r="AA180" s="247"/>
      <c r="AB180" s="247"/>
      <c r="AC180" s="44"/>
      <c r="AD180" s="22"/>
      <c r="AE180" s="17"/>
      <c r="AF180" s="247"/>
      <c r="AG180" s="247"/>
      <c r="AH180" s="151"/>
      <c r="AI180" s="4"/>
      <c r="AJ180" s="17"/>
      <c r="AK180" s="17"/>
      <c r="AL180" s="102"/>
      <c r="AM180" s="132"/>
      <c r="AN180" s="161"/>
      <c r="AO180" s="115"/>
      <c r="AP180" s="115"/>
      <c r="AQ180" s="17"/>
      <c r="AR180" s="247">
        <v>680000</v>
      </c>
      <c r="AS180" s="247">
        <f t="shared" si="60"/>
        <v>129200</v>
      </c>
      <c r="AT180" s="247">
        <f t="shared" si="61"/>
        <v>809200</v>
      </c>
      <c r="AU180" s="17"/>
      <c r="AV180" s="17"/>
      <c r="AW180" s="17"/>
      <c r="AX180" s="247"/>
      <c r="AY180" s="247"/>
      <c r="AZ180" s="247"/>
      <c r="BA180" s="17"/>
      <c r="BB180" s="52"/>
      <c r="BC180" s="17"/>
      <c r="BD180" s="247"/>
      <c r="BE180" s="247"/>
      <c r="BF180" s="247"/>
      <c r="BG180" s="17"/>
      <c r="BH180" s="17"/>
      <c r="BI180" s="17"/>
      <c r="BJ180" s="252"/>
      <c r="BK180" s="252"/>
      <c r="BL180" s="252"/>
      <c r="BM180" s="190"/>
      <c r="BN180" s="190"/>
      <c r="BO180" s="17"/>
      <c r="BP180" s="247">
        <v>685000</v>
      </c>
      <c r="BQ180" s="247">
        <f t="shared" si="48"/>
        <v>130150</v>
      </c>
      <c r="BR180" s="247">
        <f t="shared" si="52"/>
        <v>815150</v>
      </c>
      <c r="BS180" s="17"/>
      <c r="BT180" s="17"/>
      <c r="BU180" s="17"/>
      <c r="BV180" s="195"/>
      <c r="BW180" s="195"/>
      <c r="BX180" s="246"/>
      <c r="BY180" s="190"/>
      <c r="BZ180" s="190"/>
      <c r="CA180" s="190"/>
      <c r="CB180" s="247"/>
      <c r="CC180" s="247"/>
      <c r="CD180" s="247"/>
      <c r="CE180" s="17"/>
      <c r="CF180" s="17"/>
      <c r="CG180" s="17"/>
      <c r="CH180" s="247"/>
      <c r="CI180" s="247"/>
      <c r="CJ180" s="247"/>
      <c r="CK180" s="17"/>
      <c r="CL180" s="17"/>
      <c r="CM180" s="17"/>
      <c r="CN180" s="17"/>
      <c r="CO180" s="17"/>
      <c r="CP180" s="11"/>
      <c r="CQ180" s="11"/>
      <c r="CR180" s="11"/>
      <c r="CS180" s="11"/>
      <c r="CT180" s="247"/>
      <c r="CU180" s="247"/>
      <c r="CV180" s="247"/>
      <c r="CW180" s="11"/>
      <c r="CX180" s="11"/>
      <c r="CY180" s="11"/>
      <c r="CZ180" s="11"/>
      <c r="DA180" s="11"/>
      <c r="DB180" s="11"/>
      <c r="DC180" s="11"/>
      <c r="DD180" s="11"/>
      <c r="DE180" s="11"/>
      <c r="DF180" s="11"/>
      <c r="DG180" s="11"/>
      <c r="DH180" s="11"/>
      <c r="DI180" s="11"/>
      <c r="DJ180" s="11"/>
      <c r="DK180" s="11"/>
      <c r="DL180" s="247"/>
      <c r="DM180" s="247"/>
      <c r="DN180" s="247"/>
      <c r="DO180" s="247"/>
      <c r="DP180" s="247"/>
      <c r="DQ180" s="247"/>
      <c r="DR180" s="247"/>
      <c r="DS180" s="247"/>
      <c r="DT180" s="247"/>
      <c r="DU180" s="247"/>
      <c r="DV180" s="247"/>
      <c r="DW180" s="247"/>
      <c r="DX180" s="247"/>
      <c r="DY180" s="247"/>
      <c r="DZ180" s="247"/>
      <c r="EA180" s="247"/>
      <c r="EB180" s="247"/>
      <c r="EC180" s="247"/>
      <c r="ED180" s="17">
        <f t="shared" si="49"/>
        <v>2523400.9500000002</v>
      </c>
      <c r="EE180" s="29">
        <f t="shared" si="50"/>
        <v>3</v>
      </c>
      <c r="EF180" s="17">
        <f t="shared" si="51"/>
        <v>841133.65</v>
      </c>
    </row>
    <row r="181" spans="1:136" ht="25.5" x14ac:dyDescent="0.25">
      <c r="A181" s="25">
        <f>Distribución_Elementos!A181</f>
        <v>179</v>
      </c>
      <c r="B181" s="22" t="str">
        <f>Distribución_Elementos!B181</f>
        <v>Cuchillo para disección cacha blanca en polipropileno en acero inoxidable de 12"</v>
      </c>
      <c r="C181" s="22" t="str">
        <f>Distribución_Elementos!C181</f>
        <v>Tramontina o equivalente</v>
      </c>
      <c r="D181" s="22" t="str">
        <f>Distribución_Elementos!D181</f>
        <v>Unidad</v>
      </c>
      <c r="E181" s="224">
        <v>1</v>
      </c>
      <c r="F181" s="221">
        <v>53550</v>
      </c>
      <c r="G181" s="221">
        <v>0</v>
      </c>
      <c r="H181" s="221">
        <v>112256.66666666667</v>
      </c>
      <c r="I181" s="221">
        <v>0</v>
      </c>
      <c r="J181" s="221">
        <v>133448.88083333333</v>
      </c>
      <c r="K181" s="221">
        <v>66450</v>
      </c>
      <c r="L181" s="247">
        <f t="shared" si="59"/>
        <v>99751.849166666667</v>
      </c>
      <c r="M181" s="247">
        <f>K181*E1</f>
        <v>68443.5</v>
      </c>
      <c r="N181" s="227">
        <v>70000</v>
      </c>
      <c r="O181" s="119">
        <f>+N181*0.19</f>
        <v>13300</v>
      </c>
      <c r="P181" s="119">
        <f>+N181+O181</f>
        <v>83300</v>
      </c>
      <c r="Q181" s="11"/>
      <c r="R181" s="11"/>
      <c r="S181" s="11"/>
      <c r="T181" s="247"/>
      <c r="U181" s="247"/>
      <c r="V181" s="247"/>
      <c r="W181" s="11"/>
      <c r="X181" s="11"/>
      <c r="Y181" s="11"/>
      <c r="Z181" s="247"/>
      <c r="AA181" s="247"/>
      <c r="AB181" s="247"/>
      <c r="AC181" s="11"/>
      <c r="AD181" s="11"/>
      <c r="AE181" s="11"/>
      <c r="AF181" s="247"/>
      <c r="AG181" s="247"/>
      <c r="AH181" s="247"/>
      <c r="AI181" s="11"/>
      <c r="AJ181" s="11"/>
      <c r="AK181" s="11"/>
      <c r="AL181" s="102"/>
      <c r="AM181" s="102"/>
      <c r="AN181" s="102"/>
      <c r="AO181" s="44"/>
      <c r="AP181" s="44"/>
      <c r="AQ181" s="11"/>
      <c r="AR181" s="247">
        <v>145000</v>
      </c>
      <c r="AS181" s="247">
        <f t="shared" si="60"/>
        <v>27550</v>
      </c>
      <c r="AT181" s="247">
        <f t="shared" si="61"/>
        <v>172550</v>
      </c>
      <c r="AU181" s="11"/>
      <c r="AV181" s="11"/>
      <c r="AW181" s="11"/>
      <c r="AX181" s="247"/>
      <c r="AY181" s="247"/>
      <c r="AZ181" s="247"/>
      <c r="BA181" s="11"/>
      <c r="BB181" s="11"/>
      <c r="BC181" s="11"/>
      <c r="BD181" s="247"/>
      <c r="BE181" s="247"/>
      <c r="BF181" s="247"/>
      <c r="BG181" s="11"/>
      <c r="BH181" s="11"/>
      <c r="BI181" s="11"/>
      <c r="BJ181" s="247"/>
      <c r="BK181" s="247"/>
      <c r="BL181" s="247"/>
      <c r="BM181" s="190"/>
      <c r="BN181" s="190"/>
      <c r="BO181" s="11"/>
      <c r="BP181" s="247"/>
      <c r="BQ181" s="247"/>
      <c r="BR181" s="247"/>
      <c r="BS181" s="11"/>
      <c r="BT181" s="11"/>
      <c r="BU181" s="11"/>
      <c r="BV181" s="189"/>
      <c r="BW181" s="197"/>
      <c r="BX181" s="246"/>
      <c r="BY181" s="190"/>
      <c r="BZ181" s="190"/>
      <c r="CA181" s="190"/>
      <c r="CB181" s="247"/>
      <c r="CC181" s="247"/>
      <c r="CD181" s="247"/>
      <c r="CE181" s="11"/>
      <c r="CF181" s="11"/>
      <c r="CG181" s="11"/>
      <c r="CH181" s="247"/>
      <c r="CI181" s="247"/>
      <c r="CJ181" s="247"/>
      <c r="CK181" s="11"/>
      <c r="CL181" s="11"/>
      <c r="CM181" s="11"/>
      <c r="CN181" s="11"/>
      <c r="CO181" s="11"/>
      <c r="CP181" s="11"/>
      <c r="CQ181" s="11"/>
      <c r="CR181" s="17"/>
      <c r="CS181" s="17"/>
      <c r="CT181" s="247"/>
      <c r="CU181" s="247"/>
      <c r="CV181" s="247"/>
      <c r="CW181" s="17"/>
      <c r="CX181" s="17"/>
      <c r="CY181" s="17"/>
      <c r="CZ181" s="17"/>
      <c r="DA181" s="17"/>
      <c r="DB181" s="17"/>
      <c r="DC181" s="17"/>
      <c r="DD181" s="17"/>
      <c r="DE181" s="17"/>
      <c r="DF181" s="17"/>
      <c r="DG181" s="17"/>
      <c r="DH181" s="17"/>
      <c r="DI181" s="17"/>
      <c r="DJ181" s="17"/>
      <c r="DK181" s="17"/>
      <c r="DL181" s="247"/>
      <c r="DM181" s="247"/>
      <c r="DN181" s="247"/>
      <c r="DO181" s="247"/>
      <c r="DP181" s="247"/>
      <c r="DQ181" s="247"/>
      <c r="DR181" s="247"/>
      <c r="DS181" s="247"/>
      <c r="DT181" s="247"/>
      <c r="DU181" s="247"/>
      <c r="DV181" s="247"/>
      <c r="DW181" s="247"/>
      <c r="DX181" s="247"/>
      <c r="DY181" s="247"/>
      <c r="DZ181" s="247"/>
      <c r="EA181" s="247"/>
      <c r="EB181" s="247"/>
      <c r="EC181" s="247"/>
      <c r="ED181" s="17">
        <f t="shared" si="49"/>
        <v>324293.5</v>
      </c>
      <c r="EE181" s="29">
        <f t="shared" si="50"/>
        <v>3</v>
      </c>
      <c r="EF181" s="17">
        <f t="shared" si="51"/>
        <v>108097.83333333333</v>
      </c>
    </row>
    <row r="182" spans="1:136" ht="25.5" x14ac:dyDescent="0.25">
      <c r="A182" s="25">
        <f>Distribución_Elementos!A182</f>
        <v>180</v>
      </c>
      <c r="B182" s="22" t="str">
        <f>Distribución_Elementos!B182</f>
        <v>Cuchillo para disección con cacha blanca en polipropileno en acero inoxidable de 10"</v>
      </c>
      <c r="C182" s="22" t="str">
        <f>Distribución_Elementos!C182</f>
        <v>Tramontina o equivalente</v>
      </c>
      <c r="D182" s="22" t="str">
        <f>Distribución_Elementos!D182</f>
        <v>Unidad</v>
      </c>
      <c r="E182" s="224">
        <v>1</v>
      </c>
      <c r="F182" s="221">
        <v>102935</v>
      </c>
      <c r="G182" s="221">
        <v>99841</v>
      </c>
      <c r="H182" s="221">
        <v>78055.182099999991</v>
      </c>
      <c r="I182" s="221">
        <v>0</v>
      </c>
      <c r="J182" s="221">
        <v>92240.370833333349</v>
      </c>
      <c r="K182" s="221">
        <v>91630</v>
      </c>
      <c r="L182" s="247">
        <f t="shared" si="59"/>
        <v>91076.85097777778</v>
      </c>
      <c r="M182" s="247">
        <f>AVERAGE(G182,K182)*E1</f>
        <v>98607.565000000002</v>
      </c>
      <c r="N182" s="227">
        <v>50000</v>
      </c>
      <c r="O182" s="119">
        <f>+N182*0.19</f>
        <v>9500</v>
      </c>
      <c r="P182" s="119">
        <f>+N182+O182</f>
        <v>59500</v>
      </c>
      <c r="Q182" s="11"/>
      <c r="R182" s="11"/>
      <c r="S182" s="25"/>
      <c r="T182" s="130"/>
      <c r="U182" s="247"/>
      <c r="V182" s="247"/>
      <c r="W182" s="17"/>
      <c r="X182" s="11"/>
      <c r="Y182" s="11"/>
      <c r="Z182" s="247"/>
      <c r="AA182" s="247"/>
      <c r="AB182" s="247"/>
      <c r="AC182" s="11"/>
      <c r="AD182" s="11"/>
      <c r="AE182" s="11"/>
      <c r="AF182" s="247"/>
      <c r="AG182" s="247"/>
      <c r="AH182" s="247"/>
      <c r="AI182" s="11"/>
      <c r="AJ182" s="11"/>
      <c r="AK182" s="11"/>
      <c r="AL182" s="102"/>
      <c r="AM182" s="102"/>
      <c r="AN182" s="102"/>
      <c r="AO182" s="44"/>
      <c r="AP182" s="44"/>
      <c r="AQ182" s="11"/>
      <c r="AR182" s="247">
        <v>118000</v>
      </c>
      <c r="AS182" s="247">
        <f t="shared" si="60"/>
        <v>22420</v>
      </c>
      <c r="AT182" s="247">
        <f t="shared" si="61"/>
        <v>140420</v>
      </c>
      <c r="AU182" s="11"/>
      <c r="AV182" s="11"/>
      <c r="AW182" s="6"/>
      <c r="AX182" s="247"/>
      <c r="AY182" s="247"/>
      <c r="AZ182" s="247"/>
      <c r="BA182" s="15"/>
      <c r="BB182" s="52"/>
      <c r="BC182" s="17"/>
      <c r="BD182" s="247"/>
      <c r="BE182" s="247"/>
      <c r="BF182" s="247"/>
      <c r="BG182" s="11"/>
      <c r="BH182" s="11"/>
      <c r="BI182" s="11"/>
      <c r="BJ182" s="247"/>
      <c r="BK182" s="247"/>
      <c r="BL182" s="247"/>
      <c r="BM182" s="190"/>
      <c r="BN182" s="190"/>
      <c r="BO182" s="11"/>
      <c r="BP182" s="247"/>
      <c r="BQ182" s="247"/>
      <c r="BR182" s="247"/>
      <c r="BS182" s="11"/>
      <c r="BT182" s="11"/>
      <c r="BU182" s="11"/>
      <c r="BV182" s="189"/>
      <c r="BW182" s="197"/>
      <c r="BX182" s="246"/>
      <c r="BY182" s="190"/>
      <c r="BZ182" s="190"/>
      <c r="CA182" s="190"/>
      <c r="CB182" s="247"/>
      <c r="CC182" s="247"/>
      <c r="CD182" s="247"/>
      <c r="CE182" s="11"/>
      <c r="CF182" s="11"/>
      <c r="CG182" s="11"/>
      <c r="CH182" s="247"/>
      <c r="CI182" s="247"/>
      <c r="CJ182" s="247"/>
      <c r="CK182" s="11"/>
      <c r="CL182" s="11"/>
      <c r="CM182" s="11"/>
      <c r="CN182" s="11"/>
      <c r="CO182" s="11"/>
      <c r="CP182" s="11"/>
      <c r="CQ182" s="11"/>
      <c r="CR182" s="11"/>
      <c r="CS182" s="11"/>
      <c r="CT182" s="247"/>
      <c r="CU182" s="247"/>
      <c r="CV182" s="247"/>
      <c r="CW182" s="11"/>
      <c r="CX182" s="11"/>
      <c r="CY182" s="11"/>
      <c r="CZ182" s="11"/>
      <c r="DA182" s="11"/>
      <c r="DB182" s="11"/>
      <c r="DC182" s="11"/>
      <c r="DD182" s="11"/>
      <c r="DE182" s="11"/>
      <c r="DF182" s="11"/>
      <c r="DG182" s="11"/>
      <c r="DH182" s="11"/>
      <c r="DI182" s="11"/>
      <c r="DJ182" s="11"/>
      <c r="DK182" s="11"/>
      <c r="DL182" s="247"/>
      <c r="DM182" s="247"/>
      <c r="DN182" s="247"/>
      <c r="DO182" s="247"/>
      <c r="DP182" s="247"/>
      <c r="DQ182" s="247"/>
      <c r="DR182" s="247"/>
      <c r="DS182" s="247"/>
      <c r="DT182" s="247"/>
      <c r="DU182" s="247"/>
      <c r="DV182" s="247"/>
      <c r="DW182" s="247"/>
      <c r="DX182" s="247"/>
      <c r="DY182" s="247"/>
      <c r="DZ182" s="247"/>
      <c r="EA182" s="247"/>
      <c r="EB182" s="247"/>
      <c r="EC182" s="247"/>
      <c r="ED182" s="17">
        <f t="shared" si="49"/>
        <v>298527.565</v>
      </c>
      <c r="EE182" s="29">
        <f t="shared" si="50"/>
        <v>3</v>
      </c>
      <c r="EF182" s="17">
        <f t="shared" si="51"/>
        <v>99509.188333333339</v>
      </c>
    </row>
    <row r="183" spans="1:136" x14ac:dyDescent="0.25">
      <c r="A183" s="25">
        <f>Distribución_Elementos!A183</f>
        <v>181</v>
      </c>
      <c r="B183" s="22" t="str">
        <f>Distribución_Elementos!B183</f>
        <v>Cuchillo pequeño (130 mm) cacha de plástico</v>
      </c>
      <c r="C183" s="22" t="str">
        <f>Distribución_Elementos!C183</f>
        <v>Tramontina o equivalente</v>
      </c>
      <c r="D183" s="22" t="str">
        <f>Distribución_Elementos!D183</f>
        <v>Unidad</v>
      </c>
      <c r="E183" s="224">
        <v>1</v>
      </c>
      <c r="F183" s="221">
        <v>35700</v>
      </c>
      <c r="G183" s="221">
        <v>34629</v>
      </c>
      <c r="H183" s="221">
        <v>0</v>
      </c>
      <c r="I183" s="221">
        <v>0</v>
      </c>
      <c r="J183" s="221">
        <v>63554.594444444454</v>
      </c>
      <c r="K183" s="221">
        <v>26300</v>
      </c>
      <c r="L183" s="247">
        <f>AVERAGE(F183,J183)</f>
        <v>49627.297222222231</v>
      </c>
      <c r="M183" s="247">
        <f>AVERAGE(G183,K183)*E1</f>
        <v>31378.435000000001</v>
      </c>
      <c r="N183" s="227">
        <v>40000</v>
      </c>
      <c r="O183" s="119">
        <f>+N183*0.19</f>
        <v>7600</v>
      </c>
      <c r="P183" s="119">
        <f>+N183+O183</f>
        <v>47600</v>
      </c>
      <c r="Q183" s="115"/>
      <c r="R183" s="115"/>
      <c r="S183" s="11"/>
      <c r="T183" s="247"/>
      <c r="U183" s="247"/>
      <c r="V183" s="247"/>
      <c r="W183" s="17"/>
      <c r="X183" s="11"/>
      <c r="Y183" s="11"/>
      <c r="Z183" s="247"/>
      <c r="AA183" s="247"/>
      <c r="AB183" s="247"/>
      <c r="AC183" s="44"/>
      <c r="AD183" s="22"/>
      <c r="AE183" s="17"/>
      <c r="AF183" s="247"/>
      <c r="AG183" s="247"/>
      <c r="AH183" s="151"/>
      <c r="AI183" s="4"/>
      <c r="AJ183" s="17"/>
      <c r="AK183" s="17"/>
      <c r="AL183" s="102"/>
      <c r="AM183" s="132"/>
      <c r="AN183" s="161"/>
      <c r="AO183" s="115"/>
      <c r="AP183" s="115"/>
      <c r="AQ183" s="17"/>
      <c r="AR183" s="247">
        <v>33000</v>
      </c>
      <c r="AS183" s="247">
        <f t="shared" si="60"/>
        <v>6270</v>
      </c>
      <c r="AT183" s="247">
        <f t="shared" si="61"/>
        <v>39270</v>
      </c>
      <c r="AU183" s="17"/>
      <c r="AV183" s="17"/>
      <c r="AW183" s="17"/>
      <c r="AX183" s="247"/>
      <c r="AY183" s="247"/>
      <c r="AZ183" s="247"/>
      <c r="BA183" s="17"/>
      <c r="BB183" s="52"/>
      <c r="BC183" s="17"/>
      <c r="BD183" s="247"/>
      <c r="BE183" s="247"/>
      <c r="BF183" s="247"/>
      <c r="BG183" s="17"/>
      <c r="BH183" s="17"/>
      <c r="BI183" s="17"/>
      <c r="BJ183" s="247"/>
      <c r="BK183" s="247"/>
      <c r="BL183" s="247"/>
      <c r="BM183" s="190"/>
      <c r="BN183" s="190"/>
      <c r="BO183" s="17"/>
      <c r="BP183" s="247"/>
      <c r="BQ183" s="247"/>
      <c r="BR183" s="247"/>
      <c r="BS183" s="17"/>
      <c r="BT183" s="17"/>
      <c r="BU183" s="17"/>
      <c r="BV183" s="189"/>
      <c r="BW183" s="197"/>
      <c r="BX183" s="246"/>
      <c r="BY183" s="190"/>
      <c r="BZ183" s="190"/>
      <c r="CA183" s="190"/>
      <c r="CB183" s="247"/>
      <c r="CC183" s="247"/>
      <c r="CD183" s="247"/>
      <c r="CE183" s="17"/>
      <c r="CF183" s="17"/>
      <c r="CG183" s="17"/>
      <c r="CH183" s="247"/>
      <c r="CI183" s="247"/>
      <c r="CJ183" s="247"/>
      <c r="CK183" s="17"/>
      <c r="CL183" s="17"/>
      <c r="CM183" s="17"/>
      <c r="CN183" s="17"/>
      <c r="CO183" s="17"/>
      <c r="CP183" s="11"/>
      <c r="CQ183" s="11"/>
      <c r="CR183" s="11"/>
      <c r="CS183" s="11"/>
      <c r="CT183" s="247"/>
      <c r="CU183" s="247"/>
      <c r="CV183" s="247"/>
      <c r="CW183" s="11"/>
      <c r="CX183" s="11"/>
      <c r="CY183" s="11"/>
      <c r="CZ183" s="11"/>
      <c r="DA183" s="11"/>
      <c r="DB183" s="11"/>
      <c r="DC183" s="11"/>
      <c r="DD183" s="11"/>
      <c r="DE183" s="11"/>
      <c r="DF183" s="11"/>
      <c r="DG183" s="11"/>
      <c r="DH183" s="11"/>
      <c r="DI183" s="11"/>
      <c r="DJ183" s="255"/>
      <c r="DK183" s="255"/>
      <c r="DL183" s="247"/>
      <c r="DM183" s="247"/>
      <c r="DN183" s="247"/>
      <c r="DO183" s="247"/>
      <c r="DP183" s="247"/>
      <c r="DQ183" s="247"/>
      <c r="DR183" s="247"/>
      <c r="DS183" s="247"/>
      <c r="DT183" s="247"/>
      <c r="DU183" s="247"/>
      <c r="DV183" s="247"/>
      <c r="DW183" s="247"/>
      <c r="DX183" s="247"/>
      <c r="DY183" s="247"/>
      <c r="DZ183" s="247"/>
      <c r="EA183" s="247"/>
      <c r="EB183" s="247"/>
      <c r="EC183" s="247"/>
      <c r="ED183" s="17">
        <f t="shared" si="49"/>
        <v>118248.435</v>
      </c>
      <c r="EE183" s="29">
        <f t="shared" si="50"/>
        <v>3</v>
      </c>
      <c r="EF183" s="17">
        <f t="shared" si="51"/>
        <v>39416.144999999997</v>
      </c>
    </row>
    <row r="184" spans="1:136" ht="127.5" x14ac:dyDescent="0.25">
      <c r="A184" s="25">
        <f>Distribución_Elementos!A184</f>
        <v>182</v>
      </c>
      <c r="B184" s="22" t="str">
        <f>Distribución_Elementos!B184</f>
        <v>DATALOGGER DE TEMPERATURA Rango de medición: -40 a 70 °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CON CALIBRACION DATALOGGER DE TEMPERATURA EN 3 PUNTOS por laboratorio acreditado</v>
      </c>
      <c r="C184" s="22" t="str">
        <f>Distribución_Elementos!C184</f>
        <v>CEM</v>
      </c>
      <c r="D184" s="22" t="str">
        <f>Distribución_Elementos!D184</f>
        <v>Unidad</v>
      </c>
      <c r="E184" s="224">
        <v>1</v>
      </c>
      <c r="F184" s="221">
        <v>0</v>
      </c>
      <c r="G184" s="221">
        <v>0</v>
      </c>
      <c r="H184" s="221">
        <v>0</v>
      </c>
      <c r="I184" s="221">
        <v>0</v>
      </c>
      <c r="J184" s="221">
        <v>0</v>
      </c>
      <c r="K184" s="221">
        <v>0</v>
      </c>
      <c r="L184" s="247"/>
      <c r="M184" s="247"/>
      <c r="N184" s="227"/>
      <c r="O184" s="119"/>
      <c r="P184" s="119"/>
      <c r="Q184" s="115"/>
      <c r="R184" s="115"/>
      <c r="S184" s="11"/>
      <c r="T184" s="247"/>
      <c r="U184" s="247"/>
      <c r="V184" s="247"/>
      <c r="W184" s="17"/>
      <c r="X184" s="11"/>
      <c r="Y184" s="11"/>
      <c r="Z184" s="247"/>
      <c r="AA184" s="247"/>
      <c r="AB184" s="247"/>
      <c r="AC184" s="44"/>
      <c r="AD184" s="22"/>
      <c r="AE184" s="17"/>
      <c r="AF184" s="247"/>
      <c r="AG184" s="247"/>
      <c r="AH184" s="97"/>
      <c r="AI184" s="4"/>
      <c r="AJ184" s="17"/>
      <c r="AK184" s="17"/>
      <c r="AL184" s="102"/>
      <c r="AM184" s="132"/>
      <c r="AN184" s="161"/>
      <c r="AO184" s="115"/>
      <c r="AP184" s="115"/>
      <c r="AQ184" s="17"/>
      <c r="AR184" s="247"/>
      <c r="AS184" s="247"/>
      <c r="AT184" s="247"/>
      <c r="AU184" s="17"/>
      <c r="AV184" s="17"/>
      <c r="AW184" s="17"/>
      <c r="AX184" s="247"/>
      <c r="AY184" s="247"/>
      <c r="AZ184" s="247"/>
      <c r="BA184" s="17"/>
      <c r="BB184" s="52"/>
      <c r="BC184" s="17"/>
      <c r="BD184" s="247"/>
      <c r="BE184" s="247"/>
      <c r="BF184" s="247"/>
      <c r="BG184" s="17"/>
      <c r="BH184" s="17"/>
      <c r="BI184" s="17"/>
      <c r="BJ184" s="247">
        <v>3029400</v>
      </c>
      <c r="BK184" s="247">
        <f t="shared" si="55"/>
        <v>575586</v>
      </c>
      <c r="BL184" s="247">
        <f t="shared" si="56"/>
        <v>3604986</v>
      </c>
      <c r="BM184" s="191" t="s">
        <v>140</v>
      </c>
      <c r="BN184" s="190" t="s">
        <v>1586</v>
      </c>
      <c r="BO184" s="17"/>
      <c r="BP184" s="247">
        <v>396300</v>
      </c>
      <c r="BQ184" s="247">
        <f t="shared" si="48"/>
        <v>75297</v>
      </c>
      <c r="BR184" s="247">
        <f t="shared" si="52"/>
        <v>471597</v>
      </c>
      <c r="BS184" s="17"/>
      <c r="BT184" s="17"/>
      <c r="BU184" s="17"/>
      <c r="BV184" s="195">
        <v>3469129.5276000006</v>
      </c>
      <c r="BW184" s="195">
        <f>+BV184*0.19</f>
        <v>659134.6102440001</v>
      </c>
      <c r="BX184" s="246">
        <f>+BV184+BW184</f>
        <v>4128264.1378440009</v>
      </c>
      <c r="BY184" s="191" t="s">
        <v>140</v>
      </c>
      <c r="BZ184" s="190" t="s">
        <v>1586</v>
      </c>
      <c r="CA184" s="190"/>
      <c r="CB184" s="252"/>
      <c r="CC184" s="247"/>
      <c r="CD184" s="247"/>
      <c r="CE184" s="17"/>
      <c r="CF184" s="17"/>
      <c r="CG184" s="17"/>
      <c r="CH184" s="247"/>
      <c r="CI184" s="247"/>
      <c r="CJ184" s="247"/>
      <c r="CK184" s="17"/>
      <c r="CL184" s="17"/>
      <c r="CM184" s="17"/>
      <c r="CN184" s="17"/>
      <c r="CO184" s="17"/>
      <c r="CP184" s="11"/>
      <c r="CQ184" s="11"/>
      <c r="CR184" s="11"/>
      <c r="CS184" s="11"/>
      <c r="CT184" s="247"/>
      <c r="CU184" s="247"/>
      <c r="CV184" s="247"/>
      <c r="CW184" s="11"/>
      <c r="CX184" s="11"/>
      <c r="CY184" s="11"/>
      <c r="CZ184" s="11"/>
      <c r="DA184" s="11"/>
      <c r="DB184" s="11"/>
      <c r="DC184" s="11"/>
      <c r="DD184" s="11"/>
      <c r="DE184" s="11"/>
      <c r="DF184" s="11"/>
      <c r="DG184" s="11"/>
      <c r="DH184" s="11"/>
      <c r="DI184" s="11"/>
      <c r="DJ184" s="11"/>
      <c r="DK184" s="11"/>
      <c r="DL184" s="247"/>
      <c r="DM184" s="247"/>
      <c r="DN184" s="247"/>
      <c r="DO184" s="247"/>
      <c r="DP184" s="247"/>
      <c r="DQ184" s="247"/>
      <c r="DR184" s="247"/>
      <c r="DS184" s="247"/>
      <c r="DT184" s="247"/>
      <c r="DU184" s="247"/>
      <c r="DV184" s="247"/>
      <c r="DW184" s="247"/>
      <c r="DX184" s="247"/>
      <c r="DY184" s="247"/>
      <c r="DZ184" s="247"/>
      <c r="EA184" s="247"/>
      <c r="EB184" s="247"/>
      <c r="EC184" s="247"/>
      <c r="ED184" s="17">
        <f t="shared" si="49"/>
        <v>8204847.1378440009</v>
      </c>
      <c r="EE184" s="29">
        <f t="shared" si="50"/>
        <v>3</v>
      </c>
      <c r="EF184" s="17">
        <f t="shared" si="51"/>
        <v>2734949.0459480002</v>
      </c>
    </row>
    <row r="185" spans="1:136" ht="127.5" x14ac:dyDescent="0.25">
      <c r="A185" s="25">
        <f>Distribución_Elementos!A185</f>
        <v>183</v>
      </c>
      <c r="B185" s="22" t="str">
        <f>Distribución_Elementos!B185</f>
        <v>Dispensador  de 1-10 mL, volumen variable, graduación de 1 mL, exactitud +/- 0,5%, reproducibilidad ≤0,1%; referencia 4600-140, analogo, marca dispensette-Brand. debe ser calibrado y certifcado por una laboratorio acreditado por el ONAC</v>
      </c>
      <c r="C185" s="22" t="str">
        <f>Distribución_Elementos!C185</f>
        <v>Brand 4700 161 o equivalente</v>
      </c>
      <c r="D185" s="22" t="str">
        <f>Distribución_Elementos!D185</f>
        <v>Unidad</v>
      </c>
      <c r="E185" s="224">
        <v>1</v>
      </c>
      <c r="F185" s="221">
        <v>0</v>
      </c>
      <c r="G185" s="221">
        <v>0</v>
      </c>
      <c r="H185" s="221">
        <v>0</v>
      </c>
      <c r="I185" s="221">
        <v>0</v>
      </c>
      <c r="J185" s="221">
        <v>0</v>
      </c>
      <c r="K185" s="221">
        <v>0</v>
      </c>
      <c r="L185" s="247"/>
      <c r="M185" s="247"/>
      <c r="N185" s="228">
        <v>1950000</v>
      </c>
      <c r="O185" s="119">
        <f>+N185*0.19</f>
        <v>370500</v>
      </c>
      <c r="P185" s="119">
        <f>+N185+O185</f>
        <v>2320500</v>
      </c>
      <c r="Q185" s="115"/>
      <c r="R185" s="115"/>
      <c r="S185" s="11"/>
      <c r="T185" s="247">
        <v>981200.00000000012</v>
      </c>
      <c r="U185" s="247">
        <f>+T185*0.19</f>
        <v>186428.00000000003</v>
      </c>
      <c r="V185" s="247">
        <f>+T185+U185</f>
        <v>1167628.0000000002</v>
      </c>
      <c r="W185" s="17" t="s">
        <v>1514</v>
      </c>
      <c r="X185" s="42" t="s">
        <v>1587</v>
      </c>
      <c r="Y185" s="11"/>
      <c r="Z185" s="247"/>
      <c r="AA185" s="247"/>
      <c r="AB185" s="247"/>
      <c r="AC185" s="44"/>
      <c r="AD185" s="22"/>
      <c r="AE185" s="17"/>
      <c r="AF185" s="247"/>
      <c r="AG185" s="247"/>
      <c r="AH185" s="151"/>
      <c r="AI185" s="4"/>
      <c r="AJ185" s="17"/>
      <c r="AK185" s="17"/>
      <c r="AL185" s="102"/>
      <c r="AM185" s="132"/>
      <c r="AN185" s="161"/>
      <c r="AO185" s="115"/>
      <c r="AP185" s="115"/>
      <c r="AQ185" s="17"/>
      <c r="AR185" s="247"/>
      <c r="AS185" s="247"/>
      <c r="AT185" s="247"/>
      <c r="AU185" s="17"/>
      <c r="AV185" s="17"/>
      <c r="AW185" s="17"/>
      <c r="AX185" s="252"/>
      <c r="AY185" s="247"/>
      <c r="AZ185" s="247"/>
      <c r="BA185" s="17"/>
      <c r="BB185" s="52"/>
      <c r="BC185" s="17"/>
      <c r="BD185" s="97">
        <v>1970816</v>
      </c>
      <c r="BE185" s="247">
        <f>+BD185*0.19</f>
        <v>374455.03999999998</v>
      </c>
      <c r="BF185" s="247">
        <f>+BD185+BE185</f>
        <v>2345271.04</v>
      </c>
      <c r="BG185" s="25" t="s">
        <v>140</v>
      </c>
      <c r="BH185" s="5" t="s">
        <v>1588</v>
      </c>
      <c r="BI185" s="5" t="s">
        <v>1589</v>
      </c>
      <c r="BJ185" s="247"/>
      <c r="BK185" s="247"/>
      <c r="BL185" s="247"/>
      <c r="BM185" s="190"/>
      <c r="BN185" s="190"/>
      <c r="BO185" s="17"/>
      <c r="BP185" s="247"/>
      <c r="BQ185" s="247"/>
      <c r="BR185" s="247"/>
      <c r="BS185" s="17"/>
      <c r="BT185" s="17"/>
      <c r="BU185" s="17"/>
      <c r="BV185" s="189"/>
      <c r="BW185" s="197"/>
      <c r="BX185" s="246"/>
      <c r="BY185" s="190"/>
      <c r="BZ185" s="190"/>
      <c r="CA185" s="190"/>
      <c r="CB185" s="247"/>
      <c r="CC185" s="247"/>
      <c r="CD185" s="247"/>
      <c r="CE185" s="17"/>
      <c r="CF185" s="17"/>
      <c r="CG185" s="17"/>
      <c r="CH185" s="252"/>
      <c r="CI185" s="252"/>
      <c r="CJ185" s="252"/>
      <c r="CK185" s="17"/>
      <c r="CL185" s="17"/>
      <c r="CM185" s="17"/>
      <c r="CN185" s="17"/>
      <c r="CO185" s="17"/>
      <c r="CP185" s="11"/>
      <c r="CQ185" s="11"/>
      <c r="CR185" s="11"/>
      <c r="CS185" s="11"/>
      <c r="CT185" s="247"/>
      <c r="CU185" s="247"/>
      <c r="CV185" s="247"/>
      <c r="CW185" s="11"/>
      <c r="CX185" s="11"/>
      <c r="CY185" s="11"/>
      <c r="CZ185" s="11"/>
      <c r="DA185" s="11"/>
      <c r="DB185" s="11"/>
      <c r="DC185" s="11"/>
      <c r="DD185" s="11"/>
      <c r="DE185" s="11"/>
      <c r="DF185" s="11"/>
      <c r="DG185" s="11"/>
      <c r="DH185" s="11"/>
      <c r="DI185" s="11"/>
      <c r="DJ185" s="11"/>
      <c r="DK185" s="11"/>
      <c r="DL185" s="247"/>
      <c r="DM185" s="247"/>
      <c r="DN185" s="247"/>
      <c r="DO185" s="247"/>
      <c r="DP185" s="247"/>
      <c r="DQ185" s="247"/>
      <c r="DR185" s="247"/>
      <c r="DS185" s="247"/>
      <c r="DT185" s="247"/>
      <c r="DU185" s="247"/>
      <c r="DV185" s="247"/>
      <c r="DW185" s="247"/>
      <c r="DX185" s="247"/>
      <c r="DY185" s="247"/>
      <c r="DZ185" s="247"/>
      <c r="EA185" s="247"/>
      <c r="EB185" s="247"/>
      <c r="EC185" s="247"/>
      <c r="ED185" s="17">
        <f t="shared" si="49"/>
        <v>5833399.04</v>
      </c>
      <c r="EE185" s="29">
        <f t="shared" si="50"/>
        <v>3</v>
      </c>
      <c r="EF185" s="17">
        <f t="shared" si="51"/>
        <v>1944466.3466666667</v>
      </c>
    </row>
    <row r="186" spans="1:136" ht="127.5" x14ac:dyDescent="0.25">
      <c r="A186" s="25">
        <f>Distribución_Elementos!A186</f>
        <v>184</v>
      </c>
      <c r="B186" s="22" t="str">
        <f>Distribución_Elementos!B186</f>
        <v xml:space="preserve">Dispensador  de 5-50 mL, volumen variable, graduación de 1 mL, exactitud +/- 0,5%, reproducibilidad ≤0,1%; vidrio borosilicato. Cerámica, platino-iridio, ETFE, FEP, PFA, YPP (caperuza de cierre de la canula);  apto para bases, acidos, soluciones acuosas y solventes organicos. </v>
      </c>
      <c r="C186" s="22" t="str">
        <f>Distribución_Elementos!C186</f>
        <v>Brand 4700 161 o equivalente</v>
      </c>
      <c r="D186" s="22" t="str">
        <f>Distribución_Elementos!D186</f>
        <v>Unidad</v>
      </c>
      <c r="E186" s="224">
        <v>1</v>
      </c>
      <c r="F186" s="221">
        <v>0</v>
      </c>
      <c r="G186" s="221">
        <v>0</v>
      </c>
      <c r="H186" s="221">
        <v>0</v>
      </c>
      <c r="I186" s="221">
        <v>0</v>
      </c>
      <c r="J186" s="221">
        <v>0</v>
      </c>
      <c r="K186" s="221">
        <v>0</v>
      </c>
      <c r="L186" s="247"/>
      <c r="M186" s="247"/>
      <c r="N186" s="227">
        <v>2600000</v>
      </c>
      <c r="O186" s="119">
        <f>+N186*0.19</f>
        <v>494000</v>
      </c>
      <c r="P186" s="119">
        <f>+N186+O186</f>
        <v>3094000</v>
      </c>
      <c r="Q186" s="115"/>
      <c r="R186" s="115"/>
      <c r="S186" s="11"/>
      <c r="T186" s="247">
        <v>1210000</v>
      </c>
      <c r="U186" s="247">
        <f>+T186*0.19</f>
        <v>229900</v>
      </c>
      <c r="V186" s="247">
        <f>+T186+U186</f>
        <v>1439900</v>
      </c>
      <c r="W186" s="17" t="s">
        <v>1514</v>
      </c>
      <c r="X186" s="42" t="s">
        <v>1587</v>
      </c>
      <c r="Y186" s="11"/>
      <c r="Z186" s="247"/>
      <c r="AA186" s="247"/>
      <c r="AB186" s="247"/>
      <c r="AC186" s="44"/>
      <c r="AD186" s="22"/>
      <c r="AE186" s="17"/>
      <c r="AF186" s="247"/>
      <c r="AG186" s="247"/>
      <c r="AH186" s="97"/>
      <c r="AI186" s="4"/>
      <c r="AJ186" s="17"/>
      <c r="AK186" s="17"/>
      <c r="AL186" s="102"/>
      <c r="AM186" s="132"/>
      <c r="AN186" s="161"/>
      <c r="AO186" s="115"/>
      <c r="AP186" s="115"/>
      <c r="AQ186" s="17"/>
      <c r="AR186" s="247"/>
      <c r="AS186" s="247"/>
      <c r="AT186" s="247"/>
      <c r="AU186" s="17"/>
      <c r="AV186" s="17"/>
      <c r="AW186" s="17"/>
      <c r="AX186" s="247"/>
      <c r="AY186" s="247"/>
      <c r="AZ186" s="247"/>
      <c r="BA186" s="17"/>
      <c r="BB186" s="52"/>
      <c r="BC186" s="17"/>
      <c r="BD186" s="102">
        <v>2994468</v>
      </c>
      <c r="BE186" s="247">
        <f>+BD186*0.19</f>
        <v>568948.92000000004</v>
      </c>
      <c r="BF186" s="247">
        <f>+BD186+BE186</f>
        <v>3563416.92</v>
      </c>
      <c r="BG186" s="25" t="s">
        <v>140</v>
      </c>
      <c r="BH186" s="5" t="s">
        <v>1590</v>
      </c>
      <c r="BI186" s="5" t="s">
        <v>1591</v>
      </c>
      <c r="BJ186" s="247">
        <v>3672700</v>
      </c>
      <c r="BK186" s="247">
        <f t="shared" si="55"/>
        <v>697813</v>
      </c>
      <c r="BL186" s="247">
        <f t="shared" si="56"/>
        <v>4370513</v>
      </c>
      <c r="BM186" s="191" t="s">
        <v>140</v>
      </c>
      <c r="BN186" s="190" t="s">
        <v>1565</v>
      </c>
      <c r="BO186" s="17"/>
      <c r="BP186" s="247"/>
      <c r="BQ186" s="247"/>
      <c r="BR186" s="247"/>
      <c r="BS186" s="17"/>
      <c r="BT186" s="17"/>
      <c r="BU186" s="17"/>
      <c r="BV186" s="195"/>
      <c r="BW186" s="195"/>
      <c r="BX186" s="246"/>
      <c r="BY186" s="191"/>
      <c r="BZ186" s="190"/>
      <c r="CA186" s="190"/>
      <c r="CB186" s="247"/>
      <c r="CC186" s="247"/>
      <c r="CD186" s="247"/>
      <c r="CE186" s="17"/>
      <c r="CF186" s="17"/>
      <c r="CG186" s="17"/>
      <c r="CH186" s="247"/>
      <c r="CI186" s="247"/>
      <c r="CJ186" s="247"/>
      <c r="CK186" s="17"/>
      <c r="CL186" s="17"/>
      <c r="CM186" s="17"/>
      <c r="CN186" s="17"/>
      <c r="CO186" s="17"/>
      <c r="CP186" s="11"/>
      <c r="CQ186" s="11"/>
      <c r="CR186" s="11"/>
      <c r="CS186" s="11"/>
      <c r="CT186" s="247"/>
      <c r="CU186" s="247"/>
      <c r="CV186" s="247"/>
      <c r="CW186" s="11"/>
      <c r="CX186" s="11"/>
      <c r="CY186" s="11"/>
      <c r="CZ186" s="11"/>
      <c r="DA186" s="11"/>
      <c r="DB186" s="11"/>
      <c r="DC186" s="11"/>
      <c r="DD186" s="11"/>
      <c r="DE186" s="11"/>
      <c r="DF186" s="11"/>
      <c r="DG186" s="11"/>
      <c r="DH186" s="11"/>
      <c r="DI186" s="11"/>
      <c r="DJ186" s="11"/>
      <c r="DK186" s="11"/>
      <c r="DL186" s="247"/>
      <c r="DM186" s="247"/>
      <c r="DN186" s="247"/>
      <c r="DO186" s="247"/>
      <c r="DP186" s="247"/>
      <c r="DQ186" s="247"/>
      <c r="DR186" s="247"/>
      <c r="DS186" s="247"/>
      <c r="DT186" s="247"/>
      <c r="DU186" s="247"/>
      <c r="DV186" s="247"/>
      <c r="DW186" s="247"/>
      <c r="DX186" s="247"/>
      <c r="DY186" s="247"/>
      <c r="DZ186" s="247"/>
      <c r="EA186" s="247"/>
      <c r="EB186" s="247"/>
      <c r="EC186" s="247"/>
      <c r="ED186" s="17">
        <f t="shared" si="49"/>
        <v>12467829.92</v>
      </c>
      <c r="EE186" s="29">
        <f t="shared" si="50"/>
        <v>4</v>
      </c>
      <c r="EF186" s="17">
        <f t="shared" si="51"/>
        <v>3116957.48</v>
      </c>
    </row>
    <row r="187" spans="1:136" x14ac:dyDescent="0.25">
      <c r="A187" s="25">
        <f>Distribución_Elementos!A187</f>
        <v>185</v>
      </c>
      <c r="B187" s="22" t="str">
        <f>Distribución_Elementos!B187</f>
        <v>Doble nuez para aro soporte universal Metálica</v>
      </c>
      <c r="C187" s="22" t="str">
        <f>Distribución_Elementos!C187</f>
        <v>Cualquier marca</v>
      </c>
      <c r="D187" s="22" t="str">
        <f>Distribución_Elementos!D187</f>
        <v>Unidad</v>
      </c>
      <c r="E187" s="224">
        <v>1</v>
      </c>
      <c r="F187" s="221">
        <v>0</v>
      </c>
      <c r="G187" s="221">
        <v>0</v>
      </c>
      <c r="H187" s="221">
        <v>67676.627412495916</v>
      </c>
      <c r="I187" s="221">
        <v>0</v>
      </c>
      <c r="J187" s="221">
        <v>56415.916666666664</v>
      </c>
      <c r="K187" s="221">
        <v>56406</v>
      </c>
      <c r="L187" s="247">
        <f>AVERAGE(H187,J187)</f>
        <v>62046.272039581294</v>
      </c>
      <c r="M187" s="247">
        <f>K187*E1</f>
        <v>58098.18</v>
      </c>
      <c r="N187" s="227">
        <v>23000</v>
      </c>
      <c r="O187" s="119">
        <f>+N187*0.19</f>
        <v>4370</v>
      </c>
      <c r="P187" s="119">
        <f>+N187+O187</f>
        <v>27370</v>
      </c>
      <c r="Q187" s="115"/>
      <c r="R187" s="115"/>
      <c r="S187" s="11"/>
      <c r="T187" s="247"/>
      <c r="U187" s="247"/>
      <c r="V187" s="247"/>
      <c r="W187" s="17"/>
      <c r="X187" s="11"/>
      <c r="Y187" s="11"/>
      <c r="Z187" s="247"/>
      <c r="AA187" s="247"/>
      <c r="AB187" s="247"/>
      <c r="AC187" s="44"/>
      <c r="AD187" s="22"/>
      <c r="AE187" s="17"/>
      <c r="AF187" s="247"/>
      <c r="AG187" s="247"/>
      <c r="AH187" s="151"/>
      <c r="AI187" s="4"/>
      <c r="AJ187" s="17"/>
      <c r="AK187" s="17"/>
      <c r="AL187" s="102"/>
      <c r="AM187" s="132"/>
      <c r="AN187" s="161"/>
      <c r="AO187" s="115"/>
      <c r="AP187" s="115"/>
      <c r="AQ187" s="17"/>
      <c r="AR187" s="247"/>
      <c r="AS187" s="247"/>
      <c r="AT187" s="247"/>
      <c r="AU187" s="17"/>
      <c r="AV187" s="17"/>
      <c r="AW187" s="17"/>
      <c r="AX187" s="247"/>
      <c r="AY187" s="247"/>
      <c r="AZ187" s="247"/>
      <c r="BA187" s="17"/>
      <c r="BB187" s="52"/>
      <c r="BC187" s="17"/>
      <c r="BD187" s="247"/>
      <c r="BE187" s="247"/>
      <c r="BF187" s="247"/>
      <c r="BG187" s="17"/>
      <c r="BH187" s="17"/>
      <c r="BI187" s="17"/>
      <c r="BJ187" s="247">
        <v>80000</v>
      </c>
      <c r="BK187" s="247">
        <f t="shared" si="55"/>
        <v>15200</v>
      </c>
      <c r="BL187" s="247">
        <f t="shared" si="56"/>
        <v>95200</v>
      </c>
      <c r="BM187" s="191" t="s">
        <v>140</v>
      </c>
      <c r="BN187" s="190" t="s">
        <v>1523</v>
      </c>
      <c r="BO187" s="17"/>
      <c r="BP187" s="247">
        <v>26500</v>
      </c>
      <c r="BQ187" s="247">
        <f t="shared" si="48"/>
        <v>5035</v>
      </c>
      <c r="BR187" s="247">
        <f t="shared" si="52"/>
        <v>31535</v>
      </c>
      <c r="BS187" s="17"/>
      <c r="BT187" s="17"/>
      <c r="BU187" s="17"/>
      <c r="BV187" s="195">
        <v>93492</v>
      </c>
      <c r="BW187" s="195">
        <f>+BV187*0.19</f>
        <v>17763.48</v>
      </c>
      <c r="BX187" s="246">
        <f>+BV187+BW187</f>
        <v>111255.48</v>
      </c>
      <c r="BY187" s="191" t="s">
        <v>140</v>
      </c>
      <c r="BZ187" s="190" t="s">
        <v>1523</v>
      </c>
      <c r="CA187" s="190"/>
      <c r="CB187" s="247"/>
      <c r="CC187" s="247"/>
      <c r="CD187" s="247"/>
      <c r="CE187" s="17"/>
      <c r="CF187" s="17"/>
      <c r="CG187" s="17"/>
      <c r="CH187" s="247"/>
      <c r="CI187" s="247"/>
      <c r="CJ187" s="247"/>
      <c r="CK187" s="17"/>
      <c r="CL187" s="17"/>
      <c r="CM187" s="17"/>
      <c r="CN187" s="17"/>
      <c r="CO187" s="17"/>
      <c r="CP187" s="11"/>
      <c r="CQ187" s="11"/>
      <c r="CR187" s="11"/>
      <c r="CS187" s="11"/>
      <c r="CT187" s="247"/>
      <c r="CU187" s="247"/>
      <c r="CV187" s="247"/>
      <c r="CW187" s="11"/>
      <c r="CX187" s="11"/>
      <c r="CY187" s="11"/>
      <c r="CZ187" s="11"/>
      <c r="DA187" s="11"/>
      <c r="DB187" s="11"/>
      <c r="DC187" s="11"/>
      <c r="DD187" s="11"/>
      <c r="DE187" s="11"/>
      <c r="DF187" s="11"/>
      <c r="DG187" s="11"/>
      <c r="DH187" s="11"/>
      <c r="DI187" s="11"/>
      <c r="DJ187" s="11"/>
      <c r="DK187" s="11"/>
      <c r="DL187" s="247"/>
      <c r="DM187" s="247"/>
      <c r="DN187" s="247"/>
      <c r="DO187" s="247"/>
      <c r="DP187" s="247"/>
      <c r="DQ187" s="247"/>
      <c r="DR187" s="247"/>
      <c r="DS187" s="247"/>
      <c r="DT187" s="247"/>
      <c r="DU187" s="247"/>
      <c r="DV187" s="247"/>
      <c r="DW187" s="247"/>
      <c r="DX187" s="247"/>
      <c r="DY187" s="247"/>
      <c r="DZ187" s="247"/>
      <c r="EA187" s="247"/>
      <c r="EB187" s="247"/>
      <c r="EC187" s="247"/>
      <c r="ED187" s="17">
        <f t="shared" si="49"/>
        <v>323458.65999999997</v>
      </c>
      <c r="EE187" s="29">
        <f t="shared" si="50"/>
        <v>5</v>
      </c>
      <c r="EF187" s="17">
        <f t="shared" si="51"/>
        <v>64691.731999999996</v>
      </c>
    </row>
    <row r="188" spans="1:136" ht="25.5" x14ac:dyDescent="0.25">
      <c r="A188" s="25">
        <f>Distribución_Elementos!A188</f>
        <v>186</v>
      </c>
      <c r="B188" s="22" t="str">
        <f>Distribución_Elementos!B188</f>
        <v>Electrodo de medición de pH ACCUMET</v>
      </c>
      <c r="C188" s="22" t="str">
        <f>Distribución_Elementos!C188</f>
        <v>Accumet 13-620-285 serie 8267113P</v>
      </c>
      <c r="D188" s="22" t="str">
        <f>Distribución_Elementos!D188</f>
        <v>Unidad</v>
      </c>
      <c r="E188" s="224">
        <v>1</v>
      </c>
      <c r="F188" s="221">
        <v>815150</v>
      </c>
      <c r="G188" s="221">
        <v>815150</v>
      </c>
      <c r="H188" s="221">
        <v>947139.04833333334</v>
      </c>
      <c r="I188" s="221">
        <v>0</v>
      </c>
      <c r="J188" s="221">
        <v>993352.5</v>
      </c>
      <c r="K188" s="221">
        <v>0</v>
      </c>
      <c r="L188" s="247">
        <f>AVERAGE(F188,H188,J188)</f>
        <v>918547.18277777778</v>
      </c>
      <c r="M188" s="247">
        <f>G188*E1</f>
        <v>839604.5</v>
      </c>
      <c r="N188" s="227"/>
      <c r="O188" s="119"/>
      <c r="P188" s="119"/>
      <c r="Q188" s="115"/>
      <c r="R188" s="115"/>
      <c r="S188" s="11"/>
      <c r="T188" s="247"/>
      <c r="U188" s="247"/>
      <c r="V188" s="247"/>
      <c r="W188" s="17"/>
      <c r="X188" s="11"/>
      <c r="Y188" s="11"/>
      <c r="Z188" s="247"/>
      <c r="AA188" s="247"/>
      <c r="AB188" s="247"/>
      <c r="AC188" s="5"/>
      <c r="AD188" s="22"/>
      <c r="AE188" s="17"/>
      <c r="AF188" s="247"/>
      <c r="AG188" s="247"/>
      <c r="AH188" s="149"/>
      <c r="AI188" s="22"/>
      <c r="AJ188" s="17"/>
      <c r="AK188" s="17"/>
      <c r="AL188" s="102"/>
      <c r="AM188" s="132"/>
      <c r="AN188" s="161"/>
      <c r="AO188" s="115"/>
      <c r="AP188" s="115"/>
      <c r="AQ188" s="17"/>
      <c r="AR188" s="247"/>
      <c r="AS188" s="247"/>
      <c r="AT188" s="247"/>
      <c r="AU188" s="17"/>
      <c r="AV188" s="17"/>
      <c r="AW188" s="17"/>
      <c r="AX188" s="247"/>
      <c r="AY188" s="247"/>
      <c r="AZ188" s="247"/>
      <c r="BA188" s="17"/>
      <c r="BB188" s="52"/>
      <c r="BC188" s="17"/>
      <c r="BD188" s="247"/>
      <c r="BE188" s="247"/>
      <c r="BF188" s="247"/>
      <c r="BG188" s="17"/>
      <c r="BH188" s="17"/>
      <c r="BI188" s="17"/>
      <c r="BJ188" s="247"/>
      <c r="BK188" s="247"/>
      <c r="BL188" s="247"/>
      <c r="BM188" s="190"/>
      <c r="BN188" s="190"/>
      <c r="BO188" s="17"/>
      <c r="BP188" s="247"/>
      <c r="BQ188" s="247"/>
      <c r="BR188" s="247"/>
      <c r="BS188" s="17"/>
      <c r="BT188" s="17"/>
      <c r="BU188" s="17"/>
      <c r="BV188" s="189"/>
      <c r="BW188" s="197"/>
      <c r="BX188" s="246"/>
      <c r="BY188" s="190"/>
      <c r="BZ188" s="190"/>
      <c r="CA188" s="190"/>
      <c r="CB188" s="247"/>
      <c r="CC188" s="247"/>
      <c r="CD188" s="247"/>
      <c r="CE188" s="17"/>
      <c r="CF188" s="17"/>
      <c r="CG188" s="17"/>
      <c r="CH188" s="247"/>
      <c r="CI188" s="247"/>
      <c r="CJ188" s="247"/>
      <c r="CK188" s="17"/>
      <c r="CL188" s="17"/>
      <c r="CM188" s="17"/>
      <c r="CN188" s="17"/>
      <c r="CO188" s="17"/>
      <c r="CP188" s="11"/>
      <c r="CQ188" s="11"/>
      <c r="CR188" s="11"/>
      <c r="CS188" s="11"/>
      <c r="CT188" s="247"/>
      <c r="CU188" s="247"/>
      <c r="CV188" s="247"/>
      <c r="CW188" s="11"/>
      <c r="CX188" s="11"/>
      <c r="CY188" s="11"/>
      <c r="CZ188" s="11"/>
      <c r="DA188" s="11"/>
      <c r="DB188" s="11"/>
      <c r="DC188" s="11"/>
      <c r="DD188" s="11"/>
      <c r="DE188" s="11"/>
      <c r="DF188" s="11"/>
      <c r="DG188" s="11"/>
      <c r="DH188" s="11"/>
      <c r="DI188" s="11"/>
      <c r="DJ188" s="11"/>
      <c r="DK188" s="11"/>
      <c r="DL188" s="247"/>
      <c r="DM188" s="247"/>
      <c r="DN188" s="247"/>
      <c r="DO188" s="247"/>
      <c r="DP188" s="247"/>
      <c r="DQ188" s="247"/>
      <c r="DR188" s="247"/>
      <c r="DS188" s="247"/>
      <c r="DT188" s="247"/>
      <c r="DU188" s="247"/>
      <c r="DV188" s="247"/>
      <c r="DW188" s="247"/>
      <c r="DX188" s="247"/>
      <c r="DY188" s="247"/>
      <c r="DZ188" s="247"/>
      <c r="EA188" s="247"/>
      <c r="EB188" s="247"/>
      <c r="EC188" s="247"/>
      <c r="ED188" s="17">
        <f t="shared" si="49"/>
        <v>839604.5</v>
      </c>
      <c r="EE188" s="29">
        <f t="shared" si="50"/>
        <v>1</v>
      </c>
      <c r="EF188" s="17">
        <f t="shared" si="51"/>
        <v>839604.5</v>
      </c>
    </row>
    <row r="189" spans="1:136" ht="25.5" x14ac:dyDescent="0.25">
      <c r="A189" s="25">
        <f>Distribución_Elementos!A189</f>
        <v>187</v>
      </c>
      <c r="B189" s="22" t="str">
        <f>Distribución_Elementos!B189</f>
        <v>Embudo de polipropileno. Diámetro externo 80 mm.</v>
      </c>
      <c r="C189" s="22" t="str">
        <f>Distribución_Elementos!C189</f>
        <v>Nalgene®, Iso-Lab, Brand 1482 25</v>
      </c>
      <c r="D189" s="22" t="str">
        <f>Distribución_Elementos!D189</f>
        <v>Unidad</v>
      </c>
      <c r="E189" s="224">
        <v>1</v>
      </c>
      <c r="F189" s="221">
        <v>0</v>
      </c>
      <c r="G189" s="221">
        <v>0</v>
      </c>
      <c r="H189" s="221">
        <v>25358.281059862609</v>
      </c>
      <c r="I189" s="221">
        <v>12566</v>
      </c>
      <c r="J189" s="221">
        <v>29750</v>
      </c>
      <c r="K189" s="221">
        <v>29750</v>
      </c>
      <c r="L189" s="247">
        <f>AVERAGE(H189,J189)</f>
        <v>27554.140529931305</v>
      </c>
      <c r="M189" s="247">
        <f>AVERAGE(I189,K189)*E1</f>
        <v>21792.74</v>
      </c>
      <c r="N189" s="227"/>
      <c r="O189" s="119"/>
      <c r="P189" s="119"/>
      <c r="Q189" s="115"/>
      <c r="R189" s="115"/>
      <c r="S189" s="11"/>
      <c r="T189" s="247"/>
      <c r="U189" s="247"/>
      <c r="V189" s="247"/>
      <c r="W189" s="17"/>
      <c r="X189" s="11"/>
      <c r="Y189" s="11"/>
      <c r="Z189" s="247"/>
      <c r="AA189" s="247"/>
      <c r="AB189" s="247"/>
      <c r="AC189" s="5"/>
      <c r="AD189" s="22"/>
      <c r="AE189" s="17"/>
      <c r="AF189" s="247"/>
      <c r="AG189" s="247"/>
      <c r="AH189" s="149"/>
      <c r="AI189" s="4"/>
      <c r="AJ189" s="17"/>
      <c r="AK189" s="17"/>
      <c r="AL189" s="102"/>
      <c r="AM189" s="132"/>
      <c r="AN189" s="161"/>
      <c r="AO189" s="115"/>
      <c r="AP189" s="115"/>
      <c r="AQ189" s="17"/>
      <c r="AR189" s="247"/>
      <c r="AS189" s="247"/>
      <c r="AT189" s="247"/>
      <c r="AU189" s="17"/>
      <c r="AV189" s="17"/>
      <c r="AW189" s="17"/>
      <c r="AX189" s="247"/>
      <c r="AY189" s="247"/>
      <c r="AZ189" s="247"/>
      <c r="BA189" s="17"/>
      <c r="BB189" s="52"/>
      <c r="BC189" s="17"/>
      <c r="BD189" s="247"/>
      <c r="BE189" s="247"/>
      <c r="BF189" s="247"/>
      <c r="BG189" s="17"/>
      <c r="BH189" s="17"/>
      <c r="BI189" s="17"/>
      <c r="BJ189" s="247">
        <v>27100</v>
      </c>
      <c r="BK189" s="247">
        <f t="shared" si="55"/>
        <v>5149</v>
      </c>
      <c r="BL189" s="247">
        <f t="shared" si="56"/>
        <v>32249</v>
      </c>
      <c r="BM189" s="191" t="s">
        <v>140</v>
      </c>
      <c r="BN189" s="190" t="s">
        <v>1565</v>
      </c>
      <c r="BO189" s="17"/>
      <c r="BP189" s="247">
        <v>45600</v>
      </c>
      <c r="BQ189" s="247">
        <f t="shared" si="48"/>
        <v>8664</v>
      </c>
      <c r="BR189" s="247">
        <f t="shared" si="52"/>
        <v>54264</v>
      </c>
      <c r="BS189" s="17"/>
      <c r="BT189" s="17"/>
      <c r="BU189" s="17"/>
      <c r="BV189" s="195">
        <v>29883.657800000001</v>
      </c>
      <c r="BW189" s="195">
        <f>+BV189*0.19</f>
        <v>5677.8949819999998</v>
      </c>
      <c r="BX189" s="246">
        <f>+BV189+BW189</f>
        <v>35561.552781999999</v>
      </c>
      <c r="BY189" s="191" t="s">
        <v>140</v>
      </c>
      <c r="BZ189" s="190" t="s">
        <v>1565</v>
      </c>
      <c r="CA189" s="190"/>
      <c r="CB189" s="247"/>
      <c r="CC189" s="247"/>
      <c r="CD189" s="247"/>
      <c r="CE189" s="17"/>
      <c r="CF189" s="17"/>
      <c r="CG189" s="17"/>
      <c r="CH189" s="247"/>
      <c r="CI189" s="247"/>
      <c r="CJ189" s="247"/>
      <c r="CK189" s="17"/>
      <c r="CL189" s="17"/>
      <c r="CM189" s="17"/>
      <c r="CN189" s="17"/>
      <c r="CO189" s="17"/>
      <c r="CP189" s="11"/>
      <c r="CQ189" s="11"/>
      <c r="CR189" s="11"/>
      <c r="CS189" s="11"/>
      <c r="CT189" s="247"/>
      <c r="CU189" s="247"/>
      <c r="CV189" s="247"/>
      <c r="CW189" s="11"/>
      <c r="CX189" s="11"/>
      <c r="CY189" s="11"/>
      <c r="CZ189" s="11"/>
      <c r="DA189" s="11"/>
      <c r="DB189" s="11"/>
      <c r="DC189" s="11"/>
      <c r="DD189" s="11"/>
      <c r="DE189" s="11"/>
      <c r="DF189" s="11"/>
      <c r="DG189" s="11"/>
      <c r="DH189" s="11"/>
      <c r="DI189" s="11"/>
      <c r="DJ189" s="11"/>
      <c r="DK189" s="11"/>
      <c r="DL189" s="247"/>
      <c r="DM189" s="247"/>
      <c r="DN189" s="247"/>
      <c r="DO189" s="247"/>
      <c r="DP189" s="247"/>
      <c r="DQ189" s="247"/>
      <c r="DR189" s="247"/>
      <c r="DS189" s="247"/>
      <c r="DT189" s="247"/>
      <c r="DU189" s="247"/>
      <c r="DV189" s="247"/>
      <c r="DW189" s="247"/>
      <c r="DX189" s="247"/>
      <c r="DY189" s="247"/>
      <c r="DZ189" s="247"/>
      <c r="EA189" s="247"/>
      <c r="EB189" s="247"/>
      <c r="EC189" s="247"/>
      <c r="ED189" s="17">
        <f t="shared" si="49"/>
        <v>143867.292782</v>
      </c>
      <c r="EE189" s="29">
        <f t="shared" si="50"/>
        <v>4</v>
      </c>
      <c r="EF189" s="17">
        <f t="shared" si="51"/>
        <v>35966.823195500001</v>
      </c>
    </row>
    <row r="190" spans="1:136" ht="25.5" x14ac:dyDescent="0.25">
      <c r="A190" s="25">
        <f>Distribución_Elementos!A190</f>
        <v>188</v>
      </c>
      <c r="B190" s="22" t="str">
        <f>Distribución_Elementos!B190</f>
        <v>Embudo de vidrio de boricilicato 3.3, con superficies lisas angulo de 60°. Diámetro externo 100 mm</v>
      </c>
      <c r="C190" s="22" t="str">
        <f>Distribución_Elementos!C190</f>
        <v>Pyrex , Corning, Kymax, Brand, Duran.</v>
      </c>
      <c r="D190" s="22" t="str">
        <f>Distribución_Elementos!D190</f>
        <v>Unidad</v>
      </c>
      <c r="E190" s="224">
        <v>1</v>
      </c>
      <c r="F190" s="221">
        <v>29512</v>
      </c>
      <c r="G190" s="221">
        <v>28560</v>
      </c>
      <c r="H190" s="221">
        <v>25439.046908734053</v>
      </c>
      <c r="I190" s="221">
        <v>19992</v>
      </c>
      <c r="J190" s="221">
        <v>53592.84</v>
      </c>
      <c r="K190" s="221">
        <v>53550</v>
      </c>
      <c r="L190" s="247">
        <f>AVERAGE(F190,H190,J190)</f>
        <v>36181.295636244678</v>
      </c>
      <c r="M190" s="247">
        <f>AVERAGE(G190,I190,K190)*E1</f>
        <v>35055.020000000004</v>
      </c>
      <c r="N190" s="227">
        <v>35000</v>
      </c>
      <c r="O190" s="119">
        <f>+N190*0.19</f>
        <v>6650</v>
      </c>
      <c r="P190" s="119">
        <f>+N190+O190</f>
        <v>41650</v>
      </c>
      <c r="Q190" s="115"/>
      <c r="R190" s="115"/>
      <c r="S190" s="11"/>
      <c r="T190" s="247">
        <v>10010</v>
      </c>
      <c r="U190" s="247">
        <f>+T190*0.19</f>
        <v>1901.9</v>
      </c>
      <c r="V190" s="247">
        <f>+T190+U190</f>
        <v>11911.9</v>
      </c>
      <c r="W190" s="17" t="s">
        <v>1514</v>
      </c>
      <c r="X190" s="11" t="s">
        <v>1517</v>
      </c>
      <c r="Y190" s="11"/>
      <c r="Z190" s="247"/>
      <c r="AA190" s="247"/>
      <c r="AB190" s="247"/>
      <c r="AC190" s="5"/>
      <c r="AD190" s="22"/>
      <c r="AE190" s="17"/>
      <c r="AF190" s="247"/>
      <c r="AG190" s="247"/>
      <c r="AH190" s="149"/>
      <c r="AI190" s="4"/>
      <c r="AJ190" s="17"/>
      <c r="AK190" s="17"/>
      <c r="AL190" s="102"/>
      <c r="AM190" s="132"/>
      <c r="AN190" s="161"/>
      <c r="AO190" s="115"/>
      <c r="AP190" s="115"/>
      <c r="AQ190" s="17"/>
      <c r="AR190" s="247"/>
      <c r="AS190" s="247"/>
      <c r="AT190" s="247"/>
      <c r="AU190" s="17"/>
      <c r="AV190" s="17"/>
      <c r="AW190" s="17"/>
      <c r="AX190" s="247"/>
      <c r="AY190" s="247"/>
      <c r="AZ190" s="247"/>
      <c r="BA190" s="17"/>
      <c r="BB190" s="52"/>
      <c r="BC190" s="17"/>
      <c r="BD190" s="247"/>
      <c r="BE190" s="247"/>
      <c r="BF190" s="247"/>
      <c r="BG190" s="17"/>
      <c r="BH190" s="17"/>
      <c r="BI190" s="17"/>
      <c r="BJ190" s="247">
        <v>63400</v>
      </c>
      <c r="BK190" s="247">
        <f t="shared" si="55"/>
        <v>12046</v>
      </c>
      <c r="BL190" s="247">
        <f t="shared" si="56"/>
        <v>75446</v>
      </c>
      <c r="BM190" s="191" t="s">
        <v>140</v>
      </c>
      <c r="BN190" s="190" t="s">
        <v>1565</v>
      </c>
      <c r="BO190" s="17"/>
      <c r="BP190" s="247">
        <v>18500</v>
      </c>
      <c r="BQ190" s="247">
        <f t="shared" si="48"/>
        <v>3515</v>
      </c>
      <c r="BR190" s="247">
        <f t="shared" si="52"/>
        <v>22015</v>
      </c>
      <c r="BS190" s="17"/>
      <c r="BT190" s="17"/>
      <c r="BU190" s="17"/>
      <c r="BV190" s="195">
        <v>72602.763599999991</v>
      </c>
      <c r="BW190" s="195">
        <f>+BV190*0.19</f>
        <v>13794.525083999999</v>
      </c>
      <c r="BX190" s="246">
        <f>+BV190+BW190</f>
        <v>86397.288683999985</v>
      </c>
      <c r="BY190" s="191" t="s">
        <v>140</v>
      </c>
      <c r="BZ190" s="190" t="s">
        <v>1565</v>
      </c>
      <c r="CA190" s="190"/>
      <c r="CB190" s="247"/>
      <c r="CC190" s="247"/>
      <c r="CD190" s="247"/>
      <c r="CE190" s="17"/>
      <c r="CF190" s="17"/>
      <c r="CG190" s="17"/>
      <c r="CH190" s="247"/>
      <c r="CI190" s="247"/>
      <c r="CJ190" s="247"/>
      <c r="CK190" s="17"/>
      <c r="CL190" s="17"/>
      <c r="CM190" s="17"/>
      <c r="CN190" s="17"/>
      <c r="CO190" s="17"/>
      <c r="CP190" s="11"/>
      <c r="CQ190" s="11"/>
      <c r="CR190" s="11"/>
      <c r="CS190" s="11"/>
      <c r="CT190" s="247"/>
      <c r="CU190" s="247"/>
      <c r="CV190" s="247"/>
      <c r="CW190" s="11"/>
      <c r="CX190" s="11"/>
      <c r="CY190" s="11"/>
      <c r="CZ190" s="11"/>
      <c r="DA190" s="11"/>
      <c r="DB190" s="11"/>
      <c r="DC190" s="11"/>
      <c r="DD190" s="11"/>
      <c r="DE190" s="11"/>
      <c r="DF190" s="11"/>
      <c r="DG190" s="11"/>
      <c r="DH190" s="11"/>
      <c r="DI190" s="11"/>
      <c r="DJ190" s="11"/>
      <c r="DK190" s="11"/>
      <c r="DL190" s="247"/>
      <c r="DM190" s="247"/>
      <c r="DN190" s="247"/>
      <c r="DO190" s="247"/>
      <c r="DP190" s="247"/>
      <c r="DQ190" s="247"/>
      <c r="DR190" s="247"/>
      <c r="DS190" s="247"/>
      <c r="DT190" s="247"/>
      <c r="DU190" s="247"/>
      <c r="DV190" s="247"/>
      <c r="DW190" s="247"/>
      <c r="DX190" s="247"/>
      <c r="DY190" s="247"/>
      <c r="DZ190" s="247"/>
      <c r="EA190" s="247"/>
      <c r="EB190" s="247"/>
      <c r="EC190" s="247"/>
      <c r="ED190" s="17">
        <f t="shared" si="49"/>
        <v>272475.20868399995</v>
      </c>
      <c r="EE190" s="29">
        <f t="shared" si="50"/>
        <v>6</v>
      </c>
      <c r="EF190" s="17">
        <f t="shared" si="51"/>
        <v>45412.534780666661</v>
      </c>
    </row>
    <row r="191" spans="1:136" ht="25.5" x14ac:dyDescent="0.25">
      <c r="A191" s="25">
        <f>Distribución_Elementos!A191</f>
        <v>189</v>
      </c>
      <c r="B191" s="22" t="str">
        <f>Distribución_Elementos!B191</f>
        <v xml:space="preserve">Embudo de vidrio por 10 cm X 0.6 cm </v>
      </c>
      <c r="C191" s="22" t="str">
        <f>Distribución_Elementos!C191</f>
        <v>Pyrex , Corning, Kymax, Brand, Duran.</v>
      </c>
      <c r="D191" s="22" t="str">
        <f>Distribución_Elementos!D191</f>
        <v>Unidad</v>
      </c>
      <c r="E191" s="224">
        <v>1</v>
      </c>
      <c r="F191" s="221">
        <v>0</v>
      </c>
      <c r="G191" s="221">
        <v>0</v>
      </c>
      <c r="H191" s="221">
        <v>37187.5</v>
      </c>
      <c r="I191" s="221">
        <v>0</v>
      </c>
      <c r="J191" s="221">
        <v>44413.18</v>
      </c>
      <c r="K191" s="221">
        <v>0</v>
      </c>
      <c r="L191" s="247">
        <f>AVERAGE(H191,J191)</f>
        <v>40800.339999999997</v>
      </c>
      <c r="M191" s="247"/>
      <c r="N191" s="227">
        <v>25000</v>
      </c>
      <c r="O191" s="119">
        <f>+N191*0.19</f>
        <v>4750</v>
      </c>
      <c r="P191" s="119">
        <f>+N191+O191</f>
        <v>29750</v>
      </c>
      <c r="Q191" s="115"/>
      <c r="R191" s="115"/>
      <c r="S191" s="11"/>
      <c r="T191" s="247">
        <v>24200.000000000004</v>
      </c>
      <c r="U191" s="247">
        <f>+T191*0.19</f>
        <v>4598.0000000000009</v>
      </c>
      <c r="V191" s="247">
        <f>+T191+U191</f>
        <v>28798.000000000004</v>
      </c>
      <c r="W191" s="17" t="s">
        <v>1514</v>
      </c>
      <c r="X191" s="11" t="s">
        <v>1521</v>
      </c>
      <c r="Y191" s="11"/>
      <c r="Z191" s="247"/>
      <c r="AA191" s="247"/>
      <c r="AB191" s="247"/>
      <c r="AC191" s="5"/>
      <c r="AD191" s="22"/>
      <c r="AE191" s="17"/>
      <c r="AF191" s="247"/>
      <c r="AG191" s="247"/>
      <c r="AH191" s="149"/>
      <c r="AI191" s="22"/>
      <c r="AJ191" s="17"/>
      <c r="AK191" s="17"/>
      <c r="AL191" s="102"/>
      <c r="AM191" s="132"/>
      <c r="AN191" s="161"/>
      <c r="AO191" s="115"/>
      <c r="AP191" s="115"/>
      <c r="AQ191" s="17"/>
      <c r="AR191" s="247"/>
      <c r="AS191" s="247"/>
      <c r="AT191" s="247"/>
      <c r="AU191" s="17"/>
      <c r="AV191" s="17"/>
      <c r="AW191" s="17"/>
      <c r="AX191" s="247"/>
      <c r="AY191" s="247"/>
      <c r="AZ191" s="247"/>
      <c r="BA191" s="17"/>
      <c r="BB191" s="52"/>
      <c r="BC191" s="17"/>
      <c r="BD191" s="247"/>
      <c r="BE191" s="247"/>
      <c r="BF191" s="247"/>
      <c r="BG191" s="17"/>
      <c r="BH191" s="17"/>
      <c r="BI191" s="17"/>
      <c r="BJ191" s="247">
        <v>31800</v>
      </c>
      <c r="BK191" s="247">
        <f t="shared" si="55"/>
        <v>6042</v>
      </c>
      <c r="BL191" s="247">
        <f t="shared" si="56"/>
        <v>37842</v>
      </c>
      <c r="BM191" s="191" t="s">
        <v>140</v>
      </c>
      <c r="BN191" s="190" t="s">
        <v>153</v>
      </c>
      <c r="BO191" s="17"/>
      <c r="BP191" s="247">
        <v>65200</v>
      </c>
      <c r="BQ191" s="247">
        <f t="shared" si="48"/>
        <v>12388</v>
      </c>
      <c r="BR191" s="247">
        <f t="shared" si="52"/>
        <v>77588</v>
      </c>
      <c r="BS191" s="17"/>
      <c r="BT191" s="17"/>
      <c r="BU191" s="17"/>
      <c r="BV191" s="195">
        <v>36802.521600000007</v>
      </c>
      <c r="BW191" s="195">
        <f>+BV191*0.19</f>
        <v>6992.4791040000018</v>
      </c>
      <c r="BX191" s="246">
        <f>+BV191+BW191</f>
        <v>43795.000704000005</v>
      </c>
      <c r="BY191" s="191" t="s">
        <v>140</v>
      </c>
      <c r="BZ191" s="190" t="s">
        <v>153</v>
      </c>
      <c r="CA191" s="190"/>
      <c r="CB191" s="247"/>
      <c r="CC191" s="247"/>
      <c r="CD191" s="247"/>
      <c r="CE191" s="17"/>
      <c r="CF191" s="17"/>
      <c r="CG191" s="17"/>
      <c r="CH191" s="247"/>
      <c r="CI191" s="247"/>
      <c r="CJ191" s="247"/>
      <c r="CK191" s="17"/>
      <c r="CL191" s="17"/>
      <c r="CM191" s="17"/>
      <c r="CN191" s="17"/>
      <c r="CO191" s="17"/>
      <c r="CP191" s="11"/>
      <c r="CQ191" s="11"/>
      <c r="CR191" s="11"/>
      <c r="CS191" s="11"/>
      <c r="CT191" s="247"/>
      <c r="CU191" s="247"/>
      <c r="CV191" s="247"/>
      <c r="CW191" s="11"/>
      <c r="CX191" s="11"/>
      <c r="CY191" s="11"/>
      <c r="CZ191" s="11"/>
      <c r="DA191" s="11"/>
      <c r="DB191" s="11"/>
      <c r="DC191" s="11"/>
      <c r="DD191" s="11"/>
      <c r="DE191" s="11"/>
      <c r="DF191" s="11"/>
      <c r="DG191" s="11"/>
      <c r="DH191" s="11"/>
      <c r="DI191" s="11"/>
      <c r="DJ191" s="11"/>
      <c r="DK191" s="11"/>
      <c r="DL191" s="247"/>
      <c r="DM191" s="247"/>
      <c r="DN191" s="247"/>
      <c r="DO191" s="247"/>
      <c r="DP191" s="247"/>
      <c r="DQ191" s="247"/>
      <c r="DR191" s="247"/>
      <c r="DS191" s="247"/>
      <c r="DT191" s="247"/>
      <c r="DU191" s="247"/>
      <c r="DV191" s="247"/>
      <c r="DW191" s="247"/>
      <c r="DX191" s="247"/>
      <c r="DY191" s="247"/>
      <c r="DZ191" s="247"/>
      <c r="EA191" s="247"/>
      <c r="EB191" s="247"/>
      <c r="EC191" s="247"/>
      <c r="ED191" s="17">
        <f t="shared" si="49"/>
        <v>217773.00070400001</v>
      </c>
      <c r="EE191" s="29">
        <f t="shared" si="50"/>
        <v>5</v>
      </c>
      <c r="EF191" s="17">
        <f t="shared" si="51"/>
        <v>43554.600140800001</v>
      </c>
    </row>
    <row r="192" spans="1:136" ht="25.5" x14ac:dyDescent="0.25">
      <c r="A192" s="25">
        <f>Distribución_Elementos!A192</f>
        <v>190</v>
      </c>
      <c r="B192" s="22" t="str">
        <f>Distribución_Elementos!B192</f>
        <v>Embudo de vidrio superficie interior lisa. Diametro externo 55, longitud rama 55 mm</v>
      </c>
      <c r="C192" s="22" t="str">
        <f>Distribución_Elementos!C192</f>
        <v>Pyrex , Corning, Kymax, Brand, Duran.</v>
      </c>
      <c r="D192" s="22" t="str">
        <f>Distribución_Elementos!D192</f>
        <v>Unidad</v>
      </c>
      <c r="E192" s="224">
        <v>1</v>
      </c>
      <c r="F192" s="221">
        <v>0</v>
      </c>
      <c r="G192" s="221">
        <v>0</v>
      </c>
      <c r="H192" s="221">
        <v>27667.5</v>
      </c>
      <c r="I192" s="221">
        <v>27608</v>
      </c>
      <c r="J192" s="221">
        <v>0</v>
      </c>
      <c r="K192" s="221">
        <v>0</v>
      </c>
      <c r="L192" s="247">
        <f>H192</f>
        <v>27667.5</v>
      </c>
      <c r="M192" s="247">
        <f>I192*E1</f>
        <v>28436.240000000002</v>
      </c>
      <c r="N192" s="227"/>
      <c r="O192" s="119"/>
      <c r="P192" s="119"/>
      <c r="Q192" s="115"/>
      <c r="R192" s="115"/>
      <c r="S192" s="11"/>
      <c r="T192" s="247"/>
      <c r="U192" s="247"/>
      <c r="V192" s="247"/>
      <c r="W192" s="17"/>
      <c r="X192" s="11"/>
      <c r="Y192" s="11"/>
      <c r="Z192" s="247"/>
      <c r="AA192" s="247"/>
      <c r="AB192" s="247"/>
      <c r="AC192" s="5"/>
      <c r="AD192" s="22"/>
      <c r="AE192" s="17"/>
      <c r="AF192" s="247"/>
      <c r="AG192" s="247"/>
      <c r="AH192" s="149"/>
      <c r="AI192" s="22"/>
      <c r="AJ192" s="17"/>
      <c r="AK192" s="17"/>
      <c r="AL192" s="102"/>
      <c r="AM192" s="132"/>
      <c r="AN192" s="161"/>
      <c r="AO192" s="115"/>
      <c r="AP192" s="115"/>
      <c r="AQ192" s="17"/>
      <c r="AR192" s="247"/>
      <c r="AS192" s="247"/>
      <c r="AT192" s="247"/>
      <c r="AU192" s="17"/>
      <c r="AV192" s="17"/>
      <c r="AW192" s="17"/>
      <c r="AX192" s="247"/>
      <c r="AY192" s="247"/>
      <c r="AZ192" s="247"/>
      <c r="BA192" s="17"/>
      <c r="BB192" s="52"/>
      <c r="BC192" s="17"/>
      <c r="BD192" s="247"/>
      <c r="BE192" s="247"/>
      <c r="BF192" s="247"/>
      <c r="BG192" s="17"/>
      <c r="BH192" s="17"/>
      <c r="BI192" s="17"/>
      <c r="BJ192" s="247">
        <v>37200</v>
      </c>
      <c r="BK192" s="247">
        <f t="shared" si="55"/>
        <v>7068</v>
      </c>
      <c r="BL192" s="247">
        <f t="shared" si="56"/>
        <v>44268</v>
      </c>
      <c r="BM192" s="191" t="s">
        <v>140</v>
      </c>
      <c r="BN192" s="190" t="s">
        <v>1565</v>
      </c>
      <c r="BO192" s="17"/>
      <c r="BP192" s="247">
        <v>65000</v>
      </c>
      <c r="BQ192" s="247">
        <f t="shared" si="48"/>
        <v>12350</v>
      </c>
      <c r="BR192" s="247">
        <f t="shared" si="52"/>
        <v>77350</v>
      </c>
      <c r="BS192" s="17"/>
      <c r="BT192" s="17"/>
      <c r="BU192" s="17"/>
      <c r="BV192" s="195">
        <v>41841.072</v>
      </c>
      <c r="BW192" s="195">
        <f t="shared" ref="BW192:BW202" si="62">+BV192*0.19</f>
        <v>7949.80368</v>
      </c>
      <c r="BX192" s="246">
        <f t="shared" ref="BX192:BX202" si="63">+BV192+BW192</f>
        <v>49790.875679999997</v>
      </c>
      <c r="BY192" s="191" t="s">
        <v>140</v>
      </c>
      <c r="BZ192" s="190" t="s">
        <v>1565</v>
      </c>
      <c r="CA192" s="190"/>
      <c r="CB192" s="247"/>
      <c r="CC192" s="247"/>
      <c r="CD192" s="247"/>
      <c r="CE192" s="17"/>
      <c r="CF192" s="17"/>
      <c r="CG192" s="17"/>
      <c r="CH192" s="247"/>
      <c r="CI192" s="247"/>
      <c r="CJ192" s="247"/>
      <c r="CK192" s="17"/>
      <c r="CL192" s="17"/>
      <c r="CM192" s="17"/>
      <c r="CN192" s="17"/>
      <c r="CO192" s="17"/>
      <c r="CP192" s="11"/>
      <c r="CQ192" s="11"/>
      <c r="CR192" s="11"/>
      <c r="CS192" s="11"/>
      <c r="CT192" s="247"/>
      <c r="CU192" s="247"/>
      <c r="CV192" s="247"/>
      <c r="CW192" s="11"/>
      <c r="CX192" s="11"/>
      <c r="CY192" s="11"/>
      <c r="CZ192" s="11"/>
      <c r="DA192" s="11"/>
      <c r="DB192" s="11"/>
      <c r="DC192" s="11"/>
      <c r="DD192" s="11"/>
      <c r="DE192" s="11"/>
      <c r="DF192" s="11"/>
      <c r="DG192" s="11"/>
      <c r="DH192" s="11"/>
      <c r="DI192" s="11"/>
      <c r="DJ192" s="11"/>
      <c r="DK192" s="11"/>
      <c r="DL192" s="247"/>
      <c r="DM192" s="247"/>
      <c r="DN192" s="247"/>
      <c r="DO192" s="247"/>
      <c r="DP192" s="247"/>
      <c r="DQ192" s="247"/>
      <c r="DR192" s="247"/>
      <c r="DS192" s="247"/>
      <c r="DT192" s="247"/>
      <c r="DU192" s="247"/>
      <c r="DV192" s="247"/>
      <c r="DW192" s="247"/>
      <c r="DX192" s="247"/>
      <c r="DY192" s="247"/>
      <c r="DZ192" s="247"/>
      <c r="EA192" s="247"/>
      <c r="EB192" s="247"/>
      <c r="EC192" s="247"/>
      <c r="ED192" s="17">
        <f t="shared" si="49"/>
        <v>199845.11567999999</v>
      </c>
      <c r="EE192" s="29">
        <f t="shared" si="50"/>
        <v>4</v>
      </c>
      <c r="EF192" s="17">
        <f t="shared" si="51"/>
        <v>49961.278919999997</v>
      </c>
    </row>
    <row r="193" spans="1:136" ht="25.5" x14ac:dyDescent="0.25">
      <c r="A193" s="25">
        <f>Distribución_Elementos!A193</f>
        <v>191</v>
      </c>
      <c r="B193" s="22" t="str">
        <f>Distribución_Elementos!B193</f>
        <v>Embudo de vidrio. Diámetro externo 70 mm</v>
      </c>
      <c r="C193" s="22" t="str">
        <f>Distribución_Elementos!C193</f>
        <v>Pyrex , Corning, Kymax, Brand, Duran.</v>
      </c>
      <c r="D193" s="22" t="str">
        <f>Distribución_Elementos!D193</f>
        <v>Unidad</v>
      </c>
      <c r="E193" s="224">
        <v>1</v>
      </c>
      <c r="F193" s="221">
        <v>0</v>
      </c>
      <c r="G193" s="221">
        <v>0</v>
      </c>
      <c r="H193" s="221">
        <v>0</v>
      </c>
      <c r="I193" s="221">
        <v>0</v>
      </c>
      <c r="J193" s="221">
        <v>51937.065833333334</v>
      </c>
      <c r="K193" s="221">
        <v>51765</v>
      </c>
      <c r="L193" s="247">
        <f>J193</f>
        <v>51937.065833333334</v>
      </c>
      <c r="M193" s="247">
        <f>K193*E1</f>
        <v>53317.950000000004</v>
      </c>
      <c r="N193" s="227">
        <v>30000</v>
      </c>
      <c r="O193" s="119">
        <f>+N193*0.19</f>
        <v>5700</v>
      </c>
      <c r="P193" s="119">
        <f>+N193+O193</f>
        <v>35700</v>
      </c>
      <c r="Q193" s="115"/>
      <c r="R193" s="115"/>
      <c r="S193" s="11"/>
      <c r="T193" s="247">
        <v>17600</v>
      </c>
      <c r="U193" s="247">
        <f>+T193*0.19</f>
        <v>3344</v>
      </c>
      <c r="V193" s="247">
        <f>+T193+U193</f>
        <v>20944</v>
      </c>
      <c r="W193" s="17" t="s">
        <v>1514</v>
      </c>
      <c r="X193" s="11" t="s">
        <v>1521</v>
      </c>
      <c r="Y193" s="11"/>
      <c r="Z193" s="247"/>
      <c r="AA193" s="247"/>
      <c r="AB193" s="247"/>
      <c r="AC193" s="5"/>
      <c r="AD193" s="22"/>
      <c r="AE193" s="17"/>
      <c r="AF193" s="247"/>
      <c r="AG193" s="247"/>
      <c r="AH193" s="149"/>
      <c r="AI193" s="22"/>
      <c r="AJ193" s="17"/>
      <c r="AK193" s="17"/>
      <c r="AL193" s="102"/>
      <c r="AM193" s="132"/>
      <c r="AN193" s="161"/>
      <c r="AO193" s="115"/>
      <c r="AP193" s="115"/>
      <c r="AQ193" s="17"/>
      <c r="AR193" s="247"/>
      <c r="AS193" s="247"/>
      <c r="AT193" s="247"/>
      <c r="AU193" s="17"/>
      <c r="AV193" s="17"/>
      <c r="AW193" s="17"/>
      <c r="AX193" s="247"/>
      <c r="AY193" s="247"/>
      <c r="AZ193" s="247"/>
      <c r="BA193" s="17"/>
      <c r="BB193" s="52"/>
      <c r="BC193" s="17"/>
      <c r="BD193" s="247"/>
      <c r="BE193" s="247"/>
      <c r="BF193" s="247"/>
      <c r="BG193" s="17"/>
      <c r="BH193" s="17"/>
      <c r="BI193" s="17"/>
      <c r="BJ193" s="247">
        <v>49700</v>
      </c>
      <c r="BK193" s="247">
        <f t="shared" si="55"/>
        <v>9443</v>
      </c>
      <c r="BL193" s="247">
        <f t="shared" si="56"/>
        <v>59143</v>
      </c>
      <c r="BM193" s="191" t="s">
        <v>140</v>
      </c>
      <c r="BN193" s="190" t="s">
        <v>1565</v>
      </c>
      <c r="BO193" s="17"/>
      <c r="BP193" s="247">
        <v>85000</v>
      </c>
      <c r="BQ193" s="247">
        <f t="shared" si="48"/>
        <v>16150</v>
      </c>
      <c r="BR193" s="247">
        <f t="shared" si="52"/>
        <v>101150</v>
      </c>
      <c r="BS193" s="17"/>
      <c r="BT193" s="17"/>
      <c r="BU193" s="17"/>
      <c r="BV193" s="195">
        <v>57486.996000000006</v>
      </c>
      <c r="BW193" s="195">
        <f t="shared" si="62"/>
        <v>10922.529240000002</v>
      </c>
      <c r="BX193" s="246">
        <f t="shared" si="63"/>
        <v>68409.525240000003</v>
      </c>
      <c r="BY193" s="191" t="s">
        <v>140</v>
      </c>
      <c r="BZ193" s="190" t="s">
        <v>1565</v>
      </c>
      <c r="CA193" s="190"/>
      <c r="CB193" s="247"/>
      <c r="CC193" s="247"/>
      <c r="CD193" s="247"/>
      <c r="CE193" s="17"/>
      <c r="CF193" s="17"/>
      <c r="CG193" s="17"/>
      <c r="CH193" s="247"/>
      <c r="CI193" s="247"/>
      <c r="CJ193" s="247"/>
      <c r="CK193" s="17"/>
      <c r="CL193" s="17"/>
      <c r="CM193" s="17"/>
      <c r="CN193" s="17"/>
      <c r="CO193" s="17"/>
      <c r="CP193" s="11"/>
      <c r="CQ193" s="11"/>
      <c r="CR193" s="11"/>
      <c r="CS193" s="11"/>
      <c r="CT193" s="247"/>
      <c r="CU193" s="247"/>
      <c r="CV193" s="247"/>
      <c r="CW193" s="11"/>
      <c r="CX193" s="11"/>
      <c r="CY193" s="11"/>
      <c r="CZ193" s="11"/>
      <c r="DA193" s="11"/>
      <c r="DB193" s="11"/>
      <c r="DC193" s="11"/>
      <c r="DD193" s="11"/>
      <c r="DE193" s="11"/>
      <c r="DF193" s="11"/>
      <c r="DG193" s="11"/>
      <c r="DH193" s="11"/>
      <c r="DI193" s="11"/>
      <c r="DJ193" s="11"/>
      <c r="DK193" s="11"/>
      <c r="DL193" s="247"/>
      <c r="DM193" s="247"/>
      <c r="DN193" s="247"/>
      <c r="DO193" s="247"/>
      <c r="DP193" s="247"/>
      <c r="DQ193" s="247"/>
      <c r="DR193" s="247"/>
      <c r="DS193" s="247"/>
      <c r="DT193" s="247"/>
      <c r="DU193" s="247"/>
      <c r="DV193" s="247"/>
      <c r="DW193" s="247"/>
      <c r="DX193" s="247"/>
      <c r="DY193" s="247"/>
      <c r="DZ193" s="247"/>
      <c r="EA193" s="247"/>
      <c r="EB193" s="247"/>
      <c r="EC193" s="247"/>
      <c r="ED193" s="17">
        <f t="shared" si="49"/>
        <v>338664.47524</v>
      </c>
      <c r="EE193" s="29">
        <f t="shared" si="50"/>
        <v>6</v>
      </c>
      <c r="EF193" s="17">
        <f t="shared" si="51"/>
        <v>56444.079206666669</v>
      </c>
    </row>
    <row r="194" spans="1:136" x14ac:dyDescent="0.25">
      <c r="A194" s="25">
        <f>Distribución_Elementos!A194</f>
        <v>192</v>
      </c>
      <c r="B194" s="22" t="str">
        <f>Distribución_Elementos!B194</f>
        <v>Embudo en Polipropileno diametro exterior 45 mm</v>
      </c>
      <c r="C194" s="22" t="str">
        <f>Distribución_Elementos!C194</f>
        <v>Cualquier marca</v>
      </c>
      <c r="D194" s="22" t="str">
        <f>Distribución_Elementos!D194</f>
        <v>Unidad</v>
      </c>
      <c r="E194" s="224">
        <v>1</v>
      </c>
      <c r="F194" s="221">
        <v>0</v>
      </c>
      <c r="G194" s="221">
        <v>0</v>
      </c>
      <c r="H194" s="221">
        <v>14934.5</v>
      </c>
      <c r="I194" s="221">
        <v>0</v>
      </c>
      <c r="J194" s="221">
        <v>18206.735555555559</v>
      </c>
      <c r="K194" s="221">
        <v>0</v>
      </c>
      <c r="L194" s="247">
        <f>AVERAGE(H194,J194)</f>
        <v>16570.617777777778</v>
      </c>
      <c r="M194" s="247"/>
      <c r="N194" s="227">
        <v>15000</v>
      </c>
      <c r="O194" s="119">
        <f>+N194*0.19</f>
        <v>2850</v>
      </c>
      <c r="P194" s="119">
        <f>+N194+O194</f>
        <v>17850</v>
      </c>
      <c r="Q194" s="115"/>
      <c r="R194" s="115"/>
      <c r="S194" s="11"/>
      <c r="T194" s="247"/>
      <c r="U194" s="247"/>
      <c r="V194" s="247"/>
      <c r="W194" s="17"/>
      <c r="X194" s="11"/>
      <c r="Y194" s="11"/>
      <c r="Z194" s="247"/>
      <c r="AA194" s="247"/>
      <c r="AB194" s="247"/>
      <c r="AC194" s="5"/>
      <c r="AD194" s="22"/>
      <c r="AE194" s="17"/>
      <c r="AF194" s="247"/>
      <c r="AG194" s="247"/>
      <c r="AH194" s="149"/>
      <c r="AI194" s="4"/>
      <c r="AJ194" s="17"/>
      <c r="AK194" s="17"/>
      <c r="AL194" s="102"/>
      <c r="AM194" s="132"/>
      <c r="AN194" s="161"/>
      <c r="AO194" s="115"/>
      <c r="AP194" s="115"/>
      <c r="AQ194" s="17"/>
      <c r="AR194" s="247"/>
      <c r="AS194" s="247"/>
      <c r="AT194" s="247"/>
      <c r="AU194" s="17"/>
      <c r="AV194" s="17"/>
      <c r="AW194" s="17"/>
      <c r="AX194" s="247"/>
      <c r="AY194" s="247"/>
      <c r="AZ194" s="247"/>
      <c r="BA194" s="17"/>
      <c r="BB194" s="52"/>
      <c r="BC194" s="17"/>
      <c r="BD194" s="247"/>
      <c r="BE194" s="247"/>
      <c r="BF194" s="247"/>
      <c r="BG194" s="17"/>
      <c r="BH194" s="17"/>
      <c r="BI194" s="17"/>
      <c r="BJ194" s="247">
        <v>14700</v>
      </c>
      <c r="BK194" s="247">
        <f t="shared" si="55"/>
        <v>2793</v>
      </c>
      <c r="BL194" s="247">
        <f t="shared" si="56"/>
        <v>17493</v>
      </c>
      <c r="BM194" s="191" t="s">
        <v>140</v>
      </c>
      <c r="BN194" s="190" t="s">
        <v>1565</v>
      </c>
      <c r="BO194" s="17"/>
      <c r="BP194" s="247">
        <v>28500</v>
      </c>
      <c r="BQ194" s="247">
        <f t="shared" si="48"/>
        <v>5415</v>
      </c>
      <c r="BR194" s="247">
        <f t="shared" si="52"/>
        <v>33915</v>
      </c>
      <c r="BS194" s="17"/>
      <c r="BT194" s="17"/>
      <c r="BU194" s="17"/>
      <c r="BV194" s="195">
        <v>16367.3328</v>
      </c>
      <c r="BW194" s="195">
        <f t="shared" si="62"/>
        <v>3109.793232</v>
      </c>
      <c r="BX194" s="246">
        <f t="shared" si="63"/>
        <v>19477.126032</v>
      </c>
      <c r="BY194" s="191" t="s">
        <v>140</v>
      </c>
      <c r="BZ194" s="190" t="s">
        <v>1565</v>
      </c>
      <c r="CA194" s="190"/>
      <c r="CB194" s="247"/>
      <c r="CC194" s="247"/>
      <c r="CD194" s="247"/>
      <c r="CE194" s="17"/>
      <c r="CF194" s="17"/>
      <c r="CG194" s="17"/>
      <c r="CH194" s="247"/>
      <c r="CI194" s="247"/>
      <c r="CJ194" s="247"/>
      <c r="CK194" s="17"/>
      <c r="CL194" s="17"/>
      <c r="CM194" s="17"/>
      <c r="CN194" s="17"/>
      <c r="CO194" s="17"/>
      <c r="CP194" s="11"/>
      <c r="CQ194" s="11"/>
      <c r="CR194" s="11"/>
      <c r="CS194" s="11"/>
      <c r="CT194" s="247"/>
      <c r="CU194" s="247"/>
      <c r="CV194" s="247"/>
      <c r="CW194" s="11"/>
      <c r="CX194" s="11"/>
      <c r="CY194" s="11"/>
      <c r="CZ194" s="11"/>
      <c r="DA194" s="11"/>
      <c r="DB194" s="11"/>
      <c r="DC194" s="11"/>
      <c r="DD194" s="11"/>
      <c r="DE194" s="11"/>
      <c r="DF194" s="11"/>
      <c r="DG194" s="11"/>
      <c r="DH194" s="11"/>
      <c r="DI194" s="11"/>
      <c r="DJ194" s="11"/>
      <c r="DK194" s="11"/>
      <c r="DL194" s="247"/>
      <c r="DM194" s="247"/>
      <c r="DN194" s="247"/>
      <c r="DO194" s="247"/>
      <c r="DP194" s="247"/>
      <c r="DQ194" s="247"/>
      <c r="DR194" s="247"/>
      <c r="DS194" s="247"/>
      <c r="DT194" s="247"/>
      <c r="DU194" s="247"/>
      <c r="DV194" s="247"/>
      <c r="DW194" s="247"/>
      <c r="DX194" s="247"/>
      <c r="DY194" s="247"/>
      <c r="DZ194" s="247"/>
      <c r="EA194" s="247"/>
      <c r="EB194" s="247"/>
      <c r="EC194" s="247"/>
      <c r="ED194" s="17">
        <f t="shared" si="49"/>
        <v>88735.126032</v>
      </c>
      <c r="EE194" s="29">
        <f t="shared" si="50"/>
        <v>4</v>
      </c>
      <c r="EF194" s="17">
        <f t="shared" si="51"/>
        <v>22183.781508</v>
      </c>
    </row>
    <row r="195" spans="1:136" ht="25.5" x14ac:dyDescent="0.25">
      <c r="A195" s="25">
        <f>Distribución_Elementos!A195</f>
        <v>193</v>
      </c>
      <c r="B195" s="22" t="str">
        <f>Distribución_Elementos!B195</f>
        <v xml:space="preserve">Erlenmeyer cuello ancho de 250 ml, con tapa de rosca en PP </v>
      </c>
      <c r="C195" s="22" t="str">
        <f>Distribución_Elementos!C195</f>
        <v>Nalgene®, Iso-Lab, Brand 931 75</v>
      </c>
      <c r="D195" s="22" t="str">
        <f>Distribución_Elementos!D195</f>
        <v>Unidad</v>
      </c>
      <c r="E195" s="224">
        <v>1</v>
      </c>
      <c r="F195" s="221">
        <v>0</v>
      </c>
      <c r="G195" s="221">
        <v>0</v>
      </c>
      <c r="H195" s="221">
        <v>27697.25</v>
      </c>
      <c r="I195" s="221">
        <v>27608</v>
      </c>
      <c r="J195" s="221">
        <v>160805.09666666671</v>
      </c>
      <c r="K195" s="221">
        <v>160650</v>
      </c>
      <c r="L195" s="247">
        <f>AVERAGE(H195,J195)</f>
        <v>94251.173333333354</v>
      </c>
      <c r="M195" s="247">
        <f>AVERAGE(I195,K195)*E1</f>
        <v>96952.87</v>
      </c>
      <c r="N195" s="227"/>
      <c r="O195" s="119"/>
      <c r="P195" s="119"/>
      <c r="Q195" s="115"/>
      <c r="R195" s="115"/>
      <c r="S195" s="11"/>
      <c r="T195" s="247"/>
      <c r="U195" s="247"/>
      <c r="V195" s="247"/>
      <c r="W195" s="17"/>
      <c r="X195" s="11"/>
      <c r="Y195" s="11"/>
      <c r="Z195" s="247"/>
      <c r="AA195" s="247"/>
      <c r="AB195" s="247"/>
      <c r="AC195" s="5"/>
      <c r="AD195" s="22"/>
      <c r="AE195" s="17"/>
      <c r="AF195" s="247"/>
      <c r="AG195" s="247"/>
      <c r="AH195" s="149"/>
      <c r="AI195" s="4"/>
      <c r="AJ195" s="17"/>
      <c r="AK195" s="17"/>
      <c r="AL195" s="102"/>
      <c r="AM195" s="132"/>
      <c r="AN195" s="161"/>
      <c r="AO195" s="115"/>
      <c r="AP195" s="115"/>
      <c r="AQ195" s="17"/>
      <c r="AR195" s="247"/>
      <c r="AS195" s="247"/>
      <c r="AT195" s="247"/>
      <c r="AU195" s="17"/>
      <c r="AV195" s="17"/>
      <c r="AW195" s="17"/>
      <c r="AX195" s="247"/>
      <c r="AY195" s="247"/>
      <c r="AZ195" s="247"/>
      <c r="BA195" s="17"/>
      <c r="BB195" s="52"/>
      <c r="BC195" s="17"/>
      <c r="BD195" s="247"/>
      <c r="BE195" s="247"/>
      <c r="BF195" s="247"/>
      <c r="BG195" s="17"/>
      <c r="BH195" s="17"/>
      <c r="BI195" s="17"/>
      <c r="BJ195" s="247">
        <v>43700</v>
      </c>
      <c r="BK195" s="247">
        <f t="shared" si="55"/>
        <v>8303</v>
      </c>
      <c r="BL195" s="247">
        <f t="shared" si="56"/>
        <v>52003</v>
      </c>
      <c r="BM195" s="191" t="s">
        <v>140</v>
      </c>
      <c r="BN195" s="190" t="s">
        <v>1565</v>
      </c>
      <c r="BO195" s="17"/>
      <c r="BP195" s="247">
        <v>45600</v>
      </c>
      <c r="BQ195" s="247">
        <f t="shared" si="48"/>
        <v>8664</v>
      </c>
      <c r="BR195" s="247">
        <f t="shared" si="52"/>
        <v>54264</v>
      </c>
      <c r="BS195" s="17"/>
      <c r="BT195" s="17"/>
      <c r="BU195" s="17"/>
      <c r="BV195" s="195">
        <v>48215.783200000005</v>
      </c>
      <c r="BW195" s="195">
        <f t="shared" si="62"/>
        <v>9160.9988080000003</v>
      </c>
      <c r="BX195" s="246">
        <f t="shared" si="63"/>
        <v>57376.782008000009</v>
      </c>
      <c r="BY195" s="191" t="s">
        <v>140</v>
      </c>
      <c r="BZ195" s="190" t="s">
        <v>1565</v>
      </c>
      <c r="CA195" s="190"/>
      <c r="CB195" s="247"/>
      <c r="CC195" s="247"/>
      <c r="CD195" s="247"/>
      <c r="CE195" s="17"/>
      <c r="CF195" s="17"/>
      <c r="CG195" s="17"/>
      <c r="CH195" s="247"/>
      <c r="CI195" s="247"/>
      <c r="CJ195" s="247"/>
      <c r="CK195" s="17"/>
      <c r="CL195" s="17"/>
      <c r="CM195" s="17"/>
      <c r="CN195" s="17"/>
      <c r="CO195" s="17"/>
      <c r="CP195" s="11"/>
      <c r="CQ195" s="11"/>
      <c r="CR195" s="11"/>
      <c r="CS195" s="11"/>
      <c r="CT195" s="247"/>
      <c r="CU195" s="247"/>
      <c r="CV195" s="247"/>
      <c r="CW195" s="11"/>
      <c r="CX195" s="11"/>
      <c r="CY195" s="11"/>
      <c r="CZ195" s="11"/>
      <c r="DA195" s="11"/>
      <c r="DB195" s="11"/>
      <c r="DC195" s="11"/>
      <c r="DD195" s="11"/>
      <c r="DE195" s="11"/>
      <c r="DF195" s="11"/>
      <c r="DG195" s="11"/>
      <c r="DH195" s="11"/>
      <c r="DI195" s="11"/>
      <c r="DJ195" s="11"/>
      <c r="DK195" s="11"/>
      <c r="DL195" s="247"/>
      <c r="DM195" s="247"/>
      <c r="DN195" s="247"/>
      <c r="DO195" s="247"/>
      <c r="DP195" s="247"/>
      <c r="DQ195" s="247"/>
      <c r="DR195" s="247"/>
      <c r="DS195" s="247"/>
      <c r="DT195" s="247"/>
      <c r="DU195" s="247"/>
      <c r="DV195" s="247"/>
      <c r="DW195" s="247"/>
      <c r="DX195" s="247"/>
      <c r="DY195" s="247"/>
      <c r="DZ195" s="247"/>
      <c r="EA195" s="247"/>
      <c r="EB195" s="247"/>
      <c r="EC195" s="247"/>
      <c r="ED195" s="17">
        <f t="shared" si="49"/>
        <v>260596.652008</v>
      </c>
      <c r="EE195" s="29">
        <f t="shared" si="50"/>
        <v>4</v>
      </c>
      <c r="EF195" s="17">
        <f t="shared" si="51"/>
        <v>65149.163002000001</v>
      </c>
    </row>
    <row r="196" spans="1:136" ht="51" x14ac:dyDescent="0.25">
      <c r="A196" s="25">
        <f>Distribución_Elementos!A196</f>
        <v>194</v>
      </c>
      <c r="B196" s="22" t="str">
        <f>Distribución_Elementos!B196</f>
        <v>Erlenmeyer cuello ancho de 300 ml. Diámetro externo cuello 50 mm. Borosilicato 3.3, impresión en cerámica, DIN12331:1998/ISO3819:1985 e ISO12 600 o ASTM E1404 tipo I y ASTM E438 Tipo I.</v>
      </c>
      <c r="C196" s="22" t="str">
        <f>Distribución_Elementos!C196</f>
        <v>Pyrex , Corning, Kymax, Brand, Duran.</v>
      </c>
      <c r="D196" s="22" t="str">
        <f>Distribución_Elementos!D196</f>
        <v>Unidad</v>
      </c>
      <c r="E196" s="224">
        <v>1</v>
      </c>
      <c r="F196" s="221">
        <v>0</v>
      </c>
      <c r="G196" s="221">
        <v>0</v>
      </c>
      <c r="H196" s="221">
        <v>0</v>
      </c>
      <c r="I196" s="221">
        <v>0</v>
      </c>
      <c r="J196" s="221">
        <v>151228</v>
      </c>
      <c r="K196" s="221">
        <v>58548</v>
      </c>
      <c r="L196" s="247">
        <f>J196</f>
        <v>151228</v>
      </c>
      <c r="M196" s="247">
        <f>K196*E1</f>
        <v>60304.44</v>
      </c>
      <c r="N196" s="227">
        <v>65000</v>
      </c>
      <c r="O196" s="119">
        <f>+N196*0.19</f>
        <v>12350</v>
      </c>
      <c r="P196" s="119">
        <f>+N196+O196</f>
        <v>77350</v>
      </c>
      <c r="Q196" s="115"/>
      <c r="R196" s="115"/>
      <c r="S196" s="11"/>
      <c r="T196" s="247"/>
      <c r="U196" s="247"/>
      <c r="V196" s="247"/>
      <c r="W196" s="17"/>
      <c r="X196" s="11"/>
      <c r="Y196" s="11"/>
      <c r="Z196" s="247"/>
      <c r="AA196" s="247"/>
      <c r="AB196" s="247"/>
      <c r="AC196" s="5"/>
      <c r="AD196" s="22"/>
      <c r="AE196" s="17"/>
      <c r="AF196" s="102">
        <v>13209.600000000002</v>
      </c>
      <c r="AG196" s="102">
        <f t="shared" ref="AG196:AG201" si="64">+AF196*0.19</f>
        <v>2509.8240000000005</v>
      </c>
      <c r="AH196" s="150">
        <f t="shared" ref="AH196:AH201" si="65">+AF196+AG196</f>
        <v>15719.424000000003</v>
      </c>
      <c r="AI196" s="44" t="s">
        <v>140</v>
      </c>
      <c r="AJ196" s="44" t="s">
        <v>1508</v>
      </c>
      <c r="AK196" s="17"/>
      <c r="AL196" s="102"/>
      <c r="AM196" s="132"/>
      <c r="AN196" s="161"/>
      <c r="AO196" s="115"/>
      <c r="AP196" s="115"/>
      <c r="AQ196" s="17"/>
      <c r="AR196" s="247"/>
      <c r="AS196" s="247"/>
      <c r="AT196" s="247"/>
      <c r="AU196" s="17"/>
      <c r="AV196" s="17"/>
      <c r="AW196" s="17"/>
      <c r="AX196" s="247"/>
      <c r="AY196" s="247"/>
      <c r="AZ196" s="247"/>
      <c r="BA196" s="17"/>
      <c r="BB196" s="52"/>
      <c r="BC196" s="17"/>
      <c r="BD196" s="247"/>
      <c r="BE196" s="247"/>
      <c r="BF196" s="247"/>
      <c r="BG196" s="17"/>
      <c r="BH196" s="17"/>
      <c r="BI196" s="17"/>
      <c r="BJ196" s="247">
        <v>75000</v>
      </c>
      <c r="BK196" s="247">
        <f t="shared" si="55"/>
        <v>14250</v>
      </c>
      <c r="BL196" s="247">
        <f t="shared" si="56"/>
        <v>89250</v>
      </c>
      <c r="BM196" s="191" t="s">
        <v>140</v>
      </c>
      <c r="BN196" s="190" t="s">
        <v>1565</v>
      </c>
      <c r="BO196" s="17"/>
      <c r="BP196" s="247"/>
      <c r="BQ196" s="247"/>
      <c r="BR196" s="247"/>
      <c r="BS196" s="17"/>
      <c r="BT196" s="17"/>
      <c r="BU196" s="17"/>
      <c r="BV196" s="195">
        <v>86720.400000000009</v>
      </c>
      <c r="BW196" s="195">
        <f t="shared" si="62"/>
        <v>16476.876</v>
      </c>
      <c r="BX196" s="246">
        <f t="shared" si="63"/>
        <v>103197.27600000001</v>
      </c>
      <c r="BY196" s="191" t="s">
        <v>140</v>
      </c>
      <c r="BZ196" s="190" t="s">
        <v>1565</v>
      </c>
      <c r="CA196" s="190"/>
      <c r="CB196" s="247"/>
      <c r="CC196" s="247"/>
      <c r="CD196" s="247"/>
      <c r="CE196" s="17"/>
      <c r="CF196" s="17"/>
      <c r="CG196" s="17"/>
      <c r="CH196" s="247"/>
      <c r="CI196" s="247"/>
      <c r="CJ196" s="247"/>
      <c r="CK196" s="17"/>
      <c r="CL196" s="17"/>
      <c r="CM196" s="17"/>
      <c r="CN196" s="17"/>
      <c r="CO196" s="17"/>
      <c r="CP196" s="11"/>
      <c r="CQ196" s="11"/>
      <c r="CR196" s="11"/>
      <c r="CS196" s="11"/>
      <c r="CT196" s="247"/>
      <c r="CU196" s="247"/>
      <c r="CV196" s="247"/>
      <c r="CW196" s="11"/>
      <c r="CX196" s="11"/>
      <c r="CY196" s="11"/>
      <c r="CZ196" s="11"/>
      <c r="DA196" s="11"/>
      <c r="DB196" s="11"/>
      <c r="DC196" s="11"/>
      <c r="DD196" s="11"/>
      <c r="DE196" s="11"/>
      <c r="DF196" s="11"/>
      <c r="DG196" s="11"/>
      <c r="DH196" s="11"/>
      <c r="DI196" s="11"/>
      <c r="DJ196" s="11"/>
      <c r="DK196" s="11"/>
      <c r="DL196" s="247"/>
      <c r="DM196" s="247"/>
      <c r="DN196" s="247"/>
      <c r="DO196" s="247"/>
      <c r="DP196" s="247"/>
      <c r="DQ196" s="247"/>
      <c r="DR196" s="247"/>
      <c r="DS196" s="247"/>
      <c r="DT196" s="247"/>
      <c r="DU196" s="247"/>
      <c r="DV196" s="247"/>
      <c r="DW196" s="247"/>
      <c r="DX196" s="247"/>
      <c r="DY196" s="247"/>
      <c r="DZ196" s="247"/>
      <c r="EA196" s="247"/>
      <c r="EB196" s="247"/>
      <c r="EC196" s="247"/>
      <c r="ED196" s="17">
        <f t="shared" si="49"/>
        <v>345821.14</v>
      </c>
      <c r="EE196" s="29">
        <f t="shared" si="50"/>
        <v>5</v>
      </c>
      <c r="EF196" s="17">
        <f t="shared" si="51"/>
        <v>69164.228000000003</v>
      </c>
    </row>
    <row r="197" spans="1:136" ht="102" x14ac:dyDescent="0.25">
      <c r="A197" s="25">
        <f>Distribución_Elementos!A197</f>
        <v>195</v>
      </c>
      <c r="B197" s="22" t="str">
        <f>Distribución_Elementos!B197</f>
        <v>Erlenmeyer cuello estrecho con reborde y graduación para 1000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v>
      </c>
      <c r="C197" s="22" t="str">
        <f>Distribución_Elementos!C197</f>
        <v>Pyrex , Corning, Kymax, Brand, Duran. o equivalente</v>
      </c>
      <c r="D197" s="22" t="str">
        <f>Distribución_Elementos!D197</f>
        <v>Unidad</v>
      </c>
      <c r="E197" s="224">
        <v>1</v>
      </c>
      <c r="F197" s="221">
        <v>0</v>
      </c>
      <c r="G197" s="221">
        <v>0</v>
      </c>
      <c r="H197" s="221">
        <v>0</v>
      </c>
      <c r="I197" s="221">
        <v>0</v>
      </c>
      <c r="J197" s="221">
        <v>0</v>
      </c>
      <c r="K197" s="221">
        <v>0</v>
      </c>
      <c r="L197" s="247"/>
      <c r="M197" s="247"/>
      <c r="N197" s="227">
        <v>35000</v>
      </c>
      <c r="O197" s="119">
        <f>+N197*0.19</f>
        <v>6650</v>
      </c>
      <c r="P197" s="119">
        <f>+N197+O197</f>
        <v>41650</v>
      </c>
      <c r="Q197" s="115"/>
      <c r="R197" s="115"/>
      <c r="S197" s="11"/>
      <c r="T197" s="247"/>
      <c r="U197" s="247"/>
      <c r="V197" s="247"/>
      <c r="W197" s="17"/>
      <c r="X197" s="11"/>
      <c r="Y197" s="11"/>
      <c r="Z197" s="247"/>
      <c r="AA197" s="247"/>
      <c r="AB197" s="247"/>
      <c r="AC197" s="5"/>
      <c r="AD197" s="22"/>
      <c r="AE197" s="17"/>
      <c r="AF197" s="102">
        <v>22291.200000000004</v>
      </c>
      <c r="AG197" s="102">
        <f t="shared" si="64"/>
        <v>4235.3280000000004</v>
      </c>
      <c r="AH197" s="150">
        <f t="shared" si="65"/>
        <v>26526.528000000006</v>
      </c>
      <c r="AI197" s="44" t="s">
        <v>140</v>
      </c>
      <c r="AJ197" s="44" t="s">
        <v>1508</v>
      </c>
      <c r="AK197" s="17"/>
      <c r="AL197" s="102"/>
      <c r="AM197" s="132"/>
      <c r="AN197" s="161"/>
      <c r="AO197" s="115"/>
      <c r="AP197" s="115"/>
      <c r="AQ197" s="17"/>
      <c r="AR197" s="247"/>
      <c r="AS197" s="247"/>
      <c r="AT197" s="247"/>
      <c r="AU197" s="17"/>
      <c r="AV197" s="17"/>
      <c r="AW197" s="17"/>
      <c r="AX197" s="247"/>
      <c r="AY197" s="247"/>
      <c r="AZ197" s="247"/>
      <c r="BA197" s="17"/>
      <c r="BB197" s="52"/>
      <c r="BC197" s="17"/>
      <c r="BD197" s="247"/>
      <c r="BE197" s="247"/>
      <c r="BF197" s="247"/>
      <c r="BG197" s="17"/>
      <c r="BH197" s="17"/>
      <c r="BI197" s="17"/>
      <c r="BJ197" s="247">
        <v>60400</v>
      </c>
      <c r="BK197" s="247">
        <f t="shared" si="55"/>
        <v>11476</v>
      </c>
      <c r="BL197" s="247">
        <f t="shared" si="56"/>
        <v>71876</v>
      </c>
      <c r="BM197" s="191" t="s">
        <v>140</v>
      </c>
      <c r="BN197" s="190" t="s">
        <v>1592</v>
      </c>
      <c r="BO197" s="17"/>
      <c r="BP197" s="247"/>
      <c r="BQ197" s="247"/>
      <c r="BR197" s="247"/>
      <c r="BS197" s="17"/>
      <c r="BT197" s="17"/>
      <c r="BU197" s="17"/>
      <c r="BV197" s="195">
        <v>63462.461200000005</v>
      </c>
      <c r="BW197" s="195">
        <f t="shared" si="62"/>
        <v>12057.867628000002</v>
      </c>
      <c r="BX197" s="246">
        <f t="shared" si="63"/>
        <v>75520.328828000012</v>
      </c>
      <c r="BY197" s="191" t="s">
        <v>140</v>
      </c>
      <c r="BZ197" s="190" t="s">
        <v>1592</v>
      </c>
      <c r="CA197" s="190"/>
      <c r="CB197" s="247"/>
      <c r="CC197" s="247"/>
      <c r="CD197" s="247"/>
      <c r="CE197" s="17"/>
      <c r="CF197" s="17"/>
      <c r="CG197" s="17"/>
      <c r="CH197" s="247"/>
      <c r="CI197" s="247"/>
      <c r="CJ197" s="247"/>
      <c r="CK197" s="17"/>
      <c r="CL197" s="17"/>
      <c r="CM197" s="17"/>
      <c r="CN197" s="17"/>
      <c r="CO197" s="17"/>
      <c r="CP197" s="11"/>
      <c r="CQ197" s="11"/>
      <c r="CR197" s="11"/>
      <c r="CS197" s="11"/>
      <c r="CT197" s="247"/>
      <c r="CU197" s="247"/>
      <c r="CV197" s="247"/>
      <c r="CW197" s="11"/>
      <c r="CX197" s="11"/>
      <c r="CY197" s="11"/>
      <c r="CZ197" s="11"/>
      <c r="DA197" s="11"/>
      <c r="DB197" s="11"/>
      <c r="DC197" s="11"/>
      <c r="DD197" s="11"/>
      <c r="DE197" s="11"/>
      <c r="DF197" s="11"/>
      <c r="DG197" s="11"/>
      <c r="DH197" s="11"/>
      <c r="DI197" s="11"/>
      <c r="DJ197" s="11"/>
      <c r="DK197" s="11"/>
      <c r="DL197" s="247"/>
      <c r="DM197" s="247"/>
      <c r="DN197" s="247"/>
      <c r="DO197" s="247"/>
      <c r="DP197" s="247"/>
      <c r="DQ197" s="247"/>
      <c r="DR197" s="247"/>
      <c r="DS197" s="247"/>
      <c r="DT197" s="247"/>
      <c r="DU197" s="247"/>
      <c r="DV197" s="247"/>
      <c r="DW197" s="247"/>
      <c r="DX197" s="247"/>
      <c r="DY197" s="247"/>
      <c r="DZ197" s="247"/>
      <c r="EA197" s="247"/>
      <c r="EB197" s="247"/>
      <c r="EC197" s="247"/>
      <c r="ED197" s="17">
        <f t="shared" si="49"/>
        <v>215572.85682799999</v>
      </c>
      <c r="EE197" s="29">
        <f t="shared" si="50"/>
        <v>4</v>
      </c>
      <c r="EF197" s="17">
        <f t="shared" si="51"/>
        <v>53893.214206999997</v>
      </c>
    </row>
    <row r="198" spans="1:136" ht="102" x14ac:dyDescent="0.25">
      <c r="A198" s="25">
        <f>Distribución_Elementos!A198</f>
        <v>196</v>
      </c>
      <c r="B198" s="22" t="str">
        <f>Distribución_Elementos!B198</f>
        <v>Erlenmeyer cuello estrecho con reborde y graduación para 125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v>
      </c>
      <c r="C198" s="22" t="str">
        <f>Distribución_Elementos!C198</f>
        <v>Pyrex , Corning, Kymax, Brand, Duran, o equivalentes.</v>
      </c>
      <c r="D198" s="22" t="str">
        <f>Distribución_Elementos!D198</f>
        <v>Unidad</v>
      </c>
      <c r="E198" s="224">
        <v>1</v>
      </c>
      <c r="F198" s="221">
        <v>0</v>
      </c>
      <c r="G198" s="221">
        <v>0</v>
      </c>
      <c r="H198" s="221">
        <v>0</v>
      </c>
      <c r="I198" s="221">
        <v>0</v>
      </c>
      <c r="J198" s="221">
        <v>0</v>
      </c>
      <c r="K198" s="221">
        <v>0</v>
      </c>
      <c r="L198" s="247"/>
      <c r="M198" s="247"/>
      <c r="N198" s="227">
        <v>25000</v>
      </c>
      <c r="O198" s="119">
        <f>+N198*0.19</f>
        <v>4750</v>
      </c>
      <c r="P198" s="119">
        <f>+N198+O198</f>
        <v>29750</v>
      </c>
      <c r="Q198" s="115"/>
      <c r="R198" s="115"/>
      <c r="S198" s="11"/>
      <c r="T198" s="247"/>
      <c r="U198" s="247"/>
      <c r="V198" s="247"/>
      <c r="W198" s="17"/>
      <c r="X198" s="11"/>
      <c r="Y198" s="11"/>
      <c r="Z198" s="247"/>
      <c r="AA198" s="247"/>
      <c r="AB198" s="247"/>
      <c r="AC198" s="5"/>
      <c r="AD198" s="22"/>
      <c r="AE198" s="17"/>
      <c r="AF198" s="102">
        <v>13441.800000000001</v>
      </c>
      <c r="AG198" s="102">
        <f t="shared" si="64"/>
        <v>2553.9420000000005</v>
      </c>
      <c r="AH198" s="150">
        <f t="shared" si="65"/>
        <v>15995.742000000002</v>
      </c>
      <c r="AI198" s="44" t="s">
        <v>140</v>
      </c>
      <c r="AJ198" s="44" t="s">
        <v>1508</v>
      </c>
      <c r="AK198" s="17"/>
      <c r="AL198" s="102"/>
      <c r="AM198" s="132"/>
      <c r="AN198" s="161"/>
      <c r="AO198" s="115"/>
      <c r="AP198" s="115"/>
      <c r="AQ198" s="17"/>
      <c r="AR198" s="247"/>
      <c r="AS198" s="247"/>
      <c r="AT198" s="247"/>
      <c r="AU198" s="17"/>
      <c r="AV198" s="17"/>
      <c r="AW198" s="17"/>
      <c r="AX198" s="247"/>
      <c r="AY198" s="247"/>
      <c r="AZ198" s="247"/>
      <c r="BA198" s="17"/>
      <c r="BB198" s="52"/>
      <c r="BC198" s="17"/>
      <c r="BD198" s="247"/>
      <c r="BE198" s="247"/>
      <c r="BF198" s="247"/>
      <c r="BG198" s="17"/>
      <c r="BH198" s="17"/>
      <c r="BI198" s="17"/>
      <c r="BJ198" s="247">
        <v>35400</v>
      </c>
      <c r="BK198" s="247">
        <f t="shared" si="55"/>
        <v>6726</v>
      </c>
      <c r="BL198" s="247">
        <f t="shared" si="56"/>
        <v>42126</v>
      </c>
      <c r="BM198" s="191" t="s">
        <v>140</v>
      </c>
      <c r="BN198" s="190" t="s">
        <v>1592</v>
      </c>
      <c r="BO198" s="17"/>
      <c r="BP198" s="247"/>
      <c r="BQ198" s="247"/>
      <c r="BR198" s="247"/>
      <c r="BS198" s="17"/>
      <c r="BT198" s="17"/>
      <c r="BU198" s="17"/>
      <c r="BV198" s="195">
        <v>40180.982400000001</v>
      </c>
      <c r="BW198" s="195">
        <f t="shared" si="62"/>
        <v>7634.3866560000006</v>
      </c>
      <c r="BX198" s="246">
        <f t="shared" si="63"/>
        <v>47815.369056000003</v>
      </c>
      <c r="BY198" s="191" t="s">
        <v>140</v>
      </c>
      <c r="BZ198" s="190" t="s">
        <v>1592</v>
      </c>
      <c r="CA198" s="190"/>
      <c r="CB198" s="247"/>
      <c r="CC198" s="247"/>
      <c r="CD198" s="247"/>
      <c r="CE198" s="17"/>
      <c r="CF198" s="17"/>
      <c r="CG198" s="17"/>
      <c r="CH198" s="247"/>
      <c r="CI198" s="247"/>
      <c r="CJ198" s="247"/>
      <c r="CK198" s="17"/>
      <c r="CL198" s="17"/>
      <c r="CM198" s="17"/>
      <c r="CN198" s="17"/>
      <c r="CO198" s="17"/>
      <c r="CP198" s="11"/>
      <c r="CQ198" s="11"/>
      <c r="CR198" s="11"/>
      <c r="CS198" s="11"/>
      <c r="CT198" s="247"/>
      <c r="CU198" s="247"/>
      <c r="CV198" s="247"/>
      <c r="CW198" s="11"/>
      <c r="CX198" s="11"/>
      <c r="CY198" s="11"/>
      <c r="CZ198" s="11"/>
      <c r="DA198" s="11"/>
      <c r="DB198" s="11"/>
      <c r="DC198" s="11"/>
      <c r="DD198" s="11"/>
      <c r="DE198" s="11"/>
      <c r="DF198" s="11"/>
      <c r="DG198" s="11"/>
      <c r="DH198" s="11"/>
      <c r="DI198" s="11"/>
      <c r="DJ198" s="11"/>
      <c r="DK198" s="11"/>
      <c r="DL198" s="247"/>
      <c r="DM198" s="247"/>
      <c r="DN198" s="247"/>
      <c r="DO198" s="247"/>
      <c r="DP198" s="247"/>
      <c r="DQ198" s="247"/>
      <c r="DR198" s="247"/>
      <c r="DS198" s="247"/>
      <c r="DT198" s="247"/>
      <c r="DU198" s="247"/>
      <c r="DV198" s="247"/>
      <c r="DW198" s="247"/>
      <c r="DX198" s="247"/>
      <c r="DY198" s="247"/>
      <c r="DZ198" s="247"/>
      <c r="EA198" s="247"/>
      <c r="EB198" s="247"/>
      <c r="EC198" s="247"/>
      <c r="ED198" s="17">
        <f t="shared" si="49"/>
        <v>135687.11105599999</v>
      </c>
      <c r="EE198" s="29">
        <f t="shared" si="50"/>
        <v>4</v>
      </c>
      <c r="EF198" s="17">
        <f t="shared" si="51"/>
        <v>33921.777763999999</v>
      </c>
    </row>
    <row r="199" spans="1:136" ht="102" x14ac:dyDescent="0.25">
      <c r="A199" s="25">
        <f>Distribución_Elementos!A199</f>
        <v>197</v>
      </c>
      <c r="B199" s="22" t="str">
        <f>Distribución_Elementos!B199</f>
        <v>Erlenmeyer cuello estrecho con reborde y graduación para 2000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v>
      </c>
      <c r="C199" s="22" t="str">
        <f>Distribución_Elementos!C199</f>
        <v>Pyrex , Corning, Kymax, Brand, Duran.</v>
      </c>
      <c r="D199" s="22" t="str">
        <f>Distribución_Elementos!D199</f>
        <v>Unidad</v>
      </c>
      <c r="E199" s="224">
        <v>1</v>
      </c>
      <c r="F199" s="221">
        <v>0</v>
      </c>
      <c r="G199" s="221">
        <v>0</v>
      </c>
      <c r="H199" s="221">
        <v>0</v>
      </c>
      <c r="I199" s="221">
        <v>0</v>
      </c>
      <c r="J199" s="221">
        <v>0</v>
      </c>
      <c r="K199" s="221">
        <v>0</v>
      </c>
      <c r="L199" s="247"/>
      <c r="M199" s="247"/>
      <c r="N199" s="227">
        <v>35000</v>
      </c>
      <c r="O199" s="119">
        <f>+N199*0.19</f>
        <v>6650</v>
      </c>
      <c r="P199" s="119">
        <f>+N199+O199</f>
        <v>41650</v>
      </c>
      <c r="Q199" s="115"/>
      <c r="R199" s="115"/>
      <c r="S199" s="11"/>
      <c r="T199" s="247"/>
      <c r="U199" s="247"/>
      <c r="V199" s="247"/>
      <c r="W199" s="17"/>
      <c r="X199" s="11"/>
      <c r="Y199" s="11"/>
      <c r="Z199" s="247"/>
      <c r="AA199" s="247"/>
      <c r="AB199" s="247"/>
      <c r="AC199" s="5"/>
      <c r="AD199" s="22"/>
      <c r="AE199" s="17"/>
      <c r="AF199" s="102">
        <v>39603.000000000007</v>
      </c>
      <c r="AG199" s="102">
        <f t="shared" si="64"/>
        <v>7524.5700000000015</v>
      </c>
      <c r="AH199" s="150">
        <f t="shared" si="65"/>
        <v>47127.570000000007</v>
      </c>
      <c r="AI199" s="44" t="s">
        <v>140</v>
      </c>
      <c r="AJ199" s="44" t="s">
        <v>1508</v>
      </c>
      <c r="AK199" s="17"/>
      <c r="AL199" s="102"/>
      <c r="AM199" s="132"/>
      <c r="AN199" s="161"/>
      <c r="AO199" s="115"/>
      <c r="AP199" s="115"/>
      <c r="AQ199" s="17"/>
      <c r="AR199" s="247"/>
      <c r="AS199" s="247"/>
      <c r="AT199" s="247"/>
      <c r="AU199" s="17"/>
      <c r="AV199" s="17"/>
      <c r="AW199" s="17"/>
      <c r="AX199" s="247"/>
      <c r="AY199" s="247"/>
      <c r="AZ199" s="247"/>
      <c r="BA199" s="17"/>
      <c r="BB199" s="52"/>
      <c r="BC199" s="17"/>
      <c r="BD199" s="247"/>
      <c r="BE199" s="247"/>
      <c r="BF199" s="247"/>
      <c r="BG199" s="17"/>
      <c r="BH199" s="17"/>
      <c r="BI199" s="17"/>
      <c r="BJ199" s="247">
        <v>148800</v>
      </c>
      <c r="BK199" s="247">
        <f t="shared" si="55"/>
        <v>28272</v>
      </c>
      <c r="BL199" s="247">
        <f t="shared" si="56"/>
        <v>177072</v>
      </c>
      <c r="BM199" s="191" t="s">
        <v>140</v>
      </c>
      <c r="BN199" s="190" t="s">
        <v>1592</v>
      </c>
      <c r="BO199" s="17"/>
      <c r="BP199" s="247"/>
      <c r="BQ199" s="247"/>
      <c r="BR199" s="247"/>
      <c r="BS199" s="17"/>
      <c r="BT199" s="17"/>
      <c r="BU199" s="17"/>
      <c r="BV199" s="195">
        <v>173817.44640000002</v>
      </c>
      <c r="BW199" s="195">
        <f t="shared" si="62"/>
        <v>33025.314816000006</v>
      </c>
      <c r="BX199" s="246">
        <f t="shared" si="63"/>
        <v>206842.76121600001</v>
      </c>
      <c r="BY199" s="191" t="s">
        <v>140</v>
      </c>
      <c r="BZ199" s="190" t="s">
        <v>1592</v>
      </c>
      <c r="CA199" s="190"/>
      <c r="CB199" s="247"/>
      <c r="CC199" s="247"/>
      <c r="CD199" s="247"/>
      <c r="CE199" s="17"/>
      <c r="CF199" s="17"/>
      <c r="CG199" s="17"/>
      <c r="CH199" s="247"/>
      <c r="CI199" s="247"/>
      <c r="CJ199" s="247"/>
      <c r="CK199" s="17"/>
      <c r="CL199" s="17"/>
      <c r="CM199" s="17"/>
      <c r="CN199" s="17"/>
      <c r="CO199" s="17"/>
      <c r="CP199" s="11"/>
      <c r="CQ199" s="11"/>
      <c r="CR199" s="11"/>
      <c r="CS199" s="11"/>
      <c r="CT199" s="247"/>
      <c r="CU199" s="247"/>
      <c r="CV199" s="247"/>
      <c r="CW199" s="11"/>
      <c r="CX199" s="11"/>
      <c r="CY199" s="11"/>
      <c r="CZ199" s="11"/>
      <c r="DA199" s="11"/>
      <c r="DB199" s="11"/>
      <c r="DC199" s="11"/>
      <c r="DD199" s="11"/>
      <c r="DE199" s="11"/>
      <c r="DF199" s="11"/>
      <c r="DG199" s="11"/>
      <c r="DH199" s="11"/>
      <c r="DI199" s="11"/>
      <c r="DJ199" s="11"/>
      <c r="DK199" s="11"/>
      <c r="DL199" s="247"/>
      <c r="DM199" s="247"/>
      <c r="DN199" s="247"/>
      <c r="DO199" s="247"/>
      <c r="DP199" s="247"/>
      <c r="DQ199" s="247"/>
      <c r="DR199" s="247"/>
      <c r="DS199" s="247"/>
      <c r="DT199" s="247"/>
      <c r="DU199" s="247"/>
      <c r="DV199" s="247"/>
      <c r="DW199" s="247"/>
      <c r="DX199" s="247"/>
      <c r="DY199" s="247"/>
      <c r="DZ199" s="247"/>
      <c r="EA199" s="247"/>
      <c r="EB199" s="247"/>
      <c r="EC199" s="247"/>
      <c r="ED199" s="17">
        <f t="shared" si="49"/>
        <v>472692.33121600002</v>
      </c>
      <c r="EE199" s="29">
        <f t="shared" si="50"/>
        <v>4</v>
      </c>
      <c r="EF199" s="17">
        <f t="shared" si="51"/>
        <v>118173.08280400001</v>
      </c>
    </row>
    <row r="200" spans="1:136" ht="102" x14ac:dyDescent="0.25">
      <c r="A200" s="25">
        <f>Distribución_Elementos!A200</f>
        <v>198</v>
      </c>
      <c r="B200" s="22" t="str">
        <f>Distribución_Elementos!B200</f>
        <v>Erlenmeyer cuello estrecho con reborde y graduación para 250 ml en vidrio.Con certificado de fábrica (Calidad y rastreabilidad). Borosilicato 3.3 que cumpla con los estándares DIN en ISO 1773, impresión en cerámica que cumpla con la norma ISO 12 600  o ASTM E1404, tipo I y ASTM ASTM E438 Tipo . Control y garantía de calidad NCA menor o igual a 0,4 y certificación del fabricante que resiste temperaturas hasta de 250°C sin perder la volumetria.</v>
      </c>
      <c r="C200" s="22" t="str">
        <f>Distribución_Elementos!C200</f>
        <v>Pyrex , Corning, Kymax, Brand, Duran, o equivalentes.</v>
      </c>
      <c r="D200" s="22" t="str">
        <f>Distribución_Elementos!D200</f>
        <v>Unidad</v>
      </c>
      <c r="E200" s="224">
        <v>1</v>
      </c>
      <c r="F200" s="221">
        <v>0</v>
      </c>
      <c r="G200" s="221">
        <v>0</v>
      </c>
      <c r="H200" s="221">
        <v>0</v>
      </c>
      <c r="I200" s="221">
        <v>0</v>
      </c>
      <c r="J200" s="221">
        <v>0</v>
      </c>
      <c r="K200" s="221">
        <v>0</v>
      </c>
      <c r="L200" s="247"/>
      <c r="M200" s="247"/>
      <c r="N200" s="227">
        <v>23000</v>
      </c>
      <c r="O200" s="119">
        <f>+N200*0.19</f>
        <v>4370</v>
      </c>
      <c r="P200" s="119">
        <f>+N200+O200</f>
        <v>27370</v>
      </c>
      <c r="Q200" s="115"/>
      <c r="R200" s="115"/>
      <c r="S200" s="11"/>
      <c r="T200" s="247"/>
      <c r="U200" s="247"/>
      <c r="V200" s="247"/>
      <c r="W200" s="17"/>
      <c r="X200" s="11"/>
      <c r="Y200" s="11"/>
      <c r="Z200" s="247"/>
      <c r="AA200" s="247"/>
      <c r="AB200" s="247"/>
      <c r="AC200" s="44"/>
      <c r="AD200" s="22"/>
      <c r="AE200" s="17"/>
      <c r="AF200" s="102">
        <v>11197.2</v>
      </c>
      <c r="AG200" s="102">
        <f t="shared" si="64"/>
        <v>2127.4680000000003</v>
      </c>
      <c r="AH200" s="150">
        <f t="shared" si="65"/>
        <v>13324.668000000001</v>
      </c>
      <c r="AI200" s="44" t="s">
        <v>140</v>
      </c>
      <c r="AJ200" s="44" t="s">
        <v>1508</v>
      </c>
      <c r="AK200" s="17"/>
      <c r="AL200" s="102"/>
      <c r="AM200" s="132"/>
      <c r="AN200" s="161"/>
      <c r="AO200" s="115"/>
      <c r="AP200" s="115"/>
      <c r="AQ200" s="17"/>
      <c r="AR200" s="247"/>
      <c r="AS200" s="247"/>
      <c r="AT200" s="247"/>
      <c r="AU200" s="17"/>
      <c r="AV200" s="17"/>
      <c r="AW200" s="17"/>
      <c r="AX200" s="247"/>
      <c r="AY200" s="247"/>
      <c r="AZ200" s="247"/>
      <c r="BA200" s="17"/>
      <c r="BB200" s="52"/>
      <c r="BC200" s="17"/>
      <c r="BD200" s="247"/>
      <c r="BE200" s="247"/>
      <c r="BF200" s="247"/>
      <c r="BG200" s="17"/>
      <c r="BH200" s="17"/>
      <c r="BI200" s="17"/>
      <c r="BJ200" s="247">
        <v>36600</v>
      </c>
      <c r="BK200" s="247">
        <f t="shared" si="55"/>
        <v>6954</v>
      </c>
      <c r="BL200" s="247">
        <f t="shared" si="56"/>
        <v>43554</v>
      </c>
      <c r="BM200" s="191" t="s">
        <v>140</v>
      </c>
      <c r="BN200" s="190" t="s">
        <v>1592</v>
      </c>
      <c r="BO200" s="17"/>
      <c r="BP200" s="247"/>
      <c r="BQ200" s="247"/>
      <c r="BR200" s="247"/>
      <c r="BS200" s="17"/>
      <c r="BT200" s="17"/>
      <c r="BU200" s="17"/>
      <c r="BV200" s="195">
        <v>41143.158000000003</v>
      </c>
      <c r="BW200" s="195">
        <f t="shared" si="62"/>
        <v>7817.2000200000011</v>
      </c>
      <c r="BX200" s="246">
        <f t="shared" si="63"/>
        <v>48960.358020000007</v>
      </c>
      <c r="BY200" s="191" t="s">
        <v>140</v>
      </c>
      <c r="BZ200" s="190" t="s">
        <v>1592</v>
      </c>
      <c r="CA200" s="190"/>
      <c r="CB200" s="247"/>
      <c r="CC200" s="247"/>
      <c r="CD200" s="247"/>
      <c r="CE200" s="17"/>
      <c r="CF200" s="17"/>
      <c r="CG200" s="17"/>
      <c r="CH200" s="247"/>
      <c r="CI200" s="247"/>
      <c r="CJ200" s="247"/>
      <c r="CK200" s="17"/>
      <c r="CL200" s="17"/>
      <c r="CM200" s="17"/>
      <c r="CN200" s="17"/>
      <c r="CO200" s="17"/>
      <c r="CP200" s="11"/>
      <c r="CQ200" s="11"/>
      <c r="CR200" s="11"/>
      <c r="CS200" s="11"/>
      <c r="CT200" s="247"/>
      <c r="CU200" s="247"/>
      <c r="CV200" s="247"/>
      <c r="CW200" s="11"/>
      <c r="CX200" s="11"/>
      <c r="CY200" s="11"/>
      <c r="CZ200" s="11"/>
      <c r="DA200" s="11"/>
      <c r="DB200" s="11"/>
      <c r="DC200" s="11"/>
      <c r="DD200" s="11"/>
      <c r="DE200" s="11"/>
      <c r="DF200" s="11"/>
      <c r="DG200" s="11"/>
      <c r="DH200" s="11"/>
      <c r="DI200" s="11"/>
      <c r="DJ200" s="11"/>
      <c r="DK200" s="11"/>
      <c r="DL200" s="247"/>
      <c r="DM200" s="247"/>
      <c r="DN200" s="247"/>
      <c r="DO200" s="247"/>
      <c r="DP200" s="247"/>
      <c r="DQ200" s="247"/>
      <c r="DR200" s="247"/>
      <c r="DS200" s="247"/>
      <c r="DT200" s="247"/>
      <c r="DU200" s="247"/>
      <c r="DV200" s="247"/>
      <c r="DW200" s="247"/>
      <c r="DX200" s="247"/>
      <c r="DY200" s="247"/>
      <c r="DZ200" s="247"/>
      <c r="EA200" s="247"/>
      <c r="EB200" s="247"/>
      <c r="EC200" s="247"/>
      <c r="ED200" s="17">
        <f t="shared" si="49"/>
        <v>133209.02602000002</v>
      </c>
      <c r="EE200" s="29">
        <f t="shared" si="50"/>
        <v>4</v>
      </c>
      <c r="EF200" s="17">
        <f t="shared" si="51"/>
        <v>33302.256505000005</v>
      </c>
    </row>
    <row r="201" spans="1:136" ht="102" x14ac:dyDescent="0.25">
      <c r="A201" s="25">
        <f>Distribución_Elementos!A201</f>
        <v>199</v>
      </c>
      <c r="B201" s="22" t="str">
        <f>Distribución_Elementos!B201</f>
        <v>Erlenmeyer cuello estrecho con reborde y graduación para 500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v>
      </c>
      <c r="C201" s="22" t="str">
        <f>Distribución_Elementos!C201</f>
        <v>Pyrex , Corning, Kymax, Brand, Duran, o equivalentes.</v>
      </c>
      <c r="D201" s="22" t="str">
        <f>Distribución_Elementos!D201</f>
        <v>Unidad</v>
      </c>
      <c r="E201" s="224">
        <v>1</v>
      </c>
      <c r="F201" s="221">
        <v>0</v>
      </c>
      <c r="G201" s="221">
        <v>0</v>
      </c>
      <c r="H201" s="221">
        <v>0</v>
      </c>
      <c r="I201" s="221">
        <v>0</v>
      </c>
      <c r="J201" s="221">
        <v>0</v>
      </c>
      <c r="K201" s="221">
        <v>0</v>
      </c>
      <c r="L201" s="247"/>
      <c r="M201" s="247"/>
      <c r="N201" s="227">
        <v>25000</v>
      </c>
      <c r="O201" s="119">
        <f t="shared" ref="O201:O208" si="66">+N201*0.19</f>
        <v>4750</v>
      </c>
      <c r="P201" s="119">
        <f t="shared" ref="P201:P208" si="67">+N201+O201</f>
        <v>29750</v>
      </c>
      <c r="Q201" s="115"/>
      <c r="R201" s="115"/>
      <c r="S201" s="11"/>
      <c r="T201" s="247"/>
      <c r="U201" s="247"/>
      <c r="V201" s="247"/>
      <c r="W201" s="17"/>
      <c r="X201" s="11"/>
      <c r="Y201" s="11"/>
      <c r="Z201" s="247"/>
      <c r="AA201" s="247"/>
      <c r="AB201" s="247"/>
      <c r="AC201" s="44"/>
      <c r="AD201" s="22"/>
      <c r="AE201" s="17"/>
      <c r="AF201" s="102">
        <v>14370.600000000002</v>
      </c>
      <c r="AG201" s="102">
        <f t="shared" si="64"/>
        <v>2730.4140000000007</v>
      </c>
      <c r="AH201" s="150">
        <f t="shared" si="65"/>
        <v>17101.014000000003</v>
      </c>
      <c r="AI201" s="44" t="s">
        <v>140</v>
      </c>
      <c r="AJ201" s="44" t="s">
        <v>1508</v>
      </c>
      <c r="AK201" s="17"/>
      <c r="AL201" s="102"/>
      <c r="AM201" s="132"/>
      <c r="AN201" s="161"/>
      <c r="AO201" s="115"/>
      <c r="AP201" s="115"/>
      <c r="AQ201" s="17"/>
      <c r="AR201" s="247"/>
      <c r="AS201" s="247"/>
      <c r="AT201" s="247"/>
      <c r="AU201" s="17"/>
      <c r="AV201" s="17"/>
      <c r="AW201" s="17"/>
      <c r="AX201" s="247"/>
      <c r="AY201" s="247"/>
      <c r="AZ201" s="247"/>
      <c r="BA201" s="17"/>
      <c r="BB201" s="52"/>
      <c r="BC201" s="17"/>
      <c r="BD201" s="247"/>
      <c r="BE201" s="247"/>
      <c r="BF201" s="247"/>
      <c r="BG201" s="17"/>
      <c r="BH201" s="17"/>
      <c r="BI201" s="17"/>
      <c r="BJ201" s="247">
        <v>41400</v>
      </c>
      <c r="BK201" s="247">
        <f t="shared" si="55"/>
        <v>7866</v>
      </c>
      <c r="BL201" s="247">
        <f t="shared" si="56"/>
        <v>49266</v>
      </c>
      <c r="BM201" s="191" t="s">
        <v>140</v>
      </c>
      <c r="BN201" s="190" t="s">
        <v>1592</v>
      </c>
      <c r="BO201" s="17"/>
      <c r="BP201" s="247"/>
      <c r="BQ201" s="247"/>
      <c r="BR201" s="247"/>
      <c r="BS201" s="17"/>
      <c r="BT201" s="17"/>
      <c r="BU201" s="17"/>
      <c r="BV201" s="195">
        <v>46538.982000000004</v>
      </c>
      <c r="BW201" s="195">
        <f t="shared" si="62"/>
        <v>8842.4065800000008</v>
      </c>
      <c r="BX201" s="246">
        <f t="shared" si="63"/>
        <v>55381.388580000006</v>
      </c>
      <c r="BY201" s="191" t="s">
        <v>140</v>
      </c>
      <c r="BZ201" s="190" t="s">
        <v>1592</v>
      </c>
      <c r="CA201" s="190"/>
      <c r="CB201" s="247"/>
      <c r="CC201" s="247"/>
      <c r="CD201" s="247"/>
      <c r="CE201" s="17"/>
      <c r="CF201" s="17"/>
      <c r="CG201" s="17"/>
      <c r="CH201" s="247"/>
      <c r="CI201" s="247"/>
      <c r="CJ201" s="247"/>
      <c r="CK201" s="17"/>
      <c r="CL201" s="17"/>
      <c r="CM201" s="17"/>
      <c r="CN201" s="17"/>
      <c r="CO201" s="17"/>
      <c r="CP201" s="11"/>
      <c r="CQ201" s="11"/>
      <c r="CR201" s="11"/>
      <c r="CS201" s="11"/>
      <c r="CT201" s="247"/>
      <c r="CU201" s="247"/>
      <c r="CV201" s="247"/>
      <c r="CW201" s="11"/>
      <c r="CX201" s="11"/>
      <c r="CY201" s="11"/>
      <c r="CZ201" s="11"/>
      <c r="DA201" s="11"/>
      <c r="DB201" s="11"/>
      <c r="DC201" s="11"/>
      <c r="DD201" s="11"/>
      <c r="DE201" s="11"/>
      <c r="DF201" s="11"/>
      <c r="DG201" s="11"/>
      <c r="DH201" s="11"/>
      <c r="DI201" s="11"/>
      <c r="DJ201" s="11"/>
      <c r="DK201" s="11"/>
      <c r="DL201" s="247"/>
      <c r="DM201" s="247"/>
      <c r="DN201" s="247"/>
      <c r="DO201" s="247"/>
      <c r="DP201" s="247"/>
      <c r="DQ201" s="247"/>
      <c r="DR201" s="247"/>
      <c r="DS201" s="247"/>
      <c r="DT201" s="247"/>
      <c r="DU201" s="247"/>
      <c r="DV201" s="247"/>
      <c r="DW201" s="247"/>
      <c r="DX201" s="247"/>
      <c r="DY201" s="247"/>
      <c r="DZ201" s="247"/>
      <c r="EA201" s="247"/>
      <c r="EB201" s="247"/>
      <c r="EC201" s="247"/>
      <c r="ED201" s="17">
        <f t="shared" si="49"/>
        <v>151498.40257999999</v>
      </c>
      <c r="EE201" s="29">
        <f t="shared" si="50"/>
        <v>4</v>
      </c>
      <c r="EF201" s="17">
        <f t="shared" si="51"/>
        <v>37874.600644999999</v>
      </c>
    </row>
    <row r="202" spans="1:136" x14ac:dyDescent="0.25">
      <c r="A202" s="25">
        <f>Distribución_Elementos!A202</f>
        <v>200</v>
      </c>
      <c r="B202" s="22" t="str">
        <f>Distribución_Elementos!B202</f>
        <v>Erlenmeyer en vidrio boca angosta 25ml</v>
      </c>
      <c r="C202" s="22" t="str">
        <f>Distribución_Elementos!C202</f>
        <v>Duran o su equivalente</v>
      </c>
      <c r="D202" s="22" t="str">
        <f>Distribución_Elementos!D202</f>
        <v>Unidad</v>
      </c>
      <c r="E202" s="224">
        <v>1</v>
      </c>
      <c r="F202" s="221">
        <v>41782.089999999997</v>
      </c>
      <c r="G202" s="221">
        <v>40103</v>
      </c>
      <c r="H202" s="221">
        <v>19448.035904850003</v>
      </c>
      <c r="I202" s="221">
        <v>11710</v>
      </c>
      <c r="J202" s="221">
        <v>24228.697500000002</v>
      </c>
      <c r="K202" s="221">
        <v>16065</v>
      </c>
      <c r="L202" s="247">
        <f>AVERAGE(F202,H202,J202)</f>
        <v>28486.274468283333</v>
      </c>
      <c r="M202" s="247">
        <f>AVERAGE(G202,I202,K202)*E1</f>
        <v>23304.78</v>
      </c>
      <c r="N202" s="227">
        <v>20000</v>
      </c>
      <c r="O202" s="119">
        <f t="shared" si="66"/>
        <v>3800</v>
      </c>
      <c r="P202" s="119">
        <f t="shared" si="67"/>
        <v>23800</v>
      </c>
      <c r="Q202" s="115"/>
      <c r="R202" s="115"/>
      <c r="S202" s="11"/>
      <c r="T202" s="247"/>
      <c r="U202" s="247"/>
      <c r="V202" s="247"/>
      <c r="W202" s="17"/>
      <c r="X202" s="11"/>
      <c r="Y202" s="11"/>
      <c r="Z202" s="247"/>
      <c r="AA202" s="247"/>
      <c r="AB202" s="247"/>
      <c r="AC202" s="5"/>
      <c r="AD202" s="22"/>
      <c r="AE202" s="17"/>
      <c r="AF202" s="247"/>
      <c r="AG202" s="247"/>
      <c r="AH202" s="109"/>
      <c r="AI202" s="4"/>
      <c r="AJ202" s="17"/>
      <c r="AK202" s="17"/>
      <c r="AL202" s="102"/>
      <c r="AM202" s="132"/>
      <c r="AN202" s="161"/>
      <c r="AO202" s="115"/>
      <c r="AP202" s="115"/>
      <c r="AQ202" s="17"/>
      <c r="AR202" s="247"/>
      <c r="AS202" s="247"/>
      <c r="AT202" s="247"/>
      <c r="AU202" s="17"/>
      <c r="AV202" s="17"/>
      <c r="AW202" s="17"/>
      <c r="AX202" s="247"/>
      <c r="AY202" s="247"/>
      <c r="AZ202" s="247"/>
      <c r="BA202" s="17"/>
      <c r="BB202" s="52"/>
      <c r="BC202" s="17"/>
      <c r="BD202" s="247"/>
      <c r="BE202" s="247"/>
      <c r="BF202" s="247"/>
      <c r="BG202" s="17"/>
      <c r="BH202" s="17"/>
      <c r="BI202" s="17"/>
      <c r="BJ202" s="247">
        <v>63900</v>
      </c>
      <c r="BK202" s="247">
        <f t="shared" si="55"/>
        <v>12141</v>
      </c>
      <c r="BL202" s="247">
        <f t="shared" si="56"/>
        <v>76041</v>
      </c>
      <c r="BM202" s="191" t="s">
        <v>140</v>
      </c>
      <c r="BN202" s="190" t="s">
        <v>1565</v>
      </c>
      <c r="BO202" s="17"/>
      <c r="BP202" s="247"/>
      <c r="BQ202" s="247"/>
      <c r="BR202" s="247"/>
      <c r="BS202" s="17"/>
      <c r="BT202" s="17"/>
      <c r="BU202" s="17"/>
      <c r="BV202" s="195">
        <v>71852.227200000008</v>
      </c>
      <c r="BW202" s="195">
        <f t="shared" si="62"/>
        <v>13651.923168000001</v>
      </c>
      <c r="BX202" s="246">
        <f t="shared" si="63"/>
        <v>85504.150368000002</v>
      </c>
      <c r="BY202" s="191" t="s">
        <v>140</v>
      </c>
      <c r="BZ202" s="190" t="s">
        <v>1565</v>
      </c>
      <c r="CA202" s="190"/>
      <c r="CB202" s="247"/>
      <c r="CC202" s="247"/>
      <c r="CD202" s="247"/>
      <c r="CE202" s="17"/>
      <c r="CF202" s="17"/>
      <c r="CG202" s="17"/>
      <c r="CH202" s="247"/>
      <c r="CI202" s="247"/>
      <c r="CJ202" s="247"/>
      <c r="CK202" s="17"/>
      <c r="CL202" s="17"/>
      <c r="CM202" s="17"/>
      <c r="CN202" s="17"/>
      <c r="CO202" s="17"/>
      <c r="CP202" s="11"/>
      <c r="CQ202" s="11"/>
      <c r="CR202" s="11"/>
      <c r="CS202" s="11"/>
      <c r="CT202" s="247"/>
      <c r="CU202" s="247"/>
      <c r="CV202" s="247"/>
      <c r="CW202" s="11"/>
      <c r="CX202" s="11"/>
      <c r="CY202" s="11"/>
      <c r="CZ202" s="11"/>
      <c r="DA202" s="11"/>
      <c r="DB202" s="11"/>
      <c r="DC202" s="11"/>
      <c r="DD202" s="11"/>
      <c r="DE202" s="11"/>
      <c r="DF202" s="11"/>
      <c r="DG202" s="11"/>
      <c r="DH202" s="11"/>
      <c r="DI202" s="11"/>
      <c r="DJ202" s="11"/>
      <c r="DK202" s="11"/>
      <c r="DL202" s="247"/>
      <c r="DM202" s="247"/>
      <c r="DN202" s="247"/>
      <c r="DO202" s="247"/>
      <c r="DP202" s="247"/>
      <c r="DQ202" s="247"/>
      <c r="DR202" s="247"/>
      <c r="DS202" s="247"/>
      <c r="DT202" s="247"/>
      <c r="DU202" s="247"/>
      <c r="DV202" s="247"/>
      <c r="DW202" s="247"/>
      <c r="DX202" s="247"/>
      <c r="DY202" s="247"/>
      <c r="DZ202" s="247"/>
      <c r="EA202" s="247"/>
      <c r="EB202" s="247"/>
      <c r="EC202" s="247"/>
      <c r="ED202" s="17">
        <f t="shared" si="49"/>
        <v>208649.930368</v>
      </c>
      <c r="EE202" s="29">
        <f t="shared" si="50"/>
        <v>4</v>
      </c>
      <c r="EF202" s="17">
        <f t="shared" si="51"/>
        <v>52162.482592</v>
      </c>
    </row>
    <row r="203" spans="1:136" ht="38.25" x14ac:dyDescent="0.25">
      <c r="A203" s="25">
        <f>Distribución_Elementos!A203</f>
        <v>201</v>
      </c>
      <c r="B203" s="22" t="str">
        <f>Distribución_Elementos!B203</f>
        <v>Escalera de tres pasos en tubo plegable pintada en blanco, altura 61 cm, capacidad 100 kilogramos, con protección del paso en caucho</v>
      </c>
      <c r="C203" s="22" t="str">
        <f>Distribución_Elementos!C203</f>
        <v>life products inc modelo SA-00802 o equivalente</v>
      </c>
      <c r="D203" s="22" t="str">
        <f>Distribución_Elementos!D203</f>
        <v>Unidad</v>
      </c>
      <c r="E203" s="224">
        <v>1</v>
      </c>
      <c r="F203" s="221">
        <v>238000</v>
      </c>
      <c r="G203" s="221">
        <v>0</v>
      </c>
      <c r="H203" s="221">
        <v>538752.66666666663</v>
      </c>
      <c r="I203" s="221">
        <v>0</v>
      </c>
      <c r="J203" s="221">
        <v>303411.11111111107</v>
      </c>
      <c r="K203" s="221">
        <v>297500</v>
      </c>
      <c r="L203" s="247">
        <f>AVERAGE(F203,H203,J203)</f>
        <v>360054.59259259258</v>
      </c>
      <c r="M203" s="247">
        <f>K203*E1</f>
        <v>306425</v>
      </c>
      <c r="N203" s="227">
        <v>180000</v>
      </c>
      <c r="O203" s="119">
        <f t="shared" si="66"/>
        <v>34200</v>
      </c>
      <c r="P203" s="119">
        <f t="shared" si="67"/>
        <v>214200</v>
      </c>
      <c r="Q203" s="115"/>
      <c r="R203" s="115"/>
      <c r="S203" s="11"/>
      <c r="T203" s="247"/>
      <c r="U203" s="247"/>
      <c r="V203" s="247"/>
      <c r="W203" s="17"/>
      <c r="X203" s="11"/>
      <c r="Y203" s="11"/>
      <c r="Z203" s="247"/>
      <c r="AA203" s="247"/>
      <c r="AB203" s="247"/>
      <c r="AC203" s="44"/>
      <c r="AD203" s="22"/>
      <c r="AE203" s="17"/>
      <c r="AF203" s="247"/>
      <c r="AG203" s="247"/>
      <c r="AH203" s="151"/>
      <c r="AI203" s="22"/>
      <c r="AJ203" s="17"/>
      <c r="AK203" s="17"/>
      <c r="AL203" s="102"/>
      <c r="AM203" s="132"/>
      <c r="AN203" s="161"/>
      <c r="AO203" s="115"/>
      <c r="AP203" s="115"/>
      <c r="AQ203" s="17"/>
      <c r="AR203" s="247"/>
      <c r="AS203" s="247"/>
      <c r="AT203" s="247"/>
      <c r="AU203" s="17"/>
      <c r="AV203" s="17"/>
      <c r="AW203" s="17"/>
      <c r="AX203" s="247"/>
      <c r="AY203" s="247"/>
      <c r="AZ203" s="247"/>
      <c r="BA203" s="17"/>
      <c r="BB203" s="52"/>
      <c r="BC203" s="17"/>
      <c r="BD203" s="247"/>
      <c r="BE203" s="247"/>
      <c r="BF203" s="247"/>
      <c r="BG203" s="17"/>
      <c r="BH203" s="17"/>
      <c r="BI203" s="17"/>
      <c r="BJ203" s="247"/>
      <c r="BK203" s="247"/>
      <c r="BL203" s="247"/>
      <c r="BM203" s="190"/>
      <c r="BN203" s="190"/>
      <c r="BO203" s="17"/>
      <c r="BP203" s="247"/>
      <c r="BQ203" s="247"/>
      <c r="BR203" s="247"/>
      <c r="BS203" s="17"/>
      <c r="BT203" s="17"/>
      <c r="BU203" s="17"/>
      <c r="BV203" s="189"/>
      <c r="BW203" s="197"/>
      <c r="BX203" s="246"/>
      <c r="BY203" s="190"/>
      <c r="BZ203" s="190"/>
      <c r="CA203" s="190"/>
      <c r="CB203" s="247"/>
      <c r="CC203" s="247"/>
      <c r="CD203" s="247"/>
      <c r="CE203" s="17"/>
      <c r="CF203" s="17"/>
      <c r="CG203" s="17"/>
      <c r="CH203" s="247"/>
      <c r="CI203" s="247"/>
      <c r="CJ203" s="247"/>
      <c r="CK203" s="17"/>
      <c r="CL203" s="17"/>
      <c r="CM203" s="17"/>
      <c r="CN203" s="17"/>
      <c r="CO203" s="17"/>
      <c r="CP203" s="11"/>
      <c r="CQ203" s="11"/>
      <c r="CR203" s="11"/>
      <c r="CS203" s="11"/>
      <c r="CT203" s="247"/>
      <c r="CU203" s="247"/>
      <c r="CV203" s="247"/>
      <c r="CW203" s="11"/>
      <c r="CX203" s="11"/>
      <c r="CY203" s="11"/>
      <c r="CZ203" s="11"/>
      <c r="DA203" s="11"/>
      <c r="DB203" s="11"/>
      <c r="DC203" s="11"/>
      <c r="DD203" s="11"/>
      <c r="DE203" s="11"/>
      <c r="DF203" s="11"/>
      <c r="DG203" s="11"/>
      <c r="DH203" s="11"/>
      <c r="DI203" s="11"/>
      <c r="DJ203" s="11"/>
      <c r="DK203" s="11"/>
      <c r="DL203" s="247"/>
      <c r="DM203" s="247"/>
      <c r="DN203" s="247"/>
      <c r="DO203" s="247"/>
      <c r="DP203" s="247"/>
      <c r="DQ203" s="247"/>
      <c r="DR203" s="247"/>
      <c r="DS203" s="247"/>
      <c r="DT203" s="247"/>
      <c r="DU203" s="247"/>
      <c r="DV203" s="247"/>
      <c r="DW203" s="247"/>
      <c r="DX203" s="247"/>
      <c r="DY203" s="247"/>
      <c r="DZ203" s="247"/>
      <c r="EA203" s="247"/>
      <c r="EB203" s="247"/>
      <c r="EC203" s="247"/>
      <c r="ED203" s="17">
        <f t="shared" si="49"/>
        <v>520625</v>
      </c>
      <c r="EE203" s="29">
        <f t="shared" si="50"/>
        <v>2</v>
      </c>
      <c r="EF203" s="17">
        <f t="shared" si="51"/>
        <v>260312.5</v>
      </c>
    </row>
    <row r="204" spans="1:136" ht="38.25" x14ac:dyDescent="0.25">
      <c r="A204" s="25">
        <f>Distribución_Elementos!A204</f>
        <v>202</v>
      </c>
      <c r="B204" s="22" t="str">
        <f>Distribución_Elementos!B204</f>
        <v>Espátula acanalada, cuchara plana, en acero inoxidable AISI 304.  Largo total: 190 mm aproximadamente, para extraer sustancias residuales en frascos y botellas</v>
      </c>
      <c r="C204" s="22" t="str">
        <f>Distribución_Elementos!C204</f>
        <v>Cualquier marca</v>
      </c>
      <c r="D204" s="22" t="str">
        <f>Distribución_Elementos!D204</f>
        <v>Unidad</v>
      </c>
      <c r="E204" s="224">
        <v>1</v>
      </c>
      <c r="F204" s="221">
        <v>53669</v>
      </c>
      <c r="G204" s="221">
        <v>52836</v>
      </c>
      <c r="H204" s="221">
        <v>0</v>
      </c>
      <c r="I204" s="221">
        <v>0</v>
      </c>
      <c r="J204" s="221">
        <v>84603.711111111115</v>
      </c>
      <c r="K204" s="221">
        <v>0</v>
      </c>
      <c r="L204" s="247">
        <f>AVERAGE(F204,J204)</f>
        <v>69136.35555555555</v>
      </c>
      <c r="M204" s="247">
        <f>G204*E1</f>
        <v>54421.08</v>
      </c>
      <c r="N204" s="227">
        <v>50000</v>
      </c>
      <c r="O204" s="119">
        <f t="shared" si="66"/>
        <v>9500</v>
      </c>
      <c r="P204" s="119">
        <f t="shared" si="67"/>
        <v>59500</v>
      </c>
      <c r="Q204" s="115"/>
      <c r="R204" s="115"/>
      <c r="S204" s="11"/>
      <c r="T204" s="247">
        <v>30800.000000000004</v>
      </c>
      <c r="U204" s="247">
        <f>+T204*0.19</f>
        <v>5852.0000000000009</v>
      </c>
      <c r="V204" s="247">
        <f>+T204+U204</f>
        <v>36652.000000000007</v>
      </c>
      <c r="W204" s="17" t="s">
        <v>1514</v>
      </c>
      <c r="X204" s="11" t="s">
        <v>1523</v>
      </c>
      <c r="Y204" s="11"/>
      <c r="Z204" s="247"/>
      <c r="AA204" s="247"/>
      <c r="AB204" s="247"/>
      <c r="AC204" s="44"/>
      <c r="AD204" s="22"/>
      <c r="AE204" s="17"/>
      <c r="AF204" s="247"/>
      <c r="AG204" s="247"/>
      <c r="AH204" s="151"/>
      <c r="AI204" s="4"/>
      <c r="AJ204" s="17"/>
      <c r="AK204" s="17"/>
      <c r="AL204" s="102"/>
      <c r="AM204" s="132"/>
      <c r="AN204" s="161"/>
      <c r="AO204" s="115"/>
      <c r="AP204" s="115"/>
      <c r="AQ204" s="17"/>
      <c r="AR204" s="247"/>
      <c r="AS204" s="247"/>
      <c r="AT204" s="247"/>
      <c r="AU204" s="17"/>
      <c r="AV204" s="17"/>
      <c r="AW204" s="17"/>
      <c r="AX204" s="247"/>
      <c r="AY204" s="247"/>
      <c r="AZ204" s="247"/>
      <c r="BA204" s="17"/>
      <c r="BB204" s="52"/>
      <c r="BC204" s="17"/>
      <c r="BD204" s="247"/>
      <c r="BE204" s="247"/>
      <c r="BF204" s="247"/>
      <c r="BG204" s="17"/>
      <c r="BH204" s="17"/>
      <c r="BI204" s="17"/>
      <c r="BJ204" s="247"/>
      <c r="BK204" s="247"/>
      <c r="BL204" s="247"/>
      <c r="BM204" s="190"/>
      <c r="BN204" s="190"/>
      <c r="BO204" s="17"/>
      <c r="BP204" s="247">
        <v>12500</v>
      </c>
      <c r="BQ204" s="247">
        <f t="shared" si="48"/>
        <v>2375</v>
      </c>
      <c r="BR204" s="247">
        <f t="shared" si="52"/>
        <v>14875</v>
      </c>
      <c r="BS204" s="17"/>
      <c r="BT204" s="17"/>
      <c r="BU204" s="17"/>
      <c r="BV204" s="189"/>
      <c r="BW204" s="197"/>
      <c r="BX204" s="246"/>
      <c r="BY204" s="190"/>
      <c r="BZ204" s="190"/>
      <c r="CA204" s="190"/>
      <c r="CB204" s="247"/>
      <c r="CC204" s="247"/>
      <c r="CD204" s="247"/>
      <c r="CE204" s="17"/>
      <c r="CF204" s="17"/>
      <c r="CG204" s="17"/>
      <c r="CH204" s="247"/>
      <c r="CI204" s="247"/>
      <c r="CJ204" s="247"/>
      <c r="CK204" s="17"/>
      <c r="CL204" s="17"/>
      <c r="CM204" s="17"/>
      <c r="CN204" s="17"/>
      <c r="CO204" s="17"/>
      <c r="CP204" s="11"/>
      <c r="CQ204" s="11"/>
      <c r="CR204" s="11"/>
      <c r="CS204" s="11"/>
      <c r="CT204" s="247"/>
      <c r="CU204" s="247"/>
      <c r="CV204" s="247"/>
      <c r="CW204" s="11"/>
      <c r="CX204" s="11"/>
      <c r="CY204" s="11"/>
      <c r="CZ204" s="11"/>
      <c r="DA204" s="11"/>
      <c r="DB204" s="11"/>
      <c r="DC204" s="11"/>
      <c r="DD204" s="11"/>
      <c r="DE204" s="11"/>
      <c r="DF204" s="11"/>
      <c r="DG204" s="11"/>
      <c r="DH204" s="11"/>
      <c r="DI204" s="11"/>
      <c r="DJ204" s="11"/>
      <c r="DK204" s="11"/>
      <c r="DL204" s="247"/>
      <c r="DM204" s="247"/>
      <c r="DN204" s="247"/>
      <c r="DO204" s="247"/>
      <c r="DP204" s="247"/>
      <c r="DQ204" s="247"/>
      <c r="DR204" s="247"/>
      <c r="DS204" s="247"/>
      <c r="DT204" s="247"/>
      <c r="DU204" s="247"/>
      <c r="DV204" s="247"/>
      <c r="DW204" s="247"/>
      <c r="DX204" s="247"/>
      <c r="DY204" s="247"/>
      <c r="DZ204" s="247"/>
      <c r="EA204" s="247"/>
      <c r="EB204" s="247"/>
      <c r="EC204" s="247"/>
      <c r="ED204" s="17">
        <f t="shared" si="49"/>
        <v>165448.08000000002</v>
      </c>
      <c r="EE204" s="29">
        <f t="shared" si="50"/>
        <v>4</v>
      </c>
      <c r="EF204" s="17">
        <f t="shared" si="51"/>
        <v>41362.020000000004</v>
      </c>
    </row>
    <row r="205" spans="1:136" ht="38.25" x14ac:dyDescent="0.25">
      <c r="A205" s="25">
        <f>Distribución_Elementos!A205</f>
        <v>203</v>
      </c>
      <c r="B205" s="22" t="str">
        <f>Distribución_Elementos!B205</f>
        <v>Espatula azul autoclavable de polipropileno resistente para diluir ácidos y bases y 210 mm  longitud y 7 mm ancho en la cuchara</v>
      </c>
      <c r="C205" s="22" t="str">
        <f>Distribución_Elementos!C205</f>
        <v>VWR catologo 231-0103 o equivalente</v>
      </c>
      <c r="D205" s="22" t="str">
        <f>Distribución_Elementos!D205</f>
        <v>Bolsa x 300</v>
      </c>
      <c r="E205" s="224">
        <v>1</v>
      </c>
      <c r="F205" s="221">
        <v>0</v>
      </c>
      <c r="G205" s="221">
        <v>0</v>
      </c>
      <c r="H205" s="221">
        <v>371676.66666666669</v>
      </c>
      <c r="I205" s="221">
        <v>0</v>
      </c>
      <c r="J205" s="221">
        <v>330444.88555555552</v>
      </c>
      <c r="K205" s="221">
        <v>267750</v>
      </c>
      <c r="L205" s="247">
        <f>AVERAGE(H205,J205)</f>
        <v>351060.7761111111</v>
      </c>
      <c r="M205" s="247">
        <f>K205*E1</f>
        <v>275782.5</v>
      </c>
      <c r="N205" s="227">
        <v>350000</v>
      </c>
      <c r="O205" s="119">
        <f t="shared" si="66"/>
        <v>66500</v>
      </c>
      <c r="P205" s="119">
        <f t="shared" si="67"/>
        <v>416500</v>
      </c>
      <c r="Q205" s="115"/>
      <c r="R205" s="115"/>
      <c r="S205" s="11"/>
      <c r="T205" s="247"/>
      <c r="U205" s="247"/>
      <c r="V205" s="247"/>
      <c r="W205" s="17"/>
      <c r="X205" s="11"/>
      <c r="Y205" s="11"/>
      <c r="Z205" s="247"/>
      <c r="AA205" s="247"/>
      <c r="AB205" s="247"/>
      <c r="AC205" s="44"/>
      <c r="AD205" s="22"/>
      <c r="AE205" s="17"/>
      <c r="AF205" s="247"/>
      <c r="AG205" s="247"/>
      <c r="AH205" s="151"/>
      <c r="AI205" s="4"/>
      <c r="AJ205" s="17"/>
      <c r="AK205" s="17"/>
      <c r="AL205" s="102"/>
      <c r="AM205" s="132"/>
      <c r="AN205" s="161"/>
      <c r="AO205" s="115"/>
      <c r="AP205" s="115"/>
      <c r="AQ205" s="17"/>
      <c r="AR205" s="247"/>
      <c r="AS205" s="247"/>
      <c r="AT205" s="247"/>
      <c r="AU205" s="17"/>
      <c r="AV205" s="17"/>
      <c r="AW205" s="17"/>
      <c r="AX205" s="247"/>
      <c r="AY205" s="247"/>
      <c r="AZ205" s="247"/>
      <c r="BA205" s="17"/>
      <c r="BB205" s="52"/>
      <c r="BC205" s="17"/>
      <c r="BD205" s="247"/>
      <c r="BE205" s="247"/>
      <c r="BF205" s="247"/>
      <c r="BG205" s="17"/>
      <c r="BH205" s="17"/>
      <c r="BI205" s="17"/>
      <c r="BJ205" s="247">
        <v>332800</v>
      </c>
      <c r="BK205" s="247">
        <f t="shared" si="55"/>
        <v>63232</v>
      </c>
      <c r="BL205" s="247">
        <f t="shared" si="56"/>
        <v>396032</v>
      </c>
      <c r="BM205" s="190" t="s">
        <v>1593</v>
      </c>
      <c r="BN205" s="190" t="s">
        <v>316</v>
      </c>
      <c r="BO205" s="17"/>
      <c r="BP205" s="247">
        <v>6800</v>
      </c>
      <c r="BQ205" s="247">
        <f t="shared" si="48"/>
        <v>1292</v>
      </c>
      <c r="BR205" s="247">
        <f t="shared" si="52"/>
        <v>8092</v>
      </c>
      <c r="BS205" s="17"/>
      <c r="BT205" s="17"/>
      <c r="BU205" s="17"/>
      <c r="BV205" s="195">
        <v>363556.04480000003</v>
      </c>
      <c r="BW205" s="195">
        <f>+BV205*0.19</f>
        <v>69075.648512</v>
      </c>
      <c r="BX205" s="246">
        <f>+BV205+BW205</f>
        <v>432631.69331200002</v>
      </c>
      <c r="BY205" s="190" t="s">
        <v>1593</v>
      </c>
      <c r="BZ205" s="190" t="s">
        <v>316</v>
      </c>
      <c r="CA205" s="190"/>
      <c r="CB205" s="247"/>
      <c r="CC205" s="247"/>
      <c r="CD205" s="247"/>
      <c r="CE205" s="17"/>
      <c r="CF205" s="17"/>
      <c r="CG205" s="17"/>
      <c r="CH205" s="247"/>
      <c r="CI205" s="247"/>
      <c r="CJ205" s="247"/>
      <c r="CK205" s="17"/>
      <c r="CL205" s="17"/>
      <c r="CM205" s="17"/>
      <c r="CN205" s="17"/>
      <c r="CO205" s="17"/>
      <c r="CP205" s="11"/>
      <c r="CQ205" s="11"/>
      <c r="CR205" s="11"/>
      <c r="CS205" s="11"/>
      <c r="CT205" s="247"/>
      <c r="CU205" s="247"/>
      <c r="CV205" s="247"/>
      <c r="CW205" s="11"/>
      <c r="CX205" s="11"/>
      <c r="CY205" s="11"/>
      <c r="CZ205" s="11"/>
      <c r="DA205" s="11"/>
      <c r="DB205" s="11"/>
      <c r="DC205" s="11"/>
      <c r="DD205" s="11"/>
      <c r="DE205" s="11"/>
      <c r="DF205" s="11"/>
      <c r="DG205" s="11"/>
      <c r="DH205" s="11"/>
      <c r="DI205" s="11"/>
      <c r="DJ205" s="11"/>
      <c r="DK205" s="11"/>
      <c r="DL205" s="247"/>
      <c r="DM205" s="247"/>
      <c r="DN205" s="247"/>
      <c r="DO205" s="247"/>
      <c r="DP205" s="247"/>
      <c r="DQ205" s="247"/>
      <c r="DR205" s="247"/>
      <c r="DS205" s="247"/>
      <c r="DT205" s="247"/>
      <c r="DU205" s="247"/>
      <c r="DV205" s="247"/>
      <c r="DW205" s="247"/>
      <c r="DX205" s="247"/>
      <c r="DY205" s="247"/>
      <c r="DZ205" s="247"/>
      <c r="EA205" s="247"/>
      <c r="EB205" s="247"/>
      <c r="EC205" s="247"/>
      <c r="ED205" s="17">
        <f t="shared" si="49"/>
        <v>1529038.193312</v>
      </c>
      <c r="EE205" s="29">
        <f t="shared" si="50"/>
        <v>5</v>
      </c>
      <c r="EF205" s="17">
        <f t="shared" si="51"/>
        <v>305807.63866240002</v>
      </c>
    </row>
    <row r="206" spans="1:136" ht="25.5" x14ac:dyDescent="0.25">
      <c r="A206" s="25">
        <f>Distribución_Elementos!A206</f>
        <v>204</v>
      </c>
      <c r="B206" s="22" t="str">
        <f>Distribución_Elementos!B206</f>
        <v>Espátula doble cuchara en acero inoxidable de 21 cm aproximadamente</v>
      </c>
      <c r="C206" s="22" t="str">
        <f>Distribución_Elementos!C206</f>
        <v>VWR o equivalente</v>
      </c>
      <c r="D206" s="22" t="str">
        <f>Distribución_Elementos!D206</f>
        <v>Unidad</v>
      </c>
      <c r="E206" s="224">
        <v>1</v>
      </c>
      <c r="F206" s="221">
        <v>0</v>
      </c>
      <c r="G206" s="221">
        <v>0</v>
      </c>
      <c r="H206" s="221">
        <v>0</v>
      </c>
      <c r="I206" s="221">
        <v>0</v>
      </c>
      <c r="J206" s="221">
        <v>0</v>
      </c>
      <c r="K206" s="221">
        <v>0</v>
      </c>
      <c r="L206" s="247"/>
      <c r="M206" s="247"/>
      <c r="N206" s="227">
        <v>40000</v>
      </c>
      <c r="O206" s="119">
        <f t="shared" si="66"/>
        <v>7600</v>
      </c>
      <c r="P206" s="119">
        <f t="shared" si="67"/>
        <v>47600</v>
      </c>
      <c r="Q206" s="115"/>
      <c r="R206" s="115"/>
      <c r="S206" s="11"/>
      <c r="T206" s="247">
        <v>36300</v>
      </c>
      <c r="U206" s="247">
        <f>+T206*0.19</f>
        <v>6897</v>
      </c>
      <c r="V206" s="247">
        <f>+T206+U206</f>
        <v>43197</v>
      </c>
      <c r="W206" s="17" t="s">
        <v>1514</v>
      </c>
      <c r="X206" s="11" t="s">
        <v>1523</v>
      </c>
      <c r="Y206" s="11"/>
      <c r="Z206" s="247"/>
      <c r="AA206" s="247"/>
      <c r="AB206" s="247"/>
      <c r="AC206" s="5"/>
      <c r="AD206" s="22"/>
      <c r="AE206" s="17"/>
      <c r="AF206" s="247"/>
      <c r="AG206" s="247"/>
      <c r="AH206" s="149"/>
      <c r="AI206" s="4"/>
      <c r="AJ206" s="17"/>
      <c r="AK206" s="17"/>
      <c r="AL206" s="102"/>
      <c r="AM206" s="132"/>
      <c r="AN206" s="161"/>
      <c r="AO206" s="115"/>
      <c r="AP206" s="115"/>
      <c r="AQ206" s="17"/>
      <c r="AR206" s="247"/>
      <c r="AS206" s="247"/>
      <c r="AT206" s="247"/>
      <c r="AU206" s="17"/>
      <c r="AV206" s="17"/>
      <c r="AW206" s="17"/>
      <c r="AX206" s="247"/>
      <c r="AY206" s="247"/>
      <c r="AZ206" s="247"/>
      <c r="BA206" s="17"/>
      <c r="BB206" s="52"/>
      <c r="BC206" s="17"/>
      <c r="BD206" s="247"/>
      <c r="BE206" s="247"/>
      <c r="BF206" s="247"/>
      <c r="BG206" s="17"/>
      <c r="BH206" s="17"/>
      <c r="BI206" s="17"/>
      <c r="BJ206" s="247">
        <f>666400/2</f>
        <v>333200</v>
      </c>
      <c r="BK206" s="247">
        <f t="shared" si="55"/>
        <v>63308</v>
      </c>
      <c r="BL206" s="247">
        <f t="shared" si="56"/>
        <v>396508</v>
      </c>
      <c r="BM206" s="190" t="s">
        <v>1594</v>
      </c>
      <c r="BN206" s="190" t="s">
        <v>1595</v>
      </c>
      <c r="BO206" s="17"/>
      <c r="BP206" s="247">
        <v>16500</v>
      </c>
      <c r="BQ206" s="247">
        <f t="shared" si="48"/>
        <v>3135</v>
      </c>
      <c r="BR206" s="247">
        <f t="shared" si="52"/>
        <v>19635</v>
      </c>
      <c r="BS206" s="17"/>
      <c r="BT206" s="17"/>
      <c r="BU206" s="17"/>
      <c r="BV206" s="195">
        <f>756537.264/2</f>
        <v>378268.63199999998</v>
      </c>
      <c r="BW206" s="195">
        <f>+BV206*0.19</f>
        <v>71871.040079999992</v>
      </c>
      <c r="BX206" s="246">
        <f>+BV206+BW206</f>
        <v>450139.67207999999</v>
      </c>
      <c r="BY206" s="190" t="s">
        <v>1594</v>
      </c>
      <c r="BZ206" s="190" t="s">
        <v>1595</v>
      </c>
      <c r="CA206" s="190"/>
      <c r="CB206" s="247"/>
      <c r="CC206" s="247"/>
      <c r="CD206" s="247"/>
      <c r="CE206" s="17"/>
      <c r="CF206" s="17"/>
      <c r="CG206" s="17"/>
      <c r="CH206" s="247"/>
      <c r="CI206" s="247"/>
      <c r="CJ206" s="247"/>
      <c r="CK206" s="17"/>
      <c r="CL206" s="17"/>
      <c r="CM206" s="17"/>
      <c r="CN206" s="17"/>
      <c r="CO206" s="17"/>
      <c r="CP206" s="11"/>
      <c r="CQ206" s="11"/>
      <c r="CR206" s="11"/>
      <c r="CS206" s="11"/>
      <c r="CT206" s="247"/>
      <c r="CU206" s="247"/>
      <c r="CV206" s="247"/>
      <c r="CW206" s="11"/>
      <c r="CX206" s="11"/>
      <c r="CY206" s="11"/>
      <c r="CZ206" s="11"/>
      <c r="DA206" s="11"/>
      <c r="DB206" s="11"/>
      <c r="DC206" s="11"/>
      <c r="DD206" s="11"/>
      <c r="DE206" s="11"/>
      <c r="DF206" s="11"/>
      <c r="DG206" s="11"/>
      <c r="DH206" s="11"/>
      <c r="DI206" s="11"/>
      <c r="DJ206" s="11"/>
      <c r="DK206" s="11"/>
      <c r="DL206" s="247"/>
      <c r="DM206" s="247"/>
      <c r="DN206" s="247"/>
      <c r="DO206" s="247"/>
      <c r="DP206" s="247"/>
      <c r="DQ206" s="247"/>
      <c r="DR206" s="247"/>
      <c r="DS206" s="247"/>
      <c r="DT206" s="247"/>
      <c r="DU206" s="247"/>
      <c r="DV206" s="247"/>
      <c r="DW206" s="247"/>
      <c r="DX206" s="247"/>
      <c r="DY206" s="247"/>
      <c r="DZ206" s="247"/>
      <c r="EA206" s="247"/>
      <c r="EB206" s="247"/>
      <c r="EC206" s="247"/>
      <c r="ED206" s="17">
        <f t="shared" si="49"/>
        <v>957079.67207999993</v>
      </c>
      <c r="EE206" s="29">
        <f t="shared" si="50"/>
        <v>5</v>
      </c>
      <c r="EF206" s="17">
        <f t="shared" si="51"/>
        <v>191415.93441599997</v>
      </c>
    </row>
    <row r="207" spans="1:136" ht="25.5" x14ac:dyDescent="0.25">
      <c r="A207" s="25">
        <f>Distribución_Elementos!A207</f>
        <v>205</v>
      </c>
      <c r="B207" s="22" t="str">
        <f>Distribución_Elementos!B207</f>
        <v>Espátula en acero inoxidable mango plástico, hoja de 10 cm x 2 cm</v>
      </c>
      <c r="C207" s="22" t="str">
        <f>Distribución_Elementos!C207</f>
        <v>Cualquier marca</v>
      </c>
      <c r="D207" s="22" t="str">
        <f>Distribución_Elementos!D207</f>
        <v>Unidad</v>
      </c>
      <c r="E207" s="224">
        <v>1</v>
      </c>
      <c r="F207" s="221">
        <v>13923</v>
      </c>
      <c r="G207" s="221">
        <v>13923</v>
      </c>
      <c r="H207" s="221">
        <v>19827.805691854759</v>
      </c>
      <c r="I207" s="221">
        <v>11424</v>
      </c>
      <c r="J207" s="221">
        <v>29664.716666666664</v>
      </c>
      <c r="K207" s="221">
        <v>0</v>
      </c>
      <c r="L207" s="247">
        <f>AVERAGE(F207,H207,J207)</f>
        <v>21138.507452840477</v>
      </c>
      <c r="M207" s="247">
        <f>AVERAGE(G207,I207)*E1</f>
        <v>13053.705</v>
      </c>
      <c r="N207" s="227">
        <v>10000</v>
      </c>
      <c r="O207" s="119">
        <f t="shared" si="66"/>
        <v>1900</v>
      </c>
      <c r="P207" s="119">
        <f t="shared" si="67"/>
        <v>11900</v>
      </c>
      <c r="Q207" s="115"/>
      <c r="R207" s="115"/>
      <c r="S207" s="11"/>
      <c r="T207" s="247">
        <v>12100.000000000002</v>
      </c>
      <c r="U207" s="247">
        <f>+T207*0.19</f>
        <v>2299.0000000000005</v>
      </c>
      <c r="V207" s="247">
        <f>+T207+U207</f>
        <v>14399.000000000002</v>
      </c>
      <c r="W207" s="17" t="s">
        <v>1514</v>
      </c>
      <c r="X207" s="11" t="s">
        <v>153</v>
      </c>
      <c r="Y207" s="11"/>
      <c r="Z207" s="247"/>
      <c r="AA207" s="247"/>
      <c r="AB207" s="247"/>
      <c r="AC207" s="5"/>
      <c r="AD207" s="22"/>
      <c r="AE207" s="17"/>
      <c r="AF207" s="247"/>
      <c r="AG207" s="247"/>
      <c r="AH207" s="149"/>
      <c r="AI207" s="4"/>
      <c r="AJ207" s="17"/>
      <c r="AK207" s="17"/>
      <c r="AL207" s="102"/>
      <c r="AM207" s="132"/>
      <c r="AN207" s="161"/>
      <c r="AO207" s="115"/>
      <c r="AP207" s="115"/>
      <c r="AQ207" s="17"/>
      <c r="AR207" s="247">
        <v>6000</v>
      </c>
      <c r="AS207" s="247">
        <f>+AR207*0.19</f>
        <v>1140</v>
      </c>
      <c r="AT207" s="247">
        <f>+AR207+AS207</f>
        <v>7140</v>
      </c>
      <c r="AU207" s="17"/>
      <c r="AV207" s="17"/>
      <c r="AW207" s="17"/>
      <c r="AX207" s="247"/>
      <c r="AY207" s="247"/>
      <c r="AZ207" s="247"/>
      <c r="BA207" s="17"/>
      <c r="BB207" s="52"/>
      <c r="BC207" s="17"/>
      <c r="BD207" s="247"/>
      <c r="BE207" s="247"/>
      <c r="BF207" s="247"/>
      <c r="BG207" s="17"/>
      <c r="BH207" s="17"/>
      <c r="BI207" s="17"/>
      <c r="BJ207" s="247">
        <v>17000</v>
      </c>
      <c r="BK207" s="247">
        <f>+BJ207*0.19</f>
        <v>3230</v>
      </c>
      <c r="BL207" s="247">
        <f t="shared" ref="BL207:BL255" si="68">+BJ207+BK207</f>
        <v>20230</v>
      </c>
      <c r="BM207" s="191" t="s">
        <v>140</v>
      </c>
      <c r="BN207" s="190" t="s">
        <v>1596</v>
      </c>
      <c r="BO207" s="17"/>
      <c r="BP207" s="247">
        <v>16500</v>
      </c>
      <c r="BQ207" s="247">
        <f t="shared" si="48"/>
        <v>3135</v>
      </c>
      <c r="BR207" s="247">
        <f t="shared" si="52"/>
        <v>19635</v>
      </c>
      <c r="BS207" s="17"/>
      <c r="BT207" s="17"/>
      <c r="BU207" s="17"/>
      <c r="BV207" s="195">
        <v>19304.775000000001</v>
      </c>
      <c r="BW207" s="195">
        <f>+BV207*0.19</f>
        <v>3667.9072500000002</v>
      </c>
      <c r="BX207" s="246">
        <f>+BV207+BW207</f>
        <v>22972.682250000002</v>
      </c>
      <c r="BY207" s="191" t="s">
        <v>140</v>
      </c>
      <c r="BZ207" s="190" t="s">
        <v>1596</v>
      </c>
      <c r="CA207" s="190"/>
      <c r="CB207" s="247"/>
      <c r="CC207" s="247"/>
      <c r="CD207" s="247"/>
      <c r="CE207" s="17"/>
      <c r="CF207" s="17"/>
      <c r="CG207" s="17"/>
      <c r="CH207" s="247"/>
      <c r="CI207" s="247"/>
      <c r="CJ207" s="247"/>
      <c r="CK207" s="17"/>
      <c r="CL207" s="17"/>
      <c r="CM207" s="17"/>
      <c r="CN207" s="17"/>
      <c r="CO207" s="17"/>
      <c r="CP207" s="11"/>
      <c r="CQ207" s="11"/>
      <c r="CR207" s="11"/>
      <c r="CS207" s="11"/>
      <c r="CT207" s="247"/>
      <c r="CU207" s="247"/>
      <c r="CV207" s="247"/>
      <c r="CW207" s="11"/>
      <c r="CX207" s="11"/>
      <c r="CY207" s="11"/>
      <c r="CZ207" s="11"/>
      <c r="DA207" s="11"/>
      <c r="DB207" s="11"/>
      <c r="DC207" s="11"/>
      <c r="DD207" s="11"/>
      <c r="DE207" s="11"/>
      <c r="DF207" s="11"/>
      <c r="DG207" s="11"/>
      <c r="DH207" s="11"/>
      <c r="DI207" s="11"/>
      <c r="DJ207" s="11"/>
      <c r="DK207" s="11"/>
      <c r="DL207" s="247"/>
      <c r="DM207" s="247"/>
      <c r="DN207" s="247"/>
      <c r="DO207" s="247"/>
      <c r="DP207" s="247"/>
      <c r="DQ207" s="247"/>
      <c r="DR207" s="247"/>
      <c r="DS207" s="247"/>
      <c r="DT207" s="247"/>
      <c r="DU207" s="247"/>
      <c r="DV207" s="247"/>
      <c r="DW207" s="247"/>
      <c r="DX207" s="247"/>
      <c r="DY207" s="247"/>
      <c r="DZ207" s="247"/>
      <c r="EA207" s="247"/>
      <c r="EB207" s="247"/>
      <c r="EC207" s="247"/>
      <c r="ED207" s="17">
        <f t="shared" si="49"/>
        <v>109330.38725</v>
      </c>
      <c r="EE207" s="29">
        <f t="shared" si="50"/>
        <v>7</v>
      </c>
      <c r="EF207" s="17">
        <f t="shared" ref="EF207:EF255" si="69">IFERROR(ED207/EE207," ")</f>
        <v>15618.626749999999</v>
      </c>
    </row>
    <row r="208" spans="1:136" x14ac:dyDescent="0.25">
      <c r="A208" s="25">
        <f>Distribución_Elementos!A208</f>
        <v>206</v>
      </c>
      <c r="B208" s="22" t="str">
        <f>Distribución_Elementos!B208</f>
        <v xml:space="preserve">Espátula en acero inoxidable mango plástico, longitud 20 cm </v>
      </c>
      <c r="C208" s="22" t="str">
        <f>Distribución_Elementos!C208</f>
        <v>Cualquier marca</v>
      </c>
      <c r="D208" s="22" t="str">
        <f>Distribución_Elementos!D208</f>
        <v>Unidad</v>
      </c>
      <c r="E208" s="224">
        <v>1</v>
      </c>
      <c r="F208" s="221">
        <v>15291.5</v>
      </c>
      <c r="G208" s="221">
        <v>15232</v>
      </c>
      <c r="H208" s="221">
        <v>16501.333333333332</v>
      </c>
      <c r="I208" s="221">
        <v>0</v>
      </c>
      <c r="J208" s="221">
        <v>30372.766666666666</v>
      </c>
      <c r="K208" s="221">
        <v>29274</v>
      </c>
      <c r="L208" s="247">
        <f>AVERAGE(F208,H208,J208)</f>
        <v>20721.866666666665</v>
      </c>
      <c r="M208" s="247">
        <f>AVERAGE(G208,K208)*E1</f>
        <v>22920.59</v>
      </c>
      <c r="N208" s="227">
        <v>10000</v>
      </c>
      <c r="O208" s="119">
        <f t="shared" si="66"/>
        <v>1900</v>
      </c>
      <c r="P208" s="119">
        <f t="shared" si="67"/>
        <v>11900</v>
      </c>
      <c r="Q208" s="115"/>
      <c r="R208" s="115"/>
      <c r="S208" s="11"/>
      <c r="T208" s="247"/>
      <c r="U208" s="247"/>
      <c r="V208" s="247"/>
      <c r="W208" s="17"/>
      <c r="X208" s="11"/>
      <c r="Y208" s="11"/>
      <c r="Z208" s="247"/>
      <c r="AA208" s="247"/>
      <c r="AB208" s="247"/>
      <c r="AC208" s="5"/>
      <c r="AD208" s="22"/>
      <c r="AE208" s="17"/>
      <c r="AF208" s="247"/>
      <c r="AG208" s="247"/>
      <c r="AH208" s="149"/>
      <c r="AI208" s="22"/>
      <c r="AJ208" s="17"/>
      <c r="AK208" s="17"/>
      <c r="AL208" s="102"/>
      <c r="AM208" s="132"/>
      <c r="AN208" s="161"/>
      <c r="AO208" s="115"/>
      <c r="AP208" s="115"/>
      <c r="AQ208" s="17"/>
      <c r="AR208" s="247">
        <v>9000</v>
      </c>
      <c r="AS208" s="247">
        <f>+AR208*0.19</f>
        <v>1710</v>
      </c>
      <c r="AT208" s="247">
        <f>+AR208+AS208</f>
        <v>10710</v>
      </c>
      <c r="AU208" s="17"/>
      <c r="AV208" s="17"/>
      <c r="AW208" s="17"/>
      <c r="AX208" s="247"/>
      <c r="AY208" s="247"/>
      <c r="AZ208" s="247"/>
      <c r="BA208" s="17"/>
      <c r="BB208" s="52"/>
      <c r="BC208" s="17"/>
      <c r="BD208" s="247"/>
      <c r="BE208" s="247"/>
      <c r="BF208" s="247"/>
      <c r="BG208" s="17"/>
      <c r="BH208" s="17"/>
      <c r="BI208" s="17"/>
      <c r="BJ208" s="247">
        <v>32900</v>
      </c>
      <c r="BK208" s="247">
        <f>+BJ208*0.19</f>
        <v>6251</v>
      </c>
      <c r="BL208" s="247">
        <f t="shared" si="68"/>
        <v>39151</v>
      </c>
      <c r="BM208" s="191" t="s">
        <v>140</v>
      </c>
      <c r="BN208" s="190" t="s">
        <v>1597</v>
      </c>
      <c r="BO208" s="17"/>
      <c r="BP208" s="247">
        <v>8600</v>
      </c>
      <c r="BQ208" s="247">
        <f t="shared" ref="BQ208:BQ256" si="70">+BP208*19%</f>
        <v>1634</v>
      </c>
      <c r="BR208" s="247">
        <f t="shared" si="52"/>
        <v>10234</v>
      </c>
      <c r="BS208" s="17"/>
      <c r="BT208" s="17"/>
      <c r="BU208" s="17"/>
      <c r="BV208" s="195">
        <v>36279.422200000008</v>
      </c>
      <c r="BW208" s="195">
        <f>+BV208*0.19</f>
        <v>6893.0902180000012</v>
      </c>
      <c r="BX208" s="246">
        <f>+BV208+BW208</f>
        <v>43172.512418000013</v>
      </c>
      <c r="BY208" s="191" t="s">
        <v>140</v>
      </c>
      <c r="BZ208" s="190" t="s">
        <v>1597</v>
      </c>
      <c r="CA208" s="190"/>
      <c r="CB208" s="247"/>
      <c r="CC208" s="247"/>
      <c r="CD208" s="247"/>
      <c r="CE208" s="17"/>
      <c r="CF208" s="17"/>
      <c r="CG208" s="17"/>
      <c r="CH208" s="247"/>
      <c r="CI208" s="247"/>
      <c r="CJ208" s="247"/>
      <c r="CK208" s="17"/>
      <c r="CL208" s="17"/>
      <c r="CM208" s="17"/>
      <c r="CN208" s="17"/>
      <c r="CO208" s="17"/>
      <c r="CP208" s="11"/>
      <c r="CQ208" s="11"/>
      <c r="CR208" s="11"/>
      <c r="CS208" s="11"/>
      <c r="CT208" s="247"/>
      <c r="CU208" s="247"/>
      <c r="CV208" s="247"/>
      <c r="CW208" s="11"/>
      <c r="CX208" s="11"/>
      <c r="CY208" s="11"/>
      <c r="CZ208" s="11"/>
      <c r="DA208" s="11"/>
      <c r="DB208" s="11"/>
      <c r="DC208" s="11"/>
      <c r="DD208" s="11"/>
      <c r="DE208" s="11"/>
      <c r="DF208" s="11"/>
      <c r="DG208" s="11"/>
      <c r="DH208" s="11"/>
      <c r="DI208" s="11"/>
      <c r="DJ208" s="11"/>
      <c r="DK208" s="11"/>
      <c r="DL208" s="247"/>
      <c r="DM208" s="247"/>
      <c r="DN208" s="247"/>
      <c r="DO208" s="247"/>
      <c r="DP208" s="247"/>
      <c r="DQ208" s="247"/>
      <c r="DR208" s="247"/>
      <c r="DS208" s="247"/>
      <c r="DT208" s="247"/>
      <c r="DU208" s="247"/>
      <c r="DV208" s="247"/>
      <c r="DW208" s="247"/>
      <c r="DX208" s="247"/>
      <c r="DY208" s="247"/>
      <c r="DZ208" s="247"/>
      <c r="EA208" s="247"/>
      <c r="EB208" s="247"/>
      <c r="EC208" s="247"/>
      <c r="ED208" s="17">
        <f t="shared" ref="ED208:ED256" si="71">SUM(M208,P208,V208,AB208,AH208,AN208,AT208,AZ208,BF208,BL208,BR208,BX208,CD208,CJ208,CP208,CV208,DB208,DH208,DN208,DT208,DZ208)</f>
        <v>138088.10241799999</v>
      </c>
      <c r="EE208" s="29">
        <f t="shared" ref="EE208:EE256" si="72">COUNTA(M208,N208,T208,Z208,AF208,AL208,AR208,AX208,BD208,BJ208,BP208,BV208,CB208,CH208,CN208,CT208,CZ208,DF208,DL208,DR208,DX208)</f>
        <v>6</v>
      </c>
      <c r="EF208" s="17">
        <f t="shared" si="69"/>
        <v>23014.683736333332</v>
      </c>
    </row>
    <row r="209" spans="1:136" ht="38.25" x14ac:dyDescent="0.25">
      <c r="A209" s="25">
        <f>Distribución_Elementos!A209</f>
        <v>207</v>
      </c>
      <c r="B209" s="22" t="str">
        <f>Distribución_Elementos!B209</f>
        <v>Espátula en acero inoxidable, Glazed finish, al final de la espátula micro cuchara aguda con 0,35 cm (1/8”) de ancho, y 16,8 cm (6 5/8”) de longitud</v>
      </c>
      <c r="C209" s="22" t="str">
        <f>Distribución_Elementos!C209</f>
        <v>Cualquier marca</v>
      </c>
      <c r="D209" s="22" t="str">
        <f>Distribución_Elementos!D209</f>
        <v>Unidad</v>
      </c>
      <c r="E209" s="224">
        <v>1</v>
      </c>
      <c r="F209" s="221">
        <v>62594</v>
      </c>
      <c r="G209" s="221">
        <v>60690</v>
      </c>
      <c r="H209" s="221">
        <v>60095</v>
      </c>
      <c r="I209" s="221">
        <v>59976</v>
      </c>
      <c r="J209" s="221">
        <v>107257.47666666665</v>
      </c>
      <c r="K209" s="221">
        <v>71400</v>
      </c>
      <c r="L209" s="247">
        <f>AVERAGE(F209,H209,J209)</f>
        <v>76648.825555555552</v>
      </c>
      <c r="M209" s="247">
        <f>AVERAGE(G209,I209,K209)*E1</f>
        <v>65942.66</v>
      </c>
      <c r="N209" s="227"/>
      <c r="O209" s="119"/>
      <c r="P209" s="119"/>
      <c r="Q209" s="115"/>
      <c r="R209" s="115"/>
      <c r="S209" s="11"/>
      <c r="T209" s="247"/>
      <c r="U209" s="247"/>
      <c r="V209" s="247"/>
      <c r="W209" s="17"/>
      <c r="X209" s="11"/>
      <c r="Y209" s="11"/>
      <c r="Z209" s="247"/>
      <c r="AA209" s="247"/>
      <c r="AB209" s="247"/>
      <c r="AC209" s="46"/>
      <c r="AD209" s="22"/>
      <c r="AE209" s="17"/>
      <c r="AF209" s="247"/>
      <c r="AG209" s="247"/>
      <c r="AH209" s="152"/>
      <c r="AI209" s="4"/>
      <c r="AJ209" s="17"/>
      <c r="AK209" s="17"/>
      <c r="AL209" s="102"/>
      <c r="AM209" s="132"/>
      <c r="AN209" s="161"/>
      <c r="AO209" s="115"/>
      <c r="AP209" s="115"/>
      <c r="AQ209" s="17"/>
      <c r="AR209" s="247"/>
      <c r="AS209" s="247"/>
      <c r="AT209" s="247"/>
      <c r="AU209" s="17"/>
      <c r="AV209" s="17"/>
      <c r="AW209" s="17"/>
      <c r="AX209" s="247"/>
      <c r="AY209" s="247"/>
      <c r="AZ209" s="247"/>
      <c r="BA209" s="17"/>
      <c r="BB209" s="52"/>
      <c r="BC209" s="17"/>
      <c r="BD209" s="247"/>
      <c r="BE209" s="247"/>
      <c r="BF209" s="247"/>
      <c r="BG209" s="17"/>
      <c r="BH209" s="17"/>
      <c r="BI209" s="17"/>
      <c r="BJ209" s="247"/>
      <c r="BK209" s="247"/>
      <c r="BL209" s="247"/>
      <c r="BM209" s="190"/>
      <c r="BN209" s="190"/>
      <c r="BO209" s="17"/>
      <c r="BP209" s="247">
        <v>35600</v>
      </c>
      <c r="BQ209" s="247">
        <f t="shared" si="70"/>
        <v>6764</v>
      </c>
      <c r="BR209" s="247">
        <f t="shared" si="52"/>
        <v>42364</v>
      </c>
      <c r="BS209" s="17"/>
      <c r="BT209" s="17"/>
      <c r="BU209" s="17"/>
      <c r="BV209" s="189"/>
      <c r="BW209" s="197"/>
      <c r="BX209" s="246"/>
      <c r="BY209" s="190"/>
      <c r="BZ209" s="190"/>
      <c r="CA209" s="190"/>
      <c r="CB209" s="247"/>
      <c r="CC209" s="247"/>
      <c r="CD209" s="247"/>
      <c r="CE209" s="17"/>
      <c r="CF209" s="17"/>
      <c r="CG209" s="17"/>
      <c r="CH209" s="247"/>
      <c r="CI209" s="247"/>
      <c r="CJ209" s="247"/>
      <c r="CK209" s="17"/>
      <c r="CL209" s="17"/>
      <c r="CM209" s="17"/>
      <c r="CN209" s="17"/>
      <c r="CO209" s="17"/>
      <c r="CP209" s="11"/>
      <c r="CQ209" s="11"/>
      <c r="CR209" s="11"/>
      <c r="CS209" s="11"/>
      <c r="CT209" s="247"/>
      <c r="CU209" s="247"/>
      <c r="CV209" s="247"/>
      <c r="CW209" s="11"/>
      <c r="CX209" s="11"/>
      <c r="CY209" s="11"/>
      <c r="CZ209" s="11"/>
      <c r="DA209" s="11"/>
      <c r="DB209" s="11"/>
      <c r="DC209" s="11"/>
      <c r="DD209" s="11"/>
      <c r="DE209" s="11"/>
      <c r="DF209" s="11"/>
      <c r="DG209" s="11"/>
      <c r="DH209" s="11"/>
      <c r="DI209" s="11"/>
      <c r="DJ209" s="11"/>
      <c r="DK209" s="11"/>
      <c r="DL209" s="247"/>
      <c r="DM209" s="247"/>
      <c r="DN209" s="247"/>
      <c r="DO209" s="247"/>
      <c r="DP209" s="247"/>
      <c r="DQ209" s="247"/>
      <c r="DR209" s="247"/>
      <c r="DS209" s="247"/>
      <c r="DT209" s="247"/>
      <c r="DU209" s="247"/>
      <c r="DV209" s="247"/>
      <c r="DW209" s="247"/>
      <c r="DX209" s="247"/>
      <c r="DY209" s="247"/>
      <c r="DZ209" s="247"/>
      <c r="EA209" s="247"/>
      <c r="EB209" s="247"/>
      <c r="EC209" s="247"/>
      <c r="ED209" s="17">
        <f t="shared" si="71"/>
        <v>108306.66</v>
      </c>
      <c r="EE209" s="29">
        <f t="shared" si="72"/>
        <v>2</v>
      </c>
      <c r="EF209" s="17">
        <f t="shared" si="69"/>
        <v>54153.33</v>
      </c>
    </row>
    <row r="210" spans="1:136" ht="38.25" x14ac:dyDescent="0.25">
      <c r="A210" s="25">
        <f>Distribución_Elementos!A210</f>
        <v>208</v>
      </c>
      <c r="B210" s="22" t="str">
        <f>Distribución_Elementos!B210</f>
        <v>Espátula estéril para pesaje con canal en forma de V de 15,24 cm (6 in), estériles</v>
      </c>
      <c r="C210" s="22" t="str">
        <f>Distribución_Elementos!C210</f>
        <v>Fischer Scientific, Bel Art 8339N110/369300000 o equivalente</v>
      </c>
      <c r="D210" s="22" t="str">
        <f>Distribución_Elementos!D210</f>
        <v>Caja x 100</v>
      </c>
      <c r="E210" s="224">
        <v>1</v>
      </c>
      <c r="F210" s="221">
        <v>0</v>
      </c>
      <c r="G210" s="221">
        <v>0</v>
      </c>
      <c r="H210" s="221">
        <v>0</v>
      </c>
      <c r="I210" s="221">
        <v>0</v>
      </c>
      <c r="J210" s="221">
        <v>0</v>
      </c>
      <c r="K210" s="221">
        <v>0</v>
      </c>
      <c r="L210" s="247"/>
      <c r="M210" s="247"/>
      <c r="N210" s="227"/>
      <c r="O210" s="119"/>
      <c r="P210" s="119"/>
      <c r="Q210" s="115"/>
      <c r="R210" s="115"/>
      <c r="S210" s="11"/>
      <c r="T210" s="247"/>
      <c r="U210" s="247"/>
      <c r="V210" s="247"/>
      <c r="W210" s="17"/>
      <c r="X210" s="11"/>
      <c r="Y210" s="11"/>
      <c r="Z210" s="247"/>
      <c r="AA210" s="247"/>
      <c r="AB210" s="247"/>
      <c r="AC210" s="48"/>
      <c r="AD210" s="49"/>
      <c r="AE210" s="17"/>
      <c r="AF210" s="247"/>
      <c r="AG210" s="247"/>
      <c r="AH210" s="154"/>
      <c r="AI210" s="49"/>
      <c r="AJ210" s="17"/>
      <c r="AK210" s="17"/>
      <c r="AL210" s="102"/>
      <c r="AM210" s="132"/>
      <c r="AN210" s="161"/>
      <c r="AO210" s="115"/>
      <c r="AP210" s="115"/>
      <c r="AQ210" s="17"/>
      <c r="AR210" s="247"/>
      <c r="AS210" s="247"/>
      <c r="AT210" s="247"/>
      <c r="AU210" s="17"/>
      <c r="AV210" s="17"/>
      <c r="AW210" s="17"/>
      <c r="AX210" s="247"/>
      <c r="AY210" s="247"/>
      <c r="AZ210" s="247"/>
      <c r="BA210" s="17"/>
      <c r="BB210" s="52"/>
      <c r="BC210" s="17"/>
      <c r="BD210" s="247"/>
      <c r="BE210" s="247"/>
      <c r="BF210" s="247"/>
      <c r="BG210" s="17"/>
      <c r="BH210" s="17"/>
      <c r="BI210" s="17"/>
      <c r="BJ210" s="247"/>
      <c r="BK210" s="247"/>
      <c r="BL210" s="247"/>
      <c r="BM210" s="190"/>
      <c r="BN210" s="190"/>
      <c r="BO210" s="17"/>
      <c r="BP210" s="247">
        <v>465200</v>
      </c>
      <c r="BQ210" s="247">
        <f t="shared" si="70"/>
        <v>88388</v>
      </c>
      <c r="BR210" s="247">
        <f t="shared" ref="BR210:BR258" si="73">+BQ210+BP210</f>
        <v>553588</v>
      </c>
      <c r="BS210" s="17"/>
      <c r="BT210" s="17"/>
      <c r="BU210" s="17"/>
      <c r="BV210" s="189"/>
      <c r="BW210" s="197"/>
      <c r="BX210" s="246"/>
      <c r="BY210" s="190"/>
      <c r="BZ210" s="190"/>
      <c r="CA210" s="190"/>
      <c r="CB210" s="247"/>
      <c r="CC210" s="247"/>
      <c r="CD210" s="247"/>
      <c r="CE210" s="17"/>
      <c r="CF210" s="17"/>
      <c r="CG210" s="17"/>
      <c r="CH210" s="247"/>
      <c r="CI210" s="247"/>
      <c r="CJ210" s="247"/>
      <c r="CK210" s="17"/>
      <c r="CL210" s="17"/>
      <c r="CM210" s="17"/>
      <c r="CN210" s="17"/>
      <c r="CO210" s="17"/>
      <c r="CP210" s="11"/>
      <c r="CQ210" s="11"/>
      <c r="CR210" s="11"/>
      <c r="CS210" s="11"/>
      <c r="CT210" s="247"/>
      <c r="CU210" s="247"/>
      <c r="CV210" s="247"/>
      <c r="CW210" s="11"/>
      <c r="CX210" s="11"/>
      <c r="CY210" s="11"/>
      <c r="CZ210" s="11"/>
      <c r="DA210" s="11"/>
      <c r="DB210" s="11"/>
      <c r="DC210" s="11"/>
      <c r="DD210" s="11"/>
      <c r="DE210" s="11"/>
      <c r="DF210" s="11"/>
      <c r="DG210" s="11"/>
      <c r="DH210" s="11"/>
      <c r="DI210" s="11"/>
      <c r="DJ210" s="11"/>
      <c r="DK210" s="11"/>
      <c r="DL210" s="247"/>
      <c r="DM210" s="247"/>
      <c r="DN210" s="247"/>
      <c r="DO210" s="247"/>
      <c r="DP210" s="247"/>
      <c r="DQ210" s="247"/>
      <c r="DR210" s="247"/>
      <c r="DS210" s="247"/>
      <c r="DT210" s="247"/>
      <c r="DU210" s="247"/>
      <c r="DV210" s="247"/>
      <c r="DW210" s="247"/>
      <c r="DX210" s="247"/>
      <c r="DY210" s="247"/>
      <c r="DZ210" s="247"/>
      <c r="EA210" s="247"/>
      <c r="EB210" s="247"/>
      <c r="EC210" s="247"/>
      <c r="ED210" s="17">
        <f t="shared" si="71"/>
        <v>553588</v>
      </c>
      <c r="EE210" s="29">
        <f t="shared" si="72"/>
        <v>1</v>
      </c>
      <c r="EF210" s="17">
        <f t="shared" si="69"/>
        <v>553588</v>
      </c>
    </row>
    <row r="211" spans="1:136" ht="25.5" x14ac:dyDescent="0.25">
      <c r="A211" s="25">
        <f>Distribución_Elementos!A211</f>
        <v>209</v>
      </c>
      <c r="B211" s="22" t="str">
        <f>Distribución_Elementos!B211</f>
        <v>Esponja de Celulosa</v>
      </c>
      <c r="C211" s="22" t="str">
        <f>Distribución_Elementos!C211</f>
        <v>Cualquier marca</v>
      </c>
      <c r="D211" s="22" t="str">
        <f>Distribución_Elementos!D211</f>
        <v>Paquete X 4 Unidades</v>
      </c>
      <c r="E211" s="224">
        <v>1</v>
      </c>
      <c r="F211" s="221">
        <v>0</v>
      </c>
      <c r="G211" s="221">
        <v>0</v>
      </c>
      <c r="H211" s="221">
        <v>0</v>
      </c>
      <c r="I211" s="221">
        <v>0</v>
      </c>
      <c r="J211" s="221">
        <v>31336.666666666664</v>
      </c>
      <c r="K211" s="221">
        <v>0</v>
      </c>
      <c r="L211" s="247">
        <f>J211</f>
        <v>31336.666666666664</v>
      </c>
      <c r="M211" s="247"/>
      <c r="N211" s="227">
        <v>50000</v>
      </c>
      <c r="O211" s="119">
        <f>+N211*0.19</f>
        <v>9500</v>
      </c>
      <c r="P211" s="119">
        <f>+N211+O211</f>
        <v>59500</v>
      </c>
      <c r="Q211" s="115"/>
      <c r="R211" s="115"/>
      <c r="S211" s="11"/>
      <c r="T211" s="247"/>
      <c r="U211" s="247"/>
      <c r="V211" s="247"/>
      <c r="W211" s="17"/>
      <c r="X211" s="11"/>
      <c r="Y211" s="11"/>
      <c r="Z211" s="247"/>
      <c r="AA211" s="247"/>
      <c r="AB211" s="247"/>
      <c r="AC211" s="46"/>
      <c r="AD211" s="23"/>
      <c r="AE211" s="17"/>
      <c r="AF211" s="247"/>
      <c r="AG211" s="247"/>
      <c r="AH211" s="152"/>
      <c r="AI211" s="24"/>
      <c r="AJ211" s="17"/>
      <c r="AK211" s="17"/>
      <c r="AL211" s="102"/>
      <c r="AM211" s="132"/>
      <c r="AN211" s="161"/>
      <c r="AO211" s="115"/>
      <c r="AP211" s="115"/>
      <c r="AQ211" s="17"/>
      <c r="AR211" s="247"/>
      <c r="AS211" s="247"/>
      <c r="AT211" s="247"/>
      <c r="AU211" s="17"/>
      <c r="AV211" s="17"/>
      <c r="AW211" s="17"/>
      <c r="AX211" s="247"/>
      <c r="AY211" s="247"/>
      <c r="AZ211" s="247"/>
      <c r="BA211" s="17"/>
      <c r="BB211" s="52"/>
      <c r="BC211" s="17"/>
      <c r="BD211" s="247"/>
      <c r="BE211" s="247"/>
      <c r="BF211" s="247"/>
      <c r="BG211" s="17"/>
      <c r="BH211" s="17"/>
      <c r="BI211" s="17"/>
      <c r="BJ211" s="247"/>
      <c r="BK211" s="247"/>
      <c r="BL211" s="247"/>
      <c r="BM211" s="190"/>
      <c r="BN211" s="190"/>
      <c r="BO211" s="17"/>
      <c r="BP211" s="247"/>
      <c r="BQ211" s="247"/>
      <c r="BR211" s="247"/>
      <c r="BS211" s="17"/>
      <c r="BT211" s="17"/>
      <c r="BU211" s="17"/>
      <c r="BV211" s="189"/>
      <c r="BW211" s="197"/>
      <c r="BX211" s="246"/>
      <c r="BY211" s="190"/>
      <c r="BZ211" s="190"/>
      <c r="CA211" s="190"/>
      <c r="CB211" s="252"/>
      <c r="CC211" s="247"/>
      <c r="CD211" s="247"/>
      <c r="CE211" s="17"/>
      <c r="CF211" s="17"/>
      <c r="CG211" s="17"/>
      <c r="CH211" s="247"/>
      <c r="CI211" s="247"/>
      <c r="CJ211" s="247"/>
      <c r="CK211" s="17"/>
      <c r="CL211" s="17"/>
      <c r="CM211" s="17"/>
      <c r="CN211" s="17"/>
      <c r="CO211" s="17"/>
      <c r="CP211" s="11"/>
      <c r="CQ211" s="11"/>
      <c r="CR211" s="11"/>
      <c r="CS211" s="11"/>
      <c r="CT211" s="247"/>
      <c r="CU211" s="247"/>
      <c r="CV211" s="247"/>
      <c r="CW211" s="11"/>
      <c r="CX211" s="11"/>
      <c r="CY211" s="11"/>
      <c r="CZ211" s="11"/>
      <c r="DA211" s="11"/>
      <c r="DB211" s="11"/>
      <c r="DC211" s="11"/>
      <c r="DD211" s="11"/>
      <c r="DE211" s="11"/>
      <c r="DF211" s="11"/>
      <c r="DG211" s="11"/>
      <c r="DH211" s="11"/>
      <c r="DI211" s="11"/>
      <c r="DJ211" s="11"/>
      <c r="DK211" s="11"/>
      <c r="DL211" s="247"/>
      <c r="DM211" s="247"/>
      <c r="DN211" s="247"/>
      <c r="DO211" s="247"/>
      <c r="DP211" s="247"/>
      <c r="DQ211" s="247"/>
      <c r="DR211" s="247"/>
      <c r="DS211" s="247"/>
      <c r="DT211" s="247"/>
      <c r="DU211" s="247"/>
      <c r="DV211" s="247"/>
      <c r="DW211" s="247"/>
      <c r="DX211" s="247"/>
      <c r="DY211" s="247"/>
      <c r="DZ211" s="247"/>
      <c r="EA211" s="247"/>
      <c r="EB211" s="247"/>
      <c r="EC211" s="247"/>
      <c r="ED211" s="17">
        <f t="shared" si="71"/>
        <v>59500</v>
      </c>
      <c r="EE211" s="29">
        <f t="shared" si="72"/>
        <v>1</v>
      </c>
      <c r="EF211" s="17">
        <f t="shared" si="69"/>
        <v>59500</v>
      </c>
    </row>
    <row r="212" spans="1:136" x14ac:dyDescent="0.25">
      <c r="A212" s="25">
        <f>Distribución_Elementos!A212</f>
        <v>210</v>
      </c>
      <c r="B212" s="22" t="str">
        <f>Distribución_Elementos!B212</f>
        <v>Etiqueta térmica 1" 0,375 Serie TLS220</v>
      </c>
      <c r="C212" s="22" t="str">
        <f>Distribución_Elementos!C212</f>
        <v>Brady 98499</v>
      </c>
      <c r="D212" s="22" t="str">
        <f>Distribución_Elementos!D212</f>
        <v>Rollo X 500</v>
      </c>
      <c r="E212" s="224">
        <v>1</v>
      </c>
      <c r="F212" s="221">
        <v>354025</v>
      </c>
      <c r="G212" s="221">
        <v>343315</v>
      </c>
      <c r="H212" s="221">
        <v>457195.35225</v>
      </c>
      <c r="I212" s="221">
        <v>457079</v>
      </c>
      <c r="J212" s="221">
        <v>360480.75</v>
      </c>
      <c r="K212" s="221">
        <v>359380</v>
      </c>
      <c r="L212" s="247">
        <f>AVERAGE(F212,H212,J212)</f>
        <v>390567.03408333333</v>
      </c>
      <c r="M212" s="247">
        <f>AVERAGE(G212,I212,K212)*E1</f>
        <v>398189.0733333333</v>
      </c>
      <c r="N212" s="228"/>
      <c r="O212" s="119"/>
      <c r="P212" s="119"/>
      <c r="Q212" s="115"/>
      <c r="R212" s="115"/>
      <c r="S212" s="11"/>
      <c r="T212" s="247"/>
      <c r="U212" s="247"/>
      <c r="V212" s="247"/>
      <c r="W212" s="17"/>
      <c r="X212" s="11"/>
      <c r="Y212" s="11"/>
      <c r="Z212" s="247"/>
      <c r="AA212" s="247"/>
      <c r="AB212" s="247"/>
      <c r="AC212" s="44"/>
      <c r="AD212" s="22"/>
      <c r="AE212" s="17"/>
      <c r="AF212" s="247"/>
      <c r="AG212" s="247"/>
      <c r="AH212" s="151"/>
      <c r="AI212" s="22"/>
      <c r="AJ212" s="17"/>
      <c r="AK212" s="17"/>
      <c r="AL212" s="102"/>
      <c r="AM212" s="132"/>
      <c r="AN212" s="161"/>
      <c r="AO212" s="115"/>
      <c r="AP212" s="115"/>
      <c r="AQ212" s="17"/>
      <c r="AR212" s="247"/>
      <c r="AS212" s="247"/>
      <c r="AT212" s="247"/>
      <c r="AU212" s="17"/>
      <c r="AV212" s="17"/>
      <c r="AW212" s="17"/>
      <c r="AX212" s="252"/>
      <c r="AY212" s="247"/>
      <c r="AZ212" s="247"/>
      <c r="BA212" s="17"/>
      <c r="BB212" s="52"/>
      <c r="BC212" s="17"/>
      <c r="BD212" s="247"/>
      <c r="BE212" s="247"/>
      <c r="BF212" s="247"/>
      <c r="BG212" s="17"/>
      <c r="BH212" s="17"/>
      <c r="BI212" s="17"/>
      <c r="BJ212" s="247"/>
      <c r="BK212" s="247"/>
      <c r="BL212" s="247"/>
      <c r="BM212" s="190"/>
      <c r="BN212" s="190"/>
      <c r="BO212" s="17"/>
      <c r="BP212" s="247">
        <v>135600</v>
      </c>
      <c r="BQ212" s="247">
        <f t="shared" si="70"/>
        <v>25764</v>
      </c>
      <c r="BR212" s="247">
        <f t="shared" si="73"/>
        <v>161364</v>
      </c>
      <c r="BS212" s="17"/>
      <c r="BT212" s="17"/>
      <c r="BU212" s="17"/>
      <c r="BV212" s="189"/>
      <c r="BW212" s="197"/>
      <c r="BX212" s="246"/>
      <c r="BY212" s="190"/>
      <c r="BZ212" s="190"/>
      <c r="CA212" s="190"/>
      <c r="CB212" s="252"/>
      <c r="CC212" s="247"/>
      <c r="CD212" s="247"/>
      <c r="CE212" s="17"/>
      <c r="CF212" s="17"/>
      <c r="CG212" s="17"/>
      <c r="CH212" s="252"/>
      <c r="CI212" s="252"/>
      <c r="CJ212" s="252"/>
      <c r="CK212" s="17"/>
      <c r="CL212" s="17"/>
      <c r="CM212" s="17"/>
      <c r="CN212" s="17"/>
      <c r="CO212" s="17"/>
      <c r="CP212" s="11"/>
      <c r="CQ212" s="11"/>
      <c r="CR212" s="11"/>
      <c r="CS212" s="11"/>
      <c r="CT212" s="247"/>
      <c r="CU212" s="247"/>
      <c r="CV212" s="247"/>
      <c r="CW212" s="11"/>
      <c r="CX212" s="11"/>
      <c r="CY212" s="11"/>
      <c r="CZ212" s="11"/>
      <c r="DA212" s="11"/>
      <c r="DB212" s="11"/>
      <c r="DC212" s="11"/>
      <c r="DD212" s="11"/>
      <c r="DE212" s="11"/>
      <c r="DF212" s="11"/>
      <c r="DG212" s="11"/>
      <c r="DH212" s="11"/>
      <c r="DI212" s="11"/>
      <c r="DJ212" s="11"/>
      <c r="DK212" s="11"/>
      <c r="DL212" s="247"/>
      <c r="DM212" s="247"/>
      <c r="DN212" s="247"/>
      <c r="DO212" s="247"/>
      <c r="DP212" s="247"/>
      <c r="DQ212" s="247"/>
      <c r="DR212" s="247"/>
      <c r="DS212" s="247"/>
      <c r="DT212" s="247"/>
      <c r="DU212" s="247"/>
      <c r="DV212" s="247"/>
      <c r="DW212" s="247"/>
      <c r="DX212" s="247"/>
      <c r="DY212" s="247"/>
      <c r="DZ212" s="247"/>
      <c r="EA212" s="247"/>
      <c r="EB212" s="247"/>
      <c r="EC212" s="247"/>
      <c r="ED212" s="17">
        <f t="shared" si="71"/>
        <v>559553.07333333325</v>
      </c>
      <c r="EE212" s="29">
        <f t="shared" si="72"/>
        <v>2</v>
      </c>
      <c r="EF212" s="17">
        <f t="shared" si="69"/>
        <v>279776.53666666662</v>
      </c>
    </row>
    <row r="213" spans="1:136" x14ac:dyDescent="0.25">
      <c r="A213" s="25">
        <f>Distribución_Elementos!A213</f>
        <v>211</v>
      </c>
      <c r="B213" s="22" t="str">
        <f>Distribución_Elementos!B213</f>
        <v>Etiquetas para identificar viales.  PLT-30-499</v>
      </c>
      <c r="C213" s="22" t="str">
        <f>Distribución_Elementos!C213</f>
        <v>Brady PLT-30-499</v>
      </c>
      <c r="D213" s="22" t="str">
        <f>Distribución_Elementos!D213</f>
        <v>Rollo x 250</v>
      </c>
      <c r="E213" s="224">
        <v>1</v>
      </c>
      <c r="F213" s="221">
        <v>0</v>
      </c>
      <c r="G213" s="221">
        <v>0</v>
      </c>
      <c r="H213" s="221">
        <v>719950</v>
      </c>
      <c r="I213" s="221">
        <v>719831</v>
      </c>
      <c r="J213" s="221">
        <v>784717.5</v>
      </c>
      <c r="K213" s="221">
        <v>474810</v>
      </c>
      <c r="L213" s="247">
        <f>AVERAGE(H213,J213)</f>
        <v>752333.75</v>
      </c>
      <c r="M213" s="247">
        <f>AVERAGE(I213,K213)*E1</f>
        <v>615240.11499999999</v>
      </c>
      <c r="N213" s="228"/>
      <c r="O213" s="119"/>
      <c r="P213" s="119"/>
      <c r="Q213" s="115"/>
      <c r="R213" s="115"/>
      <c r="S213" s="11"/>
      <c r="T213" s="247"/>
      <c r="U213" s="247"/>
      <c r="V213" s="247"/>
      <c r="W213" s="17"/>
      <c r="X213" s="11"/>
      <c r="Y213" s="11"/>
      <c r="Z213" s="247"/>
      <c r="AA213" s="247"/>
      <c r="AB213" s="247"/>
      <c r="AC213" s="44"/>
      <c r="AD213" s="22"/>
      <c r="AE213" s="17"/>
      <c r="AF213" s="247"/>
      <c r="AG213" s="247"/>
      <c r="AH213" s="151"/>
      <c r="AI213" s="22"/>
      <c r="AJ213" s="17"/>
      <c r="AK213" s="17"/>
      <c r="AL213" s="203">
        <v>368553</v>
      </c>
      <c r="AM213" s="132">
        <f>+AL213*0.19</f>
        <v>70025.070000000007</v>
      </c>
      <c r="AN213" s="132">
        <f>+AL213+AM213</f>
        <v>438578.07</v>
      </c>
      <c r="AO213" s="114" t="s">
        <v>1598</v>
      </c>
      <c r="AP213" s="114" t="s">
        <v>1559</v>
      </c>
      <c r="AQ213" s="17"/>
      <c r="AR213" s="247"/>
      <c r="AS213" s="247"/>
      <c r="AT213" s="247"/>
      <c r="AU213" s="17"/>
      <c r="AV213" s="17"/>
      <c r="AW213" s="17"/>
      <c r="AX213" s="252"/>
      <c r="AY213" s="247"/>
      <c r="AZ213" s="247"/>
      <c r="BA213" s="17"/>
      <c r="BB213" s="52"/>
      <c r="BC213" s="17"/>
      <c r="BD213" s="247"/>
      <c r="BE213" s="247"/>
      <c r="BF213" s="247"/>
      <c r="BG213" s="17"/>
      <c r="BH213" s="17"/>
      <c r="BI213" s="17"/>
      <c r="BJ213" s="247"/>
      <c r="BK213" s="247"/>
      <c r="BL213" s="247"/>
      <c r="BM213" s="190"/>
      <c r="BN213" s="190"/>
      <c r="BO213" s="17"/>
      <c r="BP213" s="247">
        <v>185200</v>
      </c>
      <c r="BQ213" s="247">
        <f t="shared" si="70"/>
        <v>35188</v>
      </c>
      <c r="BR213" s="247">
        <f t="shared" si="73"/>
        <v>220388</v>
      </c>
      <c r="BS213" s="17"/>
      <c r="BT213" s="17"/>
      <c r="BU213" s="17"/>
      <c r="BV213" s="189"/>
      <c r="BW213" s="197"/>
      <c r="BX213" s="246"/>
      <c r="BY213" s="190"/>
      <c r="BZ213" s="190"/>
      <c r="CA213" s="190"/>
      <c r="CB213" s="252"/>
      <c r="CC213" s="247"/>
      <c r="CD213" s="247"/>
      <c r="CE213" s="17"/>
      <c r="CF213" s="17"/>
      <c r="CG213" s="17"/>
      <c r="CH213" s="252"/>
      <c r="CI213" s="252"/>
      <c r="CJ213" s="252"/>
      <c r="CK213" s="17"/>
      <c r="CL213" s="17"/>
      <c r="CM213" s="17"/>
      <c r="CN213" s="17"/>
      <c r="CO213" s="17"/>
      <c r="CP213" s="11"/>
      <c r="CQ213" s="11"/>
      <c r="CR213" s="11"/>
      <c r="CS213" s="11"/>
      <c r="CT213" s="247"/>
      <c r="CU213" s="247"/>
      <c r="CV213" s="247"/>
      <c r="CW213" s="11"/>
      <c r="CX213" s="11"/>
      <c r="CY213" s="11"/>
      <c r="CZ213" s="11"/>
      <c r="DA213" s="11"/>
      <c r="DB213" s="11"/>
      <c r="DC213" s="11"/>
      <c r="DD213" s="11"/>
      <c r="DE213" s="11"/>
      <c r="DF213" s="11"/>
      <c r="DG213" s="11"/>
      <c r="DH213" s="11"/>
      <c r="DI213" s="11"/>
      <c r="DJ213" s="11"/>
      <c r="DK213" s="11"/>
      <c r="DL213" s="247"/>
      <c r="DM213" s="247"/>
      <c r="DN213" s="247"/>
      <c r="DO213" s="247"/>
      <c r="DP213" s="247"/>
      <c r="DQ213" s="247"/>
      <c r="DR213" s="247"/>
      <c r="DS213" s="247"/>
      <c r="DT213" s="247"/>
      <c r="DU213" s="247"/>
      <c r="DV213" s="247"/>
      <c r="DW213" s="247"/>
      <c r="DX213" s="247"/>
      <c r="DY213" s="247"/>
      <c r="DZ213" s="247"/>
      <c r="EA213" s="247"/>
      <c r="EB213" s="247"/>
      <c r="EC213" s="247"/>
      <c r="ED213" s="17">
        <f t="shared" si="71"/>
        <v>1274206.1850000001</v>
      </c>
      <c r="EE213" s="29">
        <f t="shared" si="72"/>
        <v>3</v>
      </c>
      <c r="EF213" s="17">
        <f t="shared" si="69"/>
        <v>424735.39500000002</v>
      </c>
    </row>
    <row r="214" spans="1:136" ht="25.5" x14ac:dyDescent="0.25">
      <c r="A214" s="25">
        <f>Distribución_Elementos!A214</f>
        <v>212</v>
      </c>
      <c r="B214" s="22" t="str">
        <f>Distribución_Elementos!B214</f>
        <v>Etiquetas termicas freezer para impresora Zebra GC4201 2 X 1,5 mm Rollo x 3 etiquetas por fila</v>
      </c>
      <c r="C214" s="22" t="str">
        <f>Distribución_Elementos!C214</f>
        <v>Zebra</v>
      </c>
      <c r="D214" s="22" t="str">
        <f>Distribución_Elementos!D214</f>
        <v>Rollo x 10000</v>
      </c>
      <c r="E214" s="224">
        <v>1</v>
      </c>
      <c r="F214" s="221">
        <v>0</v>
      </c>
      <c r="G214" s="221">
        <v>0</v>
      </c>
      <c r="H214" s="221">
        <v>142800</v>
      </c>
      <c r="I214" s="221">
        <v>0</v>
      </c>
      <c r="J214" s="221">
        <v>0</v>
      </c>
      <c r="K214" s="221">
        <v>0</v>
      </c>
      <c r="L214" s="247">
        <f>H214</f>
        <v>142800</v>
      </c>
      <c r="M214" s="247"/>
      <c r="N214" s="228"/>
      <c r="O214" s="119"/>
      <c r="P214" s="119"/>
      <c r="Q214" s="115"/>
      <c r="R214" s="115"/>
      <c r="S214" s="11"/>
      <c r="T214" s="247"/>
      <c r="U214" s="247"/>
      <c r="V214" s="247"/>
      <c r="W214" s="17"/>
      <c r="X214" s="11"/>
      <c r="Y214" s="11"/>
      <c r="Z214" s="247"/>
      <c r="AA214" s="247"/>
      <c r="AB214" s="247"/>
      <c r="AC214" s="44"/>
      <c r="AD214" s="22"/>
      <c r="AE214" s="17"/>
      <c r="AF214" s="247"/>
      <c r="AG214" s="247"/>
      <c r="AH214" s="151"/>
      <c r="AI214" s="22"/>
      <c r="AJ214" s="17"/>
      <c r="AK214" s="17"/>
      <c r="AL214" s="203">
        <v>1225500</v>
      </c>
      <c r="AM214" s="132">
        <f>+AL214*0.19</f>
        <v>232845</v>
      </c>
      <c r="AN214" s="132">
        <f>+AL214+AM214</f>
        <v>1458345</v>
      </c>
      <c r="AO214" s="114" t="s">
        <v>455</v>
      </c>
      <c r="AP214" s="114" t="s">
        <v>1559</v>
      </c>
      <c r="AQ214" s="17"/>
      <c r="AR214" s="247"/>
      <c r="AS214" s="247"/>
      <c r="AT214" s="247"/>
      <c r="AU214" s="17"/>
      <c r="AV214" s="17"/>
      <c r="AW214" s="17"/>
      <c r="AX214" s="252"/>
      <c r="AY214" s="247"/>
      <c r="AZ214" s="247"/>
      <c r="BA214" s="17"/>
      <c r="BB214" s="52"/>
      <c r="BC214" s="17"/>
      <c r="BD214" s="247"/>
      <c r="BE214" s="247"/>
      <c r="BF214" s="247"/>
      <c r="BG214" s="17"/>
      <c r="BH214" s="17"/>
      <c r="BI214" s="17"/>
      <c r="BJ214" s="247"/>
      <c r="BK214" s="247"/>
      <c r="BL214" s="247"/>
      <c r="BM214" s="190"/>
      <c r="BN214" s="190"/>
      <c r="BO214" s="17"/>
      <c r="BP214" s="247">
        <v>185200</v>
      </c>
      <c r="BQ214" s="247">
        <f t="shared" si="70"/>
        <v>35188</v>
      </c>
      <c r="BR214" s="247">
        <f t="shared" si="73"/>
        <v>220388</v>
      </c>
      <c r="BS214" s="17"/>
      <c r="BT214" s="17"/>
      <c r="BU214" s="17"/>
      <c r="BV214" s="189"/>
      <c r="BW214" s="197"/>
      <c r="BX214" s="246"/>
      <c r="BY214" s="190"/>
      <c r="BZ214" s="190"/>
      <c r="CA214" s="190"/>
      <c r="CB214" s="247"/>
      <c r="CC214" s="247"/>
      <c r="CD214" s="247"/>
      <c r="CE214" s="17"/>
      <c r="CF214" s="17"/>
      <c r="CG214" s="17"/>
      <c r="CH214" s="252"/>
      <c r="CI214" s="252"/>
      <c r="CJ214" s="252"/>
      <c r="CK214" s="17"/>
      <c r="CL214" s="17"/>
      <c r="CM214" s="17"/>
      <c r="CN214" s="17"/>
      <c r="CO214" s="17"/>
      <c r="CP214" s="11"/>
      <c r="CQ214" s="11"/>
      <c r="CR214" s="11"/>
      <c r="CS214" s="11"/>
      <c r="CT214" s="247"/>
      <c r="CU214" s="247"/>
      <c r="CV214" s="247"/>
      <c r="CW214" s="11"/>
      <c r="CX214" s="11"/>
      <c r="CY214" s="11"/>
      <c r="CZ214" s="11"/>
      <c r="DA214" s="11"/>
      <c r="DB214" s="11"/>
      <c r="DC214" s="11"/>
      <c r="DD214" s="11"/>
      <c r="DE214" s="11"/>
      <c r="DF214" s="11"/>
      <c r="DG214" s="11"/>
      <c r="DH214" s="11"/>
      <c r="DI214" s="11"/>
      <c r="DJ214" s="11"/>
      <c r="DK214" s="11"/>
      <c r="DL214" s="247"/>
      <c r="DM214" s="247"/>
      <c r="DN214" s="247"/>
      <c r="DO214" s="247"/>
      <c r="DP214" s="247"/>
      <c r="DQ214" s="247"/>
      <c r="DR214" s="247"/>
      <c r="DS214" s="247"/>
      <c r="DT214" s="247"/>
      <c r="DU214" s="247"/>
      <c r="DV214" s="247"/>
      <c r="DW214" s="247"/>
      <c r="DX214" s="247"/>
      <c r="DY214" s="247"/>
      <c r="DZ214" s="247"/>
      <c r="EA214" s="247"/>
      <c r="EB214" s="247"/>
      <c r="EC214" s="247"/>
      <c r="ED214" s="17">
        <f t="shared" si="71"/>
        <v>1678733</v>
      </c>
      <c r="EE214" s="29">
        <f t="shared" si="72"/>
        <v>2</v>
      </c>
      <c r="EF214" s="17">
        <f t="shared" si="69"/>
        <v>839366.5</v>
      </c>
    </row>
    <row r="215" spans="1:136" ht="25.5" x14ac:dyDescent="0.25">
      <c r="A215" s="25">
        <f>Distribución_Elementos!A215</f>
        <v>213</v>
      </c>
      <c r="B215" s="22" t="str">
        <f>Distribución_Elementos!B215</f>
        <v>Etiquetas termicas freezer para impresora Zebra GC4201 32 X 15 mm Rollo x 3 etiquetas por fila</v>
      </c>
      <c r="C215" s="22" t="str">
        <f>Distribución_Elementos!C215</f>
        <v>Zebra</v>
      </c>
      <c r="D215" s="22" t="str">
        <f>Distribución_Elementos!D215</f>
        <v>Rollo x 10000</v>
      </c>
      <c r="E215" s="224">
        <v>1</v>
      </c>
      <c r="F215" s="221">
        <v>0</v>
      </c>
      <c r="G215" s="221">
        <v>0</v>
      </c>
      <c r="H215" s="221">
        <v>178500</v>
      </c>
      <c r="I215" s="221">
        <v>0</v>
      </c>
      <c r="J215" s="221">
        <v>0</v>
      </c>
      <c r="K215" s="221">
        <v>0</v>
      </c>
      <c r="L215" s="247">
        <f>H215</f>
        <v>178500</v>
      </c>
      <c r="M215" s="247"/>
      <c r="N215" s="227"/>
      <c r="O215" s="119"/>
      <c r="P215" s="119"/>
      <c r="Q215" s="115"/>
      <c r="R215" s="115"/>
      <c r="S215" s="11"/>
      <c r="T215" s="247"/>
      <c r="U215" s="247"/>
      <c r="V215" s="247"/>
      <c r="W215" s="17"/>
      <c r="X215" s="11"/>
      <c r="Y215" s="11"/>
      <c r="Z215" s="247"/>
      <c r="AA215" s="247"/>
      <c r="AB215" s="247"/>
      <c r="AC215" s="44"/>
      <c r="AD215" s="22"/>
      <c r="AE215" s="17"/>
      <c r="AF215" s="247"/>
      <c r="AG215" s="247"/>
      <c r="AH215" s="151"/>
      <c r="AI215" s="4"/>
      <c r="AJ215" s="17"/>
      <c r="AK215" s="17"/>
      <c r="AL215" s="203">
        <v>912503</v>
      </c>
      <c r="AM215" s="132">
        <f>+AL215*0.19</f>
        <v>173375.57</v>
      </c>
      <c r="AN215" s="132">
        <f>+AL215+AM215</f>
        <v>1085878.57</v>
      </c>
      <c r="AO215" s="114" t="s">
        <v>172</v>
      </c>
      <c r="AP215" s="114" t="s">
        <v>1599</v>
      </c>
      <c r="AQ215" s="17"/>
      <c r="AR215" s="247"/>
      <c r="AS215" s="247"/>
      <c r="AT215" s="247"/>
      <c r="AU215" s="17"/>
      <c r="AV215" s="17"/>
      <c r="AW215" s="17"/>
      <c r="AX215" s="247"/>
      <c r="AY215" s="247"/>
      <c r="AZ215" s="247"/>
      <c r="BA215" s="17"/>
      <c r="BB215" s="52"/>
      <c r="BC215" s="17"/>
      <c r="BD215" s="247"/>
      <c r="BE215" s="247"/>
      <c r="BF215" s="247"/>
      <c r="BG215" s="17"/>
      <c r="BH215" s="17"/>
      <c r="BI215" s="17"/>
      <c r="BJ215" s="247"/>
      <c r="BK215" s="247"/>
      <c r="BL215" s="247"/>
      <c r="BM215" s="190"/>
      <c r="BN215" s="190"/>
      <c r="BO215" s="17"/>
      <c r="BP215" s="247">
        <v>165200</v>
      </c>
      <c r="BQ215" s="247">
        <f t="shared" si="70"/>
        <v>31388</v>
      </c>
      <c r="BR215" s="247">
        <f t="shared" si="73"/>
        <v>196588</v>
      </c>
      <c r="BS215" s="17"/>
      <c r="BT215" s="17"/>
      <c r="BU215" s="17"/>
      <c r="BV215" s="189"/>
      <c r="BW215" s="197"/>
      <c r="BX215" s="246"/>
      <c r="BY215" s="190"/>
      <c r="BZ215" s="190"/>
      <c r="CA215" s="190"/>
      <c r="CB215" s="247"/>
      <c r="CC215" s="247"/>
      <c r="CD215" s="247"/>
      <c r="CE215" s="17"/>
      <c r="CF215" s="17"/>
      <c r="CG215" s="17"/>
      <c r="CH215" s="247"/>
      <c r="CI215" s="247"/>
      <c r="CJ215" s="247"/>
      <c r="CK215" s="17"/>
      <c r="CL215" s="17"/>
      <c r="CM215" s="17"/>
      <c r="CN215" s="17"/>
      <c r="CO215" s="17"/>
      <c r="CP215" s="11"/>
      <c r="CQ215" s="11"/>
      <c r="CR215" s="11"/>
      <c r="CS215" s="11"/>
      <c r="CT215" s="247"/>
      <c r="CU215" s="247"/>
      <c r="CV215" s="247"/>
      <c r="CW215" s="11"/>
      <c r="CX215" s="11"/>
      <c r="CY215" s="11"/>
      <c r="CZ215" s="11"/>
      <c r="DA215" s="11"/>
      <c r="DB215" s="11"/>
      <c r="DC215" s="11"/>
      <c r="DD215" s="11"/>
      <c r="DE215" s="11"/>
      <c r="DF215" s="11"/>
      <c r="DG215" s="11"/>
      <c r="DH215" s="11"/>
      <c r="DI215" s="11"/>
      <c r="DJ215" s="11"/>
      <c r="DK215" s="11"/>
      <c r="DL215" s="247"/>
      <c r="DM215" s="247"/>
      <c r="DN215" s="247"/>
      <c r="DO215" s="247"/>
      <c r="DP215" s="247"/>
      <c r="DQ215" s="247"/>
      <c r="DR215" s="247"/>
      <c r="DS215" s="247"/>
      <c r="DT215" s="247"/>
      <c r="DU215" s="247"/>
      <c r="DV215" s="247"/>
      <c r="DW215" s="247"/>
      <c r="DX215" s="247"/>
      <c r="DY215" s="247"/>
      <c r="DZ215" s="247"/>
      <c r="EA215" s="247"/>
      <c r="EB215" s="247"/>
      <c r="EC215" s="247"/>
      <c r="ED215" s="17">
        <f t="shared" si="71"/>
        <v>1282466.57</v>
      </c>
      <c r="EE215" s="29">
        <f t="shared" si="72"/>
        <v>2</v>
      </c>
      <c r="EF215" s="17">
        <f t="shared" si="69"/>
        <v>641233.28500000003</v>
      </c>
    </row>
    <row r="216" spans="1:136" ht="25.5" x14ac:dyDescent="0.25">
      <c r="A216" s="25">
        <f>Distribución_Elementos!A216</f>
        <v>214</v>
      </c>
      <c r="B216" s="22" t="str">
        <f>Distribución_Elementos!B216</f>
        <v>Etiquetas termicas freezer para impresora Zebra GC4201 50 X 20 mm Rollo x 2 etiquetas por fila</v>
      </c>
      <c r="C216" s="22" t="str">
        <f>Distribución_Elementos!C216</f>
        <v>Zebra</v>
      </c>
      <c r="D216" s="22" t="str">
        <f>Distribución_Elementos!D216</f>
        <v>Rollo x 10000</v>
      </c>
      <c r="E216" s="224">
        <v>1</v>
      </c>
      <c r="F216" s="221">
        <v>0</v>
      </c>
      <c r="G216" s="221">
        <v>0</v>
      </c>
      <c r="H216" s="221">
        <v>214200</v>
      </c>
      <c r="I216" s="221">
        <v>0</v>
      </c>
      <c r="J216" s="221">
        <v>0</v>
      </c>
      <c r="K216" s="221">
        <v>0</v>
      </c>
      <c r="L216" s="247">
        <f>H216</f>
        <v>214200</v>
      </c>
      <c r="M216" s="247"/>
      <c r="N216" s="227"/>
      <c r="O216" s="119"/>
      <c r="P216" s="119"/>
      <c r="Q216" s="115"/>
      <c r="R216" s="115"/>
      <c r="S216" s="11"/>
      <c r="T216" s="247"/>
      <c r="U216" s="247"/>
      <c r="V216" s="247"/>
      <c r="W216" s="17"/>
      <c r="X216" s="11"/>
      <c r="Y216" s="11"/>
      <c r="Z216" s="247"/>
      <c r="AA216" s="247"/>
      <c r="AB216" s="247"/>
      <c r="AC216" s="44"/>
      <c r="AD216" s="22"/>
      <c r="AE216" s="17"/>
      <c r="AF216" s="247"/>
      <c r="AG216" s="247"/>
      <c r="AH216" s="151"/>
      <c r="AI216" s="4"/>
      <c r="AJ216" s="17"/>
      <c r="AK216" s="17"/>
      <c r="AL216" s="102"/>
      <c r="AM216" s="132"/>
      <c r="AN216" s="132"/>
      <c r="AO216" s="115"/>
      <c r="AP216" s="115"/>
      <c r="AQ216" s="17"/>
      <c r="AR216" s="247"/>
      <c r="AS216" s="247"/>
      <c r="AT216" s="247"/>
      <c r="AU216" s="17"/>
      <c r="AV216" s="17"/>
      <c r="AW216" s="17"/>
      <c r="AX216" s="247"/>
      <c r="AY216" s="247"/>
      <c r="AZ216" s="247"/>
      <c r="BA216" s="17"/>
      <c r="BB216" s="52"/>
      <c r="BC216" s="17"/>
      <c r="BD216" s="247"/>
      <c r="BE216" s="247"/>
      <c r="BF216" s="247"/>
      <c r="BG216" s="17"/>
      <c r="BH216" s="17"/>
      <c r="BI216" s="17"/>
      <c r="BJ216" s="247"/>
      <c r="BK216" s="247"/>
      <c r="BL216" s="247"/>
      <c r="BM216" s="190"/>
      <c r="BN216" s="190"/>
      <c r="BO216" s="17"/>
      <c r="BP216" s="247">
        <v>165200</v>
      </c>
      <c r="BQ216" s="247">
        <f t="shared" si="70"/>
        <v>31388</v>
      </c>
      <c r="BR216" s="247">
        <f t="shared" si="73"/>
        <v>196588</v>
      </c>
      <c r="BS216" s="17"/>
      <c r="BT216" s="17"/>
      <c r="BU216" s="17"/>
      <c r="BV216" s="189"/>
      <c r="BW216" s="197"/>
      <c r="BX216" s="246"/>
      <c r="BY216" s="190"/>
      <c r="BZ216" s="190"/>
      <c r="CA216" s="190"/>
      <c r="CB216" s="247"/>
      <c r="CC216" s="247"/>
      <c r="CD216" s="247"/>
      <c r="CE216" s="17"/>
      <c r="CF216" s="17"/>
      <c r="CG216" s="17"/>
      <c r="CH216" s="247"/>
      <c r="CI216" s="247"/>
      <c r="CJ216" s="247"/>
      <c r="CK216" s="17"/>
      <c r="CL216" s="17"/>
      <c r="CM216" s="17"/>
      <c r="CN216" s="17"/>
      <c r="CO216" s="17"/>
      <c r="CP216" s="11"/>
      <c r="CQ216" s="11"/>
      <c r="CR216" s="11"/>
      <c r="CS216" s="11"/>
      <c r="CT216" s="247"/>
      <c r="CU216" s="247"/>
      <c r="CV216" s="247"/>
      <c r="CW216" s="11"/>
      <c r="CX216" s="11"/>
      <c r="CY216" s="11"/>
      <c r="CZ216" s="11"/>
      <c r="DA216" s="11"/>
      <c r="DB216" s="11"/>
      <c r="DC216" s="11"/>
      <c r="DD216" s="11"/>
      <c r="DE216" s="11"/>
      <c r="DF216" s="11"/>
      <c r="DG216" s="11"/>
      <c r="DH216" s="11"/>
      <c r="DI216" s="11"/>
      <c r="DJ216" s="11"/>
      <c r="DK216" s="11"/>
      <c r="DL216" s="247"/>
      <c r="DM216" s="247"/>
      <c r="DN216" s="247"/>
      <c r="DO216" s="247"/>
      <c r="DP216" s="247"/>
      <c r="DQ216" s="247"/>
      <c r="DR216" s="247"/>
      <c r="DS216" s="247"/>
      <c r="DT216" s="247"/>
      <c r="DU216" s="247"/>
      <c r="DV216" s="247"/>
      <c r="DW216" s="247"/>
      <c r="DX216" s="247"/>
      <c r="DY216" s="247"/>
      <c r="DZ216" s="247"/>
      <c r="EA216" s="247"/>
      <c r="EB216" s="247"/>
      <c r="EC216" s="247"/>
      <c r="ED216" s="17">
        <f t="shared" si="71"/>
        <v>196588</v>
      </c>
      <c r="EE216" s="29">
        <f t="shared" si="72"/>
        <v>1</v>
      </c>
      <c r="EF216" s="17">
        <f t="shared" si="69"/>
        <v>196588</v>
      </c>
    </row>
    <row r="217" spans="1:136" ht="25.5" x14ac:dyDescent="0.25">
      <c r="A217" s="25">
        <f>Distribución_Elementos!A217</f>
        <v>215</v>
      </c>
      <c r="B217" s="22" t="str">
        <f>Distribución_Elementos!B217</f>
        <v>Filtro de membrana millipore tipo durapore hidrofílica, 0,22 micras de tamaño de poro, 47 mm de diámetro</v>
      </c>
      <c r="C217" s="22" t="str">
        <f>Distribución_Elementos!C217</f>
        <v>Merck, sigma, CNW o equivalentes</v>
      </c>
      <c r="D217" s="22" t="str">
        <f>Distribución_Elementos!D217</f>
        <v>Caja x 100</v>
      </c>
      <c r="E217" s="224">
        <v>1</v>
      </c>
      <c r="F217" s="221">
        <v>0</v>
      </c>
      <c r="G217" s="221">
        <v>0</v>
      </c>
      <c r="H217" s="221">
        <v>0</v>
      </c>
      <c r="I217" s="221">
        <v>0</v>
      </c>
      <c r="J217" s="221">
        <v>3673975.853333333</v>
      </c>
      <c r="K217" s="221">
        <v>3439100</v>
      </c>
      <c r="L217" s="247">
        <f>J217</f>
        <v>3673975.853333333</v>
      </c>
      <c r="M217" s="247">
        <f>K217*E1</f>
        <v>3542273</v>
      </c>
      <c r="N217" s="227"/>
      <c r="O217" s="119"/>
      <c r="P217" s="119"/>
      <c r="Q217" s="115"/>
      <c r="R217" s="115"/>
      <c r="S217" s="11"/>
      <c r="T217" s="247"/>
      <c r="U217" s="247"/>
      <c r="V217" s="247"/>
      <c r="W217" s="17"/>
      <c r="X217" s="11"/>
      <c r="Y217" s="11"/>
      <c r="Z217" s="247"/>
      <c r="AA217" s="247"/>
      <c r="AB217" s="247"/>
      <c r="AC217" s="44"/>
      <c r="AD217" s="22"/>
      <c r="AE217" s="17"/>
      <c r="AF217" s="247"/>
      <c r="AG217" s="247"/>
      <c r="AH217" s="151"/>
      <c r="AI217" s="22"/>
      <c r="AJ217" s="17"/>
      <c r="AK217" s="17"/>
      <c r="AL217" s="102"/>
      <c r="AM217" s="132"/>
      <c r="AN217" s="161"/>
      <c r="AO217" s="115"/>
      <c r="AP217" s="115"/>
      <c r="AQ217" s="17"/>
      <c r="AR217" s="247"/>
      <c r="AS217" s="247"/>
      <c r="AT217" s="247"/>
      <c r="AU217" s="17"/>
      <c r="AV217" s="17"/>
      <c r="AW217" s="17"/>
      <c r="AX217" s="247"/>
      <c r="AY217" s="247"/>
      <c r="AZ217" s="247"/>
      <c r="BA217" s="17"/>
      <c r="BB217" s="52"/>
      <c r="BC217" s="17"/>
      <c r="BD217" s="247"/>
      <c r="BE217" s="247"/>
      <c r="BF217" s="247"/>
      <c r="BG217" s="17"/>
      <c r="BH217" s="17"/>
      <c r="BI217" s="17"/>
      <c r="BJ217" s="247"/>
      <c r="BK217" s="247"/>
      <c r="BL217" s="247"/>
      <c r="BM217" s="190"/>
      <c r="BN217" s="190"/>
      <c r="BO217" s="17"/>
      <c r="BP217" s="247">
        <v>165000</v>
      </c>
      <c r="BQ217" s="247">
        <f t="shared" si="70"/>
        <v>31350</v>
      </c>
      <c r="BR217" s="247">
        <f t="shared" si="73"/>
        <v>196350</v>
      </c>
      <c r="BS217" s="17"/>
      <c r="BT217" s="17"/>
      <c r="BU217" s="17"/>
      <c r="BV217" s="189"/>
      <c r="BW217" s="197"/>
      <c r="BX217" s="246"/>
      <c r="BY217" s="190"/>
      <c r="BZ217" s="190"/>
      <c r="CA217" s="190"/>
      <c r="CB217" s="252">
        <v>701106</v>
      </c>
      <c r="CC217" s="247">
        <f>+CB217*0.19</f>
        <v>133210.14000000001</v>
      </c>
      <c r="CD217" s="247">
        <f>+CB217+CC217</f>
        <v>834316.14</v>
      </c>
      <c r="CE217" s="17"/>
      <c r="CF217" s="17"/>
      <c r="CG217" s="17"/>
      <c r="CH217" s="247">
        <v>670000</v>
      </c>
      <c r="CI217" s="247">
        <f>CH217*19%</f>
        <v>127300</v>
      </c>
      <c r="CJ217" s="247">
        <f>CH217+CI217</f>
        <v>797300</v>
      </c>
      <c r="CK217" s="17"/>
      <c r="CL217" s="17"/>
      <c r="CM217" s="17"/>
      <c r="CN217" s="17"/>
      <c r="CO217" s="17"/>
      <c r="CP217" s="11"/>
      <c r="CQ217" s="11"/>
      <c r="CR217" s="11"/>
      <c r="CS217" s="11"/>
      <c r="CT217" s="247"/>
      <c r="CU217" s="247"/>
      <c r="CV217" s="247"/>
      <c r="CW217" s="11"/>
      <c r="CX217" s="11"/>
      <c r="CY217" s="11"/>
      <c r="CZ217" s="11"/>
      <c r="DA217" s="11"/>
      <c r="DB217" s="11"/>
      <c r="DC217" s="11"/>
      <c r="DD217" s="11"/>
      <c r="DE217" s="11"/>
      <c r="DF217" s="11"/>
      <c r="DG217" s="11"/>
      <c r="DH217" s="11"/>
      <c r="DI217" s="11"/>
      <c r="DJ217" s="11"/>
      <c r="DK217" s="11"/>
      <c r="DL217" s="247"/>
      <c r="DM217" s="247"/>
      <c r="DN217" s="247"/>
      <c r="DO217" s="247"/>
      <c r="DP217" s="247"/>
      <c r="DQ217" s="247"/>
      <c r="DR217" s="247"/>
      <c r="DS217" s="247"/>
      <c r="DT217" s="247"/>
      <c r="DU217" s="247"/>
      <c r="DV217" s="247"/>
      <c r="DW217" s="247"/>
      <c r="DX217" s="247"/>
      <c r="DY217" s="247"/>
      <c r="DZ217" s="247"/>
      <c r="EA217" s="247"/>
      <c r="EB217" s="247"/>
      <c r="EC217" s="247"/>
      <c r="ED217" s="17">
        <f t="shared" si="71"/>
        <v>5370239.1399999997</v>
      </c>
      <c r="EE217" s="29">
        <f t="shared" si="72"/>
        <v>4</v>
      </c>
      <c r="EF217" s="17">
        <f t="shared" si="69"/>
        <v>1342559.7849999999</v>
      </c>
    </row>
    <row r="218" spans="1:136" ht="38.25" x14ac:dyDescent="0.25">
      <c r="A218" s="25">
        <f>Distribución_Elementos!A218</f>
        <v>216</v>
      </c>
      <c r="B218" s="22" t="str">
        <f>Distribución_Elementos!B218</f>
        <v>Filtro para jeringa 0.22 µm estéril (Ø=25mm) PVDF Hidrofílica</v>
      </c>
      <c r="C218" s="22" t="str">
        <f>Distribución_Elementos!C218</f>
        <v>Merck, sigma o equivalentes</v>
      </c>
      <c r="D218" s="22" t="str">
        <f>Distribución_Elementos!D218</f>
        <v>Paquete x 100</v>
      </c>
      <c r="E218" s="224">
        <v>1</v>
      </c>
      <c r="F218" s="221">
        <v>0</v>
      </c>
      <c r="G218" s="221">
        <v>0</v>
      </c>
      <c r="H218" s="221">
        <v>0</v>
      </c>
      <c r="I218" s="221">
        <v>0</v>
      </c>
      <c r="J218" s="221">
        <v>0</v>
      </c>
      <c r="K218" s="221">
        <v>0</v>
      </c>
      <c r="L218" s="247"/>
      <c r="M218" s="247"/>
      <c r="N218" s="228"/>
      <c r="O218" s="119"/>
      <c r="P218" s="119"/>
      <c r="Q218" s="115"/>
      <c r="R218" s="115"/>
      <c r="S218" s="11"/>
      <c r="T218" s="247"/>
      <c r="U218" s="247"/>
      <c r="V218" s="247"/>
      <c r="W218" s="17"/>
      <c r="X218" s="11"/>
      <c r="Y218" s="11"/>
      <c r="Z218" s="247">
        <f>+(382000/30)*100</f>
        <v>1273333.3333333335</v>
      </c>
      <c r="AA218" s="247">
        <f>+Z218*0.19</f>
        <v>241933.33333333337</v>
      </c>
      <c r="AB218" s="247">
        <f>+Z218+AA218</f>
        <v>1515266.666666667</v>
      </c>
      <c r="AC218" s="46" t="s">
        <v>1600</v>
      </c>
      <c r="AD218" s="23" t="s">
        <v>42</v>
      </c>
      <c r="AE218" s="17"/>
      <c r="AF218" s="247"/>
      <c r="AG218" s="247"/>
      <c r="AH218" s="152"/>
      <c r="AI218" s="24"/>
      <c r="AJ218" s="17"/>
      <c r="AK218" s="17"/>
      <c r="AL218" s="102"/>
      <c r="AM218" s="132"/>
      <c r="AN218" s="161"/>
      <c r="AO218" s="115"/>
      <c r="AP218" s="115"/>
      <c r="AQ218" s="17"/>
      <c r="AR218" s="247"/>
      <c r="AS218" s="247"/>
      <c r="AT218" s="247"/>
      <c r="AU218" s="17"/>
      <c r="AV218" s="17"/>
      <c r="AW218" s="17"/>
      <c r="AX218" s="252"/>
      <c r="AY218" s="247"/>
      <c r="AZ218" s="247"/>
      <c r="BA218" s="17"/>
      <c r="BB218" s="52"/>
      <c r="BC218" s="17"/>
      <c r="BD218" s="202">
        <f>+(324388/45)*100</f>
        <v>720862.22222222225</v>
      </c>
      <c r="BE218" s="247">
        <f>+BD218*0.19</f>
        <v>136963.82222222222</v>
      </c>
      <c r="BF218" s="247">
        <f>+BD218+BE218</f>
        <v>857826.04444444447</v>
      </c>
      <c r="BG218" s="186" t="s">
        <v>1601</v>
      </c>
      <c r="BH218" s="184" t="s">
        <v>1602</v>
      </c>
      <c r="BI218" s="5" t="s">
        <v>1603</v>
      </c>
      <c r="BJ218" s="247"/>
      <c r="BK218" s="247"/>
      <c r="BL218" s="247"/>
      <c r="BM218" s="190"/>
      <c r="BN218" s="190"/>
      <c r="BO218" s="17"/>
      <c r="BP218" s="247">
        <v>165000</v>
      </c>
      <c r="BQ218" s="247">
        <f t="shared" si="70"/>
        <v>31350</v>
      </c>
      <c r="BR218" s="247">
        <f t="shared" si="73"/>
        <v>196350</v>
      </c>
      <c r="BS218" s="17"/>
      <c r="BT218" s="17"/>
      <c r="BU218" s="17"/>
      <c r="BV218" s="189"/>
      <c r="BW218" s="197"/>
      <c r="BX218" s="246"/>
      <c r="BY218" s="190"/>
      <c r="BZ218" s="190"/>
      <c r="CA218" s="190"/>
      <c r="CB218" s="247"/>
      <c r="CC218" s="247"/>
      <c r="CD218" s="247"/>
      <c r="CE218" s="17"/>
      <c r="CF218" s="17"/>
      <c r="CG218" s="17"/>
      <c r="CH218" s="252">
        <v>317000</v>
      </c>
      <c r="CI218" s="247">
        <f>CH218*19%</f>
        <v>60230</v>
      </c>
      <c r="CJ218" s="247">
        <f>CH218+CI218</f>
        <v>377230</v>
      </c>
      <c r="CK218" s="17"/>
      <c r="CL218" s="17"/>
      <c r="CM218" s="17"/>
      <c r="CN218" s="17"/>
      <c r="CO218" s="17"/>
      <c r="CP218" s="11"/>
      <c r="CQ218" s="11"/>
      <c r="CR218" s="11"/>
      <c r="CS218" s="11"/>
      <c r="CT218" s="247"/>
      <c r="CU218" s="247"/>
      <c r="CV218" s="247"/>
      <c r="CW218" s="11"/>
      <c r="CX218" s="11"/>
      <c r="CY218" s="11"/>
      <c r="CZ218" s="11"/>
      <c r="DA218" s="11"/>
      <c r="DB218" s="11"/>
      <c r="DC218" s="11"/>
      <c r="DD218" s="11"/>
      <c r="DE218" s="11"/>
      <c r="DF218" s="11"/>
      <c r="DG218" s="11"/>
      <c r="DH218" s="11"/>
      <c r="DI218" s="11"/>
      <c r="DJ218" s="11"/>
      <c r="DK218" s="11"/>
      <c r="DL218" s="247"/>
      <c r="DM218" s="247"/>
      <c r="DN218" s="247"/>
      <c r="DO218" s="247"/>
      <c r="DP218" s="247"/>
      <c r="DQ218" s="247"/>
      <c r="DR218" s="247"/>
      <c r="DS218" s="247"/>
      <c r="DT218" s="247"/>
      <c r="DU218" s="247"/>
      <c r="DV218" s="247"/>
      <c r="DW218" s="247"/>
      <c r="DX218" s="247"/>
      <c r="DY218" s="247"/>
      <c r="DZ218" s="247"/>
      <c r="EA218" s="247"/>
      <c r="EB218" s="247"/>
      <c r="EC218" s="247"/>
      <c r="ED218" s="17">
        <f t="shared" si="71"/>
        <v>2946672.7111111116</v>
      </c>
      <c r="EE218" s="29">
        <f t="shared" si="72"/>
        <v>4</v>
      </c>
      <c r="EF218" s="17">
        <f t="shared" si="69"/>
        <v>736668.17777777789</v>
      </c>
    </row>
    <row r="219" spans="1:136" ht="38.25" x14ac:dyDescent="0.25">
      <c r="A219" s="25">
        <f>Distribución_Elementos!A219</f>
        <v>217</v>
      </c>
      <c r="B219" s="22" t="str">
        <f>Distribución_Elementos!B219</f>
        <v>Filtro para jeringa 0.45 µm estéril (Ø=33mm) PVDF</v>
      </c>
      <c r="C219" s="22" t="str">
        <f>Distribución_Elementos!C219</f>
        <v>Millipore SLHV033RS</v>
      </c>
      <c r="D219" s="22" t="str">
        <f>Distribución_Elementos!D219</f>
        <v>Caja x 50</v>
      </c>
      <c r="E219" s="224">
        <v>1</v>
      </c>
      <c r="F219" s="221">
        <v>0</v>
      </c>
      <c r="G219" s="221">
        <v>0</v>
      </c>
      <c r="H219" s="221">
        <v>0</v>
      </c>
      <c r="I219" s="221">
        <v>0</v>
      </c>
      <c r="J219" s="221">
        <v>651168</v>
      </c>
      <c r="K219" s="221">
        <v>0</v>
      </c>
      <c r="L219" s="247">
        <f>J219</f>
        <v>651168</v>
      </c>
      <c r="M219" s="247"/>
      <c r="N219" s="227"/>
      <c r="O219" s="119"/>
      <c r="P219" s="119"/>
      <c r="Q219" s="115"/>
      <c r="R219" s="115"/>
      <c r="S219" s="11"/>
      <c r="T219" s="247"/>
      <c r="U219" s="247"/>
      <c r="V219" s="247"/>
      <c r="W219" s="17"/>
      <c r="X219" s="11"/>
      <c r="Y219" s="11"/>
      <c r="Z219" s="247">
        <f>+(547200/75)*50</f>
        <v>364800</v>
      </c>
      <c r="AA219" s="247">
        <f>+Z219*0.19</f>
        <v>69312</v>
      </c>
      <c r="AB219" s="247">
        <f>+Z219+AA219</f>
        <v>434112</v>
      </c>
      <c r="AC219" s="44" t="s">
        <v>1604</v>
      </c>
      <c r="AD219" s="23" t="s">
        <v>42</v>
      </c>
      <c r="AE219" s="17"/>
      <c r="AF219" s="247"/>
      <c r="AG219" s="247"/>
      <c r="AH219" s="151"/>
      <c r="AI219" s="22"/>
      <c r="AJ219" s="17"/>
      <c r="AK219" s="17"/>
      <c r="AL219" s="102"/>
      <c r="AM219" s="132"/>
      <c r="AN219" s="161"/>
      <c r="AO219" s="115"/>
      <c r="AP219" s="115"/>
      <c r="AQ219" s="17"/>
      <c r="AR219" s="247"/>
      <c r="AS219" s="247"/>
      <c r="AT219" s="247"/>
      <c r="AU219" s="17"/>
      <c r="AV219" s="17"/>
      <c r="AW219" s="17"/>
      <c r="AX219" s="247"/>
      <c r="AY219" s="247"/>
      <c r="AZ219" s="247"/>
      <c r="BA219" s="17"/>
      <c r="BB219" s="52"/>
      <c r="BC219" s="17"/>
      <c r="BD219" s="202">
        <f>+(324388/45)*50</f>
        <v>360431.11111111112</v>
      </c>
      <c r="BE219" s="247">
        <f>+BD219*0.19</f>
        <v>68481.911111111112</v>
      </c>
      <c r="BF219" s="247">
        <f>+BD219+BE219</f>
        <v>428913.02222222224</v>
      </c>
      <c r="BG219" s="186" t="s">
        <v>1601</v>
      </c>
      <c r="BH219" s="184" t="s">
        <v>1605</v>
      </c>
      <c r="BI219" s="5" t="s">
        <v>1606</v>
      </c>
      <c r="BJ219" s="247"/>
      <c r="BK219" s="247"/>
      <c r="BL219" s="247"/>
      <c r="BM219" s="190"/>
      <c r="BN219" s="190"/>
      <c r="BO219" s="17"/>
      <c r="BP219" s="247">
        <v>385000</v>
      </c>
      <c r="BQ219" s="247">
        <f t="shared" si="70"/>
        <v>73150</v>
      </c>
      <c r="BR219" s="247">
        <f t="shared" si="73"/>
        <v>458150</v>
      </c>
      <c r="BS219" s="17"/>
      <c r="BT219" s="17"/>
      <c r="BU219" s="17"/>
      <c r="BV219" s="189"/>
      <c r="BW219" s="197"/>
      <c r="BX219" s="246"/>
      <c r="BY219" s="190"/>
      <c r="BZ219" s="190"/>
      <c r="CA219" s="190"/>
      <c r="CB219" s="247"/>
      <c r="CC219" s="247"/>
      <c r="CD219" s="247"/>
      <c r="CE219" s="17"/>
      <c r="CF219" s="17"/>
      <c r="CG219" s="17"/>
      <c r="CH219" s="247">
        <v>357000</v>
      </c>
      <c r="CI219" s="247">
        <f>CH219*19%</f>
        <v>67830</v>
      </c>
      <c r="CJ219" s="247">
        <f>CH219+CI219</f>
        <v>424830</v>
      </c>
      <c r="CK219" s="17"/>
      <c r="CL219" s="17"/>
      <c r="CM219" s="17"/>
      <c r="CN219" s="17"/>
      <c r="CO219" s="17"/>
      <c r="CP219" s="11"/>
      <c r="CQ219" s="11"/>
      <c r="CR219" s="11"/>
      <c r="CS219" s="11"/>
      <c r="CT219" s="247"/>
      <c r="CU219" s="247"/>
      <c r="CV219" s="247"/>
      <c r="CW219" s="11"/>
      <c r="CX219" s="11"/>
      <c r="CY219" s="11"/>
      <c r="CZ219" s="11"/>
      <c r="DA219" s="11"/>
      <c r="DB219" s="11"/>
      <c r="DC219" s="11"/>
      <c r="DD219" s="11"/>
      <c r="DE219" s="11"/>
      <c r="DF219" s="11"/>
      <c r="DG219" s="11"/>
      <c r="DH219" s="11"/>
      <c r="DI219" s="11"/>
      <c r="DJ219" s="11"/>
      <c r="DK219" s="11"/>
      <c r="DL219" s="247"/>
      <c r="DM219" s="247"/>
      <c r="DN219" s="247"/>
      <c r="DO219" s="247"/>
      <c r="DP219" s="247"/>
      <c r="DQ219" s="247"/>
      <c r="DR219" s="247"/>
      <c r="DS219" s="247"/>
      <c r="DT219" s="247"/>
      <c r="DU219" s="247"/>
      <c r="DV219" s="247"/>
      <c r="DW219" s="247"/>
      <c r="DX219" s="247"/>
      <c r="DY219" s="247"/>
      <c r="DZ219" s="247"/>
      <c r="EA219" s="247"/>
      <c r="EB219" s="247"/>
      <c r="EC219" s="247"/>
      <c r="ED219" s="17">
        <f t="shared" si="71"/>
        <v>1746005.0222222223</v>
      </c>
      <c r="EE219" s="29">
        <f t="shared" si="72"/>
        <v>4</v>
      </c>
      <c r="EF219" s="17">
        <f t="shared" si="69"/>
        <v>436501.25555555557</v>
      </c>
    </row>
    <row r="220" spans="1:136" x14ac:dyDescent="0.25">
      <c r="A220" s="25">
        <f>Distribución_Elementos!A220</f>
        <v>218</v>
      </c>
      <c r="B220" s="22" t="str">
        <f>Distribución_Elementos!B220</f>
        <v>Filtro para material particulado N95</v>
      </c>
      <c r="C220" s="22" t="str">
        <f>Distribución_Elementos!C220</f>
        <v>5N11</v>
      </c>
      <c r="D220" s="22" t="str">
        <f>Distribución_Elementos!D220</f>
        <v>Caja x 10</v>
      </c>
      <c r="E220" s="224">
        <v>1</v>
      </c>
      <c r="F220" s="221">
        <v>0</v>
      </c>
      <c r="G220" s="221">
        <v>0</v>
      </c>
      <c r="H220" s="221">
        <v>95200</v>
      </c>
      <c r="I220" s="221">
        <v>0</v>
      </c>
      <c r="J220" s="221">
        <v>239130.5</v>
      </c>
      <c r="K220" s="221">
        <v>236215</v>
      </c>
      <c r="L220" s="247">
        <f>AVERAGE(H220,J220)</f>
        <v>167165.25</v>
      </c>
      <c r="M220" s="247">
        <f>K220*E1</f>
        <v>243301.45</v>
      </c>
      <c r="N220" s="227">
        <v>320000</v>
      </c>
      <c r="O220" s="119">
        <f>+N220*0.19</f>
        <v>60800</v>
      </c>
      <c r="P220" s="119">
        <f>+N220+O220</f>
        <v>380800</v>
      </c>
      <c r="Q220" s="115"/>
      <c r="R220" s="115"/>
      <c r="S220" s="11"/>
      <c r="T220" s="247"/>
      <c r="U220" s="247"/>
      <c r="V220" s="247"/>
      <c r="W220" s="17"/>
      <c r="X220" s="11"/>
      <c r="Y220" s="11"/>
      <c r="Z220" s="247"/>
      <c r="AA220" s="247"/>
      <c r="AB220" s="247"/>
      <c r="AC220" s="44"/>
      <c r="AD220" s="22"/>
      <c r="AE220" s="17"/>
      <c r="AF220" s="247"/>
      <c r="AG220" s="247"/>
      <c r="AH220" s="151"/>
      <c r="AI220" s="22"/>
      <c r="AJ220" s="17"/>
      <c r="AK220" s="17"/>
      <c r="AL220" s="102"/>
      <c r="AM220" s="132"/>
      <c r="AN220" s="161"/>
      <c r="AO220" s="115"/>
      <c r="AP220" s="115"/>
      <c r="AQ220" s="17"/>
      <c r="AR220" s="247"/>
      <c r="AS220" s="247"/>
      <c r="AT220" s="247"/>
      <c r="AU220" s="17"/>
      <c r="AV220" s="17"/>
      <c r="AW220" s="17"/>
      <c r="AX220" s="247"/>
      <c r="AY220" s="247"/>
      <c r="AZ220" s="247"/>
      <c r="BA220" s="17"/>
      <c r="BB220" s="52"/>
      <c r="BC220" s="17"/>
      <c r="BD220" s="247"/>
      <c r="BE220" s="247"/>
      <c r="BF220" s="247"/>
      <c r="BG220" s="17"/>
      <c r="BH220" s="17"/>
      <c r="BI220" s="17"/>
      <c r="BJ220" s="247"/>
      <c r="BK220" s="247"/>
      <c r="BL220" s="247"/>
      <c r="BM220" s="190"/>
      <c r="BN220" s="190"/>
      <c r="BO220" s="17"/>
      <c r="BP220" s="247">
        <v>185200</v>
      </c>
      <c r="BQ220" s="247">
        <f t="shared" si="70"/>
        <v>35188</v>
      </c>
      <c r="BR220" s="247">
        <f t="shared" si="73"/>
        <v>220388</v>
      </c>
      <c r="BS220" s="17"/>
      <c r="BT220" s="17"/>
      <c r="BU220" s="17"/>
      <c r="BV220" s="189"/>
      <c r="BW220" s="197"/>
      <c r="BX220" s="246"/>
      <c r="BY220" s="190"/>
      <c r="BZ220" s="190"/>
      <c r="CA220" s="190"/>
      <c r="CB220" s="247"/>
      <c r="CC220" s="247"/>
      <c r="CD220" s="247"/>
      <c r="CE220" s="17"/>
      <c r="CF220" s="17"/>
      <c r="CG220" s="17"/>
      <c r="CH220" s="247"/>
      <c r="CI220" s="247"/>
      <c r="CJ220" s="247"/>
      <c r="CK220" s="17"/>
      <c r="CL220" s="17"/>
      <c r="CM220" s="17"/>
      <c r="CN220" s="17"/>
      <c r="CO220" s="17"/>
      <c r="CP220" s="11"/>
      <c r="CQ220" s="11"/>
      <c r="CR220" s="11"/>
      <c r="CS220" s="11"/>
      <c r="CT220" s="247"/>
      <c r="CU220" s="247"/>
      <c r="CV220" s="247"/>
      <c r="CW220" s="11"/>
      <c r="CX220" s="11"/>
      <c r="CY220" s="11"/>
      <c r="CZ220" s="11"/>
      <c r="DA220" s="11"/>
      <c r="DB220" s="11"/>
      <c r="DC220" s="11"/>
      <c r="DD220" s="11"/>
      <c r="DE220" s="11"/>
      <c r="DF220" s="11"/>
      <c r="DG220" s="11"/>
      <c r="DH220" s="11"/>
      <c r="DI220" s="11"/>
      <c r="DJ220" s="11"/>
      <c r="DK220" s="11"/>
      <c r="DL220" s="247"/>
      <c r="DM220" s="247"/>
      <c r="DN220" s="247"/>
      <c r="DO220" s="247"/>
      <c r="DP220" s="247"/>
      <c r="DQ220" s="247"/>
      <c r="DR220" s="247"/>
      <c r="DS220" s="247"/>
      <c r="DT220" s="247"/>
      <c r="DU220" s="247"/>
      <c r="DV220" s="247"/>
      <c r="DW220" s="247"/>
      <c r="DX220" s="247"/>
      <c r="DY220" s="247"/>
      <c r="DZ220" s="247"/>
      <c r="EA220" s="247"/>
      <c r="EB220" s="247"/>
      <c r="EC220" s="247"/>
      <c r="ED220" s="17">
        <f t="shared" si="71"/>
        <v>844489.45</v>
      </c>
      <c r="EE220" s="29">
        <f t="shared" si="72"/>
        <v>3</v>
      </c>
      <c r="EF220" s="17">
        <f t="shared" si="69"/>
        <v>281496.48333333334</v>
      </c>
    </row>
    <row r="221" spans="1:136" ht="25.5" x14ac:dyDescent="0.25">
      <c r="A221" s="25">
        <f>Distribución_Elementos!A221</f>
        <v>219</v>
      </c>
      <c r="B221" s="22" t="str">
        <f>Distribución_Elementos!B221</f>
        <v>Frasco boca ancha con rosca para tapa plástica con ajuste hermético. Capacidad 30 ml</v>
      </c>
      <c r="C221" s="22" t="str">
        <f>Distribución_Elementos!C221</f>
        <v xml:space="preserve">ED2625BR140C/ED2625BL38-400 </v>
      </c>
      <c r="D221" s="22" t="str">
        <f>Distribución_Elementos!D221</f>
        <v>Caja x 140</v>
      </c>
      <c r="E221" s="224">
        <v>1</v>
      </c>
      <c r="F221" s="221">
        <v>0</v>
      </c>
      <c r="G221" s="221">
        <v>0</v>
      </c>
      <c r="H221" s="221">
        <v>0</v>
      </c>
      <c r="I221" s="221">
        <v>0</v>
      </c>
      <c r="J221" s="221">
        <v>368900</v>
      </c>
      <c r="K221" s="221">
        <v>0</v>
      </c>
      <c r="L221" s="247">
        <f>J221</f>
        <v>368900</v>
      </c>
      <c r="M221" s="247"/>
      <c r="N221" s="227">
        <v>300000</v>
      </c>
      <c r="O221" s="119">
        <f>+N221*0.19</f>
        <v>57000</v>
      </c>
      <c r="P221" s="119">
        <f>+N221+O221</f>
        <v>357000</v>
      </c>
      <c r="Q221" s="115"/>
      <c r="R221" s="115"/>
      <c r="S221" s="11"/>
      <c r="T221" s="247"/>
      <c r="U221" s="247"/>
      <c r="V221" s="247"/>
      <c r="W221" s="17"/>
      <c r="X221" s="11"/>
      <c r="Y221" s="11"/>
      <c r="Z221" s="247"/>
      <c r="AA221" s="247"/>
      <c r="AB221" s="247"/>
      <c r="AC221" s="44"/>
      <c r="AD221" s="22"/>
      <c r="AE221" s="17"/>
      <c r="AF221" s="247"/>
      <c r="AG221" s="247"/>
      <c r="AH221" s="151"/>
      <c r="AI221" s="4"/>
      <c r="AJ221" s="17"/>
      <c r="AK221" s="17"/>
      <c r="AL221" s="102"/>
      <c r="AM221" s="132"/>
      <c r="AN221" s="132"/>
      <c r="AO221" s="115"/>
      <c r="AP221" s="115"/>
      <c r="AQ221" s="17"/>
      <c r="AR221" s="247"/>
      <c r="AS221" s="247"/>
      <c r="AT221" s="247"/>
      <c r="AU221" s="17"/>
      <c r="AV221" s="17"/>
      <c r="AW221" s="17"/>
      <c r="AX221" s="247"/>
      <c r="AY221" s="247"/>
      <c r="AZ221" s="247"/>
      <c r="BA221" s="17"/>
      <c r="BB221" s="52"/>
      <c r="BC221" s="17"/>
      <c r="BD221" s="247"/>
      <c r="BE221" s="247"/>
      <c r="BF221" s="247"/>
      <c r="BG221" s="17"/>
      <c r="BH221" s="17"/>
      <c r="BI221" s="17"/>
      <c r="BJ221" s="247"/>
      <c r="BK221" s="247"/>
      <c r="BL221" s="247"/>
      <c r="BM221" s="190"/>
      <c r="BN221" s="190"/>
      <c r="BO221" s="17"/>
      <c r="BP221" s="247"/>
      <c r="BQ221" s="247"/>
      <c r="BR221" s="247"/>
      <c r="BS221" s="17"/>
      <c r="BT221" s="17"/>
      <c r="BU221" s="17"/>
      <c r="BV221" s="189"/>
      <c r="BW221" s="197"/>
      <c r="BX221" s="246"/>
      <c r="BY221" s="190"/>
      <c r="BZ221" s="190"/>
      <c r="CA221" s="190"/>
      <c r="CB221" s="247"/>
      <c r="CC221" s="247"/>
      <c r="CD221" s="247"/>
      <c r="CE221" s="17"/>
      <c r="CF221" s="17"/>
      <c r="CG221" s="17"/>
      <c r="CH221" s="247"/>
      <c r="CI221" s="247"/>
      <c r="CJ221" s="247"/>
      <c r="CK221" s="17"/>
      <c r="CL221" s="17"/>
      <c r="CM221" s="17"/>
      <c r="CN221" s="17"/>
      <c r="CO221" s="17"/>
      <c r="CP221" s="11"/>
      <c r="CQ221" s="11"/>
      <c r="CR221" s="11"/>
      <c r="CS221" s="11"/>
      <c r="CT221" s="247"/>
      <c r="CU221" s="247"/>
      <c r="CV221" s="247"/>
      <c r="CW221" s="11"/>
      <c r="CX221" s="11"/>
      <c r="CY221" s="11"/>
      <c r="CZ221" s="11"/>
      <c r="DA221" s="11"/>
      <c r="DB221" s="11"/>
      <c r="DC221" s="11"/>
      <c r="DD221" s="11"/>
      <c r="DE221" s="11"/>
      <c r="DF221" s="11"/>
      <c r="DG221" s="11"/>
      <c r="DH221" s="11"/>
      <c r="DI221" s="11"/>
      <c r="DJ221" s="11"/>
      <c r="DK221" s="11"/>
      <c r="DL221" s="247"/>
      <c r="DM221" s="247"/>
      <c r="DN221" s="247"/>
      <c r="DO221" s="247"/>
      <c r="DP221" s="247"/>
      <c r="DQ221" s="247"/>
      <c r="DR221" s="247"/>
      <c r="DS221" s="247"/>
      <c r="DT221" s="247"/>
      <c r="DU221" s="247"/>
      <c r="DV221" s="247"/>
      <c r="DW221" s="247"/>
      <c r="DX221" s="247"/>
      <c r="DY221" s="247"/>
      <c r="DZ221" s="247"/>
      <c r="EA221" s="247"/>
      <c r="EB221" s="247"/>
      <c r="EC221" s="247"/>
      <c r="ED221" s="17">
        <f t="shared" si="71"/>
        <v>357000</v>
      </c>
      <c r="EE221" s="29">
        <f t="shared" si="72"/>
        <v>1</v>
      </c>
      <c r="EF221" s="17">
        <f t="shared" si="69"/>
        <v>357000</v>
      </c>
    </row>
    <row r="222" spans="1:136" x14ac:dyDescent="0.25">
      <c r="A222" s="25">
        <f>Distribución_Elementos!A222</f>
        <v>220</v>
      </c>
      <c r="B222" s="22" t="str">
        <f>Distribución_Elementos!B222</f>
        <v>Frasco de cuello ancho PP de 500 ml de capacidad</v>
      </c>
      <c r="C222" s="22" t="str">
        <f>Distribución_Elementos!C222</f>
        <v>Cualquier marca</v>
      </c>
      <c r="D222" s="22" t="str">
        <f>Distribución_Elementos!D222</f>
        <v>Unidad</v>
      </c>
      <c r="E222" s="224">
        <v>1</v>
      </c>
      <c r="F222" s="221">
        <v>0</v>
      </c>
      <c r="G222" s="221">
        <v>0</v>
      </c>
      <c r="H222" s="221">
        <v>16793.199712953876</v>
      </c>
      <c r="I222" s="221">
        <v>8758</v>
      </c>
      <c r="J222" s="221">
        <v>0</v>
      </c>
      <c r="K222" s="221">
        <v>0</v>
      </c>
      <c r="L222" s="247">
        <f>H222</f>
        <v>16793.199712953876</v>
      </c>
      <c r="M222" s="247">
        <f>I222*E1</f>
        <v>9020.74</v>
      </c>
      <c r="N222" s="227">
        <v>3500</v>
      </c>
      <c r="O222" s="119">
        <f t="shared" ref="O222:O235" si="74">+N222*0.19</f>
        <v>665</v>
      </c>
      <c r="P222" s="119">
        <f t="shared" ref="P222:P235" si="75">+N222+O222</f>
        <v>4165</v>
      </c>
      <c r="Q222" s="115"/>
      <c r="R222" s="115"/>
      <c r="S222" s="11"/>
      <c r="T222" s="247"/>
      <c r="U222" s="247"/>
      <c r="V222" s="247"/>
      <c r="W222" s="17"/>
      <c r="X222" s="11"/>
      <c r="Y222" s="11"/>
      <c r="Z222" s="247"/>
      <c r="AA222" s="247"/>
      <c r="AB222" s="247"/>
      <c r="AC222" s="44"/>
      <c r="AD222" s="22"/>
      <c r="AE222" s="17"/>
      <c r="AF222" s="247"/>
      <c r="AG222" s="247"/>
      <c r="AH222" s="151"/>
      <c r="AI222" s="4"/>
      <c r="AJ222" s="17"/>
      <c r="AK222" s="17"/>
      <c r="AL222" s="102"/>
      <c r="AM222" s="132"/>
      <c r="AN222" s="132"/>
      <c r="AO222" s="115"/>
      <c r="AP222" s="115"/>
      <c r="AQ222" s="17"/>
      <c r="AR222" s="247"/>
      <c r="AS222" s="247"/>
      <c r="AT222" s="247"/>
      <c r="AU222" s="17"/>
      <c r="AV222" s="17"/>
      <c r="AW222" s="17"/>
      <c r="AX222" s="247"/>
      <c r="AY222" s="247"/>
      <c r="AZ222" s="247"/>
      <c r="BA222" s="17"/>
      <c r="BB222" s="52"/>
      <c r="BC222" s="17"/>
      <c r="BD222" s="247"/>
      <c r="BE222" s="247"/>
      <c r="BF222" s="247"/>
      <c r="BG222" s="17"/>
      <c r="BH222" s="17"/>
      <c r="BI222" s="17"/>
      <c r="BJ222" s="247">
        <f>831400/50</f>
        <v>16628</v>
      </c>
      <c r="BK222" s="247">
        <f>+BJ222*0.19</f>
        <v>3159.32</v>
      </c>
      <c r="BL222" s="247">
        <f t="shared" si="68"/>
        <v>19787.32</v>
      </c>
      <c r="BM222" s="190" t="s">
        <v>1607</v>
      </c>
      <c r="BN222" s="190" t="s">
        <v>1565</v>
      </c>
      <c r="BO222" s="17"/>
      <c r="BP222" s="247">
        <v>3600</v>
      </c>
      <c r="BQ222" s="247">
        <f t="shared" si="70"/>
        <v>684</v>
      </c>
      <c r="BR222" s="247">
        <f t="shared" si="73"/>
        <v>4284</v>
      </c>
      <c r="BS222" s="17"/>
      <c r="BT222" s="17"/>
      <c r="BU222" s="17"/>
      <c r="BV222" s="195">
        <f>943855.164/50</f>
        <v>18877.103279999999</v>
      </c>
      <c r="BW222" s="195">
        <f>+BV222*0.19</f>
        <v>3586.6496232</v>
      </c>
      <c r="BX222" s="246">
        <f>+BV222+BW222</f>
        <v>22463.752903199998</v>
      </c>
      <c r="BY222" s="190" t="s">
        <v>1607</v>
      </c>
      <c r="BZ222" s="190" t="s">
        <v>1565</v>
      </c>
      <c r="CA222" s="190"/>
      <c r="CB222" s="247"/>
      <c r="CC222" s="247"/>
      <c r="CD222" s="247"/>
      <c r="CE222" s="17"/>
      <c r="CF222" s="17"/>
      <c r="CG222" s="17"/>
      <c r="CH222" s="247"/>
      <c r="CI222" s="247"/>
      <c r="CJ222" s="247"/>
      <c r="CK222" s="17"/>
      <c r="CL222" s="17"/>
      <c r="CM222" s="17"/>
      <c r="CN222" s="17"/>
      <c r="CO222" s="17"/>
      <c r="CP222" s="11"/>
      <c r="CQ222" s="11"/>
      <c r="CR222" s="11"/>
      <c r="CS222" s="11"/>
      <c r="CT222" s="247"/>
      <c r="CU222" s="247"/>
      <c r="CV222" s="247"/>
      <c r="CW222" s="11"/>
      <c r="CX222" s="11"/>
      <c r="CY222" s="11"/>
      <c r="CZ222" s="11"/>
      <c r="DA222" s="11"/>
      <c r="DB222" s="11"/>
      <c r="DC222" s="11"/>
      <c r="DD222" s="11"/>
      <c r="DE222" s="11"/>
      <c r="DF222" s="11"/>
      <c r="DG222" s="11"/>
      <c r="DH222" s="11"/>
      <c r="DI222" s="11"/>
      <c r="DJ222" s="11"/>
      <c r="DK222" s="11"/>
      <c r="DL222" s="247"/>
      <c r="DM222" s="247"/>
      <c r="DN222" s="247"/>
      <c r="DO222" s="247"/>
      <c r="DP222" s="247"/>
      <c r="DQ222" s="247"/>
      <c r="DR222" s="247"/>
      <c r="DS222" s="247"/>
      <c r="DT222" s="247"/>
      <c r="DU222" s="247"/>
      <c r="DV222" s="247"/>
      <c r="DW222" s="247"/>
      <c r="DX222" s="247"/>
      <c r="DY222" s="247"/>
      <c r="DZ222" s="247"/>
      <c r="EA222" s="247"/>
      <c r="EB222" s="247"/>
      <c r="EC222" s="247"/>
      <c r="ED222" s="17">
        <f t="shared" si="71"/>
        <v>59720.8129032</v>
      </c>
      <c r="EE222" s="29">
        <f t="shared" si="72"/>
        <v>5</v>
      </c>
      <c r="EF222" s="17">
        <f t="shared" si="69"/>
        <v>11944.162580640001</v>
      </c>
    </row>
    <row r="223" spans="1:136" ht="38.25" x14ac:dyDescent="0.25">
      <c r="A223" s="25">
        <f>Distribución_Elementos!A223</f>
        <v>221</v>
      </c>
      <c r="B223" s="22" t="str">
        <f>Distribución_Elementos!B223</f>
        <v>Frasco de cultivo celular con tapas ventiladas que incorporen filtro, plug seal,  estéril, cuello inclinado  y no pirogénica de 75 cm²</v>
      </c>
      <c r="C223" s="22" t="str">
        <f>Distribución_Elementos!C223</f>
        <v>Corning, Costar, Falcon o equivalente</v>
      </c>
      <c r="D223" s="22" t="str">
        <f>Distribución_Elementos!D223</f>
        <v>Caja x 100</v>
      </c>
      <c r="E223" s="224">
        <v>1</v>
      </c>
      <c r="F223" s="221">
        <v>1858621.3333333335</v>
      </c>
      <c r="G223" s="221">
        <v>1793568</v>
      </c>
      <c r="H223" s="221">
        <v>1423873.08</v>
      </c>
      <c r="I223" s="221">
        <v>588050</v>
      </c>
      <c r="J223" s="221">
        <v>1319281.6000000001</v>
      </c>
      <c r="K223" s="221">
        <v>1309000</v>
      </c>
      <c r="L223" s="247">
        <f>AVERAGE(F223,H223,J223)</f>
        <v>1533925.3377777778</v>
      </c>
      <c r="M223" s="247">
        <f>AVERAGE(G223,I223,K223)</f>
        <v>1230206</v>
      </c>
      <c r="N223" s="227">
        <v>1350000</v>
      </c>
      <c r="O223" s="119">
        <f t="shared" si="74"/>
        <v>256500</v>
      </c>
      <c r="P223" s="119">
        <f t="shared" si="75"/>
        <v>1606500</v>
      </c>
      <c r="Q223" s="115"/>
      <c r="R223" s="115"/>
      <c r="S223" s="11"/>
      <c r="T223" s="247"/>
      <c r="U223" s="247"/>
      <c r="V223" s="247"/>
      <c r="W223" s="17"/>
      <c r="X223" s="11"/>
      <c r="Y223" s="11"/>
      <c r="Z223" s="247">
        <v>690000</v>
      </c>
      <c r="AA223" s="247">
        <f>+Z223*0.19</f>
        <v>131100</v>
      </c>
      <c r="AB223" s="247">
        <f>+Z223+AA223</f>
        <v>821100</v>
      </c>
      <c r="AC223" s="5" t="s">
        <v>1061</v>
      </c>
      <c r="AD223" s="22" t="s">
        <v>1579</v>
      </c>
      <c r="AE223" s="17"/>
      <c r="AF223" s="247"/>
      <c r="AG223" s="247"/>
      <c r="AH223" s="149"/>
      <c r="AI223" s="4"/>
      <c r="AJ223" s="17"/>
      <c r="AK223" s="17"/>
      <c r="AL223" s="102"/>
      <c r="AM223" s="132"/>
      <c r="AN223" s="161"/>
      <c r="AO223" s="115"/>
      <c r="AP223" s="115"/>
      <c r="AQ223" s="17"/>
      <c r="AR223" s="247"/>
      <c r="AS223" s="247"/>
      <c r="AT223" s="247"/>
      <c r="AU223" s="17"/>
      <c r="AV223" s="17"/>
      <c r="AW223" s="17"/>
      <c r="AX223" s="247"/>
      <c r="AY223" s="247"/>
      <c r="AZ223" s="247"/>
      <c r="BA223" s="17"/>
      <c r="BB223" s="52"/>
      <c r="BC223" s="17"/>
      <c r="BD223" s="247"/>
      <c r="BE223" s="247"/>
      <c r="BF223" s="247"/>
      <c r="BG223" s="17"/>
      <c r="BH223" s="17"/>
      <c r="BI223" s="17"/>
      <c r="BJ223" s="247">
        <v>2050000</v>
      </c>
      <c r="BK223" s="247">
        <f>+BJ223*0.19</f>
        <v>389500</v>
      </c>
      <c r="BL223" s="247">
        <f t="shared" si="68"/>
        <v>2439500</v>
      </c>
      <c r="BM223" s="190" t="s">
        <v>1608</v>
      </c>
      <c r="BN223" s="190" t="s">
        <v>1609</v>
      </c>
      <c r="BO223" s="17"/>
      <c r="BP223" s="247">
        <v>1352000</v>
      </c>
      <c r="BQ223" s="247">
        <f t="shared" si="70"/>
        <v>256880</v>
      </c>
      <c r="BR223" s="247">
        <f t="shared" si="73"/>
        <v>1608880</v>
      </c>
      <c r="BS223" s="17"/>
      <c r="BT223" s="17"/>
      <c r="BU223" s="17"/>
      <c r="BV223" s="195"/>
      <c r="BW223" s="195"/>
      <c r="BX223" s="246"/>
      <c r="BY223" s="190"/>
      <c r="BZ223" s="190"/>
      <c r="CA223" s="190"/>
      <c r="CB223" s="247"/>
      <c r="CC223" s="247"/>
      <c r="CD223" s="247"/>
      <c r="CE223" s="17"/>
      <c r="CF223" s="17"/>
      <c r="CG223" s="17"/>
      <c r="CH223" s="247"/>
      <c r="CI223" s="247"/>
      <c r="CJ223" s="247"/>
      <c r="CK223" s="17"/>
      <c r="CL223" s="17"/>
      <c r="CM223" s="17"/>
      <c r="CN223" s="17"/>
      <c r="CO223" s="17"/>
      <c r="CP223" s="11"/>
      <c r="CQ223" s="11"/>
      <c r="CR223" s="11"/>
      <c r="CS223" s="11"/>
      <c r="CT223" s="247"/>
      <c r="CU223" s="247"/>
      <c r="CV223" s="247"/>
      <c r="CW223" s="11"/>
      <c r="CX223" s="11"/>
      <c r="CY223" s="11"/>
      <c r="CZ223" s="11"/>
      <c r="DA223" s="11"/>
      <c r="DB223" s="11"/>
      <c r="DC223" s="11"/>
      <c r="DD223" s="11"/>
      <c r="DE223" s="11"/>
      <c r="DF223" s="11"/>
      <c r="DG223" s="11"/>
      <c r="DH223" s="11"/>
      <c r="DI223" s="11"/>
      <c r="DJ223" s="11"/>
      <c r="DK223" s="11"/>
      <c r="DL223" s="247"/>
      <c r="DM223" s="247"/>
      <c r="DN223" s="247"/>
      <c r="DO223" s="247"/>
      <c r="DP223" s="247"/>
      <c r="DQ223" s="247"/>
      <c r="DR223" s="247"/>
      <c r="DS223" s="247"/>
      <c r="DT223" s="247"/>
      <c r="DU223" s="247"/>
      <c r="DV223" s="247"/>
      <c r="DW223" s="247"/>
      <c r="DX223" s="247"/>
      <c r="DY223" s="247"/>
      <c r="DZ223" s="247"/>
      <c r="EA223" s="247"/>
      <c r="EB223" s="247"/>
      <c r="EC223" s="247"/>
      <c r="ED223" s="17">
        <f t="shared" si="71"/>
        <v>7706186</v>
      </c>
      <c r="EE223" s="29">
        <f t="shared" si="72"/>
        <v>5</v>
      </c>
      <c r="EF223" s="17">
        <f t="shared" si="69"/>
        <v>1541237.2</v>
      </c>
    </row>
    <row r="224" spans="1:136" ht="63.75" x14ac:dyDescent="0.25">
      <c r="A224" s="25">
        <f>Distribución_Elementos!A224</f>
        <v>222</v>
      </c>
      <c r="B224" s="22" t="str">
        <f>Distribución_Elementos!B224</f>
        <v>Frasco de vidrio ámbar de 100 ml tapa rosca con graduación, resistente a esterilización con autoclave y anillo de vertido en PP. Vidrio borosilicato 3.3, impresión en cerámica, que cumpla con las normas DIN12331:1998/ISO 3819:1985 e ISO4796-1:2000</v>
      </c>
      <c r="C224" s="22" t="str">
        <f>Distribución_Elementos!C224</f>
        <v xml:space="preserve">Pyrex , Corning, Kymax, Brand, Duran, Schott o equivalente </v>
      </c>
      <c r="D224" s="22" t="str">
        <f>Distribución_Elementos!D224</f>
        <v>Unidad</v>
      </c>
      <c r="E224" s="224">
        <v>1</v>
      </c>
      <c r="F224" s="221">
        <v>36771</v>
      </c>
      <c r="G224" s="221">
        <v>36176</v>
      </c>
      <c r="H224" s="221">
        <v>74766.543866535823</v>
      </c>
      <c r="I224" s="221">
        <v>74732</v>
      </c>
      <c r="J224" s="221">
        <v>0</v>
      </c>
      <c r="K224" s="221">
        <v>0</v>
      </c>
      <c r="L224" s="247">
        <f>AVERAGE(F224,H224)</f>
        <v>55768.771933267912</v>
      </c>
      <c r="M224" s="247">
        <f>AVERAGE(G224,I224)*E1</f>
        <v>57117.62</v>
      </c>
      <c r="N224" s="227">
        <v>55000</v>
      </c>
      <c r="O224" s="119">
        <f t="shared" si="74"/>
        <v>10450</v>
      </c>
      <c r="P224" s="119">
        <f t="shared" si="75"/>
        <v>65450</v>
      </c>
      <c r="Q224" s="115"/>
      <c r="R224" s="115"/>
      <c r="S224" s="11"/>
      <c r="T224" s="247">
        <v>49500.000000000007</v>
      </c>
      <c r="U224" s="247">
        <f t="shared" ref="U224:U235" si="76">+T224*0.19</f>
        <v>9405.0000000000018</v>
      </c>
      <c r="V224" s="247">
        <f>+T224+U224</f>
        <v>58905.000000000007</v>
      </c>
      <c r="W224" s="17" t="s">
        <v>1523</v>
      </c>
      <c r="X224" s="11" t="s">
        <v>1514</v>
      </c>
      <c r="Y224" s="11"/>
      <c r="Z224" s="247"/>
      <c r="AA224" s="247"/>
      <c r="AB224" s="247"/>
      <c r="AC224" s="5"/>
      <c r="AD224" s="22"/>
      <c r="AE224" s="17"/>
      <c r="AF224" s="102">
        <v>70537.200000000012</v>
      </c>
      <c r="AG224" s="102">
        <f>+AF224*0.19</f>
        <v>13402.068000000003</v>
      </c>
      <c r="AH224" s="150">
        <f>+AF224+AG224</f>
        <v>83939.268000000011</v>
      </c>
      <c r="AI224" s="44" t="s">
        <v>140</v>
      </c>
      <c r="AJ224" s="44" t="s">
        <v>1508</v>
      </c>
      <c r="AK224" s="17"/>
      <c r="AL224" s="102"/>
      <c r="AM224" s="132"/>
      <c r="AN224" s="161"/>
      <c r="AO224" s="115"/>
      <c r="AP224" s="115"/>
      <c r="AQ224" s="17"/>
      <c r="AR224" s="247"/>
      <c r="AS224" s="247"/>
      <c r="AT224" s="247"/>
      <c r="AU224" s="17"/>
      <c r="AV224" s="17"/>
      <c r="AW224" s="17"/>
      <c r="AX224" s="247"/>
      <c r="AY224" s="247"/>
      <c r="AZ224" s="247"/>
      <c r="BA224" s="17"/>
      <c r="BB224" s="52"/>
      <c r="BC224" s="17"/>
      <c r="BD224" s="247"/>
      <c r="BE224" s="247"/>
      <c r="BF224" s="247"/>
      <c r="BG224" s="17"/>
      <c r="BH224" s="17"/>
      <c r="BI224" s="17"/>
      <c r="BJ224" s="247">
        <v>155300</v>
      </c>
      <c r="BK224" s="247">
        <f>+BJ224*0.19</f>
        <v>29507</v>
      </c>
      <c r="BL224" s="247">
        <f t="shared" si="68"/>
        <v>184807</v>
      </c>
      <c r="BM224" s="191" t="s">
        <v>140</v>
      </c>
      <c r="BN224" s="190" t="s">
        <v>1592</v>
      </c>
      <c r="BO224" s="17"/>
      <c r="BP224" s="247"/>
      <c r="BQ224" s="247"/>
      <c r="BR224" s="247"/>
      <c r="BS224" s="17"/>
      <c r="BT224" s="17"/>
      <c r="BU224" s="17"/>
      <c r="BV224" s="195">
        <v>179569.04160000003</v>
      </c>
      <c r="BW224" s="195">
        <f>+BV224*0.19</f>
        <v>34118.117904000006</v>
      </c>
      <c r="BX224" s="246">
        <f>+BV224+BW224</f>
        <v>213687.15950400004</v>
      </c>
      <c r="BY224" s="191" t="s">
        <v>140</v>
      </c>
      <c r="BZ224" s="190" t="s">
        <v>1592</v>
      </c>
      <c r="CA224" s="190"/>
      <c r="CB224" s="247"/>
      <c r="CC224" s="247"/>
      <c r="CD224" s="247"/>
      <c r="CE224" s="17"/>
      <c r="CF224" s="17"/>
      <c r="CG224" s="17"/>
      <c r="CH224" s="247"/>
      <c r="CI224" s="247"/>
      <c r="CJ224" s="247"/>
      <c r="CK224" s="17"/>
      <c r="CL224" s="17"/>
      <c r="CM224" s="17"/>
      <c r="CN224" s="17"/>
      <c r="CO224" s="17"/>
      <c r="CP224" s="11"/>
      <c r="CQ224" s="11"/>
      <c r="CR224" s="11"/>
      <c r="CS224" s="11"/>
      <c r="CT224" s="247"/>
      <c r="CU224" s="247"/>
      <c r="CV224" s="247"/>
      <c r="CW224" s="11"/>
      <c r="CX224" s="11"/>
      <c r="CY224" s="11"/>
      <c r="CZ224" s="11"/>
      <c r="DA224" s="11"/>
      <c r="DB224" s="11"/>
      <c r="DC224" s="11"/>
      <c r="DD224" s="11"/>
      <c r="DE224" s="11"/>
      <c r="DF224" s="11"/>
      <c r="DG224" s="11"/>
      <c r="DH224" s="11"/>
      <c r="DI224" s="11"/>
      <c r="DJ224" s="11"/>
      <c r="DK224" s="11"/>
      <c r="DL224" s="247"/>
      <c r="DM224" s="247"/>
      <c r="DN224" s="247"/>
      <c r="DO224" s="247"/>
      <c r="DP224" s="247"/>
      <c r="DQ224" s="247"/>
      <c r="DR224" s="247"/>
      <c r="DS224" s="247"/>
      <c r="DT224" s="247"/>
      <c r="DU224" s="247"/>
      <c r="DV224" s="247"/>
      <c r="DW224" s="247"/>
      <c r="DX224" s="247"/>
      <c r="DY224" s="247"/>
      <c r="DZ224" s="247"/>
      <c r="EA224" s="247"/>
      <c r="EB224" s="247"/>
      <c r="EC224" s="247"/>
      <c r="ED224" s="17">
        <f t="shared" si="71"/>
        <v>663906.04750400013</v>
      </c>
      <c r="EE224" s="29">
        <f t="shared" si="72"/>
        <v>6</v>
      </c>
      <c r="EF224" s="17">
        <f t="shared" si="69"/>
        <v>110651.00791733335</v>
      </c>
    </row>
    <row r="225" spans="1:136" ht="38.25" x14ac:dyDescent="0.25">
      <c r="A225" s="25">
        <f>Distribución_Elementos!A225</f>
        <v>223</v>
      </c>
      <c r="B225" s="22" t="str">
        <f>Distribución_Elementos!B225</f>
        <v xml:space="preserve">Frasco de vidrio ambar de 1000 ml tapa rosca con graduación, resistente a esterilización con autoclave y anillo de vertido en PP. </v>
      </c>
      <c r="C225" s="22" t="str">
        <f>Distribución_Elementos!C225</f>
        <v xml:space="preserve">Pyrex , Corning, Kymax, Brand, Duran, Schott o equivalente </v>
      </c>
      <c r="D225" s="22" t="str">
        <f>Distribución_Elementos!D225</f>
        <v>Unidad</v>
      </c>
      <c r="E225" s="224">
        <v>1</v>
      </c>
      <c r="F225" s="221">
        <v>0</v>
      </c>
      <c r="G225" s="221">
        <v>0</v>
      </c>
      <c r="H225" s="221">
        <v>0</v>
      </c>
      <c r="I225" s="221">
        <v>0</v>
      </c>
      <c r="J225" s="221">
        <v>78153.443999999989</v>
      </c>
      <c r="K225" s="221">
        <v>78064</v>
      </c>
      <c r="L225" s="247">
        <f>J225</f>
        <v>78153.443999999989</v>
      </c>
      <c r="M225" s="247">
        <f>K225*E1</f>
        <v>80405.919999999998</v>
      </c>
      <c r="N225" s="227">
        <v>100000</v>
      </c>
      <c r="O225" s="119">
        <f t="shared" si="74"/>
        <v>19000</v>
      </c>
      <c r="P225" s="119">
        <f t="shared" si="75"/>
        <v>119000</v>
      </c>
      <c r="Q225" s="115"/>
      <c r="R225" s="115"/>
      <c r="S225" s="11"/>
      <c r="T225" s="247">
        <v>103400.00000000001</v>
      </c>
      <c r="U225" s="247">
        <f t="shared" si="76"/>
        <v>19646.000000000004</v>
      </c>
      <c r="V225" s="247">
        <f>+T225+U225</f>
        <v>123046.00000000001</v>
      </c>
      <c r="W225" s="17" t="s">
        <v>1523</v>
      </c>
      <c r="X225" s="11" t="s">
        <v>1514</v>
      </c>
      <c r="Y225" s="11"/>
      <c r="Z225" s="247"/>
      <c r="AA225" s="247"/>
      <c r="AB225" s="247"/>
      <c r="AC225" s="5"/>
      <c r="AD225" s="22"/>
      <c r="AE225" s="17"/>
      <c r="AF225" s="102">
        <v>128097.00000000001</v>
      </c>
      <c r="AG225" s="102">
        <f>+AF225*0.19</f>
        <v>24338.430000000004</v>
      </c>
      <c r="AH225" s="150">
        <f>+AF225+AG225</f>
        <v>152435.43000000002</v>
      </c>
      <c r="AI225" s="44" t="s">
        <v>140</v>
      </c>
      <c r="AJ225" s="44" t="s">
        <v>1508</v>
      </c>
      <c r="AK225" s="17"/>
      <c r="AL225" s="102"/>
      <c r="AM225" s="132"/>
      <c r="AN225" s="161"/>
      <c r="AO225" s="115"/>
      <c r="AP225" s="115"/>
      <c r="AQ225" s="17"/>
      <c r="AR225" s="247"/>
      <c r="AS225" s="247"/>
      <c r="AT225" s="247"/>
      <c r="AU225" s="17"/>
      <c r="AV225" s="17"/>
      <c r="AW225" s="17"/>
      <c r="AX225" s="247"/>
      <c r="AY225" s="247"/>
      <c r="AZ225" s="247"/>
      <c r="BA225" s="17"/>
      <c r="BB225" s="52"/>
      <c r="BC225" s="17"/>
      <c r="BD225" s="247"/>
      <c r="BE225" s="247"/>
      <c r="BF225" s="247"/>
      <c r="BG225" s="17"/>
      <c r="BH225" s="17"/>
      <c r="BI225" s="17"/>
      <c r="BJ225" s="247">
        <v>213500</v>
      </c>
      <c r="BK225" s="247">
        <f>+BJ225*0.19</f>
        <v>40565</v>
      </c>
      <c r="BL225" s="247">
        <f t="shared" si="68"/>
        <v>254065</v>
      </c>
      <c r="BM225" s="191" t="s">
        <v>140</v>
      </c>
      <c r="BN225" s="190" t="s">
        <v>1592</v>
      </c>
      <c r="BO225" s="17"/>
      <c r="BP225" s="247"/>
      <c r="BQ225" s="247"/>
      <c r="BR225" s="247"/>
      <c r="BS225" s="17"/>
      <c r="BT225" s="17"/>
      <c r="BU225" s="17"/>
      <c r="BV225" s="195">
        <v>233209.2525</v>
      </c>
      <c r="BW225" s="195">
        <f>+BV225*0.19</f>
        <v>44309.757975</v>
      </c>
      <c r="BX225" s="246">
        <f>+BV225+BW225</f>
        <v>277519.01047500002</v>
      </c>
      <c r="BY225" s="191" t="s">
        <v>140</v>
      </c>
      <c r="BZ225" s="190" t="s">
        <v>1592</v>
      </c>
      <c r="CA225" s="190"/>
      <c r="CB225" s="247"/>
      <c r="CC225" s="247"/>
      <c r="CD225" s="247"/>
      <c r="CE225" s="17"/>
      <c r="CF225" s="17"/>
      <c r="CG225" s="17"/>
      <c r="CH225" s="247"/>
      <c r="CI225" s="247"/>
      <c r="CJ225" s="247"/>
      <c r="CK225" s="17"/>
      <c r="CL225" s="17"/>
      <c r="CM225" s="17"/>
      <c r="CN225" s="17"/>
      <c r="CO225" s="17"/>
      <c r="CP225" s="11"/>
      <c r="CQ225" s="11"/>
      <c r="CR225" s="11"/>
      <c r="CS225" s="11"/>
      <c r="CT225" s="247"/>
      <c r="CU225" s="247"/>
      <c r="CV225" s="247"/>
      <c r="CW225" s="11"/>
      <c r="CX225" s="11"/>
      <c r="CY225" s="11"/>
      <c r="CZ225" s="11"/>
      <c r="DA225" s="11"/>
      <c r="DB225" s="11"/>
      <c r="DC225" s="11"/>
      <c r="DD225" s="11"/>
      <c r="DE225" s="11"/>
      <c r="DF225" s="11"/>
      <c r="DG225" s="11"/>
      <c r="DH225" s="11"/>
      <c r="DI225" s="11"/>
      <c r="DJ225" s="11"/>
      <c r="DK225" s="11"/>
      <c r="DL225" s="247"/>
      <c r="DM225" s="247"/>
      <c r="DN225" s="247"/>
      <c r="DO225" s="247"/>
      <c r="DP225" s="247"/>
      <c r="DQ225" s="247"/>
      <c r="DR225" s="247"/>
      <c r="DS225" s="247"/>
      <c r="DT225" s="247"/>
      <c r="DU225" s="247"/>
      <c r="DV225" s="247"/>
      <c r="DW225" s="247"/>
      <c r="DX225" s="247"/>
      <c r="DY225" s="247"/>
      <c r="DZ225" s="247"/>
      <c r="EA225" s="247"/>
      <c r="EB225" s="247"/>
      <c r="EC225" s="247"/>
      <c r="ED225" s="17">
        <f t="shared" si="71"/>
        <v>1006471.360475</v>
      </c>
      <c r="EE225" s="29">
        <f t="shared" si="72"/>
        <v>6</v>
      </c>
      <c r="EF225" s="17">
        <f t="shared" si="69"/>
        <v>167745.22674583332</v>
      </c>
    </row>
    <row r="226" spans="1:136" ht="63.75" x14ac:dyDescent="0.25">
      <c r="A226" s="25">
        <f>Distribución_Elementos!A226</f>
        <v>224</v>
      </c>
      <c r="B226" s="22" t="str">
        <f>Distribución_Elementos!B226</f>
        <v>Frasco de vidrio ámbar de 25 ml tapa rosca con graduación,  resistente a esterilización con autoclave y anillo de vertido en PP. Vidrio borosilicato 3.3, impresión en cerámica, que cumpla con las normas DIN12331:1998/ISO 3819:1985 e ISO4796-1:2000 o USP Tipo I y ASTM E438, Tipo I.</v>
      </c>
      <c r="C226" s="22" t="str">
        <f>Distribución_Elementos!C226</f>
        <v xml:space="preserve">Pyrex , Corning, Kymax, Brand, Duran, Schott o equivalente </v>
      </c>
      <c r="D226" s="22" t="str">
        <f>Distribución_Elementos!D226</f>
        <v>Unidad</v>
      </c>
      <c r="E226" s="224">
        <v>1</v>
      </c>
      <c r="F226" s="221">
        <v>0</v>
      </c>
      <c r="G226" s="221">
        <v>0</v>
      </c>
      <c r="H226" s="221">
        <v>0</v>
      </c>
      <c r="I226" s="221">
        <v>0</v>
      </c>
      <c r="J226" s="221">
        <v>0</v>
      </c>
      <c r="K226" s="221">
        <v>0</v>
      </c>
      <c r="L226" s="247"/>
      <c r="M226" s="247"/>
      <c r="N226" s="227">
        <v>50000</v>
      </c>
      <c r="O226" s="119">
        <f t="shared" si="74"/>
        <v>9500</v>
      </c>
      <c r="P226" s="119">
        <f t="shared" si="75"/>
        <v>59500</v>
      </c>
      <c r="Q226" s="115"/>
      <c r="R226" s="115"/>
      <c r="S226" s="11"/>
      <c r="T226" s="247"/>
      <c r="U226" s="247"/>
      <c r="V226" s="247"/>
      <c r="W226" s="17"/>
      <c r="X226" s="11"/>
      <c r="Y226" s="11"/>
      <c r="Z226" s="247"/>
      <c r="AA226" s="247"/>
      <c r="AB226" s="247"/>
      <c r="AC226" s="5"/>
      <c r="AD226" s="22"/>
      <c r="AE226" s="17"/>
      <c r="AF226" s="102">
        <v>56785.80000000001</v>
      </c>
      <c r="AG226" s="102">
        <f>+AF226*0.19</f>
        <v>10789.302000000001</v>
      </c>
      <c r="AH226" s="150">
        <f>+AF226+AG226</f>
        <v>67575.102000000014</v>
      </c>
      <c r="AI226" s="44" t="s">
        <v>140</v>
      </c>
      <c r="AJ226" s="44" t="s">
        <v>1508</v>
      </c>
      <c r="AK226" s="17"/>
      <c r="AL226" s="102"/>
      <c r="AM226" s="132"/>
      <c r="AN226" s="161"/>
      <c r="AO226" s="115"/>
      <c r="AP226" s="115"/>
      <c r="AQ226" s="17"/>
      <c r="AR226" s="247"/>
      <c r="AS226" s="247"/>
      <c r="AT226" s="247"/>
      <c r="AU226" s="17"/>
      <c r="AV226" s="17"/>
      <c r="AW226" s="17"/>
      <c r="AX226" s="247"/>
      <c r="AY226" s="247"/>
      <c r="AZ226" s="247"/>
      <c r="BA226" s="17"/>
      <c r="BB226" s="52"/>
      <c r="BC226" s="17"/>
      <c r="BD226" s="247"/>
      <c r="BE226" s="247"/>
      <c r="BF226" s="247"/>
      <c r="BG226" s="17"/>
      <c r="BH226" s="17"/>
      <c r="BI226" s="17"/>
      <c r="BJ226" s="247"/>
      <c r="BK226" s="247"/>
      <c r="BL226" s="247"/>
      <c r="BM226" s="190"/>
      <c r="BN226" s="190"/>
      <c r="BO226" s="17"/>
      <c r="BP226" s="247"/>
      <c r="BQ226" s="247"/>
      <c r="BR226" s="247"/>
      <c r="BS226" s="17"/>
      <c r="BT226" s="17"/>
      <c r="BU226" s="17"/>
      <c r="BV226" s="189"/>
      <c r="BW226" s="197"/>
      <c r="BX226" s="246"/>
      <c r="BY226" s="190"/>
      <c r="BZ226" s="190"/>
      <c r="CA226" s="190"/>
      <c r="CB226" s="247"/>
      <c r="CC226" s="247"/>
      <c r="CD226" s="247"/>
      <c r="CE226" s="17"/>
      <c r="CF226" s="17"/>
      <c r="CG226" s="17"/>
      <c r="CH226" s="247"/>
      <c r="CI226" s="247"/>
      <c r="CJ226" s="247"/>
      <c r="CK226" s="17"/>
      <c r="CL226" s="17"/>
      <c r="CM226" s="17"/>
      <c r="CN226" s="17"/>
      <c r="CO226" s="17"/>
      <c r="CP226" s="11"/>
      <c r="CQ226" s="11"/>
      <c r="CR226" s="11"/>
      <c r="CS226" s="11"/>
      <c r="CT226" s="247"/>
      <c r="CU226" s="247"/>
      <c r="CV226" s="247"/>
      <c r="CW226" s="11"/>
      <c r="CX226" s="11"/>
      <c r="CY226" s="11"/>
      <c r="CZ226" s="11"/>
      <c r="DA226" s="11"/>
      <c r="DB226" s="11"/>
      <c r="DC226" s="11"/>
      <c r="DD226" s="11"/>
      <c r="DE226" s="11"/>
      <c r="DF226" s="11"/>
      <c r="DG226" s="11"/>
      <c r="DH226" s="11"/>
      <c r="DI226" s="11"/>
      <c r="DJ226" s="11"/>
      <c r="DK226" s="11"/>
      <c r="DL226" s="247"/>
      <c r="DM226" s="247"/>
      <c r="DN226" s="247"/>
      <c r="DO226" s="247"/>
      <c r="DP226" s="247"/>
      <c r="DQ226" s="247"/>
      <c r="DR226" s="247"/>
      <c r="DS226" s="247"/>
      <c r="DT226" s="247"/>
      <c r="DU226" s="247"/>
      <c r="DV226" s="247"/>
      <c r="DW226" s="247"/>
      <c r="DX226" s="247"/>
      <c r="DY226" s="247"/>
      <c r="DZ226" s="247"/>
      <c r="EA226" s="247"/>
      <c r="EB226" s="247"/>
      <c r="EC226" s="247"/>
      <c r="ED226" s="17">
        <f t="shared" si="71"/>
        <v>127075.10200000001</v>
      </c>
      <c r="EE226" s="29">
        <f t="shared" si="72"/>
        <v>2</v>
      </c>
      <c r="EF226" s="17">
        <f t="shared" si="69"/>
        <v>63537.551000000007</v>
      </c>
    </row>
    <row r="227" spans="1:136" ht="63.75" x14ac:dyDescent="0.25">
      <c r="A227" s="25">
        <f>Distribución_Elementos!A227</f>
        <v>225</v>
      </c>
      <c r="B227" s="22" t="str">
        <f>Distribución_Elementos!B227</f>
        <v>Frasco de vidrio ámbar de 500 ml tapa rosca con graduación, resistente a esterilización con autoclave y anillo de vertido en PP. Vidrio borosilicato 3.3, impresión en cerámica, que cumpla con las normas DIN12331:1998/ISO 3819:1985 e ISO4796-1:2000 o USP Tipo I y ASTM E438, Tipo I.</v>
      </c>
      <c r="C227" s="22" t="str">
        <f>Distribución_Elementos!C227</f>
        <v xml:space="preserve">Pyrex , Corning, Kymax, Brand, Duran, Schott o equivalente </v>
      </c>
      <c r="D227" s="22" t="str">
        <f>Distribución_Elementos!D227</f>
        <v>Unidad</v>
      </c>
      <c r="E227" s="224">
        <v>1</v>
      </c>
      <c r="F227" s="221">
        <v>0</v>
      </c>
      <c r="G227" s="221">
        <v>0</v>
      </c>
      <c r="H227" s="221">
        <v>0</v>
      </c>
      <c r="I227" s="221">
        <v>0</v>
      </c>
      <c r="J227" s="221">
        <v>0</v>
      </c>
      <c r="K227" s="221">
        <v>0</v>
      </c>
      <c r="L227" s="247"/>
      <c r="M227" s="247"/>
      <c r="N227" s="227">
        <v>90000</v>
      </c>
      <c r="O227" s="119">
        <f t="shared" si="74"/>
        <v>17100</v>
      </c>
      <c r="P227" s="119">
        <f t="shared" si="75"/>
        <v>107100</v>
      </c>
      <c r="Q227" s="115"/>
      <c r="R227" s="115"/>
      <c r="S227" s="11"/>
      <c r="T227" s="247">
        <v>75900</v>
      </c>
      <c r="U227" s="247">
        <f t="shared" si="76"/>
        <v>14421</v>
      </c>
      <c r="V227" s="247">
        <f>+T227+U227</f>
        <v>90321</v>
      </c>
      <c r="W227" s="17" t="s">
        <v>1523</v>
      </c>
      <c r="X227" s="11" t="s">
        <v>1514</v>
      </c>
      <c r="Y227" s="11"/>
      <c r="Z227" s="247"/>
      <c r="AA227" s="247"/>
      <c r="AB227" s="247"/>
      <c r="AC227" s="5"/>
      <c r="AD227" s="22"/>
      <c r="AE227" s="17"/>
      <c r="AF227" s="102">
        <v>91125.60000000002</v>
      </c>
      <c r="AG227" s="102">
        <f>+AF227*0.19</f>
        <v>17313.864000000005</v>
      </c>
      <c r="AH227" s="150">
        <f>+AF227+AG227</f>
        <v>108439.46400000002</v>
      </c>
      <c r="AI227" s="44" t="s">
        <v>140</v>
      </c>
      <c r="AJ227" s="44" t="s">
        <v>1508</v>
      </c>
      <c r="AK227" s="17"/>
      <c r="AL227" s="102"/>
      <c r="AM227" s="132"/>
      <c r="AN227" s="161"/>
      <c r="AO227" s="115"/>
      <c r="AP227" s="115"/>
      <c r="AQ227" s="17"/>
      <c r="AR227" s="247"/>
      <c r="AS227" s="247"/>
      <c r="AT227" s="247"/>
      <c r="AU227" s="17"/>
      <c r="AV227" s="17"/>
      <c r="AW227" s="17"/>
      <c r="AX227" s="247"/>
      <c r="AY227" s="247"/>
      <c r="AZ227" s="247"/>
      <c r="BA227" s="17"/>
      <c r="BB227" s="52"/>
      <c r="BC227" s="17"/>
      <c r="BD227" s="247"/>
      <c r="BE227" s="247"/>
      <c r="BF227" s="247"/>
      <c r="BG227" s="17"/>
      <c r="BH227" s="17"/>
      <c r="BI227" s="17"/>
      <c r="BJ227" s="247">
        <v>175000</v>
      </c>
      <c r="BK227" s="247">
        <f>+BJ227*0.19</f>
        <v>33250</v>
      </c>
      <c r="BL227" s="247">
        <f t="shared" si="68"/>
        <v>208250</v>
      </c>
      <c r="BM227" s="191" t="s">
        <v>140</v>
      </c>
      <c r="BN227" s="190" t="s">
        <v>1592</v>
      </c>
      <c r="BO227" s="17"/>
      <c r="BP227" s="247"/>
      <c r="BQ227" s="247"/>
      <c r="BR227" s="247"/>
      <c r="BS227" s="17"/>
      <c r="BT227" s="17"/>
      <c r="BU227" s="17"/>
      <c r="BV227" s="195">
        <v>189352.80000000002</v>
      </c>
      <c r="BW227" s="195">
        <f>+BV227*0.19</f>
        <v>35977.032000000007</v>
      </c>
      <c r="BX227" s="246">
        <f>+BV227+BW227</f>
        <v>225329.83200000002</v>
      </c>
      <c r="BY227" s="191" t="s">
        <v>140</v>
      </c>
      <c r="BZ227" s="190" t="s">
        <v>1592</v>
      </c>
      <c r="CA227" s="190"/>
      <c r="CB227" s="247"/>
      <c r="CC227" s="247"/>
      <c r="CD227" s="247"/>
      <c r="CE227" s="17"/>
      <c r="CF227" s="17"/>
      <c r="CG227" s="17"/>
      <c r="CH227" s="247"/>
      <c r="CI227" s="247"/>
      <c r="CJ227" s="247"/>
      <c r="CK227" s="17"/>
      <c r="CL227" s="17"/>
      <c r="CM227" s="17"/>
      <c r="CN227" s="17"/>
      <c r="CO227" s="17"/>
      <c r="CP227" s="11"/>
      <c r="CQ227" s="11"/>
      <c r="CR227" s="11"/>
      <c r="CS227" s="11"/>
      <c r="CT227" s="247"/>
      <c r="CU227" s="247"/>
      <c r="CV227" s="247"/>
      <c r="CW227" s="11"/>
      <c r="CX227" s="11"/>
      <c r="CY227" s="11"/>
      <c r="CZ227" s="11"/>
      <c r="DA227" s="11"/>
      <c r="DB227" s="11"/>
      <c r="DC227" s="11"/>
      <c r="DD227" s="11"/>
      <c r="DE227" s="11"/>
      <c r="DF227" s="11"/>
      <c r="DG227" s="11"/>
      <c r="DH227" s="11"/>
      <c r="DI227" s="11"/>
      <c r="DJ227" s="11"/>
      <c r="DK227" s="11"/>
      <c r="DL227" s="247"/>
      <c r="DM227" s="247"/>
      <c r="DN227" s="247"/>
      <c r="DO227" s="247"/>
      <c r="DP227" s="247"/>
      <c r="DQ227" s="247"/>
      <c r="DR227" s="247"/>
      <c r="DS227" s="247"/>
      <c r="DT227" s="247"/>
      <c r="DU227" s="247"/>
      <c r="DV227" s="247"/>
      <c r="DW227" s="247"/>
      <c r="DX227" s="247"/>
      <c r="DY227" s="247"/>
      <c r="DZ227" s="247"/>
      <c r="EA227" s="247"/>
      <c r="EB227" s="247"/>
      <c r="EC227" s="247"/>
      <c r="ED227" s="17">
        <f t="shared" si="71"/>
        <v>739440.29600000009</v>
      </c>
      <c r="EE227" s="29">
        <f t="shared" si="72"/>
        <v>5</v>
      </c>
      <c r="EF227" s="17">
        <f t="shared" si="69"/>
        <v>147888.05920000002</v>
      </c>
    </row>
    <row r="228" spans="1:136" ht="38.25" x14ac:dyDescent="0.25">
      <c r="A228" s="25">
        <f>Distribución_Elementos!A228</f>
        <v>226</v>
      </c>
      <c r="B228" s="22" t="str">
        <f>Distribución_Elementos!B228</f>
        <v>Frasco de vidrio borosilicato ambar  tapa rosca 2000mL</v>
      </c>
      <c r="C228" s="22" t="str">
        <f>Distribución_Elementos!C228</f>
        <v xml:space="preserve">Pyrex , Corning, Kymax, Brand, Duran, Schott o equivalente </v>
      </c>
      <c r="D228" s="22" t="str">
        <f>Distribución_Elementos!D228</f>
        <v>Unidad</v>
      </c>
      <c r="E228" s="224">
        <v>1</v>
      </c>
      <c r="F228" s="221">
        <v>0</v>
      </c>
      <c r="G228" s="221">
        <v>0</v>
      </c>
      <c r="H228" s="221">
        <v>169574.70571148186</v>
      </c>
      <c r="I228" s="221">
        <v>157080</v>
      </c>
      <c r="J228" s="221">
        <v>202353.984</v>
      </c>
      <c r="K228" s="221">
        <v>202300</v>
      </c>
      <c r="L228" s="247">
        <f>AVERAGE(H228,J228)</f>
        <v>185964.34485574093</v>
      </c>
      <c r="M228" s="247">
        <f>AVERAGE(I228,K228)*E1</f>
        <v>185080.7</v>
      </c>
      <c r="N228" s="227">
        <v>255000</v>
      </c>
      <c r="O228" s="119">
        <f t="shared" si="74"/>
        <v>48450</v>
      </c>
      <c r="P228" s="119">
        <f t="shared" si="75"/>
        <v>303450</v>
      </c>
      <c r="Q228" s="115"/>
      <c r="R228" s="115"/>
      <c r="S228" s="11"/>
      <c r="T228" s="247">
        <v>151800</v>
      </c>
      <c r="U228" s="247">
        <f t="shared" si="76"/>
        <v>28842</v>
      </c>
      <c r="V228" s="247">
        <f>+T228+U228</f>
        <v>180642</v>
      </c>
      <c r="W228" s="17" t="s">
        <v>1523</v>
      </c>
      <c r="X228" s="11" t="s">
        <v>1514</v>
      </c>
      <c r="Y228" s="11"/>
      <c r="Z228" s="247"/>
      <c r="AA228" s="247"/>
      <c r="AB228" s="247"/>
      <c r="AC228" s="5"/>
      <c r="AD228" s="22"/>
      <c r="AE228" s="17"/>
      <c r="AF228" s="102">
        <v>163778.4</v>
      </c>
      <c r="AG228" s="102">
        <f>+AF228*0.19</f>
        <v>31117.896000000001</v>
      </c>
      <c r="AH228" s="150">
        <f>+AF228+AG228</f>
        <v>194896.296</v>
      </c>
      <c r="AI228" s="44" t="s">
        <v>140</v>
      </c>
      <c r="AJ228" s="44" t="s">
        <v>1508</v>
      </c>
      <c r="AK228" s="17"/>
      <c r="AL228" s="102"/>
      <c r="AM228" s="132"/>
      <c r="AN228" s="161"/>
      <c r="AO228" s="115"/>
      <c r="AP228" s="115"/>
      <c r="AQ228" s="17"/>
      <c r="AR228" s="247"/>
      <c r="AS228" s="247"/>
      <c r="AT228" s="247"/>
      <c r="AU228" s="17"/>
      <c r="AV228" s="17"/>
      <c r="AW228" s="17"/>
      <c r="AX228" s="247"/>
      <c r="AY228" s="247"/>
      <c r="AZ228" s="247"/>
      <c r="BA228" s="17"/>
      <c r="BB228" s="52"/>
      <c r="BC228" s="17"/>
      <c r="BD228" s="247"/>
      <c r="BE228" s="247"/>
      <c r="BF228" s="247"/>
      <c r="BG228" s="17"/>
      <c r="BH228" s="17"/>
      <c r="BI228" s="17"/>
      <c r="BJ228" s="247">
        <v>292400</v>
      </c>
      <c r="BK228" s="247">
        <f>+BJ228*0.19</f>
        <v>55556</v>
      </c>
      <c r="BL228" s="247">
        <f t="shared" si="68"/>
        <v>347956</v>
      </c>
      <c r="BM228" s="191" t="s">
        <v>140</v>
      </c>
      <c r="BN228" s="190" t="s">
        <v>1592</v>
      </c>
      <c r="BO228" s="17"/>
      <c r="BP228" s="247"/>
      <c r="BQ228" s="247"/>
      <c r="BR228" s="247"/>
      <c r="BS228" s="17"/>
      <c r="BT228" s="17"/>
      <c r="BU228" s="17"/>
      <c r="BV228" s="195">
        <v>319513.37480000005</v>
      </c>
      <c r="BW228" s="195">
        <f>+BV228*0.19</f>
        <v>60707.541212000011</v>
      </c>
      <c r="BX228" s="246">
        <f>+BV228+BW228</f>
        <v>380220.91601200006</v>
      </c>
      <c r="BY228" s="191" t="s">
        <v>140</v>
      </c>
      <c r="BZ228" s="190" t="s">
        <v>1592</v>
      </c>
      <c r="CA228" s="190"/>
      <c r="CB228" s="247"/>
      <c r="CC228" s="247"/>
      <c r="CD228" s="247"/>
      <c r="CE228" s="17"/>
      <c r="CF228" s="17"/>
      <c r="CG228" s="17"/>
      <c r="CH228" s="247"/>
      <c r="CI228" s="247"/>
      <c r="CJ228" s="247"/>
      <c r="CK228" s="17"/>
      <c r="CL228" s="17"/>
      <c r="CM228" s="17"/>
      <c r="CN228" s="17"/>
      <c r="CO228" s="17"/>
      <c r="CP228" s="11"/>
      <c r="CQ228" s="11"/>
      <c r="CR228" s="11"/>
      <c r="CS228" s="11"/>
      <c r="CT228" s="247"/>
      <c r="CU228" s="247"/>
      <c r="CV228" s="247"/>
      <c r="CW228" s="11"/>
      <c r="CX228" s="11"/>
      <c r="CY228" s="11"/>
      <c r="CZ228" s="11"/>
      <c r="DA228" s="11"/>
      <c r="DB228" s="11"/>
      <c r="DC228" s="11"/>
      <c r="DD228" s="11"/>
      <c r="DE228" s="11"/>
      <c r="DF228" s="11"/>
      <c r="DG228" s="11"/>
      <c r="DH228" s="11"/>
      <c r="DI228" s="11"/>
      <c r="DJ228" s="11"/>
      <c r="DK228" s="11"/>
      <c r="DL228" s="247"/>
      <c r="DM228" s="247"/>
      <c r="DN228" s="247"/>
      <c r="DO228" s="247"/>
      <c r="DP228" s="247"/>
      <c r="DQ228" s="247"/>
      <c r="DR228" s="247"/>
      <c r="DS228" s="247"/>
      <c r="DT228" s="247"/>
      <c r="DU228" s="247"/>
      <c r="DV228" s="247"/>
      <c r="DW228" s="247"/>
      <c r="DX228" s="247"/>
      <c r="DY228" s="247"/>
      <c r="DZ228" s="247"/>
      <c r="EA228" s="247"/>
      <c r="EB228" s="247"/>
      <c r="EC228" s="247"/>
      <c r="ED228" s="17">
        <f t="shared" si="71"/>
        <v>1592245.9120119999</v>
      </c>
      <c r="EE228" s="29">
        <f t="shared" si="72"/>
        <v>6</v>
      </c>
      <c r="EF228" s="17">
        <f t="shared" si="69"/>
        <v>265374.31866866664</v>
      </c>
    </row>
    <row r="229" spans="1:136" ht="63.75" x14ac:dyDescent="0.25">
      <c r="A229" s="25">
        <f>Distribución_Elementos!A229</f>
        <v>227</v>
      </c>
      <c r="B229" s="22" t="str">
        <f>Distribución_Elementos!B229</f>
        <v>Frasco de vidrio transparente de 100 ml tapa rosca con graduación, resistente a esterilización con autoclave y anillo de vertido en PP. Vidrio borosilicato 3.3, impresión en cerámica, que cumpla con las normas DIN12331:1998/ISO 3819:1985 e ISO4796-1:2000  o USP Tipo I y ASTM E438, Tipo I.</v>
      </c>
      <c r="C229" s="22" t="str">
        <f>Distribución_Elementos!C229</f>
        <v xml:space="preserve">Pyrex , Corning, Kymax, Brand, Duran, Schott o equivalente </v>
      </c>
      <c r="D229" s="22" t="str">
        <f>Distribución_Elementos!D229</f>
        <v>Unidad</v>
      </c>
      <c r="E229" s="224">
        <v>1</v>
      </c>
      <c r="F229" s="221">
        <v>0</v>
      </c>
      <c r="G229" s="221">
        <v>0</v>
      </c>
      <c r="H229" s="221">
        <v>0</v>
      </c>
      <c r="I229" s="221">
        <v>0</v>
      </c>
      <c r="J229" s="221">
        <v>0</v>
      </c>
      <c r="K229" s="221">
        <v>0</v>
      </c>
      <c r="L229" s="247"/>
      <c r="M229" s="247"/>
      <c r="N229" s="227">
        <v>17500</v>
      </c>
      <c r="O229" s="119">
        <f t="shared" si="74"/>
        <v>3325</v>
      </c>
      <c r="P229" s="119">
        <f t="shared" si="75"/>
        <v>20825</v>
      </c>
      <c r="Q229" s="115"/>
      <c r="R229" s="115"/>
      <c r="S229" s="11"/>
      <c r="T229" s="247">
        <v>13090.000000000002</v>
      </c>
      <c r="U229" s="247">
        <f t="shared" si="76"/>
        <v>2487.1000000000004</v>
      </c>
      <c r="V229" s="247">
        <f>+T229+U229</f>
        <v>15577.100000000002</v>
      </c>
      <c r="W229" s="17" t="s">
        <v>1523</v>
      </c>
      <c r="X229" s="11" t="s">
        <v>1514</v>
      </c>
      <c r="Y229" s="11"/>
      <c r="Z229" s="247"/>
      <c r="AA229" s="247"/>
      <c r="AB229" s="247"/>
      <c r="AC229" s="5"/>
      <c r="AD229" s="22"/>
      <c r="AE229" s="17"/>
      <c r="AF229" s="247"/>
      <c r="AG229" s="247"/>
      <c r="AH229" s="149"/>
      <c r="AI229" s="22"/>
      <c r="AJ229" s="17"/>
      <c r="AK229" s="17"/>
      <c r="AL229" s="102"/>
      <c r="AM229" s="132"/>
      <c r="AN229" s="161"/>
      <c r="AO229" s="115"/>
      <c r="AP229" s="115"/>
      <c r="AQ229" s="17"/>
      <c r="AR229" s="247"/>
      <c r="AS229" s="247"/>
      <c r="AT229" s="247"/>
      <c r="AU229" s="17"/>
      <c r="AV229" s="17"/>
      <c r="AW229" s="17"/>
      <c r="AX229" s="247"/>
      <c r="AY229" s="247"/>
      <c r="AZ229" s="247"/>
      <c r="BA229" s="17"/>
      <c r="BB229" s="52"/>
      <c r="BC229" s="17"/>
      <c r="BD229" s="247"/>
      <c r="BE229" s="247"/>
      <c r="BF229" s="247"/>
      <c r="BG229" s="17"/>
      <c r="BH229" s="17"/>
      <c r="BI229" s="17"/>
      <c r="BJ229" s="247">
        <v>33600</v>
      </c>
      <c r="BK229" s="247">
        <f>+BJ229*0.19</f>
        <v>6384</v>
      </c>
      <c r="BL229" s="247">
        <f t="shared" si="68"/>
        <v>39984</v>
      </c>
      <c r="BM229" s="191" t="s">
        <v>140</v>
      </c>
      <c r="BN229" s="190" t="s">
        <v>1592</v>
      </c>
      <c r="BO229" s="17"/>
      <c r="BP229" s="247"/>
      <c r="BQ229" s="247"/>
      <c r="BR229" s="247"/>
      <c r="BS229" s="17"/>
      <c r="BT229" s="17"/>
      <c r="BU229" s="17"/>
      <c r="BV229" s="195">
        <v>37072.089599999999</v>
      </c>
      <c r="BW229" s="195">
        <f>+BV229*0.19</f>
        <v>7043.6970240000001</v>
      </c>
      <c r="BX229" s="246">
        <f>+BV229+BW229</f>
        <v>44115.786624</v>
      </c>
      <c r="BY229" s="191" t="s">
        <v>140</v>
      </c>
      <c r="BZ229" s="190" t="s">
        <v>1592</v>
      </c>
      <c r="CA229" s="190"/>
      <c r="CB229" s="247"/>
      <c r="CC229" s="247"/>
      <c r="CD229" s="247"/>
      <c r="CE229" s="17"/>
      <c r="CF229" s="17"/>
      <c r="CG229" s="17"/>
      <c r="CH229" s="247"/>
      <c r="CI229" s="247"/>
      <c r="CJ229" s="247"/>
      <c r="CK229" s="17"/>
      <c r="CL229" s="17"/>
      <c r="CM229" s="17"/>
      <c r="CN229" s="17"/>
      <c r="CO229" s="17"/>
      <c r="CP229" s="11"/>
      <c r="CQ229" s="11"/>
      <c r="CR229" s="11"/>
      <c r="CS229" s="11"/>
      <c r="CT229" s="247"/>
      <c r="CU229" s="247"/>
      <c r="CV229" s="247"/>
      <c r="CW229" s="11"/>
      <c r="CX229" s="11"/>
      <c r="CY229" s="11"/>
      <c r="CZ229" s="11"/>
      <c r="DA229" s="11"/>
      <c r="DB229" s="11"/>
      <c r="DC229" s="11"/>
      <c r="DD229" s="11"/>
      <c r="DE229" s="11"/>
      <c r="DF229" s="11"/>
      <c r="DG229" s="11"/>
      <c r="DH229" s="11"/>
      <c r="DI229" s="11"/>
      <c r="DJ229" s="11"/>
      <c r="DK229" s="11"/>
      <c r="DL229" s="247"/>
      <c r="DM229" s="247"/>
      <c r="DN229" s="247"/>
      <c r="DO229" s="247"/>
      <c r="DP229" s="247"/>
      <c r="DQ229" s="247"/>
      <c r="DR229" s="247"/>
      <c r="DS229" s="247"/>
      <c r="DT229" s="247"/>
      <c r="DU229" s="247"/>
      <c r="DV229" s="247"/>
      <c r="DW229" s="247"/>
      <c r="DX229" s="247"/>
      <c r="DY229" s="247"/>
      <c r="DZ229" s="247"/>
      <c r="EA229" s="247"/>
      <c r="EB229" s="247"/>
      <c r="EC229" s="247"/>
      <c r="ED229" s="17">
        <f t="shared" si="71"/>
        <v>120501.88662400001</v>
      </c>
      <c r="EE229" s="29">
        <f t="shared" si="72"/>
        <v>4</v>
      </c>
      <c r="EF229" s="17">
        <f t="shared" si="69"/>
        <v>30125.471656000002</v>
      </c>
    </row>
    <row r="230" spans="1:136" ht="63.75" x14ac:dyDescent="0.25">
      <c r="A230" s="25">
        <f>Distribución_Elementos!A230</f>
        <v>228</v>
      </c>
      <c r="B230" s="22" t="str">
        <f>Distribución_Elementos!B230</f>
        <v>Frasco de vidrio transparente de 1000 ml tapa rosca con graduación, resistente a esterilización con autoclave y anillo de vertido en PP. Vidrio borosilicato 3.3, impresión en cerámica, que cumpla con las normas DIN12331:1998/ISO 3819:1985 e ISO4796-1:2000 o USP Tipo I y ASTM E438, Tipo I.</v>
      </c>
      <c r="C230" s="22" t="str">
        <f>Distribución_Elementos!C230</f>
        <v xml:space="preserve">Pyrex , Corning, Kymax, Brand, Duran, Schott o equivalente </v>
      </c>
      <c r="D230" s="22" t="str">
        <f>Distribución_Elementos!D230</f>
        <v>Unidad</v>
      </c>
      <c r="E230" s="224">
        <v>1</v>
      </c>
      <c r="F230" s="221">
        <v>0</v>
      </c>
      <c r="G230" s="221">
        <v>0</v>
      </c>
      <c r="H230" s="221">
        <v>0</v>
      </c>
      <c r="I230" s="221">
        <v>0</v>
      </c>
      <c r="J230" s="221">
        <v>0</v>
      </c>
      <c r="K230" s="221">
        <v>0</v>
      </c>
      <c r="L230" s="247"/>
      <c r="M230" s="247"/>
      <c r="N230" s="227">
        <v>30000</v>
      </c>
      <c r="O230" s="119">
        <f t="shared" si="74"/>
        <v>5700</v>
      </c>
      <c r="P230" s="119">
        <f t="shared" si="75"/>
        <v>35700</v>
      </c>
      <c r="Q230" s="115"/>
      <c r="R230" s="115"/>
      <c r="S230" s="11"/>
      <c r="T230" s="247">
        <v>23650.000000000004</v>
      </c>
      <c r="U230" s="247">
        <f t="shared" si="76"/>
        <v>4493.5000000000009</v>
      </c>
      <c r="V230" s="247">
        <f>+T230+U230</f>
        <v>28143.500000000004</v>
      </c>
      <c r="W230" s="17" t="s">
        <v>1523</v>
      </c>
      <c r="X230" s="11" t="s">
        <v>1514</v>
      </c>
      <c r="Y230" s="11"/>
      <c r="Z230" s="247"/>
      <c r="AA230" s="247"/>
      <c r="AB230" s="247"/>
      <c r="AC230" s="5"/>
      <c r="AD230" s="22"/>
      <c r="AE230" s="17"/>
      <c r="AF230" s="247"/>
      <c r="AG230" s="247"/>
      <c r="AH230" s="149"/>
      <c r="AI230" s="4"/>
      <c r="AJ230" s="17"/>
      <c r="AK230" s="17"/>
      <c r="AL230" s="102"/>
      <c r="AM230" s="132"/>
      <c r="AN230" s="161"/>
      <c r="AO230" s="115"/>
      <c r="AP230" s="115"/>
      <c r="AQ230" s="17"/>
      <c r="AR230" s="247"/>
      <c r="AS230" s="247"/>
      <c r="AT230" s="247"/>
      <c r="AU230" s="17"/>
      <c r="AV230" s="17"/>
      <c r="AW230" s="17"/>
      <c r="AX230" s="247"/>
      <c r="AY230" s="247"/>
      <c r="AZ230" s="247"/>
      <c r="BA230" s="17"/>
      <c r="BB230" s="52"/>
      <c r="BC230" s="17"/>
      <c r="BD230" s="247"/>
      <c r="BE230" s="247"/>
      <c r="BF230" s="247"/>
      <c r="BG230" s="17"/>
      <c r="BH230" s="17"/>
      <c r="BI230" s="17"/>
      <c r="BJ230" s="247">
        <v>60400</v>
      </c>
      <c r="BK230" s="247">
        <f>+BJ230*0.19</f>
        <v>11476</v>
      </c>
      <c r="BL230" s="247">
        <f t="shared" si="68"/>
        <v>71876</v>
      </c>
      <c r="BM230" s="191" t="s">
        <v>140</v>
      </c>
      <c r="BN230" s="190" t="s">
        <v>1592</v>
      </c>
      <c r="BO230" s="17"/>
      <c r="BP230" s="247"/>
      <c r="BQ230" s="247"/>
      <c r="BR230" s="247"/>
      <c r="BS230" s="17"/>
      <c r="BT230" s="17"/>
      <c r="BU230" s="17"/>
      <c r="BV230" s="195">
        <v>67275.936000000002</v>
      </c>
      <c r="BW230" s="195">
        <f>+BV230*0.19</f>
        <v>12782.42784</v>
      </c>
      <c r="BX230" s="246">
        <f>+BV230+BW230</f>
        <v>80058.363840000005</v>
      </c>
      <c r="BY230" s="191" t="s">
        <v>140</v>
      </c>
      <c r="BZ230" s="190" t="s">
        <v>1592</v>
      </c>
      <c r="CA230" s="190"/>
      <c r="CB230" s="247"/>
      <c r="CC230" s="247"/>
      <c r="CD230" s="247"/>
      <c r="CE230" s="17"/>
      <c r="CF230" s="17"/>
      <c r="CG230" s="17"/>
      <c r="CH230" s="247"/>
      <c r="CI230" s="247"/>
      <c r="CJ230" s="247"/>
      <c r="CK230" s="17"/>
      <c r="CL230" s="17"/>
      <c r="CM230" s="17"/>
      <c r="CN230" s="17"/>
      <c r="CO230" s="17"/>
      <c r="CP230" s="11"/>
      <c r="CQ230" s="11"/>
      <c r="CR230" s="11"/>
      <c r="CS230" s="11"/>
      <c r="CT230" s="247"/>
      <c r="CU230" s="247"/>
      <c r="CV230" s="247"/>
      <c r="CW230" s="11"/>
      <c r="CX230" s="11"/>
      <c r="CY230" s="11"/>
      <c r="CZ230" s="11"/>
      <c r="DA230" s="11"/>
      <c r="DB230" s="11"/>
      <c r="DC230" s="11"/>
      <c r="DD230" s="11"/>
      <c r="DE230" s="11"/>
      <c r="DF230" s="11"/>
      <c r="DG230" s="11"/>
      <c r="DH230" s="11"/>
      <c r="DI230" s="11"/>
      <c r="DJ230" s="11"/>
      <c r="DK230" s="11"/>
      <c r="DL230" s="247"/>
      <c r="DM230" s="247"/>
      <c r="DN230" s="247"/>
      <c r="DO230" s="247"/>
      <c r="DP230" s="247"/>
      <c r="DQ230" s="247"/>
      <c r="DR230" s="247"/>
      <c r="DS230" s="247"/>
      <c r="DT230" s="247"/>
      <c r="DU230" s="247"/>
      <c r="DV230" s="247"/>
      <c r="DW230" s="247"/>
      <c r="DX230" s="247"/>
      <c r="DY230" s="247"/>
      <c r="DZ230" s="247"/>
      <c r="EA230" s="247"/>
      <c r="EB230" s="247"/>
      <c r="EC230" s="247"/>
      <c r="ED230" s="17">
        <f t="shared" si="71"/>
        <v>215777.86384000001</v>
      </c>
      <c r="EE230" s="29">
        <f t="shared" si="72"/>
        <v>4</v>
      </c>
      <c r="EF230" s="17">
        <f t="shared" si="69"/>
        <v>53944.465960000001</v>
      </c>
    </row>
    <row r="231" spans="1:136" ht="63.75" x14ac:dyDescent="0.25">
      <c r="A231" s="25">
        <f>Distribución_Elementos!A231</f>
        <v>229</v>
      </c>
      <c r="B231" s="22" t="str">
        <f>Distribución_Elementos!B231</f>
        <v>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v>
      </c>
      <c r="C231" s="22" t="str">
        <f>Distribución_Elementos!C231</f>
        <v xml:space="preserve">Pyrex , Corning, Kymax, Brand, Duran, Schott o equivalente </v>
      </c>
      <c r="D231" s="22" t="str">
        <f>Distribución_Elementos!D231</f>
        <v>Unidad</v>
      </c>
      <c r="E231" s="224">
        <v>1</v>
      </c>
      <c r="F231" s="221">
        <v>0</v>
      </c>
      <c r="G231" s="221">
        <v>0</v>
      </c>
      <c r="H231" s="221">
        <v>0</v>
      </c>
      <c r="I231" s="221">
        <v>0</v>
      </c>
      <c r="J231" s="221">
        <v>0</v>
      </c>
      <c r="K231" s="221">
        <v>0</v>
      </c>
      <c r="L231" s="247"/>
      <c r="M231" s="247"/>
      <c r="N231" s="227">
        <v>60000</v>
      </c>
      <c r="O231" s="119">
        <f t="shared" si="74"/>
        <v>11400</v>
      </c>
      <c r="P231" s="119">
        <f t="shared" si="75"/>
        <v>71400</v>
      </c>
      <c r="Q231" s="115"/>
      <c r="R231" s="115"/>
      <c r="S231" s="11"/>
      <c r="T231" s="247">
        <v>48620.000000000007</v>
      </c>
      <c r="U231" s="247">
        <f t="shared" si="76"/>
        <v>9237.8000000000011</v>
      </c>
      <c r="V231" s="247">
        <f>+T231+U231</f>
        <v>57857.80000000001</v>
      </c>
      <c r="W231" s="17" t="s">
        <v>1523</v>
      </c>
      <c r="X231" s="11" t="s">
        <v>1514</v>
      </c>
      <c r="Y231" s="11"/>
      <c r="Z231" s="247"/>
      <c r="AA231" s="247"/>
      <c r="AB231" s="247"/>
      <c r="AC231" s="5"/>
      <c r="AD231" s="22"/>
      <c r="AE231" s="17"/>
      <c r="AF231" s="247"/>
      <c r="AG231" s="247"/>
      <c r="AH231" s="149"/>
      <c r="AI231" s="4"/>
      <c r="AJ231" s="17"/>
      <c r="AK231" s="17"/>
      <c r="AL231" s="102"/>
      <c r="AM231" s="132"/>
      <c r="AN231" s="161"/>
      <c r="AO231" s="115"/>
      <c r="AP231" s="115"/>
      <c r="AQ231" s="17"/>
      <c r="AR231" s="247"/>
      <c r="AS231" s="247"/>
      <c r="AT231" s="247"/>
      <c r="AU231" s="17"/>
      <c r="AV231" s="17"/>
      <c r="AW231" s="17"/>
      <c r="AX231" s="247"/>
      <c r="AY231" s="247"/>
      <c r="AZ231" s="247"/>
      <c r="BA231" s="17"/>
      <c r="BB231" s="52"/>
      <c r="BC231" s="17"/>
      <c r="BD231" s="247"/>
      <c r="BE231" s="247"/>
      <c r="BF231" s="247"/>
      <c r="BG231" s="17"/>
      <c r="BH231" s="17"/>
      <c r="BI231" s="17"/>
      <c r="BJ231" s="247">
        <v>133900</v>
      </c>
      <c r="BK231" s="247">
        <f>+BJ231*0.19</f>
        <v>25441</v>
      </c>
      <c r="BL231" s="247">
        <f t="shared" si="68"/>
        <v>159341</v>
      </c>
      <c r="BM231" s="191" t="s">
        <v>140</v>
      </c>
      <c r="BN231" s="190" t="s">
        <v>1592</v>
      </c>
      <c r="BO231" s="17"/>
      <c r="BP231" s="247"/>
      <c r="BQ231" s="247"/>
      <c r="BR231" s="247"/>
      <c r="BS231" s="17"/>
      <c r="BT231" s="17"/>
      <c r="BU231" s="17"/>
      <c r="BV231" s="195">
        <v>152011.31400000001</v>
      </c>
      <c r="BW231" s="195">
        <f>+BV231*0.19</f>
        <v>28882.149660000003</v>
      </c>
      <c r="BX231" s="246">
        <f>+BV231+BW231</f>
        <v>180893.46366000001</v>
      </c>
      <c r="BY231" s="191" t="s">
        <v>140</v>
      </c>
      <c r="BZ231" s="190" t="s">
        <v>1592</v>
      </c>
      <c r="CA231" s="190"/>
      <c r="CB231" s="247"/>
      <c r="CC231" s="247"/>
      <c r="CD231" s="247"/>
      <c r="CE231" s="17"/>
      <c r="CF231" s="17"/>
      <c r="CG231" s="17"/>
      <c r="CH231" s="247"/>
      <c r="CI231" s="247"/>
      <c r="CJ231" s="247"/>
      <c r="CK231" s="17"/>
      <c r="CL231" s="17"/>
      <c r="CM231" s="17"/>
      <c r="CN231" s="17"/>
      <c r="CO231" s="17"/>
      <c r="CP231" s="11"/>
      <c r="CQ231" s="11"/>
      <c r="CR231" s="11"/>
      <c r="CS231" s="11"/>
      <c r="CT231" s="247"/>
      <c r="CU231" s="247"/>
      <c r="CV231" s="247"/>
      <c r="CW231" s="11"/>
      <c r="CX231" s="11"/>
      <c r="CY231" s="11"/>
      <c r="CZ231" s="11"/>
      <c r="DA231" s="11"/>
      <c r="DB231" s="11"/>
      <c r="DC231" s="11"/>
      <c r="DD231" s="11"/>
      <c r="DE231" s="11"/>
      <c r="DF231" s="11"/>
      <c r="DG231" s="11"/>
      <c r="DH231" s="11"/>
      <c r="DI231" s="11"/>
      <c r="DJ231" s="11"/>
      <c r="DK231" s="11"/>
      <c r="DL231" s="247"/>
      <c r="DM231" s="247"/>
      <c r="DN231" s="247"/>
      <c r="DO231" s="247"/>
      <c r="DP231" s="247"/>
      <c r="DQ231" s="247"/>
      <c r="DR231" s="247"/>
      <c r="DS231" s="247"/>
      <c r="DT231" s="247"/>
      <c r="DU231" s="247"/>
      <c r="DV231" s="247"/>
      <c r="DW231" s="247"/>
      <c r="DX231" s="247"/>
      <c r="DY231" s="247"/>
      <c r="DZ231" s="247"/>
      <c r="EA231" s="247"/>
      <c r="EB231" s="247"/>
      <c r="EC231" s="247"/>
      <c r="ED231" s="17">
        <f t="shared" si="71"/>
        <v>469492.26366000006</v>
      </c>
      <c r="EE231" s="29">
        <f t="shared" si="72"/>
        <v>4</v>
      </c>
      <c r="EF231" s="17">
        <f t="shared" si="69"/>
        <v>117373.06591500001</v>
      </c>
    </row>
    <row r="232" spans="1:136" ht="63.75" x14ac:dyDescent="0.25">
      <c r="A232" s="25">
        <f>Distribución_Elementos!A232</f>
        <v>230</v>
      </c>
      <c r="B232" s="22" t="str">
        <f>Distribución_Elementos!B232</f>
        <v>Frasco de vidrio transparente de 25 ml tapa rosca con graduación, resistente a esterilización con autoclave y anillo de vertido en PP. Vidrio borosilicato 3.3, impresión en cerámica, que cumpla con las normas  ISO4796-1:2000 Retrace Code o USP Tipo I y ASTM E438, Tipo I.</v>
      </c>
      <c r="C232" s="22" t="str">
        <f>Distribución_Elementos!C232</f>
        <v xml:space="preserve">Pyrex , Corning, Kymax, Brand, Duran, Schott o equivalente </v>
      </c>
      <c r="D232" s="22" t="str">
        <f>Distribución_Elementos!D232</f>
        <v>Unidad</v>
      </c>
      <c r="E232" s="224">
        <v>1</v>
      </c>
      <c r="F232" s="221">
        <v>0</v>
      </c>
      <c r="G232" s="221">
        <v>0</v>
      </c>
      <c r="H232" s="221">
        <v>0</v>
      </c>
      <c r="I232" s="221">
        <v>0</v>
      </c>
      <c r="J232" s="221">
        <v>0</v>
      </c>
      <c r="K232" s="221">
        <v>0</v>
      </c>
      <c r="L232" s="247"/>
      <c r="M232" s="247"/>
      <c r="N232" s="227">
        <v>18000</v>
      </c>
      <c r="O232" s="119">
        <f t="shared" si="74"/>
        <v>3420</v>
      </c>
      <c r="P232" s="119">
        <f t="shared" si="75"/>
        <v>21420</v>
      </c>
      <c r="Q232" s="115"/>
      <c r="R232" s="115"/>
      <c r="S232" s="11"/>
      <c r="T232" s="247"/>
      <c r="U232" s="247"/>
      <c r="V232" s="247"/>
      <c r="W232" s="17"/>
      <c r="X232" s="11"/>
      <c r="Y232" s="11"/>
      <c r="Z232" s="247"/>
      <c r="AA232" s="247"/>
      <c r="AB232" s="247"/>
      <c r="AC232" s="5"/>
      <c r="AD232" s="22"/>
      <c r="AE232" s="17"/>
      <c r="AF232" s="247"/>
      <c r="AG232" s="247"/>
      <c r="AH232" s="149"/>
      <c r="AI232" s="4"/>
      <c r="AJ232" s="17"/>
      <c r="AK232" s="17"/>
      <c r="AL232" s="102"/>
      <c r="AM232" s="132"/>
      <c r="AN232" s="161"/>
      <c r="AO232" s="115"/>
      <c r="AP232" s="115"/>
      <c r="AQ232" s="17"/>
      <c r="AR232" s="247"/>
      <c r="AS232" s="247"/>
      <c r="AT232" s="247"/>
      <c r="AU232" s="17"/>
      <c r="AV232" s="17"/>
      <c r="AW232" s="17"/>
      <c r="AX232" s="247"/>
      <c r="AY232" s="247"/>
      <c r="AZ232" s="247"/>
      <c r="BA232" s="17"/>
      <c r="BB232" s="52"/>
      <c r="BC232" s="17"/>
      <c r="BD232" s="247"/>
      <c r="BE232" s="247"/>
      <c r="BF232" s="247"/>
      <c r="BG232" s="17"/>
      <c r="BH232" s="17"/>
      <c r="BI232" s="17"/>
      <c r="BJ232" s="247"/>
      <c r="BK232" s="247"/>
      <c r="BL232" s="247"/>
      <c r="BM232" s="190"/>
      <c r="BN232" s="190"/>
      <c r="BO232" s="17"/>
      <c r="BP232" s="247"/>
      <c r="BQ232" s="247"/>
      <c r="BR232" s="247"/>
      <c r="BS232" s="17"/>
      <c r="BT232" s="17"/>
      <c r="BU232" s="17"/>
      <c r="BV232" s="189"/>
      <c r="BW232" s="197"/>
      <c r="BX232" s="246"/>
      <c r="BY232" s="190"/>
      <c r="BZ232" s="190"/>
      <c r="CA232" s="190"/>
      <c r="CB232" s="247"/>
      <c r="CC232" s="247"/>
      <c r="CD232" s="247"/>
      <c r="CE232" s="17"/>
      <c r="CF232" s="17"/>
      <c r="CG232" s="17"/>
      <c r="CH232" s="247"/>
      <c r="CI232" s="247"/>
      <c r="CJ232" s="247"/>
      <c r="CK232" s="17"/>
      <c r="CL232" s="17"/>
      <c r="CM232" s="17"/>
      <c r="CN232" s="17"/>
      <c r="CO232" s="17"/>
      <c r="CP232" s="11"/>
      <c r="CQ232" s="11"/>
      <c r="CR232" s="11"/>
      <c r="CS232" s="11"/>
      <c r="CT232" s="247"/>
      <c r="CU232" s="247"/>
      <c r="CV232" s="247"/>
      <c r="CW232" s="11"/>
      <c r="CX232" s="11"/>
      <c r="CY232" s="11"/>
      <c r="CZ232" s="11"/>
      <c r="DA232" s="11"/>
      <c r="DB232" s="11"/>
      <c r="DC232" s="11"/>
      <c r="DD232" s="11"/>
      <c r="DE232" s="11"/>
      <c r="DF232" s="11"/>
      <c r="DG232" s="11"/>
      <c r="DH232" s="11"/>
      <c r="DI232" s="11"/>
      <c r="DJ232" s="11"/>
      <c r="DK232" s="11"/>
      <c r="DL232" s="247"/>
      <c r="DM232" s="247"/>
      <c r="DN232" s="247"/>
      <c r="DO232" s="247"/>
      <c r="DP232" s="247"/>
      <c r="DQ232" s="247"/>
      <c r="DR232" s="247"/>
      <c r="DS232" s="247"/>
      <c r="DT232" s="247"/>
      <c r="DU232" s="247"/>
      <c r="DV232" s="247"/>
      <c r="DW232" s="247"/>
      <c r="DX232" s="247"/>
      <c r="DY232" s="247"/>
      <c r="DZ232" s="247"/>
      <c r="EA232" s="247"/>
      <c r="EB232" s="247"/>
      <c r="EC232" s="247"/>
      <c r="ED232" s="17">
        <f t="shared" si="71"/>
        <v>21420</v>
      </c>
      <c r="EE232" s="29">
        <f t="shared" si="72"/>
        <v>1</v>
      </c>
      <c r="EF232" s="17">
        <f t="shared" si="69"/>
        <v>21420</v>
      </c>
    </row>
    <row r="233" spans="1:136" ht="63.75" x14ac:dyDescent="0.25">
      <c r="A233" s="25">
        <f>Distribución_Elementos!A233</f>
        <v>231</v>
      </c>
      <c r="B233" s="22" t="str">
        <f>Distribución_Elementos!B233</f>
        <v>Frasco de vidrio transparente de 250 ml tapa rosca con graduación, resistente a esterilización con autoclave y anillo de vertido en PP. Vidrio borosilicato 3.3, impresión en cerámica, que cumpla con las normas DIN12331:1998/ISO 3819:1985 e ISO4796-1:2000 o USP Tipo I y ASTM E438, Tipo I.</v>
      </c>
      <c r="C233" s="22" t="str">
        <f>Distribución_Elementos!C233</f>
        <v xml:space="preserve">Pyrex , Corning, Kymax, Brand, Duran, Schott o equivalente </v>
      </c>
      <c r="D233" s="22" t="str">
        <f>Distribución_Elementos!D233</f>
        <v>Unidad</v>
      </c>
      <c r="E233" s="224">
        <v>1</v>
      </c>
      <c r="F233" s="221">
        <v>0</v>
      </c>
      <c r="G233" s="221">
        <v>0</v>
      </c>
      <c r="H233" s="221">
        <v>0</v>
      </c>
      <c r="I233" s="221">
        <v>0</v>
      </c>
      <c r="J233" s="221">
        <v>0</v>
      </c>
      <c r="K233" s="221">
        <v>0</v>
      </c>
      <c r="L233" s="247"/>
      <c r="M233" s="247"/>
      <c r="N233" s="227">
        <v>19500</v>
      </c>
      <c r="O233" s="119">
        <f t="shared" si="74"/>
        <v>3705</v>
      </c>
      <c r="P233" s="119">
        <f t="shared" si="75"/>
        <v>23205</v>
      </c>
      <c r="Q233" s="115"/>
      <c r="R233" s="115"/>
      <c r="S233" s="11"/>
      <c r="T233" s="247">
        <v>13310.000000000002</v>
      </c>
      <c r="U233" s="247">
        <f t="shared" si="76"/>
        <v>2528.9000000000005</v>
      </c>
      <c r="V233" s="247">
        <f>+T233+U233</f>
        <v>15838.900000000001</v>
      </c>
      <c r="W233" s="17" t="s">
        <v>1523</v>
      </c>
      <c r="X233" s="11" t="s">
        <v>1514</v>
      </c>
      <c r="Y233" s="11"/>
      <c r="Z233" s="247"/>
      <c r="AA233" s="247"/>
      <c r="AB233" s="247"/>
      <c r="AC233" s="44"/>
      <c r="AD233" s="22"/>
      <c r="AE233" s="17"/>
      <c r="AF233" s="247"/>
      <c r="AG233" s="247"/>
      <c r="AH233" s="151"/>
      <c r="AI233" s="4"/>
      <c r="AJ233" s="17"/>
      <c r="AK233" s="17"/>
      <c r="AL233" s="102"/>
      <c r="AM233" s="132"/>
      <c r="AN233" s="161"/>
      <c r="AO233" s="115"/>
      <c r="AP233" s="115"/>
      <c r="AQ233" s="17"/>
      <c r="AR233" s="247"/>
      <c r="AS233" s="247"/>
      <c r="AT233" s="247"/>
      <c r="AU233" s="17"/>
      <c r="AV233" s="17"/>
      <c r="AW233" s="17"/>
      <c r="AX233" s="247"/>
      <c r="AY233" s="247"/>
      <c r="AZ233" s="247"/>
      <c r="BA233" s="17"/>
      <c r="BB233" s="52"/>
      <c r="BC233" s="17"/>
      <c r="BD233" s="247"/>
      <c r="BE233" s="247"/>
      <c r="BF233" s="247"/>
      <c r="BG233" s="17"/>
      <c r="BH233" s="17"/>
      <c r="BI233" s="17"/>
      <c r="BJ233" s="247">
        <v>36200</v>
      </c>
      <c r="BK233" s="247">
        <f>+BJ233*0.19</f>
        <v>6878</v>
      </c>
      <c r="BL233" s="247">
        <f t="shared" si="68"/>
        <v>43078</v>
      </c>
      <c r="BM233" s="191" t="s">
        <v>140</v>
      </c>
      <c r="BN233" s="190" t="s">
        <v>1592</v>
      </c>
      <c r="BO233" s="17"/>
      <c r="BP233" s="247"/>
      <c r="BQ233" s="247"/>
      <c r="BR233" s="247"/>
      <c r="BS233" s="17"/>
      <c r="BT233" s="17"/>
      <c r="BU233" s="17"/>
      <c r="BV233" s="195">
        <v>40693.506000000001</v>
      </c>
      <c r="BW233" s="195">
        <f>+BV233*0.19</f>
        <v>7731.7661400000006</v>
      </c>
      <c r="BX233" s="246">
        <f>+BV233+BW233</f>
        <v>48425.272140000001</v>
      </c>
      <c r="BY233" s="191" t="s">
        <v>140</v>
      </c>
      <c r="BZ233" s="190" t="s">
        <v>1592</v>
      </c>
      <c r="CA233" s="190"/>
      <c r="CB233" s="247"/>
      <c r="CC233" s="247"/>
      <c r="CD233" s="247"/>
      <c r="CE233" s="17"/>
      <c r="CF233" s="17"/>
      <c r="CG233" s="17"/>
      <c r="CH233" s="247"/>
      <c r="CI233" s="247"/>
      <c r="CJ233" s="247"/>
      <c r="CK233" s="17"/>
      <c r="CL233" s="17"/>
      <c r="CM233" s="17"/>
      <c r="CN233" s="17"/>
      <c r="CO233" s="17"/>
      <c r="CP233" s="11"/>
      <c r="CQ233" s="11"/>
      <c r="CR233" s="11"/>
      <c r="CS233" s="11"/>
      <c r="CT233" s="247"/>
      <c r="CU233" s="247"/>
      <c r="CV233" s="247"/>
      <c r="CW233" s="11"/>
      <c r="CX233" s="11"/>
      <c r="CY233" s="11"/>
      <c r="CZ233" s="11"/>
      <c r="DA233" s="11"/>
      <c r="DB233" s="11"/>
      <c r="DC233" s="11"/>
      <c r="DD233" s="11"/>
      <c r="DE233" s="11"/>
      <c r="DF233" s="11"/>
      <c r="DG233" s="11"/>
      <c r="DH233" s="11"/>
      <c r="DI233" s="11"/>
      <c r="DJ233" s="11"/>
      <c r="DK233" s="11"/>
      <c r="DL233" s="247"/>
      <c r="DM233" s="247"/>
      <c r="DN233" s="247"/>
      <c r="DO233" s="247"/>
      <c r="DP233" s="247"/>
      <c r="DQ233" s="247"/>
      <c r="DR233" s="247"/>
      <c r="DS233" s="247"/>
      <c r="DT233" s="247"/>
      <c r="DU233" s="247"/>
      <c r="DV233" s="247"/>
      <c r="DW233" s="247"/>
      <c r="DX233" s="247"/>
      <c r="DY233" s="247"/>
      <c r="DZ233" s="247"/>
      <c r="EA233" s="247"/>
      <c r="EB233" s="247"/>
      <c r="EC233" s="247"/>
      <c r="ED233" s="17">
        <f t="shared" si="71"/>
        <v>130547.17214</v>
      </c>
      <c r="EE233" s="29">
        <f t="shared" si="72"/>
        <v>4</v>
      </c>
      <c r="EF233" s="17">
        <f t="shared" si="69"/>
        <v>32636.793034999999</v>
      </c>
    </row>
    <row r="234" spans="1:136" ht="63.75" x14ac:dyDescent="0.25">
      <c r="A234" s="25">
        <f>Distribución_Elementos!A234</f>
        <v>232</v>
      </c>
      <c r="B234" s="22" t="str">
        <f>Distribución_Elementos!B234</f>
        <v>Frasco de vidrio transparente de 50 ml tapa rosca con graduación, resistente a esterilización con autoclave y anillo de vertido en PP. Vidrio borosilicato 3.3, impresión en cerámica, que cumpla con las normas DIN12331:1998/ISO 3819:1985 e ISO4796-1:2000 o USP Tipo I y ASTM E438, Tipo I.</v>
      </c>
      <c r="C234" s="22" t="str">
        <f>Distribución_Elementos!C234</f>
        <v xml:space="preserve">Pyrex , Corning, Kymax, Brand, Duran, Schott o equivalente </v>
      </c>
      <c r="D234" s="22" t="str">
        <f>Distribución_Elementos!D234</f>
        <v>Unidad</v>
      </c>
      <c r="E234" s="224">
        <v>1</v>
      </c>
      <c r="F234" s="221">
        <v>0</v>
      </c>
      <c r="G234" s="221">
        <v>0</v>
      </c>
      <c r="H234" s="221">
        <v>0</v>
      </c>
      <c r="I234" s="221">
        <v>0</v>
      </c>
      <c r="J234" s="221">
        <v>0</v>
      </c>
      <c r="K234" s="221">
        <v>0</v>
      </c>
      <c r="L234" s="247"/>
      <c r="M234" s="247"/>
      <c r="N234" s="227">
        <v>18500</v>
      </c>
      <c r="O234" s="119">
        <f t="shared" si="74"/>
        <v>3515</v>
      </c>
      <c r="P234" s="119">
        <f t="shared" si="75"/>
        <v>22015</v>
      </c>
      <c r="Q234" s="115"/>
      <c r="R234" s="115"/>
      <c r="S234" s="11"/>
      <c r="T234" s="247">
        <v>16720</v>
      </c>
      <c r="U234" s="247">
        <f t="shared" si="76"/>
        <v>3176.8</v>
      </c>
      <c r="V234" s="247">
        <f>+T234+U234</f>
        <v>19896.8</v>
      </c>
      <c r="W234" s="17" t="s">
        <v>1523</v>
      </c>
      <c r="X234" s="11" t="s">
        <v>1514</v>
      </c>
      <c r="Y234" s="11"/>
      <c r="Z234" s="247"/>
      <c r="AA234" s="247"/>
      <c r="AB234" s="247"/>
      <c r="AC234" s="44"/>
      <c r="AD234" s="22"/>
      <c r="AE234" s="17"/>
      <c r="AF234" s="247"/>
      <c r="AG234" s="247"/>
      <c r="AH234" s="151"/>
      <c r="AI234" s="4"/>
      <c r="AJ234" s="17"/>
      <c r="AK234" s="17"/>
      <c r="AL234" s="102"/>
      <c r="AM234" s="132"/>
      <c r="AN234" s="161"/>
      <c r="AO234" s="115"/>
      <c r="AP234" s="115"/>
      <c r="AQ234" s="17"/>
      <c r="AR234" s="247"/>
      <c r="AS234" s="247"/>
      <c r="AT234" s="247"/>
      <c r="AU234" s="17"/>
      <c r="AV234" s="17"/>
      <c r="AW234" s="17"/>
      <c r="AX234" s="247"/>
      <c r="AY234" s="247"/>
      <c r="AZ234" s="247"/>
      <c r="BA234" s="17"/>
      <c r="BB234" s="52"/>
      <c r="BC234" s="17"/>
      <c r="BD234" s="247"/>
      <c r="BE234" s="247"/>
      <c r="BF234" s="247"/>
      <c r="BG234" s="17"/>
      <c r="BH234" s="17"/>
      <c r="BI234" s="17"/>
      <c r="BJ234" s="247"/>
      <c r="BK234" s="247"/>
      <c r="BL234" s="247"/>
      <c r="BM234" s="190"/>
      <c r="BN234" s="190"/>
      <c r="BO234" s="17"/>
      <c r="BP234" s="247"/>
      <c r="BQ234" s="247"/>
      <c r="BR234" s="247"/>
      <c r="BS234" s="17"/>
      <c r="BT234" s="17"/>
      <c r="BU234" s="17"/>
      <c r="BV234" s="189"/>
      <c r="BW234" s="197"/>
      <c r="BX234" s="246"/>
      <c r="BY234" s="190"/>
      <c r="BZ234" s="190"/>
      <c r="CA234" s="190"/>
      <c r="CB234" s="247"/>
      <c r="CC234" s="247"/>
      <c r="CD234" s="247"/>
      <c r="CE234" s="17"/>
      <c r="CF234" s="17"/>
      <c r="CG234" s="17"/>
      <c r="CH234" s="247"/>
      <c r="CI234" s="247"/>
      <c r="CJ234" s="247"/>
      <c r="CK234" s="17"/>
      <c r="CL234" s="17"/>
      <c r="CM234" s="17"/>
      <c r="CN234" s="17"/>
      <c r="CO234" s="17"/>
      <c r="CP234" s="11"/>
      <c r="CQ234" s="11"/>
      <c r="CR234" s="11"/>
      <c r="CS234" s="11"/>
      <c r="CT234" s="247"/>
      <c r="CU234" s="247"/>
      <c r="CV234" s="247"/>
      <c r="CW234" s="11"/>
      <c r="CX234" s="11"/>
      <c r="CY234" s="11"/>
      <c r="CZ234" s="11"/>
      <c r="DA234" s="11"/>
      <c r="DB234" s="11"/>
      <c r="DC234" s="11"/>
      <c r="DD234" s="11"/>
      <c r="DE234" s="11"/>
      <c r="DF234" s="11"/>
      <c r="DG234" s="11"/>
      <c r="DH234" s="11"/>
      <c r="DI234" s="11"/>
      <c r="DJ234" s="11"/>
      <c r="DK234" s="11"/>
      <c r="DL234" s="247"/>
      <c r="DM234" s="247"/>
      <c r="DN234" s="247"/>
      <c r="DO234" s="247"/>
      <c r="DP234" s="247"/>
      <c r="DQ234" s="247"/>
      <c r="DR234" s="247"/>
      <c r="DS234" s="247"/>
      <c r="DT234" s="247"/>
      <c r="DU234" s="247"/>
      <c r="DV234" s="247"/>
      <c r="DW234" s="247"/>
      <c r="DX234" s="247"/>
      <c r="DY234" s="247"/>
      <c r="DZ234" s="247"/>
      <c r="EA234" s="247"/>
      <c r="EB234" s="247"/>
      <c r="EC234" s="247"/>
      <c r="ED234" s="17">
        <f t="shared" si="71"/>
        <v>41911.800000000003</v>
      </c>
      <c r="EE234" s="29">
        <f t="shared" si="72"/>
        <v>2</v>
      </c>
      <c r="EF234" s="17">
        <f t="shared" si="69"/>
        <v>20955.900000000001</v>
      </c>
    </row>
    <row r="235" spans="1:136" ht="63.75" x14ac:dyDescent="0.25">
      <c r="A235" s="25">
        <f>Distribución_Elementos!A235</f>
        <v>233</v>
      </c>
      <c r="B235" s="22" t="str">
        <f>Distribución_Elementos!B235</f>
        <v>Frasco de vidrio transparente de 500 ml tapa rosca con graduación, resistente a esterilización con autoclave y anillo de vertido en PP. Vidrio borosilicato 3.3, impresión en cerámica, que cumpla con las normas DIN12331:1998/ISO 3819:1985 e ISO4796-1:2000  o USP Tipo I y ASTM E438, Tipo I.</v>
      </c>
      <c r="C235" s="22" t="str">
        <f>Distribución_Elementos!C235</f>
        <v xml:space="preserve">Pyrex , Corning, Kymax, Brand, Duran, Schott o equivalente </v>
      </c>
      <c r="D235" s="22" t="str">
        <f>Distribución_Elementos!D235</f>
        <v>Unidad</v>
      </c>
      <c r="E235" s="224">
        <v>1</v>
      </c>
      <c r="F235" s="221">
        <v>0</v>
      </c>
      <c r="G235" s="221">
        <v>0</v>
      </c>
      <c r="H235" s="221">
        <v>0</v>
      </c>
      <c r="I235" s="221">
        <v>0</v>
      </c>
      <c r="J235" s="221">
        <v>0</v>
      </c>
      <c r="K235" s="221">
        <v>0</v>
      </c>
      <c r="L235" s="247"/>
      <c r="M235" s="247"/>
      <c r="N235" s="227">
        <v>22500</v>
      </c>
      <c r="O235" s="119">
        <f t="shared" si="74"/>
        <v>4275</v>
      </c>
      <c r="P235" s="119">
        <f t="shared" si="75"/>
        <v>26775</v>
      </c>
      <c r="Q235" s="115"/>
      <c r="R235" s="115"/>
      <c r="S235" s="11"/>
      <c r="T235" s="247">
        <v>17490</v>
      </c>
      <c r="U235" s="247">
        <f t="shared" si="76"/>
        <v>3323.1</v>
      </c>
      <c r="V235" s="247">
        <f>+T235+U235</f>
        <v>20813.099999999999</v>
      </c>
      <c r="W235" s="17" t="s">
        <v>1523</v>
      </c>
      <c r="X235" s="11" t="s">
        <v>1514</v>
      </c>
      <c r="Y235" s="11"/>
      <c r="Z235" s="247"/>
      <c r="AA235" s="247"/>
      <c r="AB235" s="247"/>
      <c r="AC235" s="44"/>
      <c r="AD235" s="22"/>
      <c r="AE235" s="17"/>
      <c r="AF235" s="247"/>
      <c r="AG235" s="247"/>
      <c r="AH235" s="151"/>
      <c r="AI235" s="4"/>
      <c r="AJ235" s="17"/>
      <c r="AK235" s="17"/>
      <c r="AL235" s="102"/>
      <c r="AM235" s="132"/>
      <c r="AN235" s="161"/>
      <c r="AO235" s="115"/>
      <c r="AP235" s="115"/>
      <c r="AQ235" s="17"/>
      <c r="AR235" s="247"/>
      <c r="AS235" s="247"/>
      <c r="AT235" s="247"/>
      <c r="AU235" s="17"/>
      <c r="AV235" s="17"/>
      <c r="AW235" s="17"/>
      <c r="AX235" s="247"/>
      <c r="AY235" s="247"/>
      <c r="AZ235" s="247"/>
      <c r="BA235" s="17"/>
      <c r="BB235" s="52"/>
      <c r="BC235" s="17"/>
      <c r="BD235" s="247"/>
      <c r="BE235" s="247"/>
      <c r="BF235" s="247"/>
      <c r="BG235" s="17"/>
      <c r="BH235" s="17"/>
      <c r="BI235" s="17"/>
      <c r="BJ235" s="247">
        <v>43100</v>
      </c>
      <c r="BK235" s="247">
        <f>+BJ235*0.19</f>
        <v>8189</v>
      </c>
      <c r="BL235" s="247">
        <f t="shared" si="68"/>
        <v>51289</v>
      </c>
      <c r="BM235" s="191" t="s">
        <v>140</v>
      </c>
      <c r="BN235" s="190" t="s">
        <v>1592</v>
      </c>
      <c r="BO235" s="17"/>
      <c r="BP235" s="247"/>
      <c r="BQ235" s="247"/>
      <c r="BR235" s="247"/>
      <c r="BS235" s="17"/>
      <c r="BT235" s="17"/>
      <c r="BU235" s="17"/>
      <c r="BV235" s="195">
        <v>46182.037900000003</v>
      </c>
      <c r="BW235" s="195">
        <f>+BV235*0.19</f>
        <v>8774.5872010000003</v>
      </c>
      <c r="BX235" s="246">
        <f>+BV235+BW235</f>
        <v>54956.625101000005</v>
      </c>
      <c r="BY235" s="191" t="s">
        <v>140</v>
      </c>
      <c r="BZ235" s="190" t="s">
        <v>1592</v>
      </c>
      <c r="CA235" s="190"/>
      <c r="CB235" s="247"/>
      <c r="CC235" s="247"/>
      <c r="CD235" s="247"/>
      <c r="CE235" s="17"/>
      <c r="CF235" s="17"/>
      <c r="CG235" s="17"/>
      <c r="CH235" s="247"/>
      <c r="CI235" s="247"/>
      <c r="CJ235" s="247"/>
      <c r="CK235" s="17"/>
      <c r="CL235" s="17"/>
      <c r="CM235" s="17"/>
      <c r="CN235" s="17"/>
      <c r="CO235" s="17"/>
      <c r="CP235" s="11"/>
      <c r="CQ235" s="11"/>
      <c r="CR235" s="11"/>
      <c r="CS235" s="11"/>
      <c r="CT235" s="247"/>
      <c r="CU235" s="247"/>
      <c r="CV235" s="247"/>
      <c r="CW235" s="11"/>
      <c r="CX235" s="11"/>
      <c r="CY235" s="11"/>
      <c r="CZ235" s="11"/>
      <c r="DA235" s="11"/>
      <c r="DB235" s="11"/>
      <c r="DC235" s="11"/>
      <c r="DD235" s="11"/>
      <c r="DE235" s="11"/>
      <c r="DF235" s="11"/>
      <c r="DG235" s="11"/>
      <c r="DH235" s="11"/>
      <c r="DI235" s="11"/>
      <c r="DJ235" s="11"/>
      <c r="DK235" s="11"/>
      <c r="DL235" s="247"/>
      <c r="DM235" s="247"/>
      <c r="DN235" s="247"/>
      <c r="DO235" s="247"/>
      <c r="DP235" s="247"/>
      <c r="DQ235" s="247"/>
      <c r="DR235" s="247"/>
      <c r="DS235" s="247"/>
      <c r="DT235" s="247"/>
      <c r="DU235" s="247"/>
      <c r="DV235" s="247"/>
      <c r="DW235" s="247"/>
      <c r="DX235" s="247"/>
      <c r="DY235" s="247"/>
      <c r="DZ235" s="247"/>
      <c r="EA235" s="247"/>
      <c r="EB235" s="247"/>
      <c r="EC235" s="247"/>
      <c r="ED235" s="17">
        <f t="shared" si="71"/>
        <v>153833.72510100002</v>
      </c>
      <c r="EE235" s="29">
        <f t="shared" si="72"/>
        <v>4</v>
      </c>
      <c r="EF235" s="17">
        <f t="shared" si="69"/>
        <v>38458.431275250005</v>
      </c>
    </row>
    <row r="236" spans="1:136" ht="25.5" x14ac:dyDescent="0.25">
      <c r="A236" s="25">
        <f>Distribución_Elementos!A236</f>
        <v>234</v>
      </c>
      <c r="B236" s="22" t="str">
        <f>Distribución_Elementos!B236</f>
        <v>Frasco lavador de cuello ancho de 500 ml de capacidad (Para pruebas de Elisa)</v>
      </c>
      <c r="C236" s="22" t="str">
        <f>Distribución_Elementos!C236</f>
        <v>Cualquier marca</v>
      </c>
      <c r="D236" s="22" t="str">
        <f>Distribución_Elementos!D236</f>
        <v>Paquete x 5</v>
      </c>
      <c r="E236" s="224">
        <v>1</v>
      </c>
      <c r="F236" s="221">
        <v>60987.5</v>
      </c>
      <c r="G236" s="221">
        <v>60988</v>
      </c>
      <c r="H236" s="221">
        <v>65381.232454543504</v>
      </c>
      <c r="I236" s="221">
        <v>0</v>
      </c>
      <c r="J236" s="221">
        <v>234756.69777777779</v>
      </c>
      <c r="K236" s="221">
        <v>232050</v>
      </c>
      <c r="L236" s="247">
        <f>AVERAGE(F236,H236,J236)</f>
        <v>120375.14341077376</v>
      </c>
      <c r="M236" s="247">
        <f>AVERAGE(G236,K236)*E1</f>
        <v>150914.57</v>
      </c>
      <c r="N236" s="227"/>
      <c r="O236" s="119"/>
      <c r="P236" s="119"/>
      <c r="Q236" s="115"/>
      <c r="R236" s="115"/>
      <c r="S236" s="11"/>
      <c r="T236" s="247"/>
      <c r="U236" s="247"/>
      <c r="V236" s="247"/>
      <c r="W236" s="17"/>
      <c r="X236" s="11"/>
      <c r="Y236" s="11"/>
      <c r="Z236" s="247"/>
      <c r="AA236" s="247"/>
      <c r="AB236" s="247"/>
      <c r="AC236" s="44"/>
      <c r="AD236" s="22"/>
      <c r="AE236" s="17"/>
      <c r="AF236" s="247"/>
      <c r="AG236" s="247"/>
      <c r="AH236" s="151"/>
      <c r="AI236" s="4"/>
      <c r="AJ236" s="17"/>
      <c r="AK236" s="17"/>
      <c r="AL236" s="102"/>
      <c r="AM236" s="132"/>
      <c r="AN236" s="161"/>
      <c r="AO236" s="115"/>
      <c r="AP236" s="115"/>
      <c r="AQ236" s="17"/>
      <c r="AR236" s="247"/>
      <c r="AS236" s="247"/>
      <c r="AT236" s="247"/>
      <c r="AU236" s="17"/>
      <c r="AV236" s="17"/>
      <c r="AW236" s="17"/>
      <c r="AX236" s="247"/>
      <c r="AY236" s="247"/>
      <c r="AZ236" s="247"/>
      <c r="BA236" s="17"/>
      <c r="BB236" s="52"/>
      <c r="BC236" s="17"/>
      <c r="BD236" s="247"/>
      <c r="BE236" s="247"/>
      <c r="BF236" s="247"/>
      <c r="BG236" s="17"/>
      <c r="BH236" s="17"/>
      <c r="BI236" s="17"/>
      <c r="BJ236" s="193">
        <f>+(1927200/6)*5</f>
        <v>1606000</v>
      </c>
      <c r="BK236" s="247">
        <f>+BJ236*0.19</f>
        <v>305140</v>
      </c>
      <c r="BL236" s="247">
        <f t="shared" si="68"/>
        <v>1911140</v>
      </c>
      <c r="BM236" s="190" t="s">
        <v>1610</v>
      </c>
      <c r="BN236" s="190" t="s">
        <v>316</v>
      </c>
      <c r="BO236" s="17"/>
      <c r="BP236" s="247">
        <f>16500*5</f>
        <v>82500</v>
      </c>
      <c r="BQ236" s="247">
        <f t="shared" si="70"/>
        <v>15675</v>
      </c>
      <c r="BR236" s="247">
        <f t="shared" si="73"/>
        <v>98175</v>
      </c>
      <c r="BS236" s="17"/>
      <c r="BT236" s="17"/>
      <c r="BU236" s="17"/>
      <c r="BV236" s="195"/>
      <c r="BW236" s="195"/>
      <c r="BX236" s="246"/>
      <c r="BY236" s="190"/>
      <c r="BZ236" s="190"/>
      <c r="CA236" s="190"/>
      <c r="CB236" s="247"/>
      <c r="CC236" s="247"/>
      <c r="CD236" s="247"/>
      <c r="CE236" s="17"/>
      <c r="CF236" s="17"/>
      <c r="CG236" s="17"/>
      <c r="CH236" s="247"/>
      <c r="CI236" s="247"/>
      <c r="CJ236" s="247"/>
      <c r="CK236" s="17"/>
      <c r="CL236" s="17"/>
      <c r="CM236" s="17"/>
      <c r="CN236" s="17"/>
      <c r="CO236" s="17"/>
      <c r="CP236" s="11"/>
      <c r="CQ236" s="11"/>
      <c r="CR236" s="11"/>
      <c r="CS236" s="11"/>
      <c r="CT236" s="247"/>
      <c r="CU236" s="247"/>
      <c r="CV236" s="247"/>
      <c r="CW236" s="11"/>
      <c r="CX236" s="11"/>
      <c r="CY236" s="11"/>
      <c r="CZ236" s="11"/>
      <c r="DA236" s="11"/>
      <c r="DB236" s="11"/>
      <c r="DC236" s="11"/>
      <c r="DD236" s="11"/>
      <c r="DE236" s="11"/>
      <c r="DF236" s="11"/>
      <c r="DG236" s="11"/>
      <c r="DH236" s="11"/>
      <c r="DI236" s="11"/>
      <c r="DJ236" s="11"/>
      <c r="DK236" s="11"/>
      <c r="DL236" s="247"/>
      <c r="DM236" s="247"/>
      <c r="DN236" s="247"/>
      <c r="DO236" s="247"/>
      <c r="DP236" s="247"/>
      <c r="DQ236" s="247"/>
      <c r="DR236" s="247"/>
      <c r="DS236" s="247"/>
      <c r="DT236" s="247"/>
      <c r="DU236" s="247"/>
      <c r="DV236" s="247"/>
      <c r="DW236" s="247"/>
      <c r="DX236" s="247"/>
      <c r="DY236" s="247"/>
      <c r="DZ236" s="247"/>
      <c r="EA236" s="247"/>
      <c r="EB236" s="247"/>
      <c r="EC236" s="247"/>
      <c r="ED236" s="17">
        <f t="shared" si="71"/>
        <v>2160229.5700000003</v>
      </c>
      <c r="EE236" s="29">
        <f t="shared" si="72"/>
        <v>3</v>
      </c>
      <c r="EF236" s="17">
        <f t="shared" si="69"/>
        <v>720076.52333333343</v>
      </c>
    </row>
    <row r="237" spans="1:136" ht="25.5" x14ac:dyDescent="0.25">
      <c r="A237" s="25">
        <f>Distribución_Elementos!A237</f>
        <v>235</v>
      </c>
      <c r="B237" s="22" t="str">
        <f>Distribución_Elementos!B237</f>
        <v xml:space="preserve">Frasco lavador de polietileno de boca ancha de 1000ml para lavador de microplacas de ELISA </v>
      </c>
      <c r="C237" s="22" t="str">
        <f>Distribución_Elementos!C237</f>
        <v>Cualquier marca</v>
      </c>
      <c r="D237" s="22" t="str">
        <f>Distribución_Elementos!D237</f>
        <v>Unidad</v>
      </c>
      <c r="E237" s="224">
        <v>1</v>
      </c>
      <c r="F237" s="221">
        <v>0</v>
      </c>
      <c r="G237" s="221">
        <v>0</v>
      </c>
      <c r="H237" s="221">
        <v>19241.739450441608</v>
      </c>
      <c r="I237" s="221">
        <v>0</v>
      </c>
      <c r="J237" s="221">
        <v>59500</v>
      </c>
      <c r="K237" s="221">
        <v>0</v>
      </c>
      <c r="L237" s="247">
        <f>AVERAGE(H237,J237)</f>
        <v>39370.869725220808</v>
      </c>
      <c r="M237" s="247"/>
      <c r="N237" s="227">
        <v>50000</v>
      </c>
      <c r="O237" s="119">
        <f>+N237*0.19</f>
        <v>9500</v>
      </c>
      <c r="P237" s="119">
        <f>+N237+O237</f>
        <v>59500</v>
      </c>
      <c r="Q237" s="115"/>
      <c r="R237" s="115"/>
      <c r="S237" s="11"/>
      <c r="T237" s="247"/>
      <c r="U237" s="247"/>
      <c r="V237" s="247"/>
      <c r="W237" s="17"/>
      <c r="X237" s="11"/>
      <c r="Y237" s="11"/>
      <c r="Z237" s="247"/>
      <c r="AA237" s="247"/>
      <c r="AB237" s="247"/>
      <c r="AC237" s="5"/>
      <c r="AD237" s="22"/>
      <c r="AE237" s="17"/>
      <c r="AF237" s="247"/>
      <c r="AG237" s="247"/>
      <c r="AH237" s="149"/>
      <c r="AI237" s="4"/>
      <c r="AJ237" s="17"/>
      <c r="AK237" s="17"/>
      <c r="AL237" s="102"/>
      <c r="AM237" s="132"/>
      <c r="AN237" s="161"/>
      <c r="AO237" s="115"/>
      <c r="AP237" s="115"/>
      <c r="AQ237" s="17"/>
      <c r="AR237" s="247"/>
      <c r="AS237" s="247"/>
      <c r="AT237" s="247"/>
      <c r="AU237" s="17"/>
      <c r="AV237" s="17"/>
      <c r="AW237" s="17"/>
      <c r="AX237" s="247"/>
      <c r="AY237" s="247"/>
      <c r="AZ237" s="247"/>
      <c r="BA237" s="17"/>
      <c r="BB237" s="52"/>
      <c r="BC237" s="17"/>
      <c r="BD237" s="247"/>
      <c r="BE237" s="247"/>
      <c r="BF237" s="247"/>
      <c r="BG237" s="17"/>
      <c r="BH237" s="17"/>
      <c r="BI237" s="17"/>
      <c r="BJ237" s="247">
        <f>782800/25</f>
        <v>31312</v>
      </c>
      <c r="BK237" s="247">
        <f>+BJ237*0.19</f>
        <v>5949.28</v>
      </c>
      <c r="BL237" s="247">
        <f t="shared" si="68"/>
        <v>37261.279999999999</v>
      </c>
      <c r="BM237" s="190" t="s">
        <v>1611</v>
      </c>
      <c r="BN237" s="190" t="s">
        <v>1565</v>
      </c>
      <c r="BO237" s="17"/>
      <c r="BP237" s="247">
        <v>18500</v>
      </c>
      <c r="BQ237" s="247">
        <f t="shared" si="70"/>
        <v>3515</v>
      </c>
      <c r="BR237" s="247">
        <f t="shared" si="73"/>
        <v>22015</v>
      </c>
      <c r="BS237" s="17"/>
      <c r="BT237" s="17"/>
      <c r="BU237" s="17"/>
      <c r="BV237" s="195">
        <f>822569.3712/25</f>
        <v>32902.774848000001</v>
      </c>
      <c r="BW237" s="195">
        <f>+BV237*0.19</f>
        <v>6251.5272211199999</v>
      </c>
      <c r="BX237" s="246">
        <f>+BV237+BW237</f>
        <v>39154.30206912</v>
      </c>
      <c r="BY237" s="190" t="s">
        <v>1611</v>
      </c>
      <c r="BZ237" s="190" t="s">
        <v>1565</v>
      </c>
      <c r="CA237" s="190"/>
      <c r="CB237" s="247"/>
      <c r="CC237" s="247"/>
      <c r="CD237" s="247"/>
      <c r="CE237" s="17"/>
      <c r="CF237" s="17"/>
      <c r="CG237" s="17"/>
      <c r="CH237" s="247"/>
      <c r="CI237" s="247"/>
      <c r="CJ237" s="247"/>
      <c r="CK237" s="17"/>
      <c r="CL237" s="17"/>
      <c r="CM237" s="17"/>
      <c r="CN237" s="17"/>
      <c r="CO237" s="17"/>
      <c r="CP237" s="11"/>
      <c r="CQ237" s="11"/>
      <c r="CR237" s="11"/>
      <c r="CS237" s="11"/>
      <c r="CT237" s="247"/>
      <c r="CU237" s="247"/>
      <c r="CV237" s="247"/>
      <c r="CW237" s="11"/>
      <c r="CX237" s="11"/>
      <c r="CY237" s="11"/>
      <c r="CZ237" s="11"/>
      <c r="DA237" s="11"/>
      <c r="DB237" s="11"/>
      <c r="DC237" s="11"/>
      <c r="DD237" s="11"/>
      <c r="DE237" s="11"/>
      <c r="DF237" s="11"/>
      <c r="DG237" s="11"/>
      <c r="DH237" s="11"/>
      <c r="DI237" s="11"/>
      <c r="DJ237" s="11"/>
      <c r="DK237" s="11"/>
      <c r="DL237" s="247"/>
      <c r="DM237" s="247"/>
      <c r="DN237" s="247"/>
      <c r="DO237" s="247"/>
      <c r="DP237" s="247"/>
      <c r="DQ237" s="247"/>
      <c r="DR237" s="247"/>
      <c r="DS237" s="247"/>
      <c r="DT237" s="247"/>
      <c r="DU237" s="247"/>
      <c r="DV237" s="247"/>
      <c r="DW237" s="247"/>
      <c r="DX237" s="247"/>
      <c r="DY237" s="247"/>
      <c r="DZ237" s="247"/>
      <c r="EA237" s="247"/>
      <c r="EB237" s="247"/>
      <c r="EC237" s="247"/>
      <c r="ED237" s="17">
        <f t="shared" si="71"/>
        <v>157930.58206911999</v>
      </c>
      <c r="EE237" s="29">
        <f t="shared" si="72"/>
        <v>4</v>
      </c>
      <c r="EF237" s="17">
        <f t="shared" si="69"/>
        <v>39482.645517279998</v>
      </c>
    </row>
    <row r="238" spans="1:136" ht="25.5" x14ac:dyDescent="0.25">
      <c r="A238" s="25">
        <f>Distribución_Elementos!A238</f>
        <v>236</v>
      </c>
      <c r="B238" s="22" t="str">
        <f>Distribución_Elementos!B238</f>
        <v>Frasco lavador en polietileno para ojos. Capacidad 500 ml, con cloruro de sodio al 0.9%</v>
      </c>
      <c r="C238" s="22" t="str">
        <f>Distribución_Elementos!C238</f>
        <v>Cualquier marca</v>
      </c>
      <c r="D238" s="22" t="str">
        <f>Distribución_Elementos!D238</f>
        <v>Unidad</v>
      </c>
      <c r="E238" s="224">
        <v>1</v>
      </c>
      <c r="F238" s="221">
        <v>95200</v>
      </c>
      <c r="G238" s="221">
        <v>0</v>
      </c>
      <c r="H238" s="221">
        <v>65938.197500000009</v>
      </c>
      <c r="I238" s="221">
        <v>0</v>
      </c>
      <c r="J238" s="221">
        <v>94048.675000000003</v>
      </c>
      <c r="K238" s="221">
        <v>0</v>
      </c>
      <c r="L238" s="247">
        <f>AVERAGE(F238,H238,J238)</f>
        <v>85062.290833333333</v>
      </c>
      <c r="M238" s="247"/>
      <c r="N238" s="227">
        <v>110000</v>
      </c>
      <c r="O238" s="119">
        <f>+N238*0.19</f>
        <v>20900</v>
      </c>
      <c r="P238" s="119">
        <f>+N238+O238</f>
        <v>130900</v>
      </c>
      <c r="Q238" s="115"/>
      <c r="R238" s="115"/>
      <c r="S238" s="11"/>
      <c r="T238" s="247"/>
      <c r="U238" s="247"/>
      <c r="V238" s="247"/>
      <c r="W238" s="17"/>
      <c r="X238" s="11"/>
      <c r="Y238" s="11"/>
      <c r="Z238" s="247"/>
      <c r="AA238" s="247"/>
      <c r="AB238" s="247"/>
      <c r="AC238" s="44"/>
      <c r="AD238" s="22"/>
      <c r="AE238" s="17"/>
      <c r="AF238" s="247"/>
      <c r="AG238" s="247"/>
      <c r="AH238" s="151"/>
      <c r="AI238" s="4"/>
      <c r="AJ238" s="17"/>
      <c r="AK238" s="17"/>
      <c r="AL238" s="102"/>
      <c r="AM238" s="132"/>
      <c r="AN238" s="161"/>
      <c r="AO238" s="115"/>
      <c r="AP238" s="115"/>
      <c r="AQ238" s="17"/>
      <c r="AR238" s="247"/>
      <c r="AS238" s="247"/>
      <c r="AT238" s="247"/>
      <c r="AU238" s="17"/>
      <c r="AV238" s="17"/>
      <c r="AW238" s="17"/>
      <c r="AX238" s="247"/>
      <c r="AY238" s="247"/>
      <c r="AZ238" s="247"/>
      <c r="BA238" s="17"/>
      <c r="BB238" s="52"/>
      <c r="BC238" s="17"/>
      <c r="BD238" s="247"/>
      <c r="BE238" s="247"/>
      <c r="BF238" s="247"/>
      <c r="BG238" s="17"/>
      <c r="BH238" s="17"/>
      <c r="BI238" s="17"/>
      <c r="BJ238" s="247"/>
      <c r="BK238" s="247"/>
      <c r="BL238" s="247"/>
      <c r="BM238" s="190"/>
      <c r="BN238" s="190"/>
      <c r="BO238" s="17"/>
      <c r="BP238" s="247">
        <v>89600</v>
      </c>
      <c r="BQ238" s="247">
        <f t="shared" si="70"/>
        <v>17024</v>
      </c>
      <c r="BR238" s="247">
        <f t="shared" si="73"/>
        <v>106624</v>
      </c>
      <c r="BS238" s="17"/>
      <c r="BT238" s="17"/>
      <c r="BU238" s="17"/>
      <c r="BV238" s="189"/>
      <c r="BW238" s="197"/>
      <c r="BX238" s="246"/>
      <c r="BY238" s="190"/>
      <c r="BZ238" s="190"/>
      <c r="CA238" s="190"/>
      <c r="CB238" s="247"/>
      <c r="CC238" s="247"/>
      <c r="CD238" s="247"/>
      <c r="CE238" s="17"/>
      <c r="CF238" s="17"/>
      <c r="CG238" s="17"/>
      <c r="CH238" s="247"/>
      <c r="CI238" s="247"/>
      <c r="CJ238" s="247"/>
      <c r="CK238" s="17"/>
      <c r="CL238" s="17"/>
      <c r="CM238" s="17"/>
      <c r="CN238" s="17"/>
      <c r="CO238" s="17"/>
      <c r="CP238" s="11"/>
      <c r="CQ238" s="11"/>
      <c r="CR238" s="11"/>
      <c r="CS238" s="11"/>
      <c r="CT238" s="247"/>
      <c r="CU238" s="247"/>
      <c r="CV238" s="247"/>
      <c r="CW238" s="11"/>
      <c r="CX238" s="11"/>
      <c r="CY238" s="11"/>
      <c r="CZ238" s="11"/>
      <c r="DA238" s="11"/>
      <c r="DB238" s="11"/>
      <c r="DC238" s="11"/>
      <c r="DD238" s="11"/>
      <c r="DE238" s="11"/>
      <c r="DF238" s="11"/>
      <c r="DG238" s="11"/>
      <c r="DH238" s="11"/>
      <c r="DI238" s="11"/>
      <c r="DJ238" s="11"/>
      <c r="DK238" s="11"/>
      <c r="DL238" s="247"/>
      <c r="DM238" s="247"/>
      <c r="DN238" s="247"/>
      <c r="DO238" s="247"/>
      <c r="DP238" s="247"/>
      <c r="DQ238" s="247"/>
      <c r="DR238" s="247"/>
      <c r="DS238" s="247"/>
      <c r="DT238" s="247"/>
      <c r="DU238" s="247"/>
      <c r="DV238" s="247"/>
      <c r="DW238" s="247"/>
      <c r="DX238" s="247"/>
      <c r="DY238" s="247"/>
      <c r="DZ238" s="247"/>
      <c r="EA238" s="247"/>
      <c r="EB238" s="247"/>
      <c r="EC238" s="247"/>
      <c r="ED238" s="17">
        <f t="shared" si="71"/>
        <v>237524</v>
      </c>
      <c r="EE238" s="29">
        <f t="shared" si="72"/>
        <v>2</v>
      </c>
      <c r="EF238" s="17">
        <f t="shared" si="69"/>
        <v>118762</v>
      </c>
    </row>
    <row r="239" spans="1:136" ht="25.5" x14ac:dyDescent="0.25">
      <c r="A239" s="25">
        <f>Distribución_Elementos!A239</f>
        <v>237</v>
      </c>
      <c r="B239" s="22" t="str">
        <f>Distribución_Elementos!B239</f>
        <v>Frasco plástico con tapa de cierre hermético para toma de muestra de orina estéril 50 – 60 ml.</v>
      </c>
      <c r="C239" s="22" t="str">
        <f>Distribución_Elementos!C239</f>
        <v>Cualquier marca</v>
      </c>
      <c r="D239" s="22" t="str">
        <f>Distribución_Elementos!D239</f>
        <v>Unidad</v>
      </c>
      <c r="E239" s="224">
        <v>1</v>
      </c>
      <c r="F239" s="221">
        <v>0</v>
      </c>
      <c r="G239" s="221">
        <v>0</v>
      </c>
      <c r="H239" s="221">
        <v>0</v>
      </c>
      <c r="I239" s="221">
        <v>0</v>
      </c>
      <c r="J239" s="221">
        <v>2082.5</v>
      </c>
      <c r="K239" s="221">
        <v>595</v>
      </c>
      <c r="L239" s="247">
        <f>J239</f>
        <v>2082.5</v>
      </c>
      <c r="M239" s="247">
        <f>K239*E1</f>
        <v>612.85</v>
      </c>
      <c r="N239" s="227">
        <v>1000</v>
      </c>
      <c r="O239" s="119">
        <f>+N239*0.19</f>
        <v>190</v>
      </c>
      <c r="P239" s="119">
        <f>+N239+O239</f>
        <v>1190</v>
      </c>
      <c r="Q239" s="115"/>
      <c r="R239" s="115"/>
      <c r="S239" s="11"/>
      <c r="T239" s="247"/>
      <c r="U239" s="247"/>
      <c r="V239" s="247"/>
      <c r="W239" s="17"/>
      <c r="X239" s="11"/>
      <c r="Y239" s="11"/>
      <c r="Z239" s="247"/>
      <c r="AA239" s="247"/>
      <c r="AB239" s="247"/>
      <c r="AC239" s="44"/>
      <c r="AD239" s="22"/>
      <c r="AE239" s="17"/>
      <c r="AF239" s="247"/>
      <c r="AG239" s="247"/>
      <c r="AH239" s="151"/>
      <c r="AI239" s="4"/>
      <c r="AJ239" s="17"/>
      <c r="AK239" s="17"/>
      <c r="AL239" s="102"/>
      <c r="AM239" s="132"/>
      <c r="AN239" s="161"/>
      <c r="AO239" s="115"/>
      <c r="AP239" s="115"/>
      <c r="AQ239" s="17"/>
      <c r="AR239" s="247"/>
      <c r="AS239" s="247"/>
      <c r="AT239" s="247"/>
      <c r="AU239" s="17"/>
      <c r="AV239" s="17"/>
      <c r="AW239" s="17"/>
      <c r="AX239" s="247"/>
      <c r="AY239" s="247"/>
      <c r="AZ239" s="247"/>
      <c r="BA239" s="17"/>
      <c r="BB239" s="52"/>
      <c r="BC239" s="17"/>
      <c r="BD239" s="247"/>
      <c r="BE239" s="247"/>
      <c r="BF239" s="247"/>
      <c r="BG239" s="17"/>
      <c r="BH239" s="17"/>
      <c r="BI239" s="17"/>
      <c r="BJ239" s="247">
        <v>700</v>
      </c>
      <c r="BK239" s="247">
        <f>+BJ239*0.19</f>
        <v>133</v>
      </c>
      <c r="BL239" s="247">
        <f t="shared" si="68"/>
        <v>833</v>
      </c>
      <c r="BM239" s="191" t="s">
        <v>140</v>
      </c>
      <c r="BN239" s="190" t="s">
        <v>1612</v>
      </c>
      <c r="BO239" s="17"/>
      <c r="BP239" s="247">
        <v>350</v>
      </c>
      <c r="BQ239" s="247">
        <f t="shared" si="70"/>
        <v>66.5</v>
      </c>
      <c r="BR239" s="247">
        <f t="shared" si="73"/>
        <v>416.5</v>
      </c>
      <c r="BS239" s="17"/>
      <c r="BT239" s="17"/>
      <c r="BU239" s="17"/>
      <c r="BV239" s="195">
        <v>809.3904</v>
      </c>
      <c r="BW239" s="195">
        <f>+BV239*0.19</f>
        <v>153.784176</v>
      </c>
      <c r="BX239" s="246">
        <f>+BV239+BW239</f>
        <v>963.174576</v>
      </c>
      <c r="BY239" s="191" t="s">
        <v>140</v>
      </c>
      <c r="BZ239" s="190" t="s">
        <v>1612</v>
      </c>
      <c r="CA239" s="190"/>
      <c r="CB239" s="247"/>
      <c r="CC239" s="247"/>
      <c r="CD239" s="247"/>
      <c r="CE239" s="17"/>
      <c r="CF239" s="17"/>
      <c r="CG239" s="17"/>
      <c r="CH239" s="247"/>
      <c r="CI239" s="247"/>
      <c r="CJ239" s="247"/>
      <c r="CK239" s="17"/>
      <c r="CL239" s="17"/>
      <c r="CM239" s="17"/>
      <c r="CN239" s="17"/>
      <c r="CO239" s="17"/>
      <c r="CP239" s="11"/>
      <c r="CQ239" s="11"/>
      <c r="CR239" s="11"/>
      <c r="CS239" s="11"/>
      <c r="CT239" s="247"/>
      <c r="CU239" s="247"/>
      <c r="CV239" s="247"/>
      <c r="CW239" s="11"/>
      <c r="CX239" s="11"/>
      <c r="CY239" s="11"/>
      <c r="CZ239" s="11"/>
      <c r="DA239" s="11"/>
      <c r="DB239" s="11"/>
      <c r="DC239" s="11"/>
      <c r="DD239" s="11"/>
      <c r="DE239" s="11"/>
      <c r="DF239" s="11"/>
      <c r="DG239" s="11"/>
      <c r="DH239" s="11"/>
      <c r="DI239" s="11"/>
      <c r="DJ239" s="11"/>
      <c r="DK239" s="11"/>
      <c r="DL239" s="247"/>
      <c r="DM239" s="247"/>
      <c r="DN239" s="247"/>
      <c r="DO239" s="247"/>
      <c r="DP239" s="247"/>
      <c r="DQ239" s="247"/>
      <c r="DR239" s="247"/>
      <c r="DS239" s="247"/>
      <c r="DT239" s="247"/>
      <c r="DU239" s="247"/>
      <c r="DV239" s="247"/>
      <c r="DW239" s="247"/>
      <c r="DX239" s="247"/>
      <c r="DY239" s="247"/>
      <c r="DZ239" s="247"/>
      <c r="EA239" s="247"/>
      <c r="EB239" s="247"/>
      <c r="EC239" s="247"/>
      <c r="ED239" s="17">
        <f t="shared" si="71"/>
        <v>4015.5245759999998</v>
      </c>
      <c r="EE239" s="29">
        <f t="shared" si="72"/>
        <v>5</v>
      </c>
      <c r="EF239" s="17">
        <f t="shared" si="69"/>
        <v>803.10491519999994</v>
      </c>
    </row>
    <row r="240" spans="1:136" ht="38.25" x14ac:dyDescent="0.25">
      <c r="A240" s="25">
        <f>Distribución_Elementos!A240</f>
        <v>238</v>
      </c>
      <c r="B240" s="22" t="str">
        <f>Distribución_Elementos!B240</f>
        <v>Frasco plástico de 250 ml en polipropileno, con tapa rosca de cierre hermético. Diametro 60 ± 5 mm, altura 141 ± 5 mm, diametro del cuello interior 34 ±5 mm Boca de 32 ±5 mm</v>
      </c>
      <c r="C240" s="22" t="str">
        <f>Distribución_Elementos!C240</f>
        <v>Brand 1286 48 o equivalente</v>
      </c>
      <c r="D240" s="22" t="str">
        <f>Distribución_Elementos!D240</f>
        <v>Paquete X 10</v>
      </c>
      <c r="E240" s="224">
        <v>1</v>
      </c>
      <c r="F240" s="221">
        <v>0</v>
      </c>
      <c r="G240" s="221">
        <v>0</v>
      </c>
      <c r="H240" s="221">
        <v>0</v>
      </c>
      <c r="I240" s="221">
        <v>0</v>
      </c>
      <c r="J240" s="221">
        <v>133875</v>
      </c>
      <c r="K240" s="221">
        <v>117810</v>
      </c>
      <c r="L240" s="247">
        <f>J240</f>
        <v>133875</v>
      </c>
      <c r="M240" s="247">
        <f>K240*E1</f>
        <v>121344.3</v>
      </c>
      <c r="N240" s="227"/>
      <c r="O240" s="119"/>
      <c r="P240" s="119"/>
      <c r="Q240" s="115"/>
      <c r="R240" s="115"/>
      <c r="S240" s="11"/>
      <c r="T240" s="247"/>
      <c r="U240" s="247"/>
      <c r="V240" s="247"/>
      <c r="W240" s="17"/>
      <c r="X240" s="11"/>
      <c r="Y240" s="11"/>
      <c r="Z240" s="247"/>
      <c r="AA240" s="247"/>
      <c r="AB240" s="247"/>
      <c r="AC240" s="5"/>
      <c r="AD240" s="22"/>
      <c r="AE240" s="17"/>
      <c r="AF240" s="247"/>
      <c r="AG240" s="247"/>
      <c r="AH240" s="149"/>
      <c r="AI240" s="4"/>
      <c r="AJ240" s="17"/>
      <c r="AK240" s="17"/>
      <c r="AL240" s="102"/>
      <c r="AM240" s="132"/>
      <c r="AN240" s="161"/>
      <c r="AO240" s="115"/>
      <c r="AP240" s="115"/>
      <c r="AQ240" s="17"/>
      <c r="AR240" s="247"/>
      <c r="AS240" s="247"/>
      <c r="AT240" s="247"/>
      <c r="AU240" s="17"/>
      <c r="AV240" s="17"/>
      <c r="AW240" s="17"/>
      <c r="AX240" s="247"/>
      <c r="AY240" s="247"/>
      <c r="AZ240" s="247"/>
      <c r="BA240" s="17"/>
      <c r="BB240" s="52"/>
      <c r="BC240" s="17"/>
      <c r="BD240" s="247"/>
      <c r="BE240" s="247"/>
      <c r="BF240" s="247"/>
      <c r="BG240" s="17"/>
      <c r="BH240" s="17"/>
      <c r="BI240" s="17"/>
      <c r="BJ240" s="247"/>
      <c r="BK240" s="247"/>
      <c r="BL240" s="247"/>
      <c r="BM240" s="190"/>
      <c r="BN240" s="190"/>
      <c r="BO240" s="17"/>
      <c r="BP240" s="247"/>
      <c r="BQ240" s="247"/>
      <c r="BR240" s="247"/>
      <c r="BS240" s="17"/>
      <c r="BT240" s="17"/>
      <c r="BU240" s="17"/>
      <c r="BV240" s="189"/>
      <c r="BW240" s="197"/>
      <c r="BX240" s="246"/>
      <c r="BY240" s="190"/>
      <c r="BZ240" s="190"/>
      <c r="CA240" s="190"/>
      <c r="CB240" s="247"/>
      <c r="CC240" s="247"/>
      <c r="CD240" s="247"/>
      <c r="CE240" s="17"/>
      <c r="CF240" s="17"/>
      <c r="CG240" s="17"/>
      <c r="CH240" s="247"/>
      <c r="CI240" s="247"/>
      <c r="CJ240" s="247"/>
      <c r="CK240" s="17"/>
      <c r="CL240" s="17"/>
      <c r="CM240" s="17"/>
      <c r="CN240" s="17"/>
      <c r="CO240" s="17"/>
      <c r="CP240" s="11"/>
      <c r="CQ240" s="11"/>
      <c r="CR240" s="11"/>
      <c r="CS240" s="11"/>
      <c r="CT240" s="247"/>
      <c r="CU240" s="247"/>
      <c r="CV240" s="247"/>
      <c r="CW240" s="11"/>
      <c r="CX240" s="11"/>
      <c r="CY240" s="11"/>
      <c r="CZ240" s="11"/>
      <c r="DA240" s="11"/>
      <c r="DB240" s="11"/>
      <c r="DC240" s="11"/>
      <c r="DD240" s="11"/>
      <c r="DE240" s="11"/>
      <c r="DF240" s="11"/>
      <c r="DG240" s="11"/>
      <c r="DH240" s="11"/>
      <c r="DI240" s="11"/>
      <c r="DJ240" s="11"/>
      <c r="DK240" s="11"/>
      <c r="DL240" s="247"/>
      <c r="DM240" s="247"/>
      <c r="DN240" s="247"/>
      <c r="DO240" s="247"/>
      <c r="DP240" s="247"/>
      <c r="DQ240" s="247"/>
      <c r="DR240" s="247"/>
      <c r="DS240" s="247"/>
      <c r="DT240" s="247"/>
      <c r="DU240" s="247"/>
      <c r="DV240" s="247"/>
      <c r="DW240" s="247"/>
      <c r="DX240" s="247"/>
      <c r="DY240" s="247"/>
      <c r="DZ240" s="247"/>
      <c r="EA240" s="247"/>
      <c r="EB240" s="247"/>
      <c r="EC240" s="247"/>
      <c r="ED240" s="17">
        <f t="shared" si="71"/>
        <v>121344.3</v>
      </c>
      <c r="EE240" s="29">
        <f t="shared" si="72"/>
        <v>1</v>
      </c>
      <c r="EF240" s="17">
        <f t="shared" si="69"/>
        <v>121344.3</v>
      </c>
    </row>
    <row r="241" spans="1:136" ht="25.5" x14ac:dyDescent="0.25">
      <c r="A241" s="25">
        <f>Distribución_Elementos!A241</f>
        <v>239</v>
      </c>
      <c r="B241" s="22" t="str">
        <f>Distribución_Elementos!B241</f>
        <v>Frasco plástico para muestras boca ancha PS  o PP con tapa  rosca x 120mL (68x53mm)</v>
      </c>
      <c r="C241" s="22" t="str">
        <f>Distribución_Elementos!C241</f>
        <v>Cualquier marca</v>
      </c>
      <c r="D241" s="22" t="str">
        <f>Distribución_Elementos!D241</f>
        <v xml:space="preserve">Paquete x 50 </v>
      </c>
      <c r="E241" s="224">
        <v>1</v>
      </c>
      <c r="F241" s="221">
        <v>0</v>
      </c>
      <c r="G241" s="221">
        <v>0</v>
      </c>
      <c r="H241" s="221">
        <v>0</v>
      </c>
      <c r="I241" s="221">
        <v>0</v>
      </c>
      <c r="J241" s="221">
        <v>666400</v>
      </c>
      <c r="K241" s="221">
        <v>236810</v>
      </c>
      <c r="L241" s="247">
        <f>J241</f>
        <v>666400</v>
      </c>
      <c r="M241" s="247">
        <f>K241*E1</f>
        <v>243914.30000000002</v>
      </c>
      <c r="N241" s="227">
        <v>57500</v>
      </c>
      <c r="O241" s="119">
        <f>+N241*0.19</f>
        <v>10925</v>
      </c>
      <c r="P241" s="119">
        <f>+N241+O241</f>
        <v>68425</v>
      </c>
      <c r="Q241" s="115"/>
      <c r="R241" s="115"/>
      <c r="S241" s="11"/>
      <c r="T241" s="247"/>
      <c r="U241" s="247"/>
      <c r="V241" s="247"/>
      <c r="W241" s="17"/>
      <c r="X241" s="11"/>
      <c r="Y241" s="11"/>
      <c r="Z241" s="247"/>
      <c r="AA241" s="247"/>
      <c r="AB241" s="247"/>
      <c r="AC241" s="44"/>
      <c r="AD241" s="22"/>
      <c r="AE241" s="17"/>
      <c r="AF241" s="247"/>
      <c r="AG241" s="247"/>
      <c r="AH241" s="97"/>
      <c r="AI241" s="22"/>
      <c r="AJ241" s="17"/>
      <c r="AK241" s="17"/>
      <c r="AL241" s="102"/>
      <c r="AM241" s="132"/>
      <c r="AN241" s="161"/>
      <c r="AO241" s="115"/>
      <c r="AP241" s="115"/>
      <c r="AQ241" s="17"/>
      <c r="AR241" s="247"/>
      <c r="AS241" s="247"/>
      <c r="AT241" s="247"/>
      <c r="AU241" s="17"/>
      <c r="AV241" s="17"/>
      <c r="AW241" s="17"/>
      <c r="AX241" s="247"/>
      <c r="AY241" s="247"/>
      <c r="AZ241" s="247"/>
      <c r="BA241" s="17"/>
      <c r="BB241" s="52"/>
      <c r="BC241" s="17"/>
      <c r="BD241" s="247"/>
      <c r="BE241" s="247"/>
      <c r="BF241" s="247"/>
      <c r="BG241" s="17"/>
      <c r="BH241" s="17"/>
      <c r="BI241" s="17"/>
      <c r="BJ241" s="247">
        <v>285000</v>
      </c>
      <c r="BK241" s="247">
        <f>+BJ241*0.19</f>
        <v>54150</v>
      </c>
      <c r="BL241" s="247">
        <f t="shared" si="68"/>
        <v>339150</v>
      </c>
      <c r="BM241" s="190" t="s">
        <v>1613</v>
      </c>
      <c r="BN241" s="190" t="s">
        <v>316</v>
      </c>
      <c r="BO241" s="17"/>
      <c r="BP241" s="247"/>
      <c r="BQ241" s="247"/>
      <c r="BR241" s="247"/>
      <c r="BS241" s="17"/>
      <c r="BT241" s="17"/>
      <c r="BU241" s="17"/>
      <c r="BV241" s="195">
        <v>323169.19500000001</v>
      </c>
      <c r="BW241" s="195">
        <f>+BV241*0.19</f>
        <v>61402.14705</v>
      </c>
      <c r="BX241" s="246">
        <f>+BV241+BW241</f>
        <v>384571.34204999998</v>
      </c>
      <c r="BY241" s="190" t="s">
        <v>1613</v>
      </c>
      <c r="BZ241" s="190" t="s">
        <v>316</v>
      </c>
      <c r="CA241" s="190"/>
      <c r="CB241" s="247"/>
      <c r="CC241" s="247"/>
      <c r="CD241" s="247"/>
      <c r="CE241" s="17"/>
      <c r="CF241" s="17"/>
      <c r="CG241" s="17"/>
      <c r="CH241" s="247"/>
      <c r="CI241" s="247"/>
      <c r="CJ241" s="247"/>
      <c r="CK241" s="17"/>
      <c r="CL241" s="17"/>
      <c r="CM241" s="17"/>
      <c r="CN241" s="17"/>
      <c r="CO241" s="17"/>
      <c r="CP241" s="11"/>
      <c r="CQ241" s="11"/>
      <c r="CR241" s="11"/>
      <c r="CS241" s="11"/>
      <c r="CT241" s="247"/>
      <c r="CU241" s="247"/>
      <c r="CV241" s="247"/>
      <c r="CW241" s="11"/>
      <c r="CX241" s="11"/>
      <c r="CY241" s="11"/>
      <c r="CZ241" s="11"/>
      <c r="DA241" s="11"/>
      <c r="DB241" s="11"/>
      <c r="DC241" s="11"/>
      <c r="DD241" s="11"/>
      <c r="DE241" s="11"/>
      <c r="DF241" s="11"/>
      <c r="DG241" s="11"/>
      <c r="DH241" s="11"/>
      <c r="DI241" s="11"/>
      <c r="DJ241" s="11"/>
      <c r="DK241" s="11"/>
      <c r="DL241" s="247"/>
      <c r="DM241" s="247"/>
      <c r="DN241" s="247"/>
      <c r="DO241" s="247"/>
      <c r="DP241" s="247"/>
      <c r="DQ241" s="247"/>
      <c r="DR241" s="247"/>
      <c r="DS241" s="247"/>
      <c r="DT241" s="247"/>
      <c r="DU241" s="247"/>
      <c r="DV241" s="247"/>
      <c r="DW241" s="247"/>
      <c r="DX241" s="247"/>
      <c r="DY241" s="247"/>
      <c r="DZ241" s="247"/>
      <c r="EA241" s="247"/>
      <c r="EB241" s="247"/>
      <c r="EC241" s="247"/>
      <c r="ED241" s="17">
        <f t="shared" si="71"/>
        <v>1036060.64205</v>
      </c>
      <c r="EE241" s="29">
        <f t="shared" si="72"/>
        <v>4</v>
      </c>
      <c r="EF241" s="17">
        <f t="shared" si="69"/>
        <v>259015.16051250001</v>
      </c>
    </row>
    <row r="242" spans="1:136" ht="38.25" x14ac:dyDescent="0.25">
      <c r="A242" s="25">
        <f>Distribución_Elementos!A242</f>
        <v>240</v>
      </c>
      <c r="B242" s="22" t="str">
        <f>Distribución_Elementos!B242</f>
        <v>Frasco tipo inyectable para agrafe de 20mm de 50 ml</v>
      </c>
      <c r="C242" s="22" t="str">
        <f>Distribución_Elementos!C242</f>
        <v>Moulded injection vial 20-2710 crimp clear 50 cc ED2139BA847 o equivalente</v>
      </c>
      <c r="D242" s="22" t="str">
        <f>Distribución_Elementos!D242</f>
        <v xml:space="preserve">Caja x 84 </v>
      </c>
      <c r="E242" s="224">
        <v>1</v>
      </c>
      <c r="F242" s="221">
        <v>107100</v>
      </c>
      <c r="G242" s="221">
        <v>0</v>
      </c>
      <c r="H242" s="221">
        <v>642600</v>
      </c>
      <c r="I242" s="221">
        <v>0</v>
      </c>
      <c r="J242" s="221">
        <v>375445</v>
      </c>
      <c r="K242" s="221">
        <v>0</v>
      </c>
      <c r="L242" s="247">
        <f>AVERAGE(F242,H242,J242)</f>
        <v>375048.33333333331</v>
      </c>
      <c r="M242" s="247"/>
      <c r="N242" s="227">
        <v>140000</v>
      </c>
      <c r="O242" s="119">
        <f>+N242*0.19</f>
        <v>26600</v>
      </c>
      <c r="P242" s="119">
        <f>+N242+O242</f>
        <v>166600</v>
      </c>
      <c r="Q242" s="115"/>
      <c r="R242" s="115"/>
      <c r="S242" s="11"/>
      <c r="T242" s="247"/>
      <c r="U242" s="247"/>
      <c r="V242" s="247"/>
      <c r="W242" s="17"/>
      <c r="X242" s="11"/>
      <c r="Y242" s="11"/>
      <c r="Z242" s="247"/>
      <c r="AA242" s="247"/>
      <c r="AB242" s="247"/>
      <c r="AC242" s="44"/>
      <c r="AD242" s="22"/>
      <c r="AE242" s="17"/>
      <c r="AF242" s="247"/>
      <c r="AG242" s="247"/>
      <c r="AH242" s="97"/>
      <c r="AI242" s="22"/>
      <c r="AJ242" s="17"/>
      <c r="AK242" s="17"/>
      <c r="AL242" s="102"/>
      <c r="AM242" s="132"/>
      <c r="AN242" s="161"/>
      <c r="AO242" s="115"/>
      <c r="AP242" s="115"/>
      <c r="AQ242" s="17"/>
      <c r="AR242" s="247"/>
      <c r="AS242" s="247"/>
      <c r="AT242" s="247"/>
      <c r="AU242" s="17"/>
      <c r="AV242" s="17"/>
      <c r="AW242" s="17"/>
      <c r="AX242" s="247"/>
      <c r="AY242" s="247"/>
      <c r="AZ242" s="247"/>
      <c r="BA242" s="17"/>
      <c r="BB242" s="52"/>
      <c r="BC242" s="17"/>
      <c r="BD242" s="247"/>
      <c r="BE242" s="247"/>
      <c r="BF242" s="247"/>
      <c r="BG242" s="17"/>
      <c r="BH242" s="17"/>
      <c r="BI242" s="17"/>
      <c r="BJ242" s="247"/>
      <c r="BK242" s="247"/>
      <c r="BL242" s="247"/>
      <c r="BM242" s="190"/>
      <c r="BN242" s="190"/>
      <c r="BO242" s="17"/>
      <c r="BP242" s="247">
        <f>840*1100</f>
        <v>924000</v>
      </c>
      <c r="BQ242" s="247">
        <f t="shared" si="70"/>
        <v>175560</v>
      </c>
      <c r="BR242" s="247">
        <f t="shared" si="73"/>
        <v>1099560</v>
      </c>
      <c r="BS242" s="17"/>
      <c r="BT242" s="17"/>
      <c r="BU242" s="17"/>
      <c r="BV242" s="189"/>
      <c r="BW242" s="197"/>
      <c r="BX242" s="246"/>
      <c r="BY242" s="190"/>
      <c r="BZ242" s="190"/>
      <c r="CA242" s="190"/>
      <c r="CB242" s="247"/>
      <c r="CC242" s="247"/>
      <c r="CD242" s="247"/>
      <c r="CE242" s="17"/>
      <c r="CF242" s="17"/>
      <c r="CG242" s="17"/>
      <c r="CH242" s="247"/>
      <c r="CI242" s="247"/>
      <c r="CJ242" s="247"/>
      <c r="CK242" s="17"/>
      <c r="CL242" s="17"/>
      <c r="CM242" s="17"/>
      <c r="CN242" s="17"/>
      <c r="CO242" s="17"/>
      <c r="CP242" s="11"/>
      <c r="CQ242" s="11"/>
      <c r="CR242" s="11"/>
      <c r="CS242" s="11"/>
      <c r="CT242" s="247"/>
      <c r="CU242" s="247"/>
      <c r="CV242" s="247"/>
      <c r="CW242" s="11"/>
      <c r="CX242" s="11"/>
      <c r="CY242" s="11"/>
      <c r="CZ242" s="11"/>
      <c r="DA242" s="11"/>
      <c r="DB242" s="11"/>
      <c r="DC242" s="11"/>
      <c r="DD242" s="11"/>
      <c r="DE242" s="11"/>
      <c r="DF242" s="11"/>
      <c r="DG242" s="11"/>
      <c r="DH242" s="11"/>
      <c r="DI242" s="11"/>
      <c r="DJ242" s="11"/>
      <c r="DK242" s="11"/>
      <c r="DL242" s="247"/>
      <c r="DM242" s="247"/>
      <c r="DN242" s="247"/>
      <c r="DO242" s="247"/>
      <c r="DP242" s="247"/>
      <c r="DQ242" s="247"/>
      <c r="DR242" s="247"/>
      <c r="DS242" s="247"/>
      <c r="DT242" s="247"/>
      <c r="DU242" s="247"/>
      <c r="DV242" s="247"/>
      <c r="DW242" s="247"/>
      <c r="DX242" s="247"/>
      <c r="DY242" s="247"/>
      <c r="DZ242" s="247"/>
      <c r="EA242" s="247"/>
      <c r="EB242" s="247"/>
      <c r="EC242" s="247"/>
      <c r="ED242" s="17">
        <f t="shared" si="71"/>
        <v>1266160</v>
      </c>
      <c r="EE242" s="29">
        <f t="shared" si="72"/>
        <v>2</v>
      </c>
      <c r="EF242" s="17">
        <f t="shared" si="69"/>
        <v>633080</v>
      </c>
    </row>
    <row r="243" spans="1:136" x14ac:dyDescent="0.25">
      <c r="A243" s="25">
        <f>Distribución_Elementos!A243</f>
        <v>241</v>
      </c>
      <c r="B243" s="22" t="str">
        <f>Distribución_Elementos!B243</f>
        <v>Funda para vacutainer</v>
      </c>
      <c r="C243" s="22" t="str">
        <f>Distribución_Elementos!C243</f>
        <v>Vacutest-169018 o equivalente</v>
      </c>
      <c r="D243" s="22" t="str">
        <f>Distribución_Elementos!D243</f>
        <v>Unidad</v>
      </c>
      <c r="E243" s="224">
        <v>1</v>
      </c>
      <c r="F243" s="221">
        <v>2848.0666666666666</v>
      </c>
      <c r="G243" s="221">
        <v>2618</v>
      </c>
      <c r="H243" s="221">
        <v>7400.4493499999999</v>
      </c>
      <c r="I243" s="221">
        <v>7259</v>
      </c>
      <c r="J243" s="221">
        <v>9513.0583333333343</v>
      </c>
      <c r="K243" s="221">
        <v>8925</v>
      </c>
      <c r="L243" s="247">
        <f>AVERAGE(F243,H243,J243)</f>
        <v>6587.1914500000012</v>
      </c>
      <c r="M243" s="247">
        <f>AVERAGE(G243,I243,K243)*E1</f>
        <v>6455.3533333333335</v>
      </c>
      <c r="N243" s="227">
        <v>700</v>
      </c>
      <c r="O243" s="119">
        <f>+N243*0.19</f>
        <v>133</v>
      </c>
      <c r="P243" s="119">
        <f>+N243+O243</f>
        <v>833</v>
      </c>
      <c r="Q243" s="115"/>
      <c r="R243" s="115"/>
      <c r="S243" s="11"/>
      <c r="T243" s="247"/>
      <c r="U243" s="247"/>
      <c r="V243" s="247"/>
      <c r="W243" s="17"/>
      <c r="X243" s="11"/>
      <c r="Y243" s="11"/>
      <c r="Z243" s="247">
        <v>12000</v>
      </c>
      <c r="AA243" s="247">
        <f>+Z243*0.19</f>
        <v>2280</v>
      </c>
      <c r="AB243" s="247">
        <f>+Z243+AA243</f>
        <v>14280</v>
      </c>
      <c r="AC243" s="5" t="s">
        <v>140</v>
      </c>
      <c r="AD243" s="22" t="s">
        <v>1614</v>
      </c>
      <c r="AE243" s="17"/>
      <c r="AF243" s="247"/>
      <c r="AG243" s="247"/>
      <c r="AH243" s="151"/>
      <c r="AI243" s="4"/>
      <c r="AJ243" s="17"/>
      <c r="AK243" s="17"/>
      <c r="AL243" s="102"/>
      <c r="AM243" s="132"/>
      <c r="AN243" s="161"/>
      <c r="AO243" s="115"/>
      <c r="AP243" s="115"/>
      <c r="AQ243" s="17"/>
      <c r="AR243" s="247"/>
      <c r="AS243" s="247"/>
      <c r="AT243" s="247"/>
      <c r="AU243" s="17"/>
      <c r="AV243" s="17"/>
      <c r="AW243" s="17"/>
      <c r="AX243" s="247"/>
      <c r="AY243" s="247"/>
      <c r="AZ243" s="247"/>
      <c r="BA243" s="17"/>
      <c r="BB243" s="52"/>
      <c r="BC243" s="17"/>
      <c r="BD243" s="247"/>
      <c r="BE243" s="247"/>
      <c r="BF243" s="247"/>
      <c r="BG243" s="17"/>
      <c r="BH243" s="17"/>
      <c r="BI243" s="17"/>
      <c r="BJ243" s="247">
        <v>92000</v>
      </c>
      <c r="BK243" s="247">
        <f>+BJ243*0.19</f>
        <v>17480</v>
      </c>
      <c r="BL243" s="247">
        <f t="shared" si="68"/>
        <v>109480</v>
      </c>
      <c r="BM243" s="191" t="s">
        <v>140</v>
      </c>
      <c r="BN243" s="190" t="s">
        <v>1615</v>
      </c>
      <c r="BO243" s="17"/>
      <c r="BP243" s="247"/>
      <c r="BQ243" s="247"/>
      <c r="BR243" s="247"/>
      <c r="BS243" s="17"/>
      <c r="BT243" s="17"/>
      <c r="BU243" s="17"/>
      <c r="BV243" s="195">
        <v>96673.968000000008</v>
      </c>
      <c r="BW243" s="195">
        <f>+BV243*0.19</f>
        <v>18368.053920000002</v>
      </c>
      <c r="BX243" s="246">
        <f>+BV243+BW243</f>
        <v>115042.02192000001</v>
      </c>
      <c r="BY243" s="191" t="s">
        <v>140</v>
      </c>
      <c r="BZ243" s="190" t="s">
        <v>1615</v>
      </c>
      <c r="CA243" s="190"/>
      <c r="CB243" s="247"/>
      <c r="CC243" s="247"/>
      <c r="CD243" s="247"/>
      <c r="CE243" s="17"/>
      <c r="CF243" s="17"/>
      <c r="CG243" s="17"/>
      <c r="CH243" s="247"/>
      <c r="CI243" s="247"/>
      <c r="CJ243" s="247"/>
      <c r="CK243" s="17"/>
      <c r="CL243" s="17"/>
      <c r="CM243" s="17"/>
      <c r="CN243" s="17"/>
      <c r="CO243" s="17"/>
      <c r="CP243" s="11"/>
      <c r="CQ243" s="11"/>
      <c r="CR243" s="11"/>
      <c r="CS243" s="11"/>
      <c r="CT243" s="247"/>
      <c r="CU243" s="247"/>
      <c r="CV243" s="247"/>
      <c r="CW243" s="11"/>
      <c r="CX243" s="11"/>
      <c r="CY243" s="11"/>
      <c r="CZ243" s="11"/>
      <c r="DA243" s="11"/>
      <c r="DB243" s="11"/>
      <c r="DC243" s="11"/>
      <c r="DD243" s="11"/>
      <c r="DE243" s="11"/>
      <c r="DF243" s="11"/>
      <c r="DG243" s="11"/>
      <c r="DH243" s="11"/>
      <c r="DI243" s="11"/>
      <c r="DJ243" s="11"/>
      <c r="DK243" s="11"/>
      <c r="DL243" s="247"/>
      <c r="DM243" s="247"/>
      <c r="DN243" s="247"/>
      <c r="DO243" s="247"/>
      <c r="DP243" s="247"/>
      <c r="DQ243" s="247"/>
      <c r="DR243" s="247"/>
      <c r="DS243" s="247"/>
      <c r="DT243" s="247"/>
      <c r="DU243" s="247"/>
      <c r="DV243" s="247"/>
      <c r="DW243" s="247"/>
      <c r="DX243" s="247"/>
      <c r="DY243" s="247"/>
      <c r="DZ243" s="247"/>
      <c r="EA243" s="247"/>
      <c r="EB243" s="247"/>
      <c r="EC243" s="247"/>
      <c r="ED243" s="17">
        <f t="shared" si="71"/>
        <v>246090.37525333336</v>
      </c>
      <c r="EE243" s="29">
        <f t="shared" si="72"/>
        <v>5</v>
      </c>
      <c r="EF243" s="17">
        <f t="shared" si="69"/>
        <v>49218.075050666674</v>
      </c>
    </row>
    <row r="244" spans="1:136" ht="36" x14ac:dyDescent="0.25">
      <c r="A244" s="25">
        <f>Distribución_Elementos!A244</f>
        <v>242</v>
      </c>
      <c r="B244" s="22" t="str">
        <f>Distribución_Elementos!B244</f>
        <v>Gafas con protección lateral con protección a agentes biológicos</v>
      </c>
      <c r="C244" s="22" t="str">
        <f>Distribución_Elementos!C244</f>
        <v>3M, Arseg o equivalente</v>
      </c>
      <c r="D244" s="22" t="str">
        <f>Distribución_Elementos!D244</f>
        <v>Unidad</v>
      </c>
      <c r="E244" s="224">
        <v>1</v>
      </c>
      <c r="F244" s="221">
        <v>0</v>
      </c>
      <c r="G244" s="221">
        <v>0</v>
      </c>
      <c r="H244" s="221">
        <v>28168.602109911677</v>
      </c>
      <c r="I244" s="221">
        <v>0</v>
      </c>
      <c r="J244" s="221">
        <v>29244.25</v>
      </c>
      <c r="K244" s="221">
        <v>23681</v>
      </c>
      <c r="L244" s="247">
        <f>AVERAGE(H244,J244)</f>
        <v>28706.426054955838</v>
      </c>
      <c r="M244" s="247">
        <f>K244*E1</f>
        <v>24391.43</v>
      </c>
      <c r="N244" s="227">
        <v>25000</v>
      </c>
      <c r="O244" s="119">
        <f>+N244*0.19</f>
        <v>4750</v>
      </c>
      <c r="P244" s="119">
        <f>+N244+O244</f>
        <v>29750</v>
      </c>
      <c r="Q244" s="115"/>
      <c r="R244" s="115"/>
      <c r="S244" s="11"/>
      <c r="T244" s="247"/>
      <c r="U244" s="247"/>
      <c r="V244" s="247"/>
      <c r="W244" s="17"/>
      <c r="X244" s="11"/>
      <c r="Y244" s="11"/>
      <c r="Z244" s="247"/>
      <c r="AA244" s="247"/>
      <c r="AB244" s="247"/>
      <c r="AC244" s="44"/>
      <c r="AD244" s="22"/>
      <c r="AE244" s="17"/>
      <c r="AF244" s="247"/>
      <c r="AG244" s="247"/>
      <c r="AH244" s="151"/>
      <c r="AI244" s="4"/>
      <c r="AJ244" s="17"/>
      <c r="AK244" s="17"/>
      <c r="AL244" s="102"/>
      <c r="AM244" s="132"/>
      <c r="AN244" s="161"/>
      <c r="AO244" s="115"/>
      <c r="AP244" s="115"/>
      <c r="AQ244" s="17"/>
      <c r="AR244" s="247"/>
      <c r="AS244" s="247"/>
      <c r="AT244" s="247"/>
      <c r="AU244" s="17"/>
      <c r="AV244" s="17"/>
      <c r="AW244" s="17"/>
      <c r="AX244" s="247"/>
      <c r="AY244" s="247"/>
      <c r="AZ244" s="247"/>
      <c r="BA244" s="17"/>
      <c r="BB244" s="52"/>
      <c r="BC244" s="17"/>
      <c r="BD244" s="247"/>
      <c r="BE244" s="247"/>
      <c r="BF244" s="247"/>
      <c r="BG244" s="17"/>
      <c r="BH244" s="17"/>
      <c r="BI244" s="17"/>
      <c r="BJ244" s="247">
        <v>38100</v>
      </c>
      <c r="BK244" s="247">
        <f>+BJ244*0.19</f>
        <v>7239</v>
      </c>
      <c r="BL244" s="247">
        <f t="shared" si="68"/>
        <v>45339</v>
      </c>
      <c r="BM244" s="191" t="s">
        <v>140</v>
      </c>
      <c r="BN244" s="190" t="s">
        <v>1616</v>
      </c>
      <c r="BO244" s="17"/>
      <c r="BP244" s="247">
        <v>38500</v>
      </c>
      <c r="BQ244" s="247">
        <f t="shared" si="70"/>
        <v>7315</v>
      </c>
      <c r="BR244" s="247">
        <f t="shared" si="73"/>
        <v>45815</v>
      </c>
      <c r="BS244" s="17"/>
      <c r="BT244" s="17"/>
      <c r="BU244" s="17"/>
      <c r="BV244" s="195">
        <v>43202.618700000006</v>
      </c>
      <c r="BW244" s="195">
        <f>+BV244*0.19</f>
        <v>8208.4975530000011</v>
      </c>
      <c r="BX244" s="246">
        <f>+BV244+BW244</f>
        <v>51411.116253000007</v>
      </c>
      <c r="BY244" s="191" t="s">
        <v>140</v>
      </c>
      <c r="BZ244" s="190" t="s">
        <v>1616</v>
      </c>
      <c r="CA244" s="190"/>
      <c r="CB244" s="247"/>
      <c r="CC244" s="247"/>
      <c r="CD244" s="247"/>
      <c r="CE244" s="17"/>
      <c r="CF244" s="17"/>
      <c r="CG244" s="17"/>
      <c r="CH244" s="247"/>
      <c r="CI244" s="247"/>
      <c r="CJ244" s="247"/>
      <c r="CK244" s="17"/>
      <c r="CL244" s="17"/>
      <c r="CM244" s="17"/>
      <c r="CN244" s="17"/>
      <c r="CO244" s="17"/>
      <c r="CP244" s="11"/>
      <c r="CQ244" s="11"/>
      <c r="CR244" s="11"/>
      <c r="CS244" s="11"/>
      <c r="CT244" s="247"/>
      <c r="CU244" s="247"/>
      <c r="CV244" s="247"/>
      <c r="CW244" s="11"/>
      <c r="CX244" s="11"/>
      <c r="CY244" s="11"/>
      <c r="CZ244" s="11"/>
      <c r="DA244" s="11"/>
      <c r="DB244" s="11"/>
      <c r="DC244" s="11"/>
      <c r="DD244" s="11"/>
      <c r="DE244" s="11"/>
      <c r="DF244" s="11"/>
      <c r="DG244" s="11"/>
      <c r="DH244" s="11"/>
      <c r="DI244" s="11"/>
      <c r="DJ244" s="11"/>
      <c r="DK244" s="11"/>
      <c r="DL244" s="247"/>
      <c r="DM244" s="247"/>
      <c r="DN244" s="247"/>
      <c r="DO244" s="247"/>
      <c r="DP244" s="247"/>
      <c r="DQ244" s="247"/>
      <c r="DR244" s="247"/>
      <c r="DS244" s="247"/>
      <c r="DT244" s="247"/>
      <c r="DU244" s="247"/>
      <c r="DV244" s="247"/>
      <c r="DW244" s="247"/>
      <c r="DX244" s="247"/>
      <c r="DY244" s="247"/>
      <c r="DZ244" s="247"/>
      <c r="EA244" s="247"/>
      <c r="EB244" s="247"/>
      <c r="EC244" s="247"/>
      <c r="ED244" s="17">
        <f t="shared" si="71"/>
        <v>196706.54625300001</v>
      </c>
      <c r="EE244" s="29">
        <f t="shared" si="72"/>
        <v>5</v>
      </c>
      <c r="EF244" s="17">
        <f t="shared" si="69"/>
        <v>39341.309250600003</v>
      </c>
    </row>
    <row r="245" spans="1:136" ht="89.25" x14ac:dyDescent="0.25">
      <c r="A245" s="25">
        <f>Distribución_Elementos!A245</f>
        <v>243</v>
      </c>
      <c r="B245" s="22" t="str">
        <f>Distribución_Elementos!B245</f>
        <v>Gafas con sello facial, canales con ventilación que minimicen el empañamiento y mantengan fuera las partículas. Tratamiento antiempañante y antiralladuras.  Banda elástica ajustable. Lentes claros de policarbonato que absorba el 99,9% UV. Cumplimiento normativo explícito en el producto:   CSA Z94.3-2007 y los requisitos de alto impacto de la norma ANSI Z87.1-2003.</v>
      </c>
      <c r="C245" s="22" t="str">
        <f>Distribución_Elementos!C245</f>
        <v>FisherBrand 19-181-502 o marca equivalente.</v>
      </c>
      <c r="D245" s="22" t="str">
        <f>Distribución_Elementos!D245</f>
        <v>Unidad</v>
      </c>
      <c r="E245" s="224">
        <v>1</v>
      </c>
      <c r="F245" s="221">
        <v>0</v>
      </c>
      <c r="G245" s="221">
        <v>0</v>
      </c>
      <c r="H245" s="221">
        <v>0</v>
      </c>
      <c r="I245" s="221">
        <v>0</v>
      </c>
      <c r="J245" s="221">
        <v>0</v>
      </c>
      <c r="K245" s="221">
        <v>0</v>
      </c>
      <c r="L245" s="247"/>
      <c r="M245" s="247"/>
      <c r="N245" s="227"/>
      <c r="O245" s="119"/>
      <c r="P245" s="119"/>
      <c r="Q245" s="115"/>
      <c r="R245" s="115"/>
      <c r="S245" s="11"/>
      <c r="T245" s="247"/>
      <c r="U245" s="247"/>
      <c r="V245" s="247"/>
      <c r="W245" s="17"/>
      <c r="X245" s="11"/>
      <c r="Y245" s="11"/>
      <c r="Z245" s="247"/>
      <c r="AA245" s="247"/>
      <c r="AB245" s="247"/>
      <c r="AC245" s="5"/>
      <c r="AD245" s="22"/>
      <c r="AE245" s="17"/>
      <c r="AF245" s="247"/>
      <c r="AG245" s="247"/>
      <c r="AH245" s="109"/>
      <c r="AI245" s="4"/>
      <c r="AJ245" s="17"/>
      <c r="AK245" s="17"/>
      <c r="AL245" s="102"/>
      <c r="AM245" s="132"/>
      <c r="AN245" s="161"/>
      <c r="AO245" s="115"/>
      <c r="AP245" s="115"/>
      <c r="AQ245" s="17"/>
      <c r="AR245" s="247"/>
      <c r="AS245" s="247"/>
      <c r="AT245" s="247"/>
      <c r="AU245" s="17"/>
      <c r="AV245" s="17"/>
      <c r="AW245" s="17"/>
      <c r="AX245" s="247"/>
      <c r="AY245" s="247"/>
      <c r="AZ245" s="247"/>
      <c r="BA245" s="17"/>
      <c r="BB245" s="52"/>
      <c r="BC245" s="17"/>
      <c r="BD245" s="247"/>
      <c r="BE245" s="247"/>
      <c r="BF245" s="247"/>
      <c r="BG245" s="17"/>
      <c r="BH245" s="17"/>
      <c r="BI245" s="17"/>
      <c r="BJ245" s="247">
        <v>141900</v>
      </c>
      <c r="BK245" s="247">
        <f>+BJ245*0.19</f>
        <v>26961</v>
      </c>
      <c r="BL245" s="247">
        <f t="shared" si="68"/>
        <v>168861</v>
      </c>
      <c r="BM245" s="191" t="s">
        <v>140</v>
      </c>
      <c r="BN245" s="190" t="s">
        <v>1617</v>
      </c>
      <c r="BO245" s="17"/>
      <c r="BP245" s="247"/>
      <c r="BQ245" s="247"/>
      <c r="BR245" s="247"/>
      <c r="BS245" s="17"/>
      <c r="BT245" s="17"/>
      <c r="BU245" s="17"/>
      <c r="BV245" s="195">
        <v>153523.31280000001</v>
      </c>
      <c r="BW245" s="195">
        <f>+BV245*0.19</f>
        <v>29169.429432000004</v>
      </c>
      <c r="BX245" s="246">
        <f>+BV245+BW245</f>
        <v>182692.74223200002</v>
      </c>
      <c r="BY245" s="191" t="s">
        <v>140</v>
      </c>
      <c r="BZ245" s="190" t="s">
        <v>1617</v>
      </c>
      <c r="CA245" s="190"/>
      <c r="CB245" s="247"/>
      <c r="CC245" s="247"/>
      <c r="CD245" s="247"/>
      <c r="CE245" s="17"/>
      <c r="CF245" s="17"/>
      <c r="CG245" s="17"/>
      <c r="CH245" s="247"/>
      <c r="CI245" s="247"/>
      <c r="CJ245" s="247"/>
      <c r="CK245" s="17"/>
      <c r="CL245" s="17"/>
      <c r="CM245" s="17"/>
      <c r="CN245" s="17"/>
      <c r="CO245" s="17"/>
      <c r="CP245" s="11"/>
      <c r="CQ245" s="11"/>
      <c r="CR245" s="11"/>
      <c r="CS245" s="11"/>
      <c r="CT245" s="247"/>
      <c r="CU245" s="247"/>
      <c r="CV245" s="247"/>
      <c r="CW245" s="11"/>
      <c r="CX245" s="11"/>
      <c r="CY245" s="11"/>
      <c r="CZ245" s="11"/>
      <c r="DA245" s="11"/>
      <c r="DB245" s="11"/>
      <c r="DC245" s="11"/>
      <c r="DD245" s="11"/>
      <c r="DE245" s="11"/>
      <c r="DF245" s="11"/>
      <c r="DG245" s="11"/>
      <c r="DH245" s="11"/>
      <c r="DI245" s="11"/>
      <c r="DJ245" s="11"/>
      <c r="DK245" s="11"/>
      <c r="DL245" s="247"/>
      <c r="DM245" s="247"/>
      <c r="DN245" s="247"/>
      <c r="DO245" s="247"/>
      <c r="DP245" s="247"/>
      <c r="DQ245" s="247"/>
      <c r="DR245" s="247"/>
      <c r="DS245" s="247"/>
      <c r="DT245" s="247"/>
      <c r="DU245" s="247"/>
      <c r="DV245" s="247"/>
      <c r="DW245" s="247"/>
      <c r="DX245" s="247"/>
      <c r="DY245" s="247"/>
      <c r="DZ245" s="247"/>
      <c r="EA245" s="247"/>
      <c r="EB245" s="247"/>
      <c r="EC245" s="247"/>
      <c r="ED245" s="17">
        <f t="shared" si="71"/>
        <v>351553.74223199999</v>
      </c>
      <c r="EE245" s="29">
        <f t="shared" si="72"/>
        <v>2</v>
      </c>
      <c r="EF245" s="17">
        <f t="shared" si="69"/>
        <v>175776.87111599999</v>
      </c>
    </row>
    <row r="246" spans="1:136" ht="25.5" x14ac:dyDescent="0.25">
      <c r="A246" s="25">
        <f>Distribución_Elementos!A246</f>
        <v>244</v>
      </c>
      <c r="B246" s="22" t="str">
        <f>Distribución_Elementos!B246</f>
        <v>Gancho carnicero con mango plástico antibacteriano 15 cm de largo</v>
      </c>
      <c r="C246" s="22" t="str">
        <f>Distribución_Elementos!C246</f>
        <v>Cualquier marca</v>
      </c>
      <c r="D246" s="22" t="str">
        <f>Distribución_Elementos!D246</f>
        <v>Unidad</v>
      </c>
      <c r="E246" s="224">
        <v>1</v>
      </c>
      <c r="F246" s="221">
        <v>0</v>
      </c>
      <c r="G246" s="221">
        <v>0</v>
      </c>
      <c r="H246" s="221">
        <v>0</v>
      </c>
      <c r="I246" s="221">
        <v>0</v>
      </c>
      <c r="J246" s="221">
        <v>0</v>
      </c>
      <c r="K246" s="221">
        <v>0</v>
      </c>
      <c r="L246" s="247"/>
      <c r="M246" s="247"/>
      <c r="N246" s="227">
        <v>110000</v>
      </c>
      <c r="O246" s="119">
        <f>+N246*0.19</f>
        <v>20900</v>
      </c>
      <c r="P246" s="119">
        <f>+N246+O246</f>
        <v>130900</v>
      </c>
      <c r="Q246" s="115"/>
      <c r="R246" s="115"/>
      <c r="S246" s="11"/>
      <c r="T246" s="247"/>
      <c r="U246" s="247"/>
      <c r="V246" s="247"/>
      <c r="W246" s="17"/>
      <c r="X246" s="11"/>
      <c r="Y246" s="11"/>
      <c r="Z246" s="247"/>
      <c r="AA246" s="247"/>
      <c r="AB246" s="247"/>
      <c r="AC246" s="44"/>
      <c r="AD246" s="22"/>
      <c r="AE246" s="17"/>
      <c r="AF246" s="247"/>
      <c r="AG246" s="247"/>
      <c r="AH246" s="151"/>
      <c r="AI246" s="4"/>
      <c r="AJ246" s="17"/>
      <c r="AK246" s="17"/>
      <c r="AL246" s="102"/>
      <c r="AM246" s="132"/>
      <c r="AN246" s="161"/>
      <c r="AO246" s="115"/>
      <c r="AP246" s="115"/>
      <c r="AQ246" s="17"/>
      <c r="AR246" s="247"/>
      <c r="AS246" s="247"/>
      <c r="AT246" s="247"/>
      <c r="AU246" s="17"/>
      <c r="AV246" s="17"/>
      <c r="AW246" s="17"/>
      <c r="AX246" s="247"/>
      <c r="AY246" s="247"/>
      <c r="AZ246" s="247"/>
      <c r="BA246" s="17"/>
      <c r="BB246" s="52"/>
      <c r="BC246" s="17"/>
      <c r="BD246" s="247"/>
      <c r="BE246" s="247"/>
      <c r="BF246" s="247"/>
      <c r="BG246" s="17"/>
      <c r="BH246" s="17"/>
      <c r="BI246" s="17"/>
      <c r="BJ246" s="247"/>
      <c r="BK246" s="247"/>
      <c r="BL246" s="247"/>
      <c r="BM246" s="190"/>
      <c r="BN246" s="190"/>
      <c r="BO246" s="17"/>
      <c r="BP246" s="247"/>
      <c r="BQ246" s="247"/>
      <c r="BR246" s="247"/>
      <c r="BS246" s="17"/>
      <c r="BT246" s="17"/>
      <c r="BU246" s="17"/>
      <c r="BV246" s="189"/>
      <c r="BW246" s="197"/>
      <c r="BX246" s="246"/>
      <c r="BY246" s="190"/>
      <c r="BZ246" s="190"/>
      <c r="CA246" s="190"/>
      <c r="CB246" s="247"/>
      <c r="CC246" s="247"/>
      <c r="CD246" s="247"/>
      <c r="CE246" s="17"/>
      <c r="CF246" s="17"/>
      <c r="CG246" s="17"/>
      <c r="CH246" s="247"/>
      <c r="CI246" s="247"/>
      <c r="CJ246" s="247"/>
      <c r="CK246" s="17"/>
      <c r="CL246" s="17"/>
      <c r="CM246" s="17"/>
      <c r="CN246" s="17"/>
      <c r="CO246" s="17"/>
      <c r="CP246" s="11"/>
      <c r="CQ246" s="11"/>
      <c r="CR246" s="11"/>
      <c r="CS246" s="11"/>
      <c r="CT246" s="247"/>
      <c r="CU246" s="247"/>
      <c r="CV246" s="247"/>
      <c r="CW246" s="11"/>
      <c r="CX246" s="11"/>
      <c r="CY246" s="11"/>
      <c r="CZ246" s="11"/>
      <c r="DA246" s="11"/>
      <c r="DB246" s="11"/>
      <c r="DC246" s="11"/>
      <c r="DD246" s="11"/>
      <c r="DE246" s="11"/>
      <c r="DF246" s="11"/>
      <c r="DG246" s="11"/>
      <c r="DH246" s="11"/>
      <c r="DI246" s="11"/>
      <c r="DJ246" s="11"/>
      <c r="DK246" s="11"/>
      <c r="DL246" s="247"/>
      <c r="DM246" s="247"/>
      <c r="DN246" s="247"/>
      <c r="DO246" s="247"/>
      <c r="DP246" s="247"/>
      <c r="DQ246" s="247"/>
      <c r="DR246" s="247"/>
      <c r="DS246" s="247"/>
      <c r="DT246" s="247"/>
      <c r="DU246" s="247"/>
      <c r="DV246" s="247"/>
      <c r="DW246" s="247"/>
      <c r="DX246" s="247"/>
      <c r="DY246" s="247"/>
      <c r="DZ246" s="247"/>
      <c r="EA246" s="247"/>
      <c r="EB246" s="247"/>
      <c r="EC246" s="247"/>
      <c r="ED246" s="17">
        <f t="shared" si="71"/>
        <v>130900</v>
      </c>
      <c r="EE246" s="29">
        <f t="shared" si="72"/>
        <v>1</v>
      </c>
      <c r="EF246" s="17">
        <f t="shared" si="69"/>
        <v>130900</v>
      </c>
    </row>
    <row r="247" spans="1:136" ht="24" x14ac:dyDescent="0.25">
      <c r="A247" s="25">
        <f>Distribución_Elementos!A247</f>
        <v>245</v>
      </c>
      <c r="B247" s="22" t="str">
        <f>Distribución_Elementos!B247</f>
        <v>Gasa tipo hospitalario</v>
      </c>
      <c r="C247" s="22" t="str">
        <f>Distribución_Elementos!C247</f>
        <v>Cualquier marca</v>
      </c>
      <c r="D247" s="22" t="str">
        <f>Distribución_Elementos!D247</f>
        <v>Rollo x 100 yardas</v>
      </c>
      <c r="E247" s="224">
        <v>1</v>
      </c>
      <c r="F247" s="221">
        <v>92820</v>
      </c>
      <c r="G247" s="221">
        <v>90440</v>
      </c>
      <c r="H247" s="221">
        <v>68706.03333333334</v>
      </c>
      <c r="I247" s="221">
        <v>68544</v>
      </c>
      <c r="J247" s="221">
        <v>82594</v>
      </c>
      <c r="K247" s="221">
        <v>82110</v>
      </c>
      <c r="L247" s="247">
        <f>AVERAGE(F247,H247,J247)</f>
        <v>81373.344444444447</v>
      </c>
      <c r="M247" s="247">
        <f>AVERAGE(G247,I247,K247)*E1</f>
        <v>82775.606666666674</v>
      </c>
      <c r="N247" s="227">
        <v>60000</v>
      </c>
      <c r="O247" s="119">
        <v>0</v>
      </c>
      <c r="P247" s="119">
        <f>+N247+O247</f>
        <v>60000</v>
      </c>
      <c r="Q247" s="115"/>
      <c r="R247" s="115"/>
      <c r="S247" s="11"/>
      <c r="T247" s="247"/>
      <c r="U247" s="247"/>
      <c r="V247" s="247"/>
      <c r="W247" s="17"/>
      <c r="X247" s="11"/>
      <c r="Y247" s="11"/>
      <c r="Z247" s="247"/>
      <c r="AA247" s="247"/>
      <c r="AB247" s="247"/>
      <c r="AC247" s="44"/>
      <c r="AD247" s="22"/>
      <c r="AE247" s="17"/>
      <c r="AF247" s="247"/>
      <c r="AG247" s="247"/>
      <c r="AH247" s="151"/>
      <c r="AI247" s="4"/>
      <c r="AJ247" s="17"/>
      <c r="AK247" s="17"/>
      <c r="AL247" s="102"/>
      <c r="AM247" s="132"/>
      <c r="AN247" s="161"/>
      <c r="AO247" s="115"/>
      <c r="AP247" s="115"/>
      <c r="AQ247" s="17"/>
      <c r="AR247" s="247"/>
      <c r="AS247" s="247"/>
      <c r="AT247" s="247"/>
      <c r="AU247" s="17"/>
      <c r="AV247" s="17"/>
      <c r="AW247" s="17"/>
      <c r="AX247" s="247"/>
      <c r="AY247" s="247"/>
      <c r="AZ247" s="247"/>
      <c r="BA247" s="17"/>
      <c r="BB247" s="52"/>
      <c r="BC247" s="17"/>
      <c r="BD247" s="247"/>
      <c r="BE247" s="247"/>
      <c r="BF247" s="247"/>
      <c r="BG247" s="17"/>
      <c r="BH247" s="17"/>
      <c r="BI247" s="17"/>
      <c r="BJ247" s="247">
        <v>84700</v>
      </c>
      <c r="BK247" s="247">
        <f>+BJ247*0</f>
        <v>0</v>
      </c>
      <c r="BL247" s="247">
        <f t="shared" si="68"/>
        <v>84700</v>
      </c>
      <c r="BM247" s="190" t="s">
        <v>1618</v>
      </c>
      <c r="BN247" s="190" t="s">
        <v>1619</v>
      </c>
      <c r="BO247" s="17"/>
      <c r="BP247" s="247">
        <v>85600</v>
      </c>
      <c r="BQ247" s="247">
        <f t="shared" si="70"/>
        <v>16264</v>
      </c>
      <c r="BR247" s="247">
        <f t="shared" si="73"/>
        <v>101864</v>
      </c>
      <c r="BS247" s="17"/>
      <c r="BT247" s="17"/>
      <c r="BU247" s="17"/>
      <c r="BV247" s="195">
        <v>93435.111000000004</v>
      </c>
      <c r="BW247" s="198">
        <f>+BV247*0</f>
        <v>0</v>
      </c>
      <c r="BX247" s="246">
        <f t="shared" ref="BX247:BX252" si="77">+BV247+BW247</f>
        <v>93435.111000000004</v>
      </c>
      <c r="BY247" s="190" t="s">
        <v>1618</v>
      </c>
      <c r="BZ247" s="190" t="s">
        <v>1619</v>
      </c>
      <c r="CA247" s="190"/>
      <c r="CB247" s="247"/>
      <c r="CC247" s="247"/>
      <c r="CD247" s="247"/>
      <c r="CE247" s="17"/>
      <c r="CF247" s="17"/>
      <c r="CG247" s="17"/>
      <c r="CH247" s="247"/>
      <c r="CI247" s="247"/>
      <c r="CJ247" s="247"/>
      <c r="CK247" s="17"/>
      <c r="CL247" s="17"/>
      <c r="CM247" s="17"/>
      <c r="CN247" s="17"/>
      <c r="CO247" s="17"/>
      <c r="CP247" s="11"/>
      <c r="CQ247" s="11"/>
      <c r="CR247" s="11"/>
      <c r="CS247" s="11"/>
      <c r="CT247" s="247"/>
      <c r="CU247" s="247"/>
      <c r="CV247" s="247"/>
      <c r="CW247" s="11"/>
      <c r="CX247" s="11"/>
      <c r="CY247" s="11"/>
      <c r="CZ247" s="11"/>
      <c r="DA247" s="11"/>
      <c r="DB247" s="11"/>
      <c r="DC247" s="11"/>
      <c r="DD247" s="11"/>
      <c r="DE247" s="11"/>
      <c r="DF247" s="11"/>
      <c r="DG247" s="11"/>
      <c r="DH247" s="11"/>
      <c r="DI247" s="11"/>
      <c r="DJ247" s="11"/>
      <c r="DK247" s="11"/>
      <c r="DL247" s="247"/>
      <c r="DM247" s="247"/>
      <c r="DN247" s="247"/>
      <c r="DO247" s="247"/>
      <c r="DP247" s="247"/>
      <c r="DQ247" s="247"/>
      <c r="DR247" s="247"/>
      <c r="DS247" s="247"/>
      <c r="DT247" s="247"/>
      <c r="DU247" s="247"/>
      <c r="DV247" s="247"/>
      <c r="DW247" s="247"/>
      <c r="DX247" s="247"/>
      <c r="DY247" s="247"/>
      <c r="DZ247" s="247"/>
      <c r="EA247" s="247"/>
      <c r="EB247" s="247"/>
      <c r="EC247" s="247"/>
      <c r="ED247" s="17">
        <f t="shared" si="71"/>
        <v>422774.71766666672</v>
      </c>
      <c r="EE247" s="29">
        <f t="shared" si="72"/>
        <v>5</v>
      </c>
      <c r="EF247" s="17">
        <f t="shared" si="69"/>
        <v>84554.943533333339</v>
      </c>
    </row>
    <row r="248" spans="1:136" ht="25.5" x14ac:dyDescent="0.25">
      <c r="A248" s="25">
        <f>Distribución_Elementos!A248</f>
        <v>246</v>
      </c>
      <c r="B248" s="22" t="str">
        <f>Distribución_Elementos!B248</f>
        <v>Gel refrigerante de 250 g. Durabilidad 24 horas, para ser entregado en las 32 seccionales</v>
      </c>
      <c r="C248" s="22" t="str">
        <f>Distribución_Elementos!C248</f>
        <v>Cualquier marca</v>
      </c>
      <c r="D248" s="22" t="str">
        <f>Distribución_Elementos!D248</f>
        <v>Caja x 48</v>
      </c>
      <c r="E248" s="224">
        <v>1</v>
      </c>
      <c r="F248" s="221">
        <v>0</v>
      </c>
      <c r="G248" s="221">
        <v>0</v>
      </c>
      <c r="H248" s="221">
        <v>0</v>
      </c>
      <c r="I248" s="221">
        <v>0</v>
      </c>
      <c r="J248" s="221">
        <v>0</v>
      </c>
      <c r="K248" s="221">
        <v>0</v>
      </c>
      <c r="L248" s="247"/>
      <c r="M248" s="247"/>
      <c r="N248" s="227">
        <v>150000</v>
      </c>
      <c r="O248" s="119">
        <f>+N248*0.19</f>
        <v>28500</v>
      </c>
      <c r="P248" s="119">
        <f>+N248+O248</f>
        <v>178500</v>
      </c>
      <c r="Q248" s="115"/>
      <c r="R248" s="115"/>
      <c r="S248" s="11"/>
      <c r="T248" s="247"/>
      <c r="U248" s="247"/>
      <c r="V248" s="247"/>
      <c r="W248" s="17"/>
      <c r="X248" s="11"/>
      <c r="Y248" s="11"/>
      <c r="Z248" s="247"/>
      <c r="AA248" s="247"/>
      <c r="AB248" s="247"/>
      <c r="AC248" s="44"/>
      <c r="AD248" s="22"/>
      <c r="AE248" s="17"/>
      <c r="AF248" s="247"/>
      <c r="AG248" s="247"/>
      <c r="AH248" s="151"/>
      <c r="AI248" s="4"/>
      <c r="AJ248" s="17"/>
      <c r="AK248" s="17"/>
      <c r="AL248" s="102"/>
      <c r="AM248" s="132"/>
      <c r="AN248" s="161"/>
      <c r="AO248" s="115"/>
      <c r="AP248" s="115"/>
      <c r="AQ248" s="17"/>
      <c r="AR248" s="247"/>
      <c r="AS248" s="247"/>
      <c r="AT248" s="247"/>
      <c r="AU248" s="17"/>
      <c r="AV248" s="17"/>
      <c r="AW248" s="17"/>
      <c r="AX248" s="247"/>
      <c r="AY248" s="247"/>
      <c r="AZ248" s="247"/>
      <c r="BA248" s="17"/>
      <c r="BB248" s="52"/>
      <c r="BC248" s="17"/>
      <c r="BD248" s="247"/>
      <c r="BE248" s="247"/>
      <c r="BF248" s="247"/>
      <c r="BG248" s="17"/>
      <c r="BH248" s="17"/>
      <c r="BI248" s="17"/>
      <c r="BJ248" s="247">
        <f>+(160000/50)*48</f>
        <v>153600</v>
      </c>
      <c r="BK248" s="247">
        <f>+BJ248*0.19</f>
        <v>29184</v>
      </c>
      <c r="BL248" s="247">
        <f t="shared" si="68"/>
        <v>182784</v>
      </c>
      <c r="BM248" s="190" t="s">
        <v>1620</v>
      </c>
      <c r="BN248" s="190" t="s">
        <v>1551</v>
      </c>
      <c r="BO248" s="17"/>
      <c r="BP248" s="247">
        <v>165000</v>
      </c>
      <c r="BQ248" s="247">
        <f t="shared" si="70"/>
        <v>31350</v>
      </c>
      <c r="BR248" s="247">
        <f t="shared" si="73"/>
        <v>196350</v>
      </c>
      <c r="BS248" s="17"/>
      <c r="BT248" s="17"/>
      <c r="BU248" s="17"/>
      <c r="BV248" s="195">
        <f>+(173073.6/50)*48</f>
        <v>166150.65600000002</v>
      </c>
      <c r="BW248" s="195">
        <f>+BV248*0.19</f>
        <v>31568.624640000005</v>
      </c>
      <c r="BX248" s="246">
        <f t="shared" si="77"/>
        <v>197719.28064000001</v>
      </c>
      <c r="BY248" s="190" t="s">
        <v>1620</v>
      </c>
      <c r="BZ248" s="190" t="s">
        <v>1551</v>
      </c>
      <c r="CA248" s="190"/>
      <c r="CB248" s="247"/>
      <c r="CC248" s="247"/>
      <c r="CD248" s="247"/>
      <c r="CE248" s="17"/>
      <c r="CF248" s="17"/>
      <c r="CG248" s="17"/>
      <c r="CH248" s="247"/>
      <c r="CI248" s="247"/>
      <c r="CJ248" s="247"/>
      <c r="CK248" s="17"/>
      <c r="CL248" s="17"/>
      <c r="CM248" s="17"/>
      <c r="CN248" s="17"/>
      <c r="CO248" s="17"/>
      <c r="CP248" s="11"/>
      <c r="CQ248" s="11"/>
      <c r="CR248" s="11"/>
      <c r="CS248" s="11"/>
      <c r="CT248" s="247"/>
      <c r="CU248" s="247"/>
      <c r="CV248" s="247"/>
      <c r="CW248" s="11"/>
      <c r="CX248" s="11"/>
      <c r="CY248" s="11"/>
      <c r="CZ248" s="11"/>
      <c r="DA248" s="11"/>
      <c r="DB248" s="11"/>
      <c r="DC248" s="11"/>
      <c r="DD248" s="11"/>
      <c r="DE248" s="11"/>
      <c r="DF248" s="11"/>
      <c r="DG248" s="11"/>
      <c r="DH248" s="11"/>
      <c r="DI248" s="11"/>
      <c r="DJ248" s="11"/>
      <c r="DK248" s="11"/>
      <c r="DL248" s="247"/>
      <c r="DM248" s="247"/>
      <c r="DN248" s="247"/>
      <c r="DO248" s="247"/>
      <c r="DP248" s="247"/>
      <c r="DQ248" s="247"/>
      <c r="DR248" s="247"/>
      <c r="DS248" s="247"/>
      <c r="DT248" s="247"/>
      <c r="DU248" s="247"/>
      <c r="DV248" s="247"/>
      <c r="DW248" s="247"/>
      <c r="DX248" s="247"/>
      <c r="DY248" s="247"/>
      <c r="DZ248" s="247"/>
      <c r="EA248" s="247"/>
      <c r="EB248" s="247"/>
      <c r="EC248" s="247"/>
      <c r="ED248" s="17">
        <f t="shared" si="71"/>
        <v>755353.28064000001</v>
      </c>
      <c r="EE248" s="29">
        <f t="shared" si="72"/>
        <v>4</v>
      </c>
      <c r="EF248" s="17">
        <f t="shared" si="69"/>
        <v>188838.32016</v>
      </c>
    </row>
    <row r="249" spans="1:136" ht="25.5" x14ac:dyDescent="0.25">
      <c r="A249" s="25">
        <f>Distribución_Elementos!A249</f>
        <v>247</v>
      </c>
      <c r="B249" s="22" t="str">
        <f>Distribución_Elementos!B249</f>
        <v>Gel refrigerante en pilas de 250gr.
para ser entregado en las 32 seccionales</v>
      </c>
      <c r="C249" s="22" t="str">
        <f>Distribución_Elementos!C249</f>
        <v>Cualquier marca</v>
      </c>
      <c r="D249" s="22" t="str">
        <f>Distribución_Elementos!D249</f>
        <v>Caja x 100 und</v>
      </c>
      <c r="E249" s="224">
        <v>1</v>
      </c>
      <c r="F249" s="221">
        <v>0</v>
      </c>
      <c r="G249" s="221">
        <v>0</v>
      </c>
      <c r="H249" s="221">
        <v>0</v>
      </c>
      <c r="I249" s="221">
        <v>0</v>
      </c>
      <c r="J249" s="221">
        <v>0</v>
      </c>
      <c r="K249" s="221">
        <v>0</v>
      </c>
      <c r="L249" s="247"/>
      <c r="M249" s="247"/>
      <c r="N249" s="227">
        <v>420000</v>
      </c>
      <c r="O249" s="119">
        <f>+N249*0.19</f>
        <v>79800</v>
      </c>
      <c r="P249" s="119">
        <f>+N249+O249</f>
        <v>499800</v>
      </c>
      <c r="Q249" s="115"/>
      <c r="R249" s="115"/>
      <c r="S249" s="11"/>
      <c r="T249" s="247"/>
      <c r="U249" s="247"/>
      <c r="V249" s="247"/>
      <c r="W249" s="17"/>
      <c r="X249" s="11"/>
      <c r="Y249" s="11"/>
      <c r="Z249" s="247"/>
      <c r="AA249" s="247"/>
      <c r="AB249" s="247"/>
      <c r="AC249" s="44"/>
      <c r="AD249" s="22"/>
      <c r="AE249" s="17"/>
      <c r="AF249" s="247"/>
      <c r="AG249" s="247"/>
      <c r="AH249" s="151"/>
      <c r="AI249" s="4"/>
      <c r="AJ249" s="17"/>
      <c r="AK249" s="17"/>
      <c r="AL249" s="102"/>
      <c r="AM249" s="132"/>
      <c r="AN249" s="161"/>
      <c r="AO249" s="115"/>
      <c r="AP249" s="115"/>
      <c r="AQ249" s="17"/>
      <c r="AR249" s="247"/>
      <c r="AS249" s="247"/>
      <c r="AT249" s="247"/>
      <c r="AU249" s="17"/>
      <c r="AV249" s="17"/>
      <c r="AW249" s="17"/>
      <c r="AX249" s="247"/>
      <c r="AY249" s="247"/>
      <c r="AZ249" s="247"/>
      <c r="BA249" s="17"/>
      <c r="BB249" s="52"/>
      <c r="BC249" s="17"/>
      <c r="BD249" s="247"/>
      <c r="BE249" s="247"/>
      <c r="BF249" s="247"/>
      <c r="BG249" s="17"/>
      <c r="BH249" s="17"/>
      <c r="BI249" s="17"/>
      <c r="BJ249" s="247">
        <v>1000000</v>
      </c>
      <c r="BK249" s="247">
        <f>+BJ249*0.19</f>
        <v>190000</v>
      </c>
      <c r="BL249" s="247">
        <f t="shared" si="68"/>
        <v>1190000</v>
      </c>
      <c r="BM249" s="190" t="s">
        <v>1621</v>
      </c>
      <c r="BN249" s="190" t="s">
        <v>1551</v>
      </c>
      <c r="BO249" s="17"/>
      <c r="BP249" s="247">
        <v>260000</v>
      </c>
      <c r="BQ249" s="247">
        <f t="shared" si="70"/>
        <v>49400</v>
      </c>
      <c r="BR249" s="247">
        <f t="shared" si="73"/>
        <v>309400</v>
      </c>
      <c r="BS249" s="17"/>
      <c r="BT249" s="17"/>
      <c r="BU249" s="17"/>
      <c r="BV249" s="195">
        <v>1133927</v>
      </c>
      <c r="BW249" s="195">
        <f>+BV249*0.19</f>
        <v>215446.13</v>
      </c>
      <c r="BX249" s="246">
        <f t="shared" si="77"/>
        <v>1349373.13</v>
      </c>
      <c r="BY249" s="190" t="s">
        <v>1621</v>
      </c>
      <c r="BZ249" s="190" t="s">
        <v>1551</v>
      </c>
      <c r="CA249" s="190"/>
      <c r="CB249" s="247"/>
      <c r="CC249" s="247"/>
      <c r="CD249" s="247"/>
      <c r="CE249" s="17"/>
      <c r="CF249" s="17"/>
      <c r="CG249" s="17"/>
      <c r="CH249" s="247"/>
      <c r="CI249" s="247"/>
      <c r="CJ249" s="247"/>
      <c r="CK249" s="17"/>
      <c r="CL249" s="17"/>
      <c r="CM249" s="17"/>
      <c r="CN249" s="17"/>
      <c r="CO249" s="17"/>
      <c r="CP249" s="11"/>
      <c r="CQ249" s="11"/>
      <c r="CR249" s="11"/>
      <c r="CS249" s="11"/>
      <c r="CT249" s="247"/>
      <c r="CU249" s="247"/>
      <c r="CV249" s="247"/>
      <c r="CW249" s="11"/>
      <c r="CX249" s="11"/>
      <c r="CY249" s="11"/>
      <c r="CZ249" s="11"/>
      <c r="DA249" s="11"/>
      <c r="DB249" s="11"/>
      <c r="DC249" s="11"/>
      <c r="DD249" s="11"/>
      <c r="DE249" s="11"/>
      <c r="DF249" s="11"/>
      <c r="DG249" s="11"/>
      <c r="DH249" s="11"/>
      <c r="DI249" s="11"/>
      <c r="DJ249" s="11"/>
      <c r="DK249" s="11"/>
      <c r="DL249" s="247"/>
      <c r="DM249" s="247"/>
      <c r="DN249" s="247"/>
      <c r="DO249" s="247"/>
      <c r="DP249" s="247"/>
      <c r="DQ249" s="247"/>
      <c r="DR249" s="247"/>
      <c r="DS249" s="247"/>
      <c r="DT249" s="247"/>
      <c r="DU249" s="247"/>
      <c r="DV249" s="247"/>
      <c r="DW249" s="247"/>
      <c r="DX249" s="247"/>
      <c r="DY249" s="247"/>
      <c r="DZ249" s="247"/>
      <c r="EA249" s="247"/>
      <c r="EB249" s="247"/>
      <c r="EC249" s="247"/>
      <c r="ED249" s="17">
        <f t="shared" si="71"/>
        <v>3348573.13</v>
      </c>
      <c r="EE249" s="29">
        <f t="shared" si="72"/>
        <v>4</v>
      </c>
      <c r="EF249" s="17">
        <f t="shared" si="69"/>
        <v>837143.28249999997</v>
      </c>
    </row>
    <row r="250" spans="1:136" x14ac:dyDescent="0.25">
      <c r="A250" s="25">
        <f>Distribución_Elementos!A250</f>
        <v>248</v>
      </c>
      <c r="B250" s="22" t="str">
        <f>Distribución_Elementos!B250</f>
        <v>Glass wool washed qp</v>
      </c>
      <c r="C250" s="22" t="str">
        <f>Distribución_Elementos!C250</f>
        <v>Cualquier marca</v>
      </c>
      <c r="D250" s="22" t="str">
        <f>Distribución_Elementos!D250</f>
        <v>frasco x 100gr</v>
      </c>
      <c r="E250" s="224">
        <v>1</v>
      </c>
      <c r="F250" s="221">
        <v>0</v>
      </c>
      <c r="G250" s="221">
        <v>0</v>
      </c>
      <c r="H250" s="221">
        <v>0</v>
      </c>
      <c r="I250" s="221">
        <v>0</v>
      </c>
      <c r="J250" s="221">
        <v>0</v>
      </c>
      <c r="K250" s="221">
        <v>0</v>
      </c>
      <c r="L250" s="247"/>
      <c r="M250" s="247"/>
      <c r="N250" s="227"/>
      <c r="O250" s="119"/>
      <c r="P250" s="119"/>
      <c r="Q250" s="115"/>
      <c r="R250" s="115"/>
      <c r="S250" s="11"/>
      <c r="T250" s="247"/>
      <c r="U250" s="247"/>
      <c r="V250" s="247"/>
      <c r="W250" s="17"/>
      <c r="X250" s="11"/>
      <c r="Y250" s="11"/>
      <c r="Z250" s="247"/>
      <c r="AA250" s="247"/>
      <c r="AB250" s="247"/>
      <c r="AC250" s="44"/>
      <c r="AD250" s="22"/>
      <c r="AE250" s="17"/>
      <c r="AF250" s="247"/>
      <c r="AG250" s="247"/>
      <c r="AH250" s="97"/>
      <c r="AI250" s="4"/>
      <c r="AJ250" s="17"/>
      <c r="AK250" s="17"/>
      <c r="AL250" s="102"/>
      <c r="AM250" s="132"/>
      <c r="AN250" s="132"/>
      <c r="AO250" s="115"/>
      <c r="AP250" s="115"/>
      <c r="AQ250" s="17"/>
      <c r="AR250" s="247"/>
      <c r="AS250" s="247"/>
      <c r="AT250" s="247"/>
      <c r="AU250" s="17"/>
      <c r="AV250" s="17"/>
      <c r="AW250" s="17"/>
      <c r="AX250" s="247"/>
      <c r="AY250" s="247"/>
      <c r="AZ250" s="247"/>
      <c r="BA250" s="17"/>
      <c r="BB250" s="52"/>
      <c r="BC250" s="17"/>
      <c r="BD250" s="247"/>
      <c r="BE250" s="247"/>
      <c r="BF250" s="247"/>
      <c r="BG250" s="17"/>
      <c r="BH250" s="17"/>
      <c r="BI250" s="17"/>
      <c r="BJ250" s="247">
        <v>784000</v>
      </c>
      <c r="BK250" s="247">
        <f>+BJ250*0.19</f>
        <v>148960</v>
      </c>
      <c r="BL250" s="247">
        <f t="shared" si="68"/>
        <v>932960</v>
      </c>
      <c r="BM250" s="190" t="s">
        <v>305</v>
      </c>
      <c r="BN250" s="190" t="s">
        <v>52</v>
      </c>
      <c r="BO250" s="17"/>
      <c r="BP250" s="247"/>
      <c r="BQ250" s="247"/>
      <c r="BR250" s="247"/>
      <c r="BS250" s="17"/>
      <c r="BT250" s="17"/>
      <c r="BU250" s="17"/>
      <c r="BV250" s="195">
        <v>864530.91200000001</v>
      </c>
      <c r="BW250" s="195">
        <f>+BV250*0.19</f>
        <v>164260.87328</v>
      </c>
      <c r="BX250" s="246">
        <f t="shared" si="77"/>
        <v>1028791.78528</v>
      </c>
      <c r="BY250" s="190" t="s">
        <v>305</v>
      </c>
      <c r="BZ250" s="190" t="s">
        <v>52</v>
      </c>
      <c r="CA250" s="190"/>
      <c r="CB250" s="247"/>
      <c r="CC250" s="247"/>
      <c r="CD250" s="247"/>
      <c r="CE250" s="17"/>
      <c r="CF250" s="17"/>
      <c r="CG250" s="17"/>
      <c r="CH250" s="247"/>
      <c r="CI250" s="247"/>
      <c r="CJ250" s="247"/>
      <c r="CK250" s="17"/>
      <c r="CL250" s="17"/>
      <c r="CM250" s="17"/>
      <c r="CN250" s="17"/>
      <c r="CO250" s="17"/>
      <c r="CP250" s="11"/>
      <c r="CQ250" s="11"/>
      <c r="CR250" s="11"/>
      <c r="CS250" s="11"/>
      <c r="CT250" s="247"/>
      <c r="CU250" s="247"/>
      <c r="CV250" s="247"/>
      <c r="CW250" s="11"/>
      <c r="CX250" s="11"/>
      <c r="CY250" s="11"/>
      <c r="CZ250" s="11"/>
      <c r="DA250" s="11"/>
      <c r="DB250" s="11"/>
      <c r="DC250" s="11"/>
      <c r="DD250" s="11"/>
      <c r="DE250" s="11"/>
      <c r="DF250" s="11"/>
      <c r="DG250" s="11"/>
      <c r="DH250" s="11"/>
      <c r="DI250" s="11"/>
      <c r="DJ250" s="11"/>
      <c r="DK250" s="11"/>
      <c r="DL250" s="247"/>
      <c r="DM250" s="247"/>
      <c r="DN250" s="247"/>
      <c r="DO250" s="247"/>
      <c r="DP250" s="247"/>
      <c r="DQ250" s="247"/>
      <c r="DR250" s="247"/>
      <c r="DS250" s="247"/>
      <c r="DT250" s="247"/>
      <c r="DU250" s="247"/>
      <c r="DV250" s="247"/>
      <c r="DW250" s="247"/>
      <c r="DX250" s="247"/>
      <c r="DY250" s="247"/>
      <c r="DZ250" s="247"/>
      <c r="EA250" s="247"/>
      <c r="EB250" s="247"/>
      <c r="EC250" s="247"/>
      <c r="ED250" s="17">
        <f t="shared" si="71"/>
        <v>1961751.78528</v>
      </c>
      <c r="EE250" s="29">
        <f t="shared" si="72"/>
        <v>2</v>
      </c>
      <c r="EF250" s="17">
        <f t="shared" si="69"/>
        <v>980875.89263999998</v>
      </c>
    </row>
    <row r="251" spans="1:136" ht="25.5" x14ac:dyDescent="0.25">
      <c r="A251" s="25">
        <f>Distribución_Elementos!A251</f>
        <v>249</v>
      </c>
      <c r="B251" s="22" t="str">
        <f>Distribución_Elementos!B251</f>
        <v>Gorro para cabello de polipropileno color blanco con banda elástica,diámetro 61 cm</v>
      </c>
      <c r="C251" s="22" t="str">
        <f>Distribución_Elementos!C251</f>
        <v>Cualquier marca</v>
      </c>
      <c r="D251" s="22" t="str">
        <f>Distribución_Elementos!D251</f>
        <v>Bolsa x 100</v>
      </c>
      <c r="E251" s="224">
        <v>1</v>
      </c>
      <c r="F251" s="221">
        <v>94605</v>
      </c>
      <c r="G251" s="221">
        <v>94605</v>
      </c>
      <c r="H251" s="221">
        <v>71237.475750000012</v>
      </c>
      <c r="I251" s="221">
        <v>0</v>
      </c>
      <c r="J251" s="221">
        <v>62200.638888888898</v>
      </c>
      <c r="K251" s="221">
        <v>0</v>
      </c>
      <c r="L251" s="247">
        <f>AVERAGE(F251,H251,J251)</f>
        <v>76014.371546296301</v>
      </c>
      <c r="M251" s="247">
        <f>G251*E1</f>
        <v>97443.150000000009</v>
      </c>
      <c r="N251" s="227">
        <v>40000</v>
      </c>
      <c r="O251" s="119">
        <f>+N251*0.19</f>
        <v>7600</v>
      </c>
      <c r="P251" s="119">
        <f>+N251+O251</f>
        <v>47600</v>
      </c>
      <c r="Q251" s="115"/>
      <c r="R251" s="115"/>
      <c r="S251" s="11"/>
      <c r="T251" s="247"/>
      <c r="U251" s="247"/>
      <c r="V251" s="247"/>
      <c r="W251" s="17"/>
      <c r="X251" s="11"/>
      <c r="Y251" s="11"/>
      <c r="Z251" s="247"/>
      <c r="AA251" s="247"/>
      <c r="AB251" s="247"/>
      <c r="AC251" s="44"/>
      <c r="AD251" s="22"/>
      <c r="AE251" s="17"/>
      <c r="AF251" s="247"/>
      <c r="AG251" s="247"/>
      <c r="AH251" s="151"/>
      <c r="AI251" s="4"/>
      <c r="AJ251" s="17"/>
      <c r="AK251" s="17"/>
      <c r="AL251" s="102"/>
      <c r="AM251" s="132"/>
      <c r="AN251" s="132"/>
      <c r="AO251" s="115"/>
      <c r="AP251" s="115"/>
      <c r="AQ251" s="17"/>
      <c r="AR251" s="247"/>
      <c r="AS251" s="247"/>
      <c r="AT251" s="247"/>
      <c r="AU251" s="17"/>
      <c r="AV251" s="17"/>
      <c r="AW251" s="17"/>
      <c r="AX251" s="247"/>
      <c r="AY251" s="247"/>
      <c r="AZ251" s="247"/>
      <c r="BA251" s="17"/>
      <c r="BB251" s="52"/>
      <c r="BC251" s="17"/>
      <c r="BD251" s="247"/>
      <c r="BE251" s="247"/>
      <c r="BF251" s="247"/>
      <c r="BG251" s="17"/>
      <c r="BH251" s="17"/>
      <c r="BI251" s="17"/>
      <c r="BJ251" s="247">
        <v>47800</v>
      </c>
      <c r="BK251" s="247">
        <f>+BJ251*0</f>
        <v>0</v>
      </c>
      <c r="BL251" s="247">
        <f t="shared" si="68"/>
        <v>47800</v>
      </c>
      <c r="BM251" s="190" t="s">
        <v>1498</v>
      </c>
      <c r="BN251" s="190" t="s">
        <v>1622</v>
      </c>
      <c r="BO251" s="17"/>
      <c r="BP251" s="247">
        <v>15500</v>
      </c>
      <c r="BQ251" s="247">
        <f t="shared" si="70"/>
        <v>2945</v>
      </c>
      <c r="BR251" s="247">
        <f t="shared" si="73"/>
        <v>18445</v>
      </c>
      <c r="BS251" s="17"/>
      <c r="BT251" s="17"/>
      <c r="BU251" s="17"/>
      <c r="BV251" s="195">
        <v>52198.173600000002</v>
      </c>
      <c r="BW251" s="198">
        <f>+BV251*0</f>
        <v>0</v>
      </c>
      <c r="BX251" s="246">
        <f t="shared" si="77"/>
        <v>52198.173600000002</v>
      </c>
      <c r="BY251" s="190" t="s">
        <v>1498</v>
      </c>
      <c r="BZ251" s="190" t="s">
        <v>1622</v>
      </c>
      <c r="CA251" s="190"/>
      <c r="CB251" s="247"/>
      <c r="CC251" s="247"/>
      <c r="CD251" s="247"/>
      <c r="CE251" s="17"/>
      <c r="CF251" s="17"/>
      <c r="CG251" s="17"/>
      <c r="CH251" s="247"/>
      <c r="CI251" s="247"/>
      <c r="CJ251" s="247"/>
      <c r="CK251" s="17"/>
      <c r="CL251" s="17"/>
      <c r="CM251" s="17"/>
      <c r="CN251" s="17"/>
      <c r="CO251" s="17"/>
      <c r="CP251" s="11"/>
      <c r="CQ251" s="11"/>
      <c r="CR251" s="11"/>
      <c r="CS251" s="11"/>
      <c r="CT251" s="247"/>
      <c r="CU251" s="247"/>
      <c r="CV251" s="247"/>
      <c r="CW251" s="11"/>
      <c r="CX251" s="11"/>
      <c r="CY251" s="11"/>
      <c r="CZ251" s="11"/>
      <c r="DA251" s="11"/>
      <c r="DB251" s="11"/>
      <c r="DC251" s="11"/>
      <c r="DD251" s="11"/>
      <c r="DE251" s="11"/>
      <c r="DF251" s="11"/>
      <c r="DG251" s="11"/>
      <c r="DH251" s="11"/>
      <c r="DI251" s="11"/>
      <c r="DJ251" s="11"/>
      <c r="DK251" s="11"/>
      <c r="DL251" s="247"/>
      <c r="DM251" s="247"/>
      <c r="DN251" s="247"/>
      <c r="DO251" s="247"/>
      <c r="DP251" s="247"/>
      <c r="DQ251" s="247"/>
      <c r="DR251" s="247"/>
      <c r="DS251" s="247"/>
      <c r="DT251" s="247"/>
      <c r="DU251" s="247"/>
      <c r="DV251" s="247"/>
      <c r="DW251" s="247"/>
      <c r="DX251" s="247"/>
      <c r="DY251" s="247"/>
      <c r="DZ251" s="247"/>
      <c r="EA251" s="247"/>
      <c r="EB251" s="247"/>
      <c r="EC251" s="247"/>
      <c r="ED251" s="17">
        <f t="shared" si="71"/>
        <v>263486.3236</v>
      </c>
      <c r="EE251" s="29">
        <f t="shared" si="72"/>
        <v>5</v>
      </c>
      <c r="EF251" s="17">
        <f t="shared" si="69"/>
        <v>52697.264719999999</v>
      </c>
    </row>
    <row r="252" spans="1:136" ht="25.5" x14ac:dyDescent="0.25">
      <c r="A252" s="25">
        <f>Distribución_Elementos!A252</f>
        <v>250</v>
      </c>
      <c r="B252" s="22" t="str">
        <f>Distribución_Elementos!B252</f>
        <v xml:space="preserve">Goteros pláticos para colorantes de Gram de un volumen de 120ml. </v>
      </c>
      <c r="C252" s="22" t="str">
        <f>Distribución_Elementos!C252</f>
        <v>Cualquier marca</v>
      </c>
      <c r="D252" s="22" t="str">
        <f>Distribución_Elementos!D252</f>
        <v>Unidad</v>
      </c>
      <c r="E252" s="224">
        <v>1</v>
      </c>
      <c r="F252" s="221">
        <v>0</v>
      </c>
      <c r="G252" s="221">
        <v>0</v>
      </c>
      <c r="H252" s="221">
        <v>0</v>
      </c>
      <c r="I252" s="221">
        <v>0</v>
      </c>
      <c r="J252" s="221">
        <v>0</v>
      </c>
      <c r="K252" s="221">
        <v>0</v>
      </c>
      <c r="L252" s="247"/>
      <c r="M252" s="247"/>
      <c r="N252" s="227">
        <v>2500</v>
      </c>
      <c r="O252" s="119">
        <f>+N252*0.19</f>
        <v>475</v>
      </c>
      <c r="P252" s="119">
        <f>+N252+O252</f>
        <v>2975</v>
      </c>
      <c r="Q252" s="115"/>
      <c r="R252" s="115"/>
      <c r="S252" s="11"/>
      <c r="T252" s="247"/>
      <c r="U252" s="247"/>
      <c r="V252" s="247"/>
      <c r="W252" s="17"/>
      <c r="X252" s="11"/>
      <c r="Y252" s="11"/>
      <c r="Z252" s="247"/>
      <c r="AA252" s="247"/>
      <c r="AB252" s="247"/>
      <c r="AC252" s="44"/>
      <c r="AD252" s="22"/>
      <c r="AE252" s="17"/>
      <c r="AF252" s="247"/>
      <c r="AG252" s="247"/>
      <c r="AH252" s="151"/>
      <c r="AI252" s="4"/>
      <c r="AJ252" s="17"/>
      <c r="AK252" s="17"/>
      <c r="AL252" s="102"/>
      <c r="AM252" s="132"/>
      <c r="AN252" s="132"/>
      <c r="AO252" s="115"/>
      <c r="AP252" s="115"/>
      <c r="AQ252" s="17"/>
      <c r="AR252" s="247"/>
      <c r="AS252" s="247"/>
      <c r="AT252" s="247"/>
      <c r="AU252" s="17"/>
      <c r="AV252" s="17"/>
      <c r="AW252" s="17"/>
      <c r="AX252" s="247"/>
      <c r="AY252" s="247"/>
      <c r="AZ252" s="247"/>
      <c r="BA252" s="17"/>
      <c r="BB252" s="52"/>
      <c r="BC252" s="17"/>
      <c r="BD252" s="247"/>
      <c r="BE252" s="247"/>
      <c r="BF252" s="247"/>
      <c r="BG252" s="17"/>
      <c r="BH252" s="17"/>
      <c r="BI252" s="17"/>
      <c r="BJ252" s="247">
        <v>1200</v>
      </c>
      <c r="BK252" s="247">
        <f>+BJ252*0.19</f>
        <v>228</v>
      </c>
      <c r="BL252" s="247">
        <f t="shared" si="68"/>
        <v>1428</v>
      </c>
      <c r="BM252" s="191" t="s">
        <v>140</v>
      </c>
      <c r="BN252" s="190" t="s">
        <v>153</v>
      </c>
      <c r="BO252" s="17"/>
      <c r="BP252" s="247"/>
      <c r="BQ252" s="247"/>
      <c r="BR252" s="247"/>
      <c r="BS252" s="17"/>
      <c r="BT252" s="17"/>
      <c r="BU252" s="17"/>
      <c r="BV252" s="195">
        <v>1428.84</v>
      </c>
      <c r="BW252" s="195">
        <f>+BV252*0.19</f>
        <v>271.4796</v>
      </c>
      <c r="BX252" s="246">
        <f t="shared" si="77"/>
        <v>1700.3195999999998</v>
      </c>
      <c r="BY252" s="191" t="s">
        <v>140</v>
      </c>
      <c r="BZ252" s="190" t="s">
        <v>153</v>
      </c>
      <c r="CA252" s="190"/>
      <c r="CB252" s="247"/>
      <c r="CC252" s="247"/>
      <c r="CD252" s="247"/>
      <c r="CE252" s="17"/>
      <c r="CF252" s="17"/>
      <c r="CG252" s="17"/>
      <c r="CH252" s="247"/>
      <c r="CI252" s="247"/>
      <c r="CJ252" s="247"/>
      <c r="CK252" s="17"/>
      <c r="CL252" s="17"/>
      <c r="CM252" s="17"/>
      <c r="CN252" s="17"/>
      <c r="CO252" s="17"/>
      <c r="CP252" s="11"/>
      <c r="CQ252" s="11"/>
      <c r="CR252" s="11"/>
      <c r="CS252" s="11"/>
      <c r="CT252" s="247"/>
      <c r="CU252" s="247"/>
      <c r="CV252" s="247"/>
      <c r="CW252" s="11"/>
      <c r="CX252" s="11"/>
      <c r="CY252" s="11"/>
      <c r="CZ252" s="11"/>
      <c r="DA252" s="11"/>
      <c r="DB252" s="11"/>
      <c r="DC252" s="11"/>
      <c r="DD252" s="11"/>
      <c r="DE252" s="11"/>
      <c r="DF252" s="11"/>
      <c r="DG252" s="11"/>
      <c r="DH252" s="11"/>
      <c r="DI252" s="11"/>
      <c r="DJ252" s="11"/>
      <c r="DK252" s="11"/>
      <c r="DL252" s="247"/>
      <c r="DM252" s="247"/>
      <c r="DN252" s="247"/>
      <c r="DO252" s="247"/>
      <c r="DP252" s="247"/>
      <c r="DQ252" s="247"/>
      <c r="DR252" s="247"/>
      <c r="DS252" s="247"/>
      <c r="DT252" s="247"/>
      <c r="DU252" s="247"/>
      <c r="DV252" s="247"/>
      <c r="DW252" s="247"/>
      <c r="DX252" s="247"/>
      <c r="DY252" s="247"/>
      <c r="DZ252" s="247"/>
      <c r="EA252" s="247"/>
      <c r="EB252" s="247"/>
      <c r="EC252" s="247"/>
      <c r="ED252" s="17">
        <f t="shared" si="71"/>
        <v>6103.3195999999998</v>
      </c>
      <c r="EE252" s="29">
        <f t="shared" si="72"/>
        <v>3</v>
      </c>
      <c r="EF252" s="17">
        <f t="shared" si="69"/>
        <v>2034.4398666666666</v>
      </c>
    </row>
    <row r="253" spans="1:136" ht="25.5" x14ac:dyDescent="0.25">
      <c r="A253" s="25">
        <f>Distribución_Elementos!A253</f>
        <v>251</v>
      </c>
      <c r="B253" s="22" t="str">
        <f>Distribución_Elementos!B253</f>
        <v>Gradilla Compact PCR Tube Rack para 96 tubos de 0,2 ml.</v>
      </c>
      <c r="C253" s="22" t="str">
        <f>Distribución_Elementos!C253</f>
        <v>Usa Scientific</v>
      </c>
      <c r="D253" s="22" t="str">
        <f>Distribución_Elementos!D253</f>
        <v xml:space="preserve">Empaque x 5 unds.   </v>
      </c>
      <c r="E253" s="224">
        <v>1</v>
      </c>
      <c r="F253" s="221">
        <v>0</v>
      </c>
      <c r="G253" s="221">
        <v>0</v>
      </c>
      <c r="H253" s="221">
        <v>95180.147203140325</v>
      </c>
      <c r="I253" s="221">
        <v>0</v>
      </c>
      <c r="J253" s="221">
        <v>364124.39777777781</v>
      </c>
      <c r="K253" s="221">
        <v>362950</v>
      </c>
      <c r="L253" s="247">
        <f>AVERAGE(H253,J253)</f>
        <v>229652.27249045906</v>
      </c>
      <c r="M253" s="247">
        <f>K253*E1</f>
        <v>373838.5</v>
      </c>
      <c r="N253" s="227"/>
      <c r="O253" s="119"/>
      <c r="P253" s="119"/>
      <c r="Q253" s="115"/>
      <c r="R253" s="115"/>
      <c r="S253" s="11"/>
      <c r="T253" s="247"/>
      <c r="U253" s="247"/>
      <c r="V253" s="247"/>
      <c r="W253" s="17"/>
      <c r="X253" s="11"/>
      <c r="Y253" s="11"/>
      <c r="Z253" s="247">
        <v>210000</v>
      </c>
      <c r="AA253" s="247">
        <f t="shared" ref="AA253:AA258" si="78">+Z253*0.19</f>
        <v>39900</v>
      </c>
      <c r="AB253" s="247">
        <f>+Z253+AA253</f>
        <v>249900</v>
      </c>
      <c r="AC253" s="44" t="s">
        <v>1623</v>
      </c>
      <c r="AD253" s="22" t="s">
        <v>1579</v>
      </c>
      <c r="AE253" s="17"/>
      <c r="AF253" s="247"/>
      <c r="AG253" s="247"/>
      <c r="AH253" s="151"/>
      <c r="AI253" s="4"/>
      <c r="AJ253" s="17"/>
      <c r="AK253" s="17"/>
      <c r="AL253" s="102"/>
      <c r="AM253" s="132"/>
      <c r="AN253" s="132"/>
      <c r="AO253" s="115"/>
      <c r="AP253" s="115"/>
      <c r="AQ253" s="17"/>
      <c r="AR253" s="247"/>
      <c r="AS253" s="247"/>
      <c r="AT253" s="247"/>
      <c r="AU253" s="17"/>
      <c r="AV253" s="17"/>
      <c r="AW253" s="17"/>
      <c r="AX253" s="247"/>
      <c r="AY253" s="247"/>
      <c r="AZ253" s="247"/>
      <c r="BA253" s="17"/>
      <c r="BB253" s="52"/>
      <c r="BC253" s="17"/>
      <c r="BD253" s="247"/>
      <c r="BE253" s="247"/>
      <c r="BF253" s="247"/>
      <c r="BG253" s="17"/>
      <c r="BH253" s="17"/>
      <c r="BI253" s="17"/>
      <c r="BJ253" s="247"/>
      <c r="BK253" s="247"/>
      <c r="BL253" s="247"/>
      <c r="BM253" s="190"/>
      <c r="BN253" s="190"/>
      <c r="BO253" s="17"/>
      <c r="BP253" s="247">
        <v>98500</v>
      </c>
      <c r="BQ253" s="247">
        <f t="shared" si="70"/>
        <v>18715</v>
      </c>
      <c r="BR253" s="247">
        <f t="shared" si="73"/>
        <v>117215</v>
      </c>
      <c r="BS253" s="17"/>
      <c r="BT253" s="17"/>
      <c r="BU253" s="17"/>
      <c r="BV253" s="189"/>
      <c r="BW253" s="197"/>
      <c r="BX253" s="246"/>
      <c r="BY253" s="190"/>
      <c r="BZ253" s="190"/>
      <c r="CA253" s="190"/>
      <c r="CB253" s="247"/>
      <c r="CC253" s="247"/>
      <c r="CD253" s="247"/>
      <c r="CE253" s="17"/>
      <c r="CF253" s="17"/>
      <c r="CG253" s="17"/>
      <c r="CH253" s="247"/>
      <c r="CI253" s="247"/>
      <c r="CJ253" s="247"/>
      <c r="CK253" s="17"/>
      <c r="CL253" s="17"/>
      <c r="CM253" s="17"/>
      <c r="CN253" s="17"/>
      <c r="CO253" s="17"/>
      <c r="CP253" s="11"/>
      <c r="CQ253" s="11"/>
      <c r="CR253" s="11"/>
      <c r="CS253" s="11"/>
      <c r="CT253" s="247"/>
      <c r="CU253" s="247"/>
      <c r="CV253" s="247"/>
      <c r="CW253" s="11"/>
      <c r="CX253" s="11"/>
      <c r="CY253" s="11"/>
      <c r="CZ253" s="11"/>
      <c r="DA253" s="11"/>
      <c r="DB253" s="11"/>
      <c r="DC253" s="11"/>
      <c r="DD253" s="11"/>
      <c r="DE253" s="11"/>
      <c r="DF253" s="11"/>
      <c r="DG253" s="11"/>
      <c r="DH253" s="11"/>
      <c r="DI253" s="11"/>
      <c r="DJ253" s="11"/>
      <c r="DK253" s="11"/>
      <c r="DL253" s="247"/>
      <c r="DM253" s="247"/>
      <c r="DN253" s="247"/>
      <c r="DO253" s="247"/>
      <c r="DP253" s="247"/>
      <c r="DQ253" s="247"/>
      <c r="DR253" s="247"/>
      <c r="DS253" s="247"/>
      <c r="DT253" s="247"/>
      <c r="DU253" s="247"/>
      <c r="DV253" s="247"/>
      <c r="DW253" s="247"/>
      <c r="DX253" s="247"/>
      <c r="DY253" s="247"/>
      <c r="DZ253" s="247"/>
      <c r="EA253" s="247"/>
      <c r="EB253" s="247"/>
      <c r="EC253" s="247"/>
      <c r="ED253" s="17">
        <f t="shared" si="71"/>
        <v>740953.5</v>
      </c>
      <c r="EE253" s="29">
        <f t="shared" si="72"/>
        <v>3</v>
      </c>
      <c r="EF253" s="17">
        <f t="shared" si="69"/>
        <v>246984.5</v>
      </c>
    </row>
    <row r="254" spans="1:136" ht="25.5" x14ac:dyDescent="0.25">
      <c r="A254" s="25">
        <f>Distribución_Elementos!A254</f>
        <v>252</v>
      </c>
      <c r="B254" s="22" t="str">
        <f>Distribución_Elementos!B254</f>
        <v>Gradilla para 24  o 25 tubos de 50 ml, fabricada en polipropileno o policetona en formato 3x8 o 5x5</v>
      </c>
      <c r="C254" s="22" t="str">
        <f>Distribución_Elementos!C254</f>
        <v>Cualquier marca</v>
      </c>
      <c r="D254" s="22" t="str">
        <f>Distribución_Elementos!D254</f>
        <v>Unidad</v>
      </c>
      <c r="E254" s="224">
        <v>1</v>
      </c>
      <c r="F254" s="221">
        <v>151670.65666666668</v>
      </c>
      <c r="G254" s="221">
        <v>151671</v>
      </c>
      <c r="H254" s="221">
        <v>127657.77176666667</v>
      </c>
      <c r="I254" s="221">
        <v>0</v>
      </c>
      <c r="J254" s="221">
        <v>217043.9075</v>
      </c>
      <c r="K254" s="221">
        <v>117810</v>
      </c>
      <c r="L254" s="247">
        <f>AVERAGE(F254,H254,J254)</f>
        <v>165457.44531111114</v>
      </c>
      <c r="M254" s="247">
        <f>AVERAGE(G254,K254)*E1</f>
        <v>138782.715</v>
      </c>
      <c r="N254" s="227">
        <v>120000</v>
      </c>
      <c r="O254" s="119">
        <f t="shared" ref="O254:O260" si="79">+N254*0.19</f>
        <v>22800</v>
      </c>
      <c r="P254" s="119">
        <f t="shared" ref="P254:P260" si="80">+N254+O254</f>
        <v>142800</v>
      </c>
      <c r="Q254" s="115"/>
      <c r="R254" s="115"/>
      <c r="S254" s="11"/>
      <c r="T254" s="247">
        <v>28490.000000000004</v>
      </c>
      <c r="U254" s="247">
        <f>+T254*0.19</f>
        <v>5413.1</v>
      </c>
      <c r="V254" s="247">
        <f>+T254+U254</f>
        <v>33903.100000000006</v>
      </c>
      <c r="W254" s="17" t="s">
        <v>140</v>
      </c>
      <c r="X254" s="11" t="s">
        <v>1624</v>
      </c>
      <c r="Y254" s="11"/>
      <c r="Z254" s="247">
        <v>105000</v>
      </c>
      <c r="AA254" s="247">
        <f t="shared" si="78"/>
        <v>19950</v>
      </c>
      <c r="AB254" s="247">
        <f>+Z254+AA254</f>
        <v>124950</v>
      </c>
      <c r="AC254" s="44" t="s">
        <v>140</v>
      </c>
      <c r="AD254" s="22" t="s">
        <v>1579</v>
      </c>
      <c r="AE254" s="17"/>
      <c r="AF254" s="247"/>
      <c r="AG254" s="247"/>
      <c r="AH254" s="151"/>
      <c r="AI254" s="4"/>
      <c r="AJ254" s="17"/>
      <c r="AK254" s="17"/>
      <c r="AL254" s="102"/>
      <c r="AM254" s="132"/>
      <c r="AN254" s="161"/>
      <c r="AO254" s="115"/>
      <c r="AP254" s="115"/>
      <c r="AQ254" s="17"/>
      <c r="AR254" s="247"/>
      <c r="AS254" s="247"/>
      <c r="AT254" s="247"/>
      <c r="AU254" s="17"/>
      <c r="AV254" s="17"/>
      <c r="AW254" s="17"/>
      <c r="AX254" s="247"/>
      <c r="AY254" s="247"/>
      <c r="AZ254" s="247"/>
      <c r="BA254" s="17"/>
      <c r="BB254" s="52"/>
      <c r="BC254" s="17"/>
      <c r="BD254" s="247"/>
      <c r="BE254" s="247"/>
      <c r="BF254" s="247"/>
      <c r="BG254" s="17"/>
      <c r="BH254" s="17"/>
      <c r="BI254" s="17"/>
      <c r="BJ254" s="247">
        <v>68200</v>
      </c>
      <c r="BK254" s="247">
        <f>+BJ254*0.19</f>
        <v>12958</v>
      </c>
      <c r="BL254" s="247">
        <f t="shared" si="68"/>
        <v>81158</v>
      </c>
      <c r="BM254" s="191" t="s">
        <v>140</v>
      </c>
      <c r="BN254" s="190" t="s">
        <v>1565</v>
      </c>
      <c r="BO254" s="17"/>
      <c r="BP254" s="247">
        <v>65200</v>
      </c>
      <c r="BQ254" s="247">
        <f t="shared" si="70"/>
        <v>12388</v>
      </c>
      <c r="BR254" s="247">
        <f t="shared" si="73"/>
        <v>77588</v>
      </c>
      <c r="BS254" s="17"/>
      <c r="BT254" s="17"/>
      <c r="BU254" s="17"/>
      <c r="BV254" s="195">
        <v>71664.832800000004</v>
      </c>
      <c r="BW254" s="195">
        <f>+BV254*0.19</f>
        <v>13616.318232000001</v>
      </c>
      <c r="BX254" s="246">
        <f>+BV254+BW254</f>
        <v>85281.151032000009</v>
      </c>
      <c r="BY254" s="191" t="s">
        <v>140</v>
      </c>
      <c r="BZ254" s="190" t="s">
        <v>1565</v>
      </c>
      <c r="CA254" s="190"/>
      <c r="CB254" s="247"/>
      <c r="CC254" s="247"/>
      <c r="CD254" s="247"/>
      <c r="CE254" s="17"/>
      <c r="CF254" s="17"/>
      <c r="CG254" s="17"/>
      <c r="CH254" s="247"/>
      <c r="CI254" s="247"/>
      <c r="CJ254" s="247"/>
      <c r="CK254" s="17"/>
      <c r="CL254" s="17"/>
      <c r="CM254" s="17"/>
      <c r="CN254" s="17"/>
      <c r="CO254" s="17"/>
      <c r="CP254" s="11"/>
      <c r="CQ254" s="11"/>
      <c r="CR254" s="11"/>
      <c r="CS254" s="11"/>
      <c r="CT254" s="247"/>
      <c r="CU254" s="247"/>
      <c r="CV254" s="247"/>
      <c r="CW254" s="11"/>
      <c r="CX254" s="11"/>
      <c r="CY254" s="11"/>
      <c r="CZ254" s="11"/>
      <c r="DA254" s="11"/>
      <c r="DB254" s="11"/>
      <c r="DC254" s="11"/>
      <c r="DD254" s="11"/>
      <c r="DE254" s="11"/>
      <c r="DF254" s="11"/>
      <c r="DG254" s="11"/>
      <c r="DH254" s="11"/>
      <c r="DI254" s="11"/>
      <c r="DJ254" s="11"/>
      <c r="DK254" s="11"/>
      <c r="DL254" s="247"/>
      <c r="DM254" s="247"/>
      <c r="DN254" s="247"/>
      <c r="DO254" s="247"/>
      <c r="DP254" s="247"/>
      <c r="DQ254" s="247"/>
      <c r="DR254" s="247"/>
      <c r="DS254" s="247"/>
      <c r="DT254" s="247"/>
      <c r="DU254" s="247"/>
      <c r="DV254" s="247"/>
      <c r="DW254" s="247"/>
      <c r="DX254" s="247"/>
      <c r="DY254" s="247"/>
      <c r="DZ254" s="247"/>
      <c r="EA254" s="247"/>
      <c r="EB254" s="247"/>
      <c r="EC254" s="247"/>
      <c r="ED254" s="17">
        <f t="shared" si="71"/>
        <v>684462.96603199991</v>
      </c>
      <c r="EE254" s="29">
        <f t="shared" si="72"/>
        <v>7</v>
      </c>
      <c r="EF254" s="17">
        <f t="shared" si="69"/>
        <v>97780.423718857128</v>
      </c>
    </row>
    <row r="255" spans="1:136" ht="38.25" x14ac:dyDescent="0.25">
      <c r="A255" s="25">
        <f>Distribución_Elementos!A255</f>
        <v>253</v>
      </c>
      <c r="B255" s="22" t="str">
        <f>Distribución_Elementos!B255</f>
        <v>Gradilla para 60 tubos de ensayo de 16 mm de diámetro formato 5x12 color blanco ó azul. Medidas aprox. 110 x 250 x 70</v>
      </c>
      <c r="C255" s="22" t="str">
        <f>Distribución_Elementos!C255</f>
        <v>Cualquier marca</v>
      </c>
      <c r="D255" s="22" t="str">
        <f>Distribución_Elementos!D255</f>
        <v>Unidad</v>
      </c>
      <c r="E255" s="224">
        <v>1</v>
      </c>
      <c r="F255" s="221">
        <v>0</v>
      </c>
      <c r="G255" s="221">
        <v>0</v>
      </c>
      <c r="H255" s="221">
        <v>38900.334105372916</v>
      </c>
      <c r="I255" s="221">
        <v>30821</v>
      </c>
      <c r="J255" s="221">
        <v>123349.61799999997</v>
      </c>
      <c r="K255" s="221">
        <v>121975</v>
      </c>
      <c r="L255" s="247">
        <f>AVERAGE(H255,J255)</f>
        <v>81124.976052686441</v>
      </c>
      <c r="M255" s="247">
        <f>AVERAGE(I255,K255)*E1</f>
        <v>78689.94</v>
      </c>
      <c r="N255" s="227">
        <v>38000</v>
      </c>
      <c r="O255" s="119">
        <f t="shared" si="79"/>
        <v>7220</v>
      </c>
      <c r="P255" s="119">
        <f t="shared" si="80"/>
        <v>45220</v>
      </c>
      <c r="Q255" s="115"/>
      <c r="R255" s="115"/>
      <c r="S255" s="11"/>
      <c r="T255" s="247">
        <v>29700.000000000004</v>
      </c>
      <c r="U255" s="247">
        <f>+T255*0.19</f>
        <v>5643.0000000000009</v>
      </c>
      <c r="V255" s="247">
        <f>+T255+U255</f>
        <v>35343.000000000007</v>
      </c>
      <c r="W255" s="17" t="s">
        <v>140</v>
      </c>
      <c r="X255" s="11" t="s">
        <v>1624</v>
      </c>
      <c r="Y255" s="11"/>
      <c r="Z255" s="247">
        <v>105000</v>
      </c>
      <c r="AA255" s="247">
        <f t="shared" si="78"/>
        <v>19950</v>
      </c>
      <c r="AB255" s="247">
        <f>+Z255+AA255</f>
        <v>124950</v>
      </c>
      <c r="AC255" s="44" t="s">
        <v>140</v>
      </c>
      <c r="AD255" s="22" t="s">
        <v>1579</v>
      </c>
      <c r="AE255" s="17"/>
      <c r="AF255" s="247"/>
      <c r="AG255" s="247"/>
      <c r="AH255" s="151"/>
      <c r="AI255" s="4"/>
      <c r="AJ255" s="17"/>
      <c r="AK255" s="17"/>
      <c r="AL255" s="102"/>
      <c r="AM255" s="132"/>
      <c r="AN255" s="132"/>
      <c r="AO255" s="115"/>
      <c r="AP255" s="115"/>
      <c r="AQ255" s="17"/>
      <c r="AR255" s="247"/>
      <c r="AS255" s="247"/>
      <c r="AT255" s="247"/>
      <c r="AU255" s="17"/>
      <c r="AV255" s="17"/>
      <c r="AW255" s="17"/>
      <c r="AX255" s="247"/>
      <c r="AY255" s="247"/>
      <c r="AZ255" s="247"/>
      <c r="BA255" s="17"/>
      <c r="BB255" s="52"/>
      <c r="BC255" s="17"/>
      <c r="BD255" s="247"/>
      <c r="BE255" s="247"/>
      <c r="BF255" s="247"/>
      <c r="BG255" s="17"/>
      <c r="BH255" s="17"/>
      <c r="BI255" s="17"/>
      <c r="BJ255" s="247">
        <v>242300</v>
      </c>
      <c r="BK255" s="247">
        <f>+BJ255*0.19</f>
        <v>46037</v>
      </c>
      <c r="BL255" s="247">
        <f t="shared" si="68"/>
        <v>288337</v>
      </c>
      <c r="BM255" s="191" t="s">
        <v>140</v>
      </c>
      <c r="BN255" s="190" t="s">
        <v>1625</v>
      </c>
      <c r="BO255" s="17"/>
      <c r="BP255" s="247">
        <v>55000</v>
      </c>
      <c r="BQ255" s="247">
        <f t="shared" si="70"/>
        <v>10450</v>
      </c>
      <c r="BR255" s="247">
        <f t="shared" si="73"/>
        <v>65450</v>
      </c>
      <c r="BS255" s="17"/>
      <c r="BT255" s="17"/>
      <c r="BU255" s="17"/>
      <c r="BV255" s="195">
        <v>277720.38320000004</v>
      </c>
      <c r="BW255" s="195">
        <f>+BV255*0.19</f>
        <v>52766.872808000007</v>
      </c>
      <c r="BX255" s="246">
        <f>+BV255+BW255</f>
        <v>330487.25600800005</v>
      </c>
      <c r="BY255" s="191" t="s">
        <v>140</v>
      </c>
      <c r="BZ255" s="190" t="s">
        <v>1625</v>
      </c>
      <c r="CA255" s="190"/>
      <c r="CB255" s="247"/>
      <c r="CC255" s="247"/>
      <c r="CD255" s="247"/>
      <c r="CE255" s="17"/>
      <c r="CF255" s="17"/>
      <c r="CG255" s="17"/>
      <c r="CH255" s="247"/>
      <c r="CI255" s="247"/>
      <c r="CJ255" s="247"/>
      <c r="CK255" s="17"/>
      <c r="CL255" s="17"/>
      <c r="CM255" s="17"/>
      <c r="CN255" s="17"/>
      <c r="CO255" s="17"/>
      <c r="CP255" s="11"/>
      <c r="CQ255" s="11"/>
      <c r="CR255" s="11"/>
      <c r="CS255" s="11"/>
      <c r="CT255" s="247"/>
      <c r="CU255" s="247"/>
      <c r="CV255" s="247"/>
      <c r="CW255" s="11"/>
      <c r="CX255" s="11"/>
      <c r="CY255" s="11"/>
      <c r="CZ255" s="11"/>
      <c r="DA255" s="11"/>
      <c r="DB255" s="11"/>
      <c r="DC255" s="11"/>
      <c r="DD255" s="11"/>
      <c r="DE255" s="11"/>
      <c r="DF255" s="11"/>
      <c r="DG255" s="11"/>
      <c r="DH255" s="11"/>
      <c r="DI255" s="11"/>
      <c r="DJ255" s="11"/>
      <c r="DK255" s="11"/>
      <c r="DL255" s="247"/>
      <c r="DM255" s="247"/>
      <c r="DN255" s="247"/>
      <c r="DO255" s="247"/>
      <c r="DP255" s="247"/>
      <c r="DQ255" s="247"/>
      <c r="DR255" s="247"/>
      <c r="DS255" s="247"/>
      <c r="DT255" s="247"/>
      <c r="DU255" s="247"/>
      <c r="DV255" s="247"/>
      <c r="DW255" s="247"/>
      <c r="DX255" s="247"/>
      <c r="DY255" s="247"/>
      <c r="DZ255" s="247"/>
      <c r="EA255" s="247"/>
      <c r="EB255" s="247"/>
      <c r="EC255" s="247"/>
      <c r="ED255" s="17">
        <f t="shared" si="71"/>
        <v>968477.19600800006</v>
      </c>
      <c r="EE255" s="29">
        <f t="shared" si="72"/>
        <v>7</v>
      </c>
      <c r="EF255" s="17">
        <f t="shared" si="69"/>
        <v>138353.885144</v>
      </c>
    </row>
    <row r="256" spans="1:136" ht="25.5" x14ac:dyDescent="0.25">
      <c r="A256" s="25">
        <f>Distribución_Elementos!A256</f>
        <v>254</v>
      </c>
      <c r="B256" s="22" t="str">
        <f>Distribución_Elementos!B256</f>
        <v xml:space="preserve">Gradilla para 80 viales de 1.5 - 2.0 ml en polipropileno, autoclavable </v>
      </c>
      <c r="C256" s="22" t="str">
        <f>Distribución_Elementos!C256</f>
        <v>Cualquier marca</v>
      </c>
      <c r="D256" s="22" t="str">
        <f>Distribución_Elementos!D256</f>
        <v>Paquete x 20</v>
      </c>
      <c r="E256" s="224">
        <v>1</v>
      </c>
      <c r="F256" s="221">
        <v>61880</v>
      </c>
      <c r="G256" s="221">
        <v>0</v>
      </c>
      <c r="H256" s="221">
        <v>1285993.3333333333</v>
      </c>
      <c r="I256" s="221">
        <v>1285914</v>
      </c>
      <c r="J256" s="221">
        <v>186065.22666666665</v>
      </c>
      <c r="K256" s="221">
        <v>0</v>
      </c>
      <c r="L256" s="247">
        <f>AVERAGE(F256,H256,J256)</f>
        <v>511312.85333333327</v>
      </c>
      <c r="M256" s="247">
        <f>I256*E1</f>
        <v>1324491.42</v>
      </c>
      <c r="N256" s="227">
        <v>580000</v>
      </c>
      <c r="O256" s="119">
        <f t="shared" si="79"/>
        <v>110200</v>
      </c>
      <c r="P256" s="119">
        <f t="shared" si="80"/>
        <v>690200</v>
      </c>
      <c r="Q256" s="115"/>
      <c r="R256" s="115"/>
      <c r="S256" s="11"/>
      <c r="T256" s="247">
        <f>31900*20</f>
        <v>638000</v>
      </c>
      <c r="U256" s="247">
        <f>+T256*0.19</f>
        <v>121220</v>
      </c>
      <c r="V256" s="247">
        <f>+T256+U256</f>
        <v>759220</v>
      </c>
      <c r="W256" s="17" t="s">
        <v>140</v>
      </c>
      <c r="X256" s="11" t="s">
        <v>1626</v>
      </c>
      <c r="Y256" s="11"/>
      <c r="Z256" s="247">
        <v>105000</v>
      </c>
      <c r="AA256" s="247">
        <f t="shared" si="78"/>
        <v>19950</v>
      </c>
      <c r="AB256" s="247">
        <f>+Z256+AA256</f>
        <v>124950</v>
      </c>
      <c r="AC256" s="44" t="s">
        <v>140</v>
      </c>
      <c r="AD256" s="22" t="s">
        <v>1579</v>
      </c>
      <c r="AE256" s="17"/>
      <c r="AF256" s="247"/>
      <c r="AG256" s="247"/>
      <c r="AH256" s="151"/>
      <c r="AI256" s="22"/>
      <c r="AJ256" s="17"/>
      <c r="AK256" s="17"/>
      <c r="AL256" s="102"/>
      <c r="AM256" s="132"/>
      <c r="AN256" s="161"/>
      <c r="AO256" s="115"/>
      <c r="AP256" s="115"/>
      <c r="AQ256" s="17"/>
      <c r="AR256" s="247"/>
      <c r="AS256" s="247"/>
      <c r="AT256" s="247"/>
      <c r="AU256" s="17"/>
      <c r="AV256" s="17"/>
      <c r="AW256" s="17"/>
      <c r="AX256" s="247"/>
      <c r="AY256" s="247"/>
      <c r="AZ256" s="247"/>
      <c r="BA256" s="17"/>
      <c r="BB256" s="52"/>
      <c r="BC256" s="17"/>
      <c r="BD256" s="247"/>
      <c r="BE256" s="247"/>
      <c r="BF256" s="247"/>
      <c r="BG256" s="17"/>
      <c r="BH256" s="17"/>
      <c r="BI256" s="17"/>
      <c r="BJ256" s="247"/>
      <c r="BK256" s="247"/>
      <c r="BL256" s="247"/>
      <c r="BM256" s="190"/>
      <c r="BN256" s="190"/>
      <c r="BO256" s="17"/>
      <c r="BP256" s="247">
        <f>36000*20</f>
        <v>720000</v>
      </c>
      <c r="BQ256" s="247">
        <f t="shared" si="70"/>
        <v>136800</v>
      </c>
      <c r="BR256" s="247">
        <f t="shared" si="73"/>
        <v>856800</v>
      </c>
      <c r="BS256" s="17"/>
      <c r="BT256" s="17"/>
      <c r="BU256" s="17"/>
      <c r="BV256" s="189"/>
      <c r="BW256" s="197"/>
      <c r="BX256" s="246"/>
      <c r="BY256" s="190"/>
      <c r="BZ256" s="190"/>
      <c r="CA256" s="190"/>
      <c r="CB256" s="247"/>
      <c r="CC256" s="247"/>
      <c r="CD256" s="247"/>
      <c r="CE256" s="17"/>
      <c r="CF256" s="17"/>
      <c r="CG256" s="17"/>
      <c r="CH256" s="247"/>
      <c r="CI256" s="247"/>
      <c r="CJ256" s="247"/>
      <c r="CK256" s="17"/>
      <c r="CL256" s="17"/>
      <c r="CM256" s="17"/>
      <c r="CN256" s="17"/>
      <c r="CO256" s="17"/>
      <c r="CP256" s="11"/>
      <c r="CQ256" s="11"/>
      <c r="CR256" s="11"/>
      <c r="CS256" s="11"/>
      <c r="CT256" s="247"/>
      <c r="CU256" s="247"/>
      <c r="CV256" s="247"/>
      <c r="CW256" s="11"/>
      <c r="CX256" s="11"/>
      <c r="CY256" s="11"/>
      <c r="CZ256" s="11"/>
      <c r="DA256" s="11"/>
      <c r="DB256" s="11"/>
      <c r="DC256" s="11"/>
      <c r="DD256" s="11"/>
      <c r="DE256" s="11"/>
      <c r="DF256" s="11"/>
      <c r="DG256" s="11"/>
      <c r="DH256" s="11"/>
      <c r="DI256" s="11"/>
      <c r="DJ256" s="11"/>
      <c r="DK256" s="11"/>
      <c r="DL256" s="247"/>
      <c r="DM256" s="247"/>
      <c r="DN256" s="247"/>
      <c r="DO256" s="247"/>
      <c r="DP256" s="247"/>
      <c r="DQ256" s="247"/>
      <c r="DR256" s="247"/>
      <c r="DS256" s="247"/>
      <c r="DT256" s="247"/>
      <c r="DU256" s="247"/>
      <c r="DV256" s="247"/>
      <c r="DW256" s="247"/>
      <c r="DX256" s="247"/>
      <c r="DY256" s="247"/>
      <c r="DZ256" s="247"/>
      <c r="EA256" s="247"/>
      <c r="EB256" s="247"/>
      <c r="EC256" s="247"/>
      <c r="ED256" s="17">
        <f t="shared" si="71"/>
        <v>3755661.42</v>
      </c>
      <c r="EE256" s="29">
        <f t="shared" si="72"/>
        <v>5</v>
      </c>
      <c r="EF256" s="17">
        <f t="shared" ref="EF256:EF304" si="81">IFERROR(ED256/EE256," ")</f>
        <v>751132.28399999999</v>
      </c>
    </row>
    <row r="257" spans="1:136" ht="25.5" x14ac:dyDescent="0.25">
      <c r="A257" s="25">
        <f>Distribución_Elementos!A257</f>
        <v>255</v>
      </c>
      <c r="B257" s="22" t="str">
        <f>Distribución_Elementos!B257</f>
        <v>Gradilla para 9 tubos de 50 ml Ø=32 mm. Medidas: 110 x 110 x 85mm (L x W x H)</v>
      </c>
      <c r="C257" s="22" t="str">
        <f>Distribución_Elementos!C257</f>
        <v>Cualquier marca</v>
      </c>
      <c r="D257" s="22" t="str">
        <f>Distribución_Elementos!D257</f>
        <v>Unidad</v>
      </c>
      <c r="E257" s="224">
        <v>1</v>
      </c>
      <c r="F257" s="221">
        <v>0</v>
      </c>
      <c r="G257" s="221">
        <v>0</v>
      </c>
      <c r="H257" s="221">
        <v>100356.66666666667</v>
      </c>
      <c r="I257" s="221">
        <v>0</v>
      </c>
      <c r="J257" s="221">
        <v>185037.06666666668</v>
      </c>
      <c r="K257" s="221">
        <v>0</v>
      </c>
      <c r="L257" s="247">
        <f>AVERAGE(H257,J257)</f>
        <v>142696.86666666667</v>
      </c>
      <c r="M257" s="247"/>
      <c r="N257" s="227">
        <v>90000</v>
      </c>
      <c r="O257" s="119">
        <f t="shared" si="79"/>
        <v>17100</v>
      </c>
      <c r="P257" s="119">
        <f t="shared" si="80"/>
        <v>107100</v>
      </c>
      <c r="Q257" s="115"/>
      <c r="R257" s="115"/>
      <c r="S257" s="11"/>
      <c r="T257" s="247"/>
      <c r="U257" s="247"/>
      <c r="V257" s="247"/>
      <c r="W257" s="17"/>
      <c r="X257" s="11"/>
      <c r="Y257" s="11"/>
      <c r="Z257" s="247"/>
      <c r="AA257" s="247"/>
      <c r="AB257" s="247"/>
      <c r="AC257" s="44"/>
      <c r="AD257" s="22"/>
      <c r="AE257" s="17"/>
      <c r="AF257" s="247"/>
      <c r="AG257" s="247"/>
      <c r="AH257" s="151"/>
      <c r="AI257" s="22"/>
      <c r="AJ257" s="17"/>
      <c r="AK257" s="17"/>
      <c r="AL257" s="102"/>
      <c r="AM257" s="132"/>
      <c r="AN257" s="161"/>
      <c r="AO257" s="115"/>
      <c r="AP257" s="115"/>
      <c r="AQ257" s="17"/>
      <c r="AR257" s="247"/>
      <c r="AS257" s="247"/>
      <c r="AT257" s="247"/>
      <c r="AU257" s="17"/>
      <c r="AV257" s="17"/>
      <c r="AW257" s="17"/>
      <c r="AX257" s="247"/>
      <c r="AY257" s="247"/>
      <c r="AZ257" s="247"/>
      <c r="BA257" s="17"/>
      <c r="BB257" s="52"/>
      <c r="BC257" s="17"/>
      <c r="BD257" s="247"/>
      <c r="BE257" s="247"/>
      <c r="BF257" s="247"/>
      <c r="BG257" s="17"/>
      <c r="BH257" s="17"/>
      <c r="BI257" s="17"/>
      <c r="BJ257" s="247">
        <v>160500</v>
      </c>
      <c r="BK257" s="247">
        <f>+BJ257*0.19</f>
        <v>30495</v>
      </c>
      <c r="BL257" s="247">
        <f>+BJ257+BK257</f>
        <v>190995</v>
      </c>
      <c r="BM257" s="191" t="s">
        <v>140</v>
      </c>
      <c r="BN257" s="190" t="s">
        <v>316</v>
      </c>
      <c r="BO257" s="17"/>
      <c r="BP257" s="247">
        <v>165000</v>
      </c>
      <c r="BQ257" s="247">
        <f>+BP257*19%</f>
        <v>31350</v>
      </c>
      <c r="BR257" s="247">
        <f t="shared" si="73"/>
        <v>196350</v>
      </c>
      <c r="BS257" s="17"/>
      <c r="BT257" s="17"/>
      <c r="BU257" s="17"/>
      <c r="BV257" s="195">
        <v>178704.55200000003</v>
      </c>
      <c r="BW257" s="195">
        <f>+BV257*0.19</f>
        <v>33953.864880000008</v>
      </c>
      <c r="BX257" s="246">
        <f>+BV257+BW257</f>
        <v>212658.41688000003</v>
      </c>
      <c r="BY257" s="191" t="s">
        <v>140</v>
      </c>
      <c r="BZ257" s="190" t="s">
        <v>316</v>
      </c>
      <c r="CA257" s="190"/>
      <c r="CB257" s="252"/>
      <c r="CC257" s="247"/>
      <c r="CD257" s="247"/>
      <c r="CE257" s="17"/>
      <c r="CF257" s="17"/>
      <c r="CG257" s="17"/>
      <c r="CH257" s="247"/>
      <c r="CI257" s="247"/>
      <c r="CJ257" s="247"/>
      <c r="CK257" s="17"/>
      <c r="CL257" s="17"/>
      <c r="CM257" s="17"/>
      <c r="CN257" s="17"/>
      <c r="CO257" s="17"/>
      <c r="CP257" s="11"/>
      <c r="CQ257" s="11"/>
      <c r="CR257" s="11"/>
      <c r="CS257" s="11"/>
      <c r="CT257" s="247"/>
      <c r="CU257" s="247"/>
      <c r="CV257" s="247"/>
      <c r="CW257" s="11"/>
      <c r="CX257" s="11"/>
      <c r="CY257" s="11"/>
      <c r="CZ257" s="11"/>
      <c r="DA257" s="11"/>
      <c r="DB257" s="11"/>
      <c r="DC257" s="11"/>
      <c r="DD257" s="11"/>
      <c r="DE257" s="11"/>
      <c r="DF257" s="11"/>
      <c r="DG257" s="11"/>
      <c r="DH257" s="11"/>
      <c r="DI257" s="11"/>
      <c r="DJ257" s="11"/>
      <c r="DK257" s="11"/>
      <c r="DL257" s="247"/>
      <c r="DM257" s="247"/>
      <c r="DN257" s="247"/>
      <c r="DO257" s="247"/>
      <c r="DP257" s="247"/>
      <c r="DQ257" s="247"/>
      <c r="DR257" s="247"/>
      <c r="DS257" s="247"/>
      <c r="DT257" s="247"/>
      <c r="DU257" s="247"/>
      <c r="DV257" s="247"/>
      <c r="DW257" s="247"/>
      <c r="DX257" s="247"/>
      <c r="DY257" s="247"/>
      <c r="DZ257" s="247"/>
      <c r="EA257" s="247"/>
      <c r="EB257" s="247"/>
      <c r="EC257" s="247"/>
      <c r="ED257" s="17">
        <f t="shared" ref="ED257:ED304" si="82">SUM(M257,P257,V257,AB257,AH257,AN257,AT257,AZ257,BF257,BL257,BR257,BX257,CD257,CJ257,CP257,CV257,DB257,DH257,DN257,DT257,DZ257)</f>
        <v>707103.41688000003</v>
      </c>
      <c r="EE257" s="29">
        <f t="shared" ref="EE257:EE304" si="83">COUNTA(M257,N257,T257,Z257,AF257,AL257,AR257,AX257,BD257,BJ257,BP257,BV257,CB257,CH257,CN257,CT257,CZ257,DF257,DL257,DR257,DX257)</f>
        <v>4</v>
      </c>
      <c r="EF257" s="17">
        <f t="shared" si="81"/>
        <v>176775.85422000001</v>
      </c>
    </row>
    <row r="258" spans="1:136" ht="25.5" x14ac:dyDescent="0.25">
      <c r="A258" s="25">
        <f>Distribución_Elementos!A258</f>
        <v>256</v>
      </c>
      <c r="B258" s="22" t="str">
        <f>Distribución_Elementos!B258</f>
        <v>Gradilla para 96 tubos de  0.5 ml, 1.7 ml, 2.0 ml. Autoclavable y congelable</v>
      </c>
      <c r="C258" s="22" t="str">
        <f>Distribución_Elementos!C258</f>
        <v>Cualquier marca</v>
      </c>
      <c r="D258" s="22" t="str">
        <f>Distribución_Elementos!D258</f>
        <v>Paquete x 5</v>
      </c>
      <c r="E258" s="224">
        <v>1</v>
      </c>
      <c r="F258" s="221">
        <v>204656.2</v>
      </c>
      <c r="G258" s="221">
        <v>199444</v>
      </c>
      <c r="H258" s="221">
        <v>140373.96046486753</v>
      </c>
      <c r="I258" s="221">
        <v>0</v>
      </c>
      <c r="J258" s="221">
        <v>196290.5</v>
      </c>
      <c r="K258" s="221">
        <v>195160</v>
      </c>
      <c r="L258" s="247">
        <f>AVERAGE(F258,H258,J258)</f>
        <v>180440.22015495584</v>
      </c>
      <c r="M258" s="247">
        <f>AVERAGE(G258,K258)*E1</f>
        <v>203221.06</v>
      </c>
      <c r="N258" s="228">
        <v>180000</v>
      </c>
      <c r="O258" s="119">
        <f t="shared" si="79"/>
        <v>34200</v>
      </c>
      <c r="P258" s="119">
        <f t="shared" si="80"/>
        <v>214200</v>
      </c>
      <c r="Q258" s="115"/>
      <c r="R258" s="115"/>
      <c r="S258" s="11"/>
      <c r="T258" s="247"/>
      <c r="U258" s="247"/>
      <c r="V258" s="247"/>
      <c r="W258" s="17"/>
      <c r="X258" s="11"/>
      <c r="Y258" s="11"/>
      <c r="Z258" s="247">
        <v>23000</v>
      </c>
      <c r="AA258" s="247">
        <f t="shared" si="78"/>
        <v>4370</v>
      </c>
      <c r="AB258" s="247">
        <f>+Z258+AA258</f>
        <v>27370</v>
      </c>
      <c r="AC258" s="44" t="s">
        <v>140</v>
      </c>
      <c r="AD258" s="22" t="s">
        <v>1563</v>
      </c>
      <c r="AE258" s="17"/>
      <c r="AF258" s="247"/>
      <c r="AG258" s="247"/>
      <c r="AH258" s="151"/>
      <c r="AI258" s="4"/>
      <c r="AJ258" s="17"/>
      <c r="AK258" s="17"/>
      <c r="AL258" s="102"/>
      <c r="AM258" s="132"/>
      <c r="AN258" s="161"/>
      <c r="AO258" s="115"/>
      <c r="AP258" s="115"/>
      <c r="AQ258" s="17"/>
      <c r="AR258" s="247"/>
      <c r="AS258" s="247"/>
      <c r="AT258" s="247"/>
      <c r="AU258" s="17"/>
      <c r="AV258" s="17"/>
      <c r="AW258" s="17"/>
      <c r="AX258" s="252"/>
      <c r="AY258" s="247"/>
      <c r="AZ258" s="247"/>
      <c r="BA258" s="17"/>
      <c r="BB258" s="52"/>
      <c r="BC258" s="17"/>
      <c r="BD258" s="247"/>
      <c r="BE258" s="247"/>
      <c r="BF258" s="247"/>
      <c r="BG258" s="17"/>
      <c r="BH258" s="17"/>
      <c r="BI258" s="17"/>
      <c r="BJ258" s="247">
        <v>408000</v>
      </c>
      <c r="BK258" s="247">
        <f>+BJ258*0.19</f>
        <v>77520</v>
      </c>
      <c r="BL258" s="247">
        <f>+BJ258+BK258</f>
        <v>485520</v>
      </c>
      <c r="BM258" s="190" t="s">
        <v>1627</v>
      </c>
      <c r="BN258" s="190" t="s">
        <v>316</v>
      </c>
      <c r="BO258" s="17"/>
      <c r="BP258" s="247">
        <v>285000</v>
      </c>
      <c r="BQ258" s="247">
        <f>+BP258*19%</f>
        <v>54150</v>
      </c>
      <c r="BR258" s="247">
        <f t="shared" si="73"/>
        <v>339150</v>
      </c>
      <c r="BS258" s="17"/>
      <c r="BT258" s="17"/>
      <c r="BU258" s="17"/>
      <c r="BV258" s="189">
        <v>449744.11200000002</v>
      </c>
      <c r="BW258" s="195">
        <f>+BV258*0.19</f>
        <v>85451.381280000001</v>
      </c>
      <c r="BX258" s="246">
        <f>+BV258+BW258</f>
        <v>535195.49328000005</v>
      </c>
      <c r="BY258" s="190" t="s">
        <v>1627</v>
      </c>
      <c r="BZ258" s="190" t="s">
        <v>316</v>
      </c>
      <c r="CA258" s="190"/>
      <c r="CB258" s="247"/>
      <c r="CC258" s="247"/>
      <c r="CD258" s="247"/>
      <c r="CE258" s="17"/>
      <c r="CF258" s="17"/>
      <c r="CG258" s="17"/>
      <c r="CH258" s="252"/>
      <c r="CI258" s="252"/>
      <c r="CJ258" s="252"/>
      <c r="CK258" s="17"/>
      <c r="CL258" s="17"/>
      <c r="CM258" s="17"/>
      <c r="CN258" s="17"/>
      <c r="CO258" s="17"/>
      <c r="CP258" s="11"/>
      <c r="CQ258" s="11"/>
      <c r="CR258" s="11"/>
      <c r="CS258" s="11"/>
      <c r="CT258" s="247"/>
      <c r="CU258" s="247"/>
      <c r="CV258" s="247"/>
      <c r="CW258" s="11"/>
      <c r="CX258" s="11"/>
      <c r="CY258" s="11"/>
      <c r="CZ258" s="11"/>
      <c r="DA258" s="11"/>
      <c r="DB258" s="11"/>
      <c r="DC258" s="11"/>
      <c r="DD258" s="11"/>
      <c r="DE258" s="11"/>
      <c r="DF258" s="11"/>
      <c r="DG258" s="11"/>
      <c r="DH258" s="11"/>
      <c r="DI258" s="11"/>
      <c r="DJ258" s="11"/>
      <c r="DK258" s="11"/>
      <c r="DL258" s="247"/>
      <c r="DM258" s="247"/>
      <c r="DN258" s="247"/>
      <c r="DO258" s="247"/>
      <c r="DP258" s="247"/>
      <c r="DQ258" s="247"/>
      <c r="DR258" s="247"/>
      <c r="DS258" s="247"/>
      <c r="DT258" s="247"/>
      <c r="DU258" s="247"/>
      <c r="DV258" s="247"/>
      <c r="DW258" s="247"/>
      <c r="DX258" s="247"/>
      <c r="DY258" s="247"/>
      <c r="DZ258" s="247"/>
      <c r="EA258" s="247"/>
      <c r="EB258" s="247"/>
      <c r="EC258" s="247"/>
      <c r="ED258" s="17">
        <f t="shared" si="82"/>
        <v>1804656.5532800001</v>
      </c>
      <c r="EE258" s="29">
        <f t="shared" si="83"/>
        <v>6</v>
      </c>
      <c r="EF258" s="17">
        <f t="shared" si="81"/>
        <v>300776.09221333335</v>
      </c>
    </row>
    <row r="259" spans="1:136" x14ac:dyDescent="0.25">
      <c r="A259" s="25">
        <f>Distribución_Elementos!A259</f>
        <v>257</v>
      </c>
      <c r="B259" s="22" t="str">
        <f>Distribución_Elementos!B259</f>
        <v xml:space="preserve">Gradilla para pipeta de vidrio </v>
      </c>
      <c r="C259" s="22" t="str">
        <f>Distribución_Elementos!C259</f>
        <v>Cualquier marca</v>
      </c>
      <c r="D259" s="22" t="str">
        <f>Distribución_Elementos!D259</f>
        <v>Unidad</v>
      </c>
      <c r="E259" s="224">
        <v>1</v>
      </c>
      <c r="F259" s="221">
        <v>0</v>
      </c>
      <c r="G259" s="221">
        <v>0</v>
      </c>
      <c r="H259" s="221">
        <v>119000</v>
      </c>
      <c r="I259" s="221">
        <v>0</v>
      </c>
      <c r="J259" s="221">
        <v>126675.5</v>
      </c>
      <c r="K259" s="221">
        <v>107100</v>
      </c>
      <c r="L259" s="247">
        <f>AVERAGE(H259,J259)</f>
        <v>122837.75</v>
      </c>
      <c r="M259" s="247">
        <f>K259*E1</f>
        <v>110313</v>
      </c>
      <c r="N259" s="227">
        <v>110000</v>
      </c>
      <c r="O259" s="119">
        <f t="shared" si="79"/>
        <v>20900</v>
      </c>
      <c r="P259" s="119">
        <f t="shared" si="80"/>
        <v>130900</v>
      </c>
      <c r="Q259" s="115"/>
      <c r="R259" s="115"/>
      <c r="S259" s="11"/>
      <c r="T259" s="247"/>
      <c r="U259" s="247"/>
      <c r="V259" s="247"/>
      <c r="W259" s="17"/>
      <c r="X259" s="11"/>
      <c r="Y259" s="11"/>
      <c r="Z259" s="247"/>
      <c r="AA259" s="247"/>
      <c r="AB259" s="247"/>
      <c r="AC259" s="44"/>
      <c r="AD259" s="22"/>
      <c r="AE259" s="17"/>
      <c r="AF259" s="247"/>
      <c r="AG259" s="247"/>
      <c r="AH259" s="151"/>
      <c r="AI259" s="4"/>
      <c r="AJ259" s="17"/>
      <c r="AK259" s="17"/>
      <c r="AL259" s="102"/>
      <c r="AM259" s="132"/>
      <c r="AN259" s="161"/>
      <c r="AO259" s="115"/>
      <c r="AP259" s="115"/>
      <c r="AQ259" s="17"/>
      <c r="AR259" s="247"/>
      <c r="AS259" s="247"/>
      <c r="AT259" s="247"/>
      <c r="AU259" s="17"/>
      <c r="AV259" s="17"/>
      <c r="AW259" s="17"/>
      <c r="AX259" s="247"/>
      <c r="AY259" s="247"/>
      <c r="AZ259" s="247"/>
      <c r="BA259" s="17"/>
      <c r="BB259" s="52"/>
      <c r="BC259" s="17"/>
      <c r="BD259" s="247"/>
      <c r="BE259" s="247"/>
      <c r="BF259" s="247"/>
      <c r="BG259" s="17"/>
      <c r="BH259" s="17"/>
      <c r="BI259" s="17"/>
      <c r="BJ259" s="247"/>
      <c r="BK259" s="247"/>
      <c r="BL259" s="247"/>
      <c r="BM259" s="190"/>
      <c r="BN259" s="190"/>
      <c r="BO259" s="17"/>
      <c r="BP259" s="247">
        <v>154000</v>
      </c>
      <c r="BQ259" s="247">
        <f>+BP259*19%</f>
        <v>29260</v>
      </c>
      <c r="BR259" s="247">
        <f>+BQ259+BP259</f>
        <v>183260</v>
      </c>
      <c r="BS259" s="17"/>
      <c r="BT259" s="17"/>
      <c r="BU259" s="17"/>
      <c r="BV259" s="189"/>
      <c r="BW259" s="197"/>
      <c r="BX259" s="246"/>
      <c r="BY259" s="190"/>
      <c r="BZ259" s="190"/>
      <c r="CA259" s="190"/>
      <c r="CB259" s="247"/>
      <c r="CC259" s="247"/>
      <c r="CD259" s="247"/>
      <c r="CE259" s="17"/>
      <c r="CF259" s="17"/>
      <c r="CG259" s="17"/>
      <c r="CH259" s="247"/>
      <c r="CI259" s="247"/>
      <c r="CJ259" s="247"/>
      <c r="CK259" s="17"/>
      <c r="CL259" s="17"/>
      <c r="CM259" s="17"/>
      <c r="CN259" s="17"/>
      <c r="CO259" s="17"/>
      <c r="CP259" s="11"/>
      <c r="CQ259" s="11"/>
      <c r="CR259" s="11"/>
      <c r="CS259" s="11"/>
      <c r="CT259" s="247"/>
      <c r="CU259" s="247"/>
      <c r="CV259" s="247"/>
      <c r="CW259" s="11"/>
      <c r="CX259" s="11"/>
      <c r="CY259" s="11"/>
      <c r="CZ259" s="11"/>
      <c r="DA259" s="11"/>
      <c r="DB259" s="11"/>
      <c r="DC259" s="11"/>
      <c r="DD259" s="11"/>
      <c r="DE259" s="11"/>
      <c r="DF259" s="11"/>
      <c r="DG259" s="11"/>
      <c r="DH259" s="11"/>
      <c r="DI259" s="11"/>
      <c r="DJ259" s="11"/>
      <c r="DK259" s="11"/>
      <c r="DL259" s="247"/>
      <c r="DM259" s="247"/>
      <c r="DN259" s="247"/>
      <c r="DO259" s="247"/>
      <c r="DP259" s="247"/>
      <c r="DQ259" s="247"/>
      <c r="DR259" s="247"/>
      <c r="DS259" s="247"/>
      <c r="DT259" s="247"/>
      <c r="DU259" s="247"/>
      <c r="DV259" s="247"/>
      <c r="DW259" s="247"/>
      <c r="DX259" s="247"/>
      <c r="DY259" s="247"/>
      <c r="DZ259" s="247"/>
      <c r="EA259" s="247"/>
      <c r="EB259" s="247"/>
      <c r="EC259" s="247"/>
      <c r="ED259" s="17">
        <f t="shared" si="82"/>
        <v>424473</v>
      </c>
      <c r="EE259" s="29">
        <f t="shared" si="83"/>
        <v>3</v>
      </c>
      <c r="EF259" s="17">
        <f t="shared" si="81"/>
        <v>141491</v>
      </c>
    </row>
    <row r="260" spans="1:136" ht="25.5" x14ac:dyDescent="0.25">
      <c r="A260" s="25">
        <f>Distribución_Elementos!A260</f>
        <v>258</v>
      </c>
      <c r="B260" s="22" t="str">
        <f>Distribución_Elementos!B260</f>
        <v xml:space="preserve">Gradilla plástica de polipropileno capacidad para 50 tubos de 15 ml formato 10x5 </v>
      </c>
      <c r="C260" s="22" t="str">
        <f>Distribución_Elementos!C260</f>
        <v>Cualquier marca</v>
      </c>
      <c r="D260" s="22" t="str">
        <f>Distribución_Elementos!D260</f>
        <v>Unidad</v>
      </c>
      <c r="E260" s="224">
        <v>1</v>
      </c>
      <c r="F260" s="221">
        <v>0</v>
      </c>
      <c r="G260" s="221">
        <v>0</v>
      </c>
      <c r="H260" s="221">
        <v>0</v>
      </c>
      <c r="I260" s="221">
        <v>0</v>
      </c>
      <c r="J260" s="221">
        <v>56673.75</v>
      </c>
      <c r="K260" s="221">
        <v>0</v>
      </c>
      <c r="L260" s="247">
        <f>J260</f>
        <v>56673.75</v>
      </c>
      <c r="M260" s="247"/>
      <c r="N260" s="227">
        <v>50000</v>
      </c>
      <c r="O260" s="119">
        <f t="shared" si="79"/>
        <v>9500</v>
      </c>
      <c r="P260" s="119">
        <f t="shared" si="80"/>
        <v>59500</v>
      </c>
      <c r="Q260" s="115"/>
      <c r="R260" s="115"/>
      <c r="S260" s="11"/>
      <c r="T260" s="247"/>
      <c r="U260" s="247"/>
      <c r="V260" s="247"/>
      <c r="W260" s="17"/>
      <c r="X260" s="11"/>
      <c r="Y260" s="11"/>
      <c r="Z260" s="247"/>
      <c r="AA260" s="247"/>
      <c r="AB260" s="247"/>
      <c r="AC260" s="46"/>
      <c r="AD260" s="23"/>
      <c r="AE260" s="17"/>
      <c r="AF260" s="247"/>
      <c r="AG260" s="247"/>
      <c r="AH260" s="152"/>
      <c r="AI260" s="24"/>
      <c r="AJ260" s="17"/>
      <c r="AK260" s="17"/>
      <c r="AL260" s="102"/>
      <c r="AM260" s="132"/>
      <c r="AN260" s="161"/>
      <c r="AO260" s="115"/>
      <c r="AP260" s="115"/>
      <c r="AQ260" s="17"/>
      <c r="AR260" s="247"/>
      <c r="AS260" s="247"/>
      <c r="AT260" s="247"/>
      <c r="AU260" s="17"/>
      <c r="AV260" s="17"/>
      <c r="AW260" s="17"/>
      <c r="AX260" s="247"/>
      <c r="AY260" s="247"/>
      <c r="AZ260" s="247"/>
      <c r="BA260" s="17"/>
      <c r="BB260" s="52"/>
      <c r="BC260" s="17"/>
      <c r="BD260" s="247"/>
      <c r="BE260" s="247"/>
      <c r="BF260" s="247"/>
      <c r="BG260" s="17"/>
      <c r="BH260" s="17"/>
      <c r="BI260" s="17"/>
      <c r="BJ260" s="247"/>
      <c r="BK260" s="247"/>
      <c r="BL260" s="247"/>
      <c r="BM260" s="190"/>
      <c r="BN260" s="190"/>
      <c r="BO260" s="17"/>
      <c r="BP260" s="247">
        <v>36800</v>
      </c>
      <c r="BQ260" s="247">
        <f>+BP260*19%</f>
        <v>6992</v>
      </c>
      <c r="BR260" s="247">
        <f>+BQ260+BP260</f>
        <v>43792</v>
      </c>
      <c r="BS260" s="17"/>
      <c r="BT260" s="17"/>
      <c r="BU260" s="17"/>
      <c r="BV260" s="189"/>
      <c r="BW260" s="197"/>
      <c r="BX260" s="246"/>
      <c r="BY260" s="190"/>
      <c r="BZ260" s="190"/>
      <c r="CA260" s="190"/>
      <c r="CB260" s="247"/>
      <c r="CC260" s="247"/>
      <c r="CD260" s="247"/>
      <c r="CE260" s="17"/>
      <c r="CF260" s="17"/>
      <c r="CG260" s="17"/>
      <c r="CH260" s="247"/>
      <c r="CI260" s="247"/>
      <c r="CJ260" s="247"/>
      <c r="CK260" s="17"/>
      <c r="CL260" s="17"/>
      <c r="CM260" s="17"/>
      <c r="CN260" s="17"/>
      <c r="CO260" s="17"/>
      <c r="CP260" s="11"/>
      <c r="CQ260" s="11"/>
      <c r="CR260" s="11"/>
      <c r="CS260" s="11"/>
      <c r="CT260" s="247"/>
      <c r="CU260" s="247"/>
      <c r="CV260" s="247"/>
      <c r="CW260" s="11"/>
      <c r="CX260" s="11"/>
      <c r="CY260" s="11"/>
      <c r="CZ260" s="56"/>
      <c r="DA260" s="95"/>
      <c r="DB260" s="55"/>
      <c r="DC260" s="55"/>
      <c r="DD260" s="54"/>
      <c r="DE260" s="54"/>
      <c r="DF260" s="54"/>
      <c r="DG260" s="54"/>
      <c r="DH260" s="54"/>
      <c r="DI260" s="54"/>
      <c r="DJ260" s="54"/>
      <c r="DK260" s="54"/>
      <c r="DL260" s="51"/>
      <c r="DM260" s="51"/>
      <c r="DN260" s="51"/>
      <c r="DO260" s="51"/>
      <c r="DP260" s="51"/>
      <c r="DQ260" s="51"/>
      <c r="DR260" s="51"/>
      <c r="DS260" s="51"/>
      <c r="DT260" s="51"/>
      <c r="DU260" s="51"/>
      <c r="DV260" s="51"/>
      <c r="DW260" s="51"/>
      <c r="DX260" s="51"/>
      <c r="DY260" s="51"/>
      <c r="DZ260" s="51"/>
      <c r="EA260" s="51"/>
      <c r="EB260" s="51"/>
      <c r="EC260" s="51"/>
      <c r="ED260" s="17">
        <f t="shared" si="82"/>
        <v>103292</v>
      </c>
      <c r="EE260" s="29">
        <f t="shared" si="83"/>
        <v>2</v>
      </c>
      <c r="EF260" s="17">
        <f t="shared" si="81"/>
        <v>51646</v>
      </c>
    </row>
    <row r="261" spans="1:136" x14ac:dyDescent="0.25">
      <c r="A261" s="25">
        <f>Distribución_Elementos!A261</f>
        <v>259</v>
      </c>
      <c r="B261" s="22" t="str">
        <f>Distribución_Elementos!B261</f>
        <v>Gradillas de 2x2 cm</v>
      </c>
      <c r="C261" s="22" t="str">
        <f>Distribución_Elementos!C261</f>
        <v>Cualquier marca</v>
      </c>
      <c r="D261" s="22" t="str">
        <f>Distribución_Elementos!D261</f>
        <v>Unidad</v>
      </c>
      <c r="E261" s="224">
        <v>1</v>
      </c>
      <c r="F261" s="221">
        <v>0</v>
      </c>
      <c r="G261" s="221">
        <v>0</v>
      </c>
      <c r="H261" s="221">
        <v>47600</v>
      </c>
      <c r="I261" s="221">
        <v>0</v>
      </c>
      <c r="J261" s="221">
        <v>0</v>
      </c>
      <c r="K261" s="221">
        <v>0</v>
      </c>
      <c r="L261" s="247">
        <f>H261</f>
        <v>47600</v>
      </c>
      <c r="M261" s="247"/>
      <c r="N261" s="227"/>
      <c r="O261" s="119"/>
      <c r="P261" s="119"/>
      <c r="Q261" s="115"/>
      <c r="R261" s="115"/>
      <c r="S261" s="11"/>
      <c r="T261" s="247"/>
      <c r="U261" s="247"/>
      <c r="V261" s="247"/>
      <c r="W261" s="17"/>
      <c r="X261" s="11"/>
      <c r="Y261" s="11"/>
      <c r="Z261" s="247"/>
      <c r="AA261" s="247"/>
      <c r="AB261" s="247"/>
      <c r="AC261" s="43"/>
      <c r="AD261" s="22"/>
      <c r="AE261" s="17"/>
      <c r="AF261" s="247"/>
      <c r="AG261" s="247"/>
      <c r="AH261" s="150"/>
      <c r="AI261" s="4"/>
      <c r="AJ261" s="17"/>
      <c r="AK261" s="17"/>
      <c r="AL261" s="102"/>
      <c r="AM261" s="132"/>
      <c r="AN261" s="161"/>
      <c r="AO261" s="115"/>
      <c r="AP261" s="115"/>
      <c r="AQ261" s="17"/>
      <c r="AR261" s="247"/>
      <c r="AS261" s="247"/>
      <c r="AT261" s="247"/>
      <c r="AU261" s="17"/>
      <c r="AV261" s="17"/>
      <c r="AW261" s="17"/>
      <c r="AX261" s="247"/>
      <c r="AY261" s="247"/>
      <c r="AZ261" s="247"/>
      <c r="BA261" s="17"/>
      <c r="BB261" s="52"/>
      <c r="BC261" s="17"/>
      <c r="BD261" s="247"/>
      <c r="BE261" s="247"/>
      <c r="BF261" s="247"/>
      <c r="BG261" s="17"/>
      <c r="BH261" s="17"/>
      <c r="BI261" s="17"/>
      <c r="BJ261" s="247">
        <v>172400</v>
      </c>
      <c r="BK261" s="247">
        <f>+BJ261*0.19</f>
        <v>32756</v>
      </c>
      <c r="BL261" s="247">
        <f t="shared" ref="BL261:BL267" si="84">+BJ261+BK261</f>
        <v>205156</v>
      </c>
      <c r="BM261" s="191" t="s">
        <v>140</v>
      </c>
      <c r="BN261" s="190" t="s">
        <v>316</v>
      </c>
      <c r="BO261" s="17"/>
      <c r="BP261" s="247"/>
      <c r="BQ261" s="247"/>
      <c r="BR261" s="247"/>
      <c r="BS261" s="17"/>
      <c r="BT261" s="17"/>
      <c r="BU261" s="17"/>
      <c r="BV261" s="195">
        <v>188332.5184</v>
      </c>
      <c r="BW261" s="195">
        <f>+BV261*0.19</f>
        <v>35783.178496</v>
      </c>
      <c r="BX261" s="246">
        <f>+BV261+BW261</f>
        <v>224115.69689600001</v>
      </c>
      <c r="BY261" s="191" t="s">
        <v>140</v>
      </c>
      <c r="BZ261" s="190" t="s">
        <v>316</v>
      </c>
      <c r="CA261" s="190"/>
      <c r="CB261" s="247"/>
      <c r="CC261" s="247"/>
      <c r="CD261" s="247"/>
      <c r="CE261" s="17"/>
      <c r="CF261" s="17"/>
      <c r="CG261" s="17"/>
      <c r="CH261" s="247"/>
      <c r="CI261" s="247"/>
      <c r="CJ261" s="247"/>
      <c r="CK261" s="17"/>
      <c r="CL261" s="17"/>
      <c r="CM261" s="17"/>
      <c r="CN261" s="17"/>
      <c r="CO261" s="17"/>
      <c r="CP261" s="11"/>
      <c r="CQ261" s="11"/>
      <c r="CR261" s="11"/>
      <c r="CS261" s="11"/>
      <c r="CT261" s="247"/>
      <c r="CU261" s="247"/>
      <c r="CV261" s="247"/>
      <c r="CW261" s="11"/>
      <c r="CX261" s="11"/>
      <c r="CY261" s="11"/>
      <c r="CZ261" s="11"/>
      <c r="DA261" s="11"/>
      <c r="DB261" s="11"/>
      <c r="DC261" s="11"/>
      <c r="DD261" s="11"/>
      <c r="DE261" s="11"/>
      <c r="DF261" s="11"/>
      <c r="DG261" s="11"/>
      <c r="DH261" s="11"/>
      <c r="DI261" s="11"/>
      <c r="DJ261" s="11"/>
      <c r="DK261" s="11"/>
      <c r="DL261" s="247"/>
      <c r="DM261" s="247"/>
      <c r="DN261" s="247"/>
      <c r="DO261" s="247"/>
      <c r="DP261" s="247"/>
      <c r="DQ261" s="247"/>
      <c r="DR261" s="247"/>
      <c r="DS261" s="247"/>
      <c r="DT261" s="247"/>
      <c r="DU261" s="247"/>
      <c r="DV261" s="247"/>
      <c r="DW261" s="247"/>
      <c r="DX261" s="247"/>
      <c r="DY261" s="247"/>
      <c r="DZ261" s="247"/>
      <c r="EA261" s="247"/>
      <c r="EB261" s="247"/>
      <c r="EC261" s="247"/>
      <c r="ED261" s="17">
        <f t="shared" si="82"/>
        <v>429271.69689600001</v>
      </c>
      <c r="EE261" s="29">
        <f t="shared" si="83"/>
        <v>2</v>
      </c>
      <c r="EF261" s="17">
        <f t="shared" si="81"/>
        <v>214635.848448</v>
      </c>
    </row>
    <row r="262" spans="1:136" x14ac:dyDescent="0.25">
      <c r="A262" s="25">
        <f>Distribución_Elementos!A262</f>
        <v>260</v>
      </c>
      <c r="B262" s="22" t="str">
        <f>Distribución_Elementos!B262</f>
        <v>Grasa lubricante para micropipetas Frasco de 20 Grs</v>
      </c>
      <c r="C262" s="22" t="str">
        <f>Distribución_Elementos!C262</f>
        <v>Eppendorf</v>
      </c>
      <c r="D262" s="22" t="str">
        <f>Distribución_Elementos!D262</f>
        <v>Unidad</v>
      </c>
      <c r="E262" s="224">
        <v>1</v>
      </c>
      <c r="F262" s="221">
        <v>0</v>
      </c>
      <c r="G262" s="221">
        <v>0</v>
      </c>
      <c r="H262" s="221">
        <v>238000</v>
      </c>
      <c r="I262" s="221">
        <v>0</v>
      </c>
      <c r="J262" s="221">
        <v>0</v>
      </c>
      <c r="K262" s="221">
        <v>0</v>
      </c>
      <c r="L262" s="247">
        <f>H262</f>
        <v>238000</v>
      </c>
      <c r="M262" s="247"/>
      <c r="N262" s="227"/>
      <c r="O262" s="119"/>
      <c r="P262" s="119"/>
      <c r="Q262" s="115"/>
      <c r="R262" s="115"/>
      <c r="S262" s="11"/>
      <c r="T262" s="247"/>
      <c r="U262" s="247"/>
      <c r="V262" s="247"/>
      <c r="W262" s="17"/>
      <c r="X262" s="11"/>
      <c r="Y262" s="11"/>
      <c r="Z262" s="247"/>
      <c r="AA262" s="247"/>
      <c r="AB262" s="247"/>
      <c r="AC262" s="5"/>
      <c r="AD262" s="22"/>
      <c r="AE262" s="17"/>
      <c r="AF262" s="247"/>
      <c r="AG262" s="247"/>
      <c r="AH262" s="149"/>
      <c r="AI262" s="4"/>
      <c r="AJ262" s="17"/>
      <c r="AK262" s="17"/>
      <c r="AL262" s="102"/>
      <c r="AM262" s="132"/>
      <c r="AN262" s="161"/>
      <c r="AO262" s="115"/>
      <c r="AP262" s="115"/>
      <c r="AQ262" s="17"/>
      <c r="AR262" s="247"/>
      <c r="AS262" s="247"/>
      <c r="AT262" s="247"/>
      <c r="AU262" s="17"/>
      <c r="AV262" s="17"/>
      <c r="AW262" s="17"/>
      <c r="AX262" s="247"/>
      <c r="AY262" s="247"/>
      <c r="AZ262" s="247"/>
      <c r="BA262" s="17"/>
      <c r="BB262" s="52"/>
      <c r="BC262" s="17"/>
      <c r="BD262" s="247"/>
      <c r="BE262" s="247"/>
      <c r="BF262" s="247"/>
      <c r="BG262" s="17"/>
      <c r="BH262" s="17"/>
      <c r="BI262" s="17"/>
      <c r="BJ262" s="247">
        <v>95500</v>
      </c>
      <c r="BK262" s="247">
        <f>+BJ262*0.19</f>
        <v>18145</v>
      </c>
      <c r="BL262" s="247">
        <f t="shared" si="84"/>
        <v>113645</v>
      </c>
      <c r="BM262" s="191" t="s">
        <v>140</v>
      </c>
      <c r="BN262" s="190" t="s">
        <v>1565</v>
      </c>
      <c r="BO262" s="17"/>
      <c r="BP262" s="247">
        <v>185200</v>
      </c>
      <c r="BQ262" s="247">
        <f>+BP262*19%</f>
        <v>35188</v>
      </c>
      <c r="BR262" s="247">
        <f>+BQ262+BP262</f>
        <v>220388</v>
      </c>
      <c r="BS262" s="17"/>
      <c r="BT262" s="17"/>
      <c r="BU262" s="17"/>
      <c r="BV262" s="195">
        <v>109362.20700000002</v>
      </c>
      <c r="BW262" s="195">
        <f>+BV262*0.19</f>
        <v>20778.819330000006</v>
      </c>
      <c r="BX262" s="246">
        <f>+BV262+BW262</f>
        <v>130141.02633000002</v>
      </c>
      <c r="BY262" s="191" t="s">
        <v>140</v>
      </c>
      <c r="BZ262" s="190" t="s">
        <v>1565</v>
      </c>
      <c r="CA262" s="190"/>
      <c r="CB262" s="247"/>
      <c r="CC262" s="247"/>
      <c r="CD262" s="247"/>
      <c r="CE262" s="17"/>
      <c r="CF262" s="17"/>
      <c r="CG262" s="17"/>
      <c r="CH262" s="247"/>
      <c r="CI262" s="247"/>
      <c r="CJ262" s="247"/>
      <c r="CK262" s="17"/>
      <c r="CL262" s="17"/>
      <c r="CM262" s="17"/>
      <c r="CN262" s="17"/>
      <c r="CO262" s="17"/>
      <c r="CP262" s="11"/>
      <c r="CQ262" s="11"/>
      <c r="CR262" s="11"/>
      <c r="CS262" s="11"/>
      <c r="CT262" s="247"/>
      <c r="CU262" s="247"/>
      <c r="CV262" s="247"/>
      <c r="CW262" s="11"/>
      <c r="CX262" s="11"/>
      <c r="CY262" s="11"/>
      <c r="CZ262" s="11"/>
      <c r="DA262" s="11"/>
      <c r="DB262" s="11"/>
      <c r="DC262" s="11"/>
      <c r="DD262" s="11"/>
      <c r="DE262" s="11"/>
      <c r="DF262" s="11"/>
      <c r="DG262" s="11"/>
      <c r="DH262" s="11"/>
      <c r="DI262" s="11"/>
      <c r="DJ262" s="11"/>
      <c r="DK262" s="11"/>
      <c r="DL262" s="247"/>
      <c r="DM262" s="247"/>
      <c r="DN262" s="247"/>
      <c r="DO262" s="247"/>
      <c r="DP262" s="247"/>
      <c r="DQ262" s="247"/>
      <c r="DR262" s="247"/>
      <c r="DS262" s="247"/>
      <c r="DT262" s="247"/>
      <c r="DU262" s="247"/>
      <c r="DV262" s="247"/>
      <c r="DW262" s="247"/>
      <c r="DX262" s="247"/>
      <c r="DY262" s="247"/>
      <c r="DZ262" s="247"/>
      <c r="EA262" s="247"/>
      <c r="EB262" s="247"/>
      <c r="EC262" s="247"/>
      <c r="ED262" s="17">
        <f t="shared" si="82"/>
        <v>464174.02633000002</v>
      </c>
      <c r="EE262" s="29">
        <f t="shared" si="83"/>
        <v>3</v>
      </c>
      <c r="EF262" s="17">
        <f t="shared" si="81"/>
        <v>154724.67544333334</v>
      </c>
    </row>
    <row r="263" spans="1:136" ht="38.25" x14ac:dyDescent="0.25">
      <c r="A263" s="25">
        <f>Distribución_Elementos!A263</f>
        <v>261</v>
      </c>
      <c r="B263" s="22" t="str">
        <f>Distribución_Elementos!B263</f>
        <v>Guantes de examen de latex natural, sin talco, con borde enrrollado, longitud según norma EN 455-2 de 240 mm no estéril. Fuerza de rotura mediana 6 K  Talla S</v>
      </c>
      <c r="C263" s="22" t="str">
        <f>Distribución_Elementos!C263</f>
        <v>Dermagrip o equivalente</v>
      </c>
      <c r="D263" s="22" t="str">
        <f>Distribución_Elementos!D263</f>
        <v>Caja x 100</v>
      </c>
      <c r="E263" s="224">
        <v>1</v>
      </c>
      <c r="F263" s="221">
        <v>31487.796666666665</v>
      </c>
      <c r="G263" s="221">
        <v>30345</v>
      </c>
      <c r="H263" s="221">
        <v>24981.271309126594</v>
      </c>
      <c r="I263" s="221">
        <v>0</v>
      </c>
      <c r="J263" s="221">
        <v>37171.633333333331</v>
      </c>
      <c r="K263" s="221">
        <v>37128</v>
      </c>
      <c r="L263" s="247">
        <f>AVERAGE(F263,H263,J263)</f>
        <v>31213.567103042198</v>
      </c>
      <c r="M263" s="247">
        <f>AVERAGE(G263,K263)*E1</f>
        <v>34748.595000000001</v>
      </c>
      <c r="N263" s="227">
        <v>40000</v>
      </c>
      <c r="O263" s="119">
        <f t="shared" ref="O263:O272" si="85">+N263*0.19</f>
        <v>7600</v>
      </c>
      <c r="P263" s="119">
        <f t="shared" ref="P263:P272" si="86">+N263+O263</f>
        <v>47600</v>
      </c>
      <c r="Q263" s="115"/>
      <c r="R263" s="115"/>
      <c r="S263" s="11"/>
      <c r="T263" s="247"/>
      <c r="U263" s="247"/>
      <c r="V263" s="247"/>
      <c r="W263" s="17"/>
      <c r="X263" s="11"/>
      <c r="Y263" s="11"/>
      <c r="Z263" s="247"/>
      <c r="AA263" s="247"/>
      <c r="AB263" s="247"/>
      <c r="AC263" s="5"/>
      <c r="AD263" s="22"/>
      <c r="AE263" s="17"/>
      <c r="AF263" s="247"/>
      <c r="AG263" s="247"/>
      <c r="AH263" s="149"/>
      <c r="AI263" s="4"/>
      <c r="AJ263" s="17"/>
      <c r="AK263" s="17"/>
      <c r="AL263" s="102"/>
      <c r="AM263" s="132"/>
      <c r="AN263" s="161"/>
      <c r="AO263" s="115"/>
      <c r="AP263" s="115"/>
      <c r="AQ263" s="17"/>
      <c r="AR263" s="247"/>
      <c r="AS263" s="247"/>
      <c r="AT263" s="247"/>
      <c r="AU263" s="17"/>
      <c r="AV263" s="17"/>
      <c r="AW263" s="17"/>
      <c r="AX263" s="247"/>
      <c r="AY263" s="247"/>
      <c r="AZ263" s="247"/>
      <c r="BA263" s="17"/>
      <c r="BB263" s="52"/>
      <c r="BC263" s="17"/>
      <c r="BD263" s="247"/>
      <c r="BE263" s="247"/>
      <c r="BF263" s="247"/>
      <c r="BG263" s="17"/>
      <c r="BH263" s="17"/>
      <c r="BI263" s="17"/>
      <c r="BJ263" s="252">
        <v>100000</v>
      </c>
      <c r="BK263" s="247">
        <f>+BJ263*0</f>
        <v>0</v>
      </c>
      <c r="BL263" s="247">
        <f t="shared" si="84"/>
        <v>100000</v>
      </c>
      <c r="BM263" s="190" t="s">
        <v>337</v>
      </c>
      <c r="BN263" s="190" t="s">
        <v>1628</v>
      </c>
      <c r="BO263" s="17"/>
      <c r="BP263" s="247"/>
      <c r="BQ263" s="247"/>
      <c r="BR263" s="247"/>
      <c r="BS263" s="17"/>
      <c r="BT263" s="17"/>
      <c r="BU263" s="17"/>
      <c r="BV263" s="195">
        <v>168534.57920000001</v>
      </c>
      <c r="BW263" s="198">
        <f>+BV263*0</f>
        <v>0</v>
      </c>
      <c r="BX263" s="246">
        <f>+BV263+BW263</f>
        <v>168534.57920000001</v>
      </c>
      <c r="BY263" s="190" t="s">
        <v>337</v>
      </c>
      <c r="BZ263" s="190" t="s">
        <v>1628</v>
      </c>
      <c r="CA263" s="190"/>
      <c r="CB263" s="247"/>
      <c r="CC263" s="247"/>
      <c r="CD263" s="247"/>
      <c r="CE263" s="17"/>
      <c r="CF263" s="17"/>
      <c r="CG263" s="17"/>
      <c r="CH263" s="247"/>
      <c r="CI263" s="247"/>
      <c r="CJ263" s="247"/>
      <c r="CK263" s="17"/>
      <c r="CL263" s="17"/>
      <c r="CM263" s="17"/>
      <c r="CN263" s="17"/>
      <c r="CO263" s="17"/>
      <c r="CP263" s="11"/>
      <c r="CQ263" s="11"/>
      <c r="CR263" s="11"/>
      <c r="CS263" s="11"/>
      <c r="CT263" s="247"/>
      <c r="CU263" s="247"/>
      <c r="CV263" s="247"/>
      <c r="CW263" s="11"/>
      <c r="CX263" s="11"/>
      <c r="CY263" s="11"/>
      <c r="CZ263" s="11"/>
      <c r="DA263" s="11"/>
      <c r="DB263" s="11"/>
      <c r="DC263" s="11"/>
      <c r="DD263" s="11"/>
      <c r="DE263" s="11"/>
      <c r="DF263" s="11"/>
      <c r="DG263" s="11"/>
      <c r="DH263" s="11"/>
      <c r="DI263" s="11"/>
      <c r="DJ263" s="11"/>
      <c r="DK263" s="11"/>
      <c r="DL263" s="247"/>
      <c r="DM263" s="247"/>
      <c r="DN263" s="247"/>
      <c r="DO263" s="247"/>
      <c r="DP263" s="247"/>
      <c r="DQ263" s="247"/>
      <c r="DR263" s="247"/>
      <c r="DS263" s="247"/>
      <c r="DT263" s="247"/>
      <c r="DU263" s="247"/>
      <c r="DV263" s="247"/>
      <c r="DW263" s="247"/>
      <c r="DX263" s="247"/>
      <c r="DY263" s="247"/>
      <c r="DZ263" s="247"/>
      <c r="EA263" s="247"/>
      <c r="EB263" s="247"/>
      <c r="EC263" s="247"/>
      <c r="ED263" s="17">
        <f t="shared" si="82"/>
        <v>350883.17420000001</v>
      </c>
      <c r="EE263" s="29">
        <f t="shared" si="83"/>
        <v>4</v>
      </c>
      <c r="EF263" s="17">
        <f t="shared" si="81"/>
        <v>87720.793550000002</v>
      </c>
    </row>
    <row r="264" spans="1:136" ht="38.25" x14ac:dyDescent="0.25">
      <c r="A264" s="25">
        <f>Distribución_Elementos!A264</f>
        <v>262</v>
      </c>
      <c r="B264" s="22" t="str">
        <f>Distribución_Elementos!B264</f>
        <v>Guantes de examen de latex natural, sin talco, con borde enrrollado, longitud según norma EN 455-2 de 240 mm no estéril. Fuerza de rotura mediana 6 K  TallaM</v>
      </c>
      <c r="C264" s="22" t="str">
        <f>Distribución_Elementos!C264</f>
        <v>Dermagrip o equivalente</v>
      </c>
      <c r="D264" s="22" t="str">
        <f>Distribución_Elementos!D264</f>
        <v>Caja x 100</v>
      </c>
      <c r="E264" s="224">
        <v>1</v>
      </c>
      <c r="F264" s="221">
        <v>31487.796666666665</v>
      </c>
      <c r="G264" s="221">
        <v>30345</v>
      </c>
      <c r="H264" s="221">
        <v>24981.271309126594</v>
      </c>
      <c r="I264" s="221">
        <v>0</v>
      </c>
      <c r="J264" s="221">
        <v>37171.633333333331</v>
      </c>
      <c r="K264" s="221">
        <v>37128</v>
      </c>
      <c r="L264" s="247">
        <f>AVERAGE(F264,H264,J264)</f>
        <v>31213.567103042198</v>
      </c>
      <c r="M264" s="247">
        <f>AVERAGE(G264,K264)*E1</f>
        <v>34748.595000000001</v>
      </c>
      <c r="N264" s="227">
        <v>40000</v>
      </c>
      <c r="O264" s="119">
        <f t="shared" si="85"/>
        <v>7600</v>
      </c>
      <c r="P264" s="119">
        <f t="shared" si="86"/>
        <v>47600</v>
      </c>
      <c r="Q264" s="115"/>
      <c r="R264" s="115"/>
      <c r="S264" s="11"/>
      <c r="T264" s="247"/>
      <c r="U264" s="247"/>
      <c r="V264" s="247"/>
      <c r="W264" s="17"/>
      <c r="X264" s="11"/>
      <c r="Y264" s="11"/>
      <c r="Z264" s="247"/>
      <c r="AA264" s="247"/>
      <c r="AB264" s="247"/>
      <c r="AC264" s="5"/>
      <c r="AD264" s="22"/>
      <c r="AE264" s="17"/>
      <c r="AF264" s="247"/>
      <c r="AG264" s="247"/>
      <c r="AH264" s="149"/>
      <c r="AI264" s="4"/>
      <c r="AJ264" s="17"/>
      <c r="AK264" s="17"/>
      <c r="AL264" s="102"/>
      <c r="AM264" s="132"/>
      <c r="AN264" s="161"/>
      <c r="AO264" s="115"/>
      <c r="AP264" s="115"/>
      <c r="AQ264" s="17"/>
      <c r="AR264" s="247"/>
      <c r="AS264" s="247"/>
      <c r="AT264" s="247"/>
      <c r="AU264" s="17"/>
      <c r="AV264" s="17"/>
      <c r="AW264" s="17"/>
      <c r="AX264" s="247"/>
      <c r="AY264" s="247"/>
      <c r="AZ264" s="247"/>
      <c r="BA264" s="17"/>
      <c r="BB264" s="52"/>
      <c r="BC264" s="17"/>
      <c r="BD264" s="247"/>
      <c r="BE264" s="247"/>
      <c r="BF264" s="247"/>
      <c r="BG264" s="17"/>
      <c r="BH264" s="17"/>
      <c r="BI264" s="17"/>
      <c r="BJ264" s="252">
        <v>100000</v>
      </c>
      <c r="BK264" s="247">
        <f>+BJ264*0</f>
        <v>0</v>
      </c>
      <c r="BL264" s="247">
        <f t="shared" si="84"/>
        <v>100000</v>
      </c>
      <c r="BM264" s="190" t="s">
        <v>337</v>
      </c>
      <c r="BN264" s="190" t="s">
        <v>1628</v>
      </c>
      <c r="BO264" s="17"/>
      <c r="BP264" s="247"/>
      <c r="BQ264" s="247"/>
      <c r="BR264" s="247"/>
      <c r="BS264" s="17"/>
      <c r="BT264" s="17"/>
      <c r="BU264" s="17"/>
      <c r="BV264" s="195">
        <v>171871.89760000003</v>
      </c>
      <c r="BW264" s="198">
        <f>+BV264*0</f>
        <v>0</v>
      </c>
      <c r="BX264" s="246">
        <f>+BV264+BW264</f>
        <v>171871.89760000003</v>
      </c>
      <c r="BY264" s="190" t="s">
        <v>337</v>
      </c>
      <c r="BZ264" s="190" t="s">
        <v>1628</v>
      </c>
      <c r="CA264" s="190"/>
      <c r="CB264" s="247"/>
      <c r="CC264" s="247"/>
      <c r="CD264" s="247"/>
      <c r="CE264" s="17"/>
      <c r="CF264" s="17"/>
      <c r="CG264" s="17"/>
      <c r="CH264" s="247"/>
      <c r="CI264" s="247"/>
      <c r="CJ264" s="247"/>
      <c r="CK264" s="17"/>
      <c r="CL264" s="17"/>
      <c r="CM264" s="17"/>
      <c r="CN264" s="17"/>
      <c r="CO264" s="17"/>
      <c r="CP264" s="11"/>
      <c r="CQ264" s="11"/>
      <c r="CR264" s="11"/>
      <c r="CS264" s="11"/>
      <c r="CT264" s="247"/>
      <c r="CU264" s="247"/>
      <c r="CV264" s="247"/>
      <c r="CW264" s="11"/>
      <c r="CX264" s="11"/>
      <c r="CY264" s="11"/>
      <c r="CZ264" s="11"/>
      <c r="DA264" s="11"/>
      <c r="DB264" s="11"/>
      <c r="DC264" s="11"/>
      <c r="DD264" s="11"/>
      <c r="DE264" s="11"/>
      <c r="DF264" s="11"/>
      <c r="DG264" s="11"/>
      <c r="DH264" s="11"/>
      <c r="DI264" s="11"/>
      <c r="DJ264" s="11"/>
      <c r="DK264" s="11"/>
      <c r="DL264" s="247"/>
      <c r="DM264" s="247"/>
      <c r="DN264" s="247"/>
      <c r="DO264" s="247"/>
      <c r="DP264" s="247"/>
      <c r="DQ264" s="247"/>
      <c r="DR264" s="247"/>
      <c r="DS264" s="247"/>
      <c r="DT264" s="247"/>
      <c r="DU264" s="247"/>
      <c r="DV264" s="247"/>
      <c r="DW264" s="247"/>
      <c r="DX264" s="247"/>
      <c r="DY264" s="247"/>
      <c r="DZ264" s="247"/>
      <c r="EA264" s="247"/>
      <c r="EB264" s="247"/>
      <c r="EC264" s="247"/>
      <c r="ED264" s="17">
        <f t="shared" si="82"/>
        <v>354220.4926</v>
      </c>
      <c r="EE264" s="29">
        <f t="shared" si="83"/>
        <v>4</v>
      </c>
      <c r="EF264" s="17">
        <f t="shared" si="81"/>
        <v>88555.123149999999</v>
      </c>
    </row>
    <row r="265" spans="1:136" ht="51" x14ac:dyDescent="0.25">
      <c r="A265" s="25">
        <f>Distribución_Elementos!A265</f>
        <v>263</v>
      </c>
      <c r="B265" s="22" t="str">
        <f>Distribución_Elementos!B265</f>
        <v>Guantes desechable en nitrilo, revestimiento completo, borde con ribete, longitud mínima de 19 pulgadas, espesor mínimo 22 milésimas de pulgada. Debe cumplir norma EN374-2-2003; EN374-3-2003 Talla L</v>
      </c>
      <c r="C265" s="22" t="str">
        <f>Distribución_Elementos!C265</f>
        <v>Dermagrip o equivalente</v>
      </c>
      <c r="D265" s="22" t="str">
        <f>Distribución_Elementos!D265</f>
        <v>Caja x 100</v>
      </c>
      <c r="E265" s="224">
        <v>1</v>
      </c>
      <c r="F265" s="221">
        <v>47191.433333333334</v>
      </c>
      <c r="G265" s="221">
        <v>45696</v>
      </c>
      <c r="H265" s="221">
        <v>41296.966666666667</v>
      </c>
      <c r="I265" s="221">
        <v>41174</v>
      </c>
      <c r="J265" s="221">
        <v>51693.599999999999</v>
      </c>
      <c r="K265" s="221">
        <v>0</v>
      </c>
      <c r="L265" s="247">
        <f>AVERAGE(F265,H265,J265)</f>
        <v>46727.333333333336</v>
      </c>
      <c r="M265" s="247">
        <f>AVERAGE(G265,I265)*E1</f>
        <v>44738.05</v>
      </c>
      <c r="N265" s="227">
        <v>75000</v>
      </c>
      <c r="O265" s="119">
        <f t="shared" si="85"/>
        <v>14250</v>
      </c>
      <c r="P265" s="119">
        <f t="shared" si="86"/>
        <v>89250</v>
      </c>
      <c r="Q265" s="11"/>
      <c r="R265" s="11"/>
      <c r="S265" s="11"/>
      <c r="T265" s="247"/>
      <c r="U265" s="247"/>
      <c r="V265" s="247"/>
      <c r="W265" s="11"/>
      <c r="X265" s="11"/>
      <c r="Y265" s="11"/>
      <c r="Z265" s="247"/>
      <c r="AA265" s="247"/>
      <c r="AB265" s="247"/>
      <c r="AC265" s="11"/>
      <c r="AD265" s="11"/>
      <c r="AE265" s="11"/>
      <c r="AF265" s="247"/>
      <c r="AG265" s="247"/>
      <c r="AH265" s="247"/>
      <c r="AI265" s="11"/>
      <c r="AJ265" s="11"/>
      <c r="AK265" s="11"/>
      <c r="AL265" s="102"/>
      <c r="AM265" s="102"/>
      <c r="AN265" s="102"/>
      <c r="AO265" s="44"/>
      <c r="AP265" s="44"/>
      <c r="AQ265" s="11"/>
      <c r="AR265" s="247"/>
      <c r="AS265" s="247"/>
      <c r="AT265" s="247"/>
      <c r="AU265" s="11"/>
      <c r="AV265" s="11"/>
      <c r="AW265" s="11"/>
      <c r="AX265" s="247"/>
      <c r="AY265" s="247"/>
      <c r="AZ265" s="247"/>
      <c r="BA265" s="11"/>
      <c r="BB265" s="11"/>
      <c r="BC265" s="11"/>
      <c r="BD265" s="247"/>
      <c r="BE265" s="247"/>
      <c r="BF265" s="247"/>
      <c r="BG265" s="11"/>
      <c r="BH265" s="11"/>
      <c r="BI265" s="11"/>
      <c r="BJ265" s="252">
        <v>80000</v>
      </c>
      <c r="BK265" s="247">
        <f>+BJ265*0</f>
        <v>0</v>
      </c>
      <c r="BL265" s="247">
        <f t="shared" si="84"/>
        <v>80000</v>
      </c>
      <c r="BM265" s="190" t="s">
        <v>337</v>
      </c>
      <c r="BN265" s="190" t="s">
        <v>153</v>
      </c>
      <c r="BO265" s="11"/>
      <c r="BP265" s="247"/>
      <c r="BQ265" s="247"/>
      <c r="BR265" s="247"/>
      <c r="BS265" s="11"/>
      <c r="BT265" s="11"/>
      <c r="BU265" s="11"/>
      <c r="BV265" s="195"/>
      <c r="BW265" s="198"/>
      <c r="BX265" s="246"/>
      <c r="BY265" s="190"/>
      <c r="BZ265" s="190"/>
      <c r="CA265" s="190"/>
      <c r="CB265" s="247"/>
      <c r="CC265" s="247"/>
      <c r="CD265" s="247"/>
      <c r="CE265" s="11"/>
      <c r="CF265" s="11"/>
      <c r="CG265" s="11"/>
      <c r="CH265" s="247"/>
      <c r="CI265" s="247"/>
      <c r="CJ265" s="247"/>
      <c r="CK265" s="11"/>
      <c r="CL265" s="11"/>
      <c r="CM265" s="11"/>
      <c r="CN265" s="11"/>
      <c r="CO265" s="11"/>
      <c r="CP265" s="11"/>
      <c r="CQ265" s="11"/>
      <c r="CR265" s="11"/>
      <c r="CS265" s="11"/>
      <c r="CT265" s="247"/>
      <c r="CU265" s="247"/>
      <c r="CV265" s="247"/>
      <c r="CW265" s="11"/>
      <c r="CX265" s="11"/>
      <c r="CY265" s="11"/>
      <c r="CZ265" s="11"/>
      <c r="DA265" s="11"/>
      <c r="DB265" s="11"/>
      <c r="DC265" s="11"/>
      <c r="DD265" s="11"/>
      <c r="DE265" s="11"/>
      <c r="DF265" s="11"/>
      <c r="DG265" s="11"/>
      <c r="DH265" s="11"/>
      <c r="DI265" s="11"/>
      <c r="DJ265" s="11"/>
      <c r="DK265" s="11"/>
      <c r="DL265" s="247"/>
      <c r="DM265" s="247"/>
      <c r="DN265" s="247"/>
      <c r="DO265" s="247"/>
      <c r="DP265" s="247"/>
      <c r="DQ265" s="247"/>
      <c r="DR265" s="247"/>
      <c r="DS265" s="247"/>
      <c r="DT265" s="247"/>
      <c r="DU265" s="247"/>
      <c r="DV265" s="247"/>
      <c r="DW265" s="247"/>
      <c r="DX265" s="247"/>
      <c r="DY265" s="247"/>
      <c r="DZ265" s="247"/>
      <c r="EA265" s="247"/>
      <c r="EB265" s="247"/>
      <c r="EC265" s="247"/>
      <c r="ED265" s="17">
        <f t="shared" si="82"/>
        <v>213988.05</v>
      </c>
      <c r="EE265" s="29">
        <f t="shared" si="83"/>
        <v>3</v>
      </c>
      <c r="EF265" s="17">
        <f t="shared" si="81"/>
        <v>71329.349999999991</v>
      </c>
    </row>
    <row r="266" spans="1:136" ht="51" x14ac:dyDescent="0.25">
      <c r="A266" s="25">
        <f>Distribución_Elementos!A266</f>
        <v>264</v>
      </c>
      <c r="B266" s="22" t="str">
        <f>Distribución_Elementos!B266</f>
        <v>Guantes desechable en nitrilo, revestimiento completo, borde con ribete, longitud mínima de 19 pulgadas, espesor mínimo 22 milésimas de pulgada. Debe cumplir norma EN374-2-2003; EN374-3-2003 Talla M</v>
      </c>
      <c r="C266" s="22" t="str">
        <f>Distribución_Elementos!C266</f>
        <v>Dermagrip o equivalente</v>
      </c>
      <c r="D266" s="22" t="str">
        <f>Distribución_Elementos!D266</f>
        <v>Cajas x 100</v>
      </c>
      <c r="E266" s="224">
        <v>1</v>
      </c>
      <c r="F266" s="221">
        <v>43415.166666666672</v>
      </c>
      <c r="G266" s="221">
        <v>42007</v>
      </c>
      <c r="H266" s="221">
        <v>41296.966666666667</v>
      </c>
      <c r="I266" s="221">
        <v>41174</v>
      </c>
      <c r="J266" s="221">
        <v>50402.450000000004</v>
      </c>
      <c r="K266" s="221">
        <v>0</v>
      </c>
      <c r="L266" s="247">
        <f>AVERAGE(F266,H266,J266)</f>
        <v>45038.194444444445</v>
      </c>
      <c r="M266" s="247">
        <f>AVERAGE(G266,I266)*E1</f>
        <v>42838.215000000004</v>
      </c>
      <c r="N266" s="227">
        <v>75000</v>
      </c>
      <c r="O266" s="119">
        <f t="shared" si="85"/>
        <v>14250</v>
      </c>
      <c r="P266" s="119">
        <f t="shared" si="86"/>
        <v>89250</v>
      </c>
      <c r="Q266" s="11"/>
      <c r="R266" s="11"/>
      <c r="S266" s="11"/>
      <c r="T266" s="247"/>
      <c r="U266" s="247"/>
      <c r="V266" s="247"/>
      <c r="W266" s="11"/>
      <c r="X266" s="11"/>
      <c r="Y266" s="11"/>
      <c r="Z266" s="247"/>
      <c r="AA266" s="247"/>
      <c r="AB266" s="247"/>
      <c r="AC266" s="11"/>
      <c r="AD266" s="11"/>
      <c r="AE266" s="11"/>
      <c r="AF266" s="247"/>
      <c r="AG266" s="247"/>
      <c r="AH266" s="247"/>
      <c r="AI266" s="11"/>
      <c r="AJ266" s="11"/>
      <c r="AK266" s="11"/>
      <c r="AL266" s="102"/>
      <c r="AM266" s="102"/>
      <c r="AN266" s="102"/>
      <c r="AO266" s="44"/>
      <c r="AP266" s="44"/>
      <c r="AQ266" s="11"/>
      <c r="AR266" s="247"/>
      <c r="AS266" s="247"/>
      <c r="AT266" s="247"/>
      <c r="AU266" s="11"/>
      <c r="AV266" s="11"/>
      <c r="AW266" s="11"/>
      <c r="AX266" s="247"/>
      <c r="AY266" s="247"/>
      <c r="AZ266" s="247"/>
      <c r="BA266" s="11"/>
      <c r="BB266" s="11"/>
      <c r="BC266" s="11"/>
      <c r="BD266" s="247"/>
      <c r="BE266" s="247"/>
      <c r="BF266" s="247"/>
      <c r="BG266" s="11"/>
      <c r="BH266" s="11"/>
      <c r="BI266" s="11"/>
      <c r="BJ266" s="252">
        <v>80000</v>
      </c>
      <c r="BK266" s="247">
        <f>+BJ266*0</f>
        <v>0</v>
      </c>
      <c r="BL266" s="247">
        <f t="shared" si="84"/>
        <v>80000</v>
      </c>
      <c r="BM266" s="190" t="s">
        <v>337</v>
      </c>
      <c r="BN266" s="190" t="s">
        <v>153</v>
      </c>
      <c r="BO266" s="11"/>
      <c r="BP266" s="247"/>
      <c r="BQ266" s="247"/>
      <c r="BR266" s="247"/>
      <c r="BS266" s="11"/>
      <c r="BT266" s="11"/>
      <c r="BU266" s="11"/>
      <c r="BV266" s="195"/>
      <c r="BW266" s="198"/>
      <c r="BX266" s="246"/>
      <c r="BY266" s="190"/>
      <c r="BZ266" s="190"/>
      <c r="CA266" s="190"/>
      <c r="CB266" s="247"/>
      <c r="CC266" s="247"/>
      <c r="CD266" s="247"/>
      <c r="CE266" s="11"/>
      <c r="CF266" s="11"/>
      <c r="CG266" s="11"/>
      <c r="CH266" s="247"/>
      <c r="CI266" s="247"/>
      <c r="CJ266" s="247"/>
      <c r="CK266" s="11"/>
      <c r="CL266" s="11"/>
      <c r="CM266" s="11"/>
      <c r="CN266" s="11"/>
      <c r="CO266" s="11"/>
      <c r="CP266" s="11"/>
      <c r="CQ266" s="11"/>
      <c r="CR266" s="11"/>
      <c r="CS266" s="11"/>
      <c r="CT266" s="247"/>
      <c r="CU266" s="247"/>
      <c r="CV266" s="247"/>
      <c r="CW266" s="11"/>
      <c r="CX266" s="11"/>
      <c r="CY266" s="11"/>
      <c r="CZ266" s="11"/>
      <c r="DA266" s="11"/>
      <c r="DB266" s="11"/>
      <c r="DC266" s="11"/>
      <c r="DD266" s="11"/>
      <c r="DE266" s="11"/>
      <c r="DF266" s="11"/>
      <c r="DG266" s="11"/>
      <c r="DH266" s="11"/>
      <c r="DI266" s="11"/>
      <c r="DJ266" s="11"/>
      <c r="DK266" s="11"/>
      <c r="DL266" s="247"/>
      <c r="DM266" s="247"/>
      <c r="DN266" s="247"/>
      <c r="DO266" s="247"/>
      <c r="DP266" s="247"/>
      <c r="DQ266" s="247"/>
      <c r="DR266" s="247"/>
      <c r="DS266" s="247"/>
      <c r="DT266" s="247"/>
      <c r="DU266" s="247"/>
      <c r="DV266" s="247"/>
      <c r="DW266" s="247"/>
      <c r="DX266" s="247"/>
      <c r="DY266" s="247"/>
      <c r="DZ266" s="247"/>
      <c r="EA266" s="247"/>
      <c r="EB266" s="247"/>
      <c r="EC266" s="247"/>
      <c r="ED266" s="17">
        <f t="shared" si="82"/>
        <v>212088.215</v>
      </c>
      <c r="EE266" s="29">
        <f t="shared" si="83"/>
        <v>3</v>
      </c>
      <c r="EF266" s="17">
        <f t="shared" si="81"/>
        <v>70696.07166666667</v>
      </c>
    </row>
    <row r="267" spans="1:136" ht="51" x14ac:dyDescent="0.25">
      <c r="A267" s="25">
        <f>Distribución_Elementos!A267</f>
        <v>265</v>
      </c>
      <c r="B267" s="22" t="str">
        <f>Distribución_Elementos!B267</f>
        <v>Guantes desechable en nitrilo, revestimiento completo, borde con ribete, longitud mínima de 19 pulgadas, espesor mínimo 22 milésimas de pulgada. Debe cumplir norma EN374-2-2003; EN374-3-2003 Talla S</v>
      </c>
      <c r="C267" s="22" t="str">
        <f>Distribución_Elementos!C267</f>
        <v>Dermagrip o equivalente</v>
      </c>
      <c r="D267" s="22" t="str">
        <f>Distribución_Elementos!D267</f>
        <v>Caja x 100</v>
      </c>
      <c r="E267" s="224">
        <v>1</v>
      </c>
      <c r="F267" s="221">
        <v>43415.166666666672</v>
      </c>
      <c r="G267" s="221">
        <v>42007</v>
      </c>
      <c r="H267" s="221">
        <v>41296.966666666667</v>
      </c>
      <c r="I267" s="221">
        <v>41174</v>
      </c>
      <c r="J267" s="221">
        <v>50402.450000000004</v>
      </c>
      <c r="K267" s="221">
        <v>0</v>
      </c>
      <c r="L267" s="247">
        <f>AVERAGE(F267,H267,J267)</f>
        <v>45038.194444444445</v>
      </c>
      <c r="M267" s="247">
        <f>AVERAGE(G267,I267)*E1</f>
        <v>42838.215000000004</v>
      </c>
      <c r="N267" s="227">
        <v>75000</v>
      </c>
      <c r="O267" s="119">
        <f t="shared" si="85"/>
        <v>14250</v>
      </c>
      <c r="P267" s="119">
        <f t="shared" si="86"/>
        <v>89250</v>
      </c>
      <c r="Q267" s="11"/>
      <c r="R267" s="11"/>
      <c r="S267" s="11"/>
      <c r="T267" s="247"/>
      <c r="U267" s="247"/>
      <c r="V267" s="247"/>
      <c r="W267" s="11"/>
      <c r="X267" s="11"/>
      <c r="Y267" s="11"/>
      <c r="Z267" s="247"/>
      <c r="AA267" s="247"/>
      <c r="AB267" s="247"/>
      <c r="AC267" s="11"/>
      <c r="AD267" s="11"/>
      <c r="AE267" s="11"/>
      <c r="AF267" s="247"/>
      <c r="AG267" s="247"/>
      <c r="AH267" s="247"/>
      <c r="AI267" s="11"/>
      <c r="AJ267" s="11"/>
      <c r="AK267" s="11"/>
      <c r="AL267" s="102"/>
      <c r="AM267" s="102"/>
      <c r="AN267" s="102"/>
      <c r="AO267" s="44"/>
      <c r="AP267" s="44"/>
      <c r="AQ267" s="11"/>
      <c r="AR267" s="247"/>
      <c r="AS267" s="247"/>
      <c r="AT267" s="247"/>
      <c r="AU267" s="11"/>
      <c r="AV267" s="11"/>
      <c r="AW267" s="11"/>
      <c r="AX267" s="247"/>
      <c r="AY267" s="247"/>
      <c r="AZ267" s="247"/>
      <c r="BA267" s="11"/>
      <c r="BB267" s="11"/>
      <c r="BC267" s="11"/>
      <c r="BD267" s="247"/>
      <c r="BE267" s="247"/>
      <c r="BF267" s="247"/>
      <c r="BG267" s="11"/>
      <c r="BH267" s="11"/>
      <c r="BI267" s="11"/>
      <c r="BJ267" s="252">
        <v>100000</v>
      </c>
      <c r="BK267" s="247">
        <f>+BJ267*0</f>
        <v>0</v>
      </c>
      <c r="BL267" s="247">
        <f t="shared" si="84"/>
        <v>100000</v>
      </c>
      <c r="BM267" s="190" t="s">
        <v>337</v>
      </c>
      <c r="BN267" s="190" t="s">
        <v>153</v>
      </c>
      <c r="BO267" s="11"/>
      <c r="BP267" s="247"/>
      <c r="BQ267" s="247"/>
      <c r="BR267" s="247"/>
      <c r="BS267" s="11"/>
      <c r="BT267" s="11"/>
      <c r="BU267" s="11"/>
      <c r="BV267" s="195"/>
      <c r="BW267" s="198"/>
      <c r="BX267" s="246"/>
      <c r="BY267" s="190"/>
      <c r="BZ267" s="190"/>
      <c r="CA267" s="190"/>
      <c r="CB267" s="247"/>
      <c r="CC267" s="247"/>
      <c r="CD267" s="247"/>
      <c r="CE267" s="11"/>
      <c r="CF267" s="11"/>
      <c r="CG267" s="11"/>
      <c r="CH267" s="247"/>
      <c r="CI267" s="247"/>
      <c r="CJ267" s="247"/>
      <c r="CK267" s="11"/>
      <c r="CL267" s="11"/>
      <c r="CM267" s="11"/>
      <c r="CN267" s="11"/>
      <c r="CO267" s="11"/>
      <c r="CP267" s="11"/>
      <c r="CQ267" s="11"/>
      <c r="CR267" s="11"/>
      <c r="CS267" s="11"/>
      <c r="CT267" s="247"/>
      <c r="CU267" s="247"/>
      <c r="CV267" s="247"/>
      <c r="CW267" s="11"/>
      <c r="CX267" s="11"/>
      <c r="CY267" s="11"/>
      <c r="CZ267" s="11"/>
      <c r="DA267" s="11"/>
      <c r="DB267" s="11"/>
      <c r="DC267" s="11"/>
      <c r="DD267" s="11"/>
      <c r="DE267" s="11"/>
      <c r="DF267" s="11"/>
      <c r="DG267" s="11"/>
      <c r="DH267" s="11"/>
      <c r="DI267" s="11"/>
      <c r="DJ267" s="11"/>
      <c r="DK267" s="11"/>
      <c r="DL267" s="247"/>
      <c r="DM267" s="247"/>
      <c r="DN267" s="247"/>
      <c r="DO267" s="247"/>
      <c r="DP267" s="247"/>
      <c r="DQ267" s="247"/>
      <c r="DR267" s="247"/>
      <c r="DS267" s="247"/>
      <c r="DT267" s="247"/>
      <c r="DU267" s="247"/>
      <c r="DV267" s="247"/>
      <c r="DW267" s="247"/>
      <c r="DX267" s="247"/>
      <c r="DY267" s="247"/>
      <c r="DZ267" s="247"/>
      <c r="EA267" s="247"/>
      <c r="EB267" s="247"/>
      <c r="EC267" s="247"/>
      <c r="ED267" s="17">
        <f t="shared" si="82"/>
        <v>232088.215</v>
      </c>
      <c r="EE267" s="29">
        <f t="shared" si="83"/>
        <v>3</v>
      </c>
      <c r="EF267" s="17">
        <f t="shared" si="81"/>
        <v>77362.738333333327</v>
      </c>
    </row>
    <row r="268" spans="1:136" ht="38.25" x14ac:dyDescent="0.25">
      <c r="A268" s="25">
        <f>Distribución_Elementos!A268</f>
        <v>266</v>
      </c>
      <c r="B268" s="22" t="str">
        <f>Distribución_Elementos!B268</f>
        <v>Guantes desechables de nitrilo y neopreno de 3 capas de seguridad. Que cumplan las normas EN 420, 388 &amp; 374 Categoría III. Talla L</v>
      </c>
      <c r="C268" s="22" t="str">
        <f>Distribución_Elementos!C268</f>
        <v>Microflex 93-262</v>
      </c>
      <c r="D268" s="22" t="str">
        <f>Distribución_Elementos!D268</f>
        <v>cajax100</v>
      </c>
      <c r="E268" s="224">
        <v>1</v>
      </c>
      <c r="F268" s="221">
        <v>0</v>
      </c>
      <c r="G268" s="221">
        <v>0</v>
      </c>
      <c r="H268" s="221">
        <v>0</v>
      </c>
      <c r="I268" s="221">
        <v>0</v>
      </c>
      <c r="J268" s="221">
        <v>132923</v>
      </c>
      <c r="K268" s="221">
        <v>0</v>
      </c>
      <c r="L268" s="247">
        <f>J268</f>
        <v>132923</v>
      </c>
      <c r="M268" s="247"/>
      <c r="N268" s="227">
        <v>110000</v>
      </c>
      <c r="O268" s="119">
        <f t="shared" si="85"/>
        <v>20900</v>
      </c>
      <c r="P268" s="119">
        <f t="shared" si="86"/>
        <v>130900</v>
      </c>
      <c r="Q268" s="115"/>
      <c r="R268" s="115"/>
      <c r="S268" s="11"/>
      <c r="T268" s="247"/>
      <c r="U268" s="247"/>
      <c r="V268" s="247"/>
      <c r="W268" s="17"/>
      <c r="X268" s="11"/>
      <c r="Y268" s="11"/>
      <c r="Z268" s="247"/>
      <c r="AA268" s="247"/>
      <c r="AB268" s="247"/>
      <c r="AC268" s="5"/>
      <c r="AD268" s="22"/>
      <c r="AE268" s="17"/>
      <c r="AF268" s="247"/>
      <c r="AG268" s="247"/>
      <c r="AH268" s="149"/>
      <c r="AI268" s="22"/>
      <c r="AJ268" s="17"/>
      <c r="AK268" s="17"/>
      <c r="AL268" s="102"/>
      <c r="AM268" s="132"/>
      <c r="AN268" s="161"/>
      <c r="AO268" s="115"/>
      <c r="AP268" s="115"/>
      <c r="AQ268" s="17"/>
      <c r="AR268" s="247"/>
      <c r="AS268" s="247"/>
      <c r="AT268" s="247"/>
      <c r="AU268" s="17"/>
      <c r="AV268" s="17"/>
      <c r="AW268" s="17"/>
      <c r="AX268" s="247"/>
      <c r="AY268" s="247"/>
      <c r="AZ268" s="247"/>
      <c r="BA268" s="17"/>
      <c r="BB268" s="52"/>
      <c r="BC268" s="17"/>
      <c r="BD268" s="247"/>
      <c r="BE268" s="247"/>
      <c r="BF268" s="247"/>
      <c r="BG268" s="17"/>
      <c r="BH268" s="17"/>
      <c r="BI268" s="17"/>
      <c r="BJ268" s="247"/>
      <c r="BK268" s="247"/>
      <c r="BL268" s="247"/>
      <c r="BM268" s="190"/>
      <c r="BN268" s="190"/>
      <c r="BO268" s="17"/>
      <c r="BP268" s="247"/>
      <c r="BQ268" s="247"/>
      <c r="BR268" s="247"/>
      <c r="BS268" s="17"/>
      <c r="BT268" s="17"/>
      <c r="BU268" s="17"/>
      <c r="BV268" s="189"/>
      <c r="BW268" s="197"/>
      <c r="BX268" s="246"/>
      <c r="BY268" s="190"/>
      <c r="BZ268" s="190"/>
      <c r="CA268" s="190"/>
      <c r="CB268" s="247"/>
      <c r="CC268" s="247"/>
      <c r="CD268" s="247"/>
      <c r="CE268" s="17"/>
      <c r="CF268" s="17"/>
      <c r="CG268" s="17"/>
      <c r="CH268" s="247"/>
      <c r="CI268" s="247"/>
      <c r="CJ268" s="247"/>
      <c r="CK268" s="17"/>
      <c r="CL268" s="17"/>
      <c r="CM268" s="17"/>
      <c r="CN268" s="17"/>
      <c r="CO268" s="17"/>
      <c r="CP268" s="11"/>
      <c r="CQ268" s="11"/>
      <c r="CR268" s="11"/>
      <c r="CS268" s="11"/>
      <c r="CT268" s="247"/>
      <c r="CU268" s="247"/>
      <c r="CV268" s="247"/>
      <c r="CW268" s="11"/>
      <c r="CX268" s="11"/>
      <c r="CY268" s="11"/>
      <c r="CZ268" s="11"/>
      <c r="DA268" s="11"/>
      <c r="DB268" s="11"/>
      <c r="DC268" s="11"/>
      <c r="DD268" s="11"/>
      <c r="DE268" s="11"/>
      <c r="DF268" s="11"/>
      <c r="DG268" s="11"/>
      <c r="DH268" s="11"/>
      <c r="DI268" s="11"/>
      <c r="DJ268" s="11"/>
      <c r="DK268" s="11"/>
      <c r="DL268" s="247"/>
      <c r="DM268" s="247"/>
      <c r="DN268" s="247"/>
      <c r="DO268" s="247"/>
      <c r="DP268" s="247"/>
      <c r="DQ268" s="247"/>
      <c r="DR268" s="247"/>
      <c r="DS268" s="247"/>
      <c r="DT268" s="247"/>
      <c r="DU268" s="247"/>
      <c r="DV268" s="247"/>
      <c r="DW268" s="247"/>
      <c r="DX268" s="247"/>
      <c r="DY268" s="247"/>
      <c r="DZ268" s="247"/>
      <c r="EA268" s="247"/>
      <c r="EB268" s="247"/>
      <c r="EC268" s="247"/>
      <c r="ED268" s="17">
        <f t="shared" si="82"/>
        <v>130900</v>
      </c>
      <c r="EE268" s="29">
        <f t="shared" si="83"/>
        <v>1</v>
      </c>
      <c r="EF268" s="17">
        <f t="shared" si="81"/>
        <v>130900</v>
      </c>
    </row>
    <row r="269" spans="1:136" ht="38.25" x14ac:dyDescent="0.25">
      <c r="A269" s="25">
        <f>Distribución_Elementos!A269</f>
        <v>267</v>
      </c>
      <c r="B269" s="22" t="str">
        <f>Distribución_Elementos!B269</f>
        <v xml:space="preserve">Guantes desechables de nitrilo y neopreno. Que cumplan las normas EN 420, 388 &amp; 374 Categoría III. Talla M
</v>
      </c>
      <c r="C269" s="22" t="str">
        <f>Distribución_Elementos!C269</f>
        <v>Microflex 93-261</v>
      </c>
      <c r="D269" s="22" t="str">
        <f>Distribución_Elementos!D269</f>
        <v>cajax100</v>
      </c>
      <c r="E269" s="224">
        <v>1</v>
      </c>
      <c r="F269" s="221">
        <v>0</v>
      </c>
      <c r="G269" s="221">
        <v>0</v>
      </c>
      <c r="H269" s="221">
        <v>0</v>
      </c>
      <c r="I269" s="221">
        <v>0</v>
      </c>
      <c r="J269" s="221">
        <v>0</v>
      </c>
      <c r="K269" s="221">
        <v>0</v>
      </c>
      <c r="L269" s="247"/>
      <c r="M269" s="247"/>
      <c r="N269" s="227">
        <v>110000</v>
      </c>
      <c r="O269" s="119">
        <f t="shared" si="85"/>
        <v>20900</v>
      </c>
      <c r="P269" s="119">
        <f t="shared" si="86"/>
        <v>130900</v>
      </c>
      <c r="Q269" s="115"/>
      <c r="R269" s="115"/>
      <c r="S269" s="11"/>
      <c r="T269" s="247"/>
      <c r="U269" s="247"/>
      <c r="V269" s="247"/>
      <c r="W269" s="17"/>
      <c r="X269" s="11"/>
      <c r="Y269" s="11"/>
      <c r="Z269" s="247"/>
      <c r="AA269" s="247"/>
      <c r="AB269" s="247"/>
      <c r="AC269" s="5"/>
      <c r="AD269" s="22"/>
      <c r="AE269" s="17"/>
      <c r="AF269" s="247"/>
      <c r="AG269" s="247"/>
      <c r="AH269" s="149"/>
      <c r="AI269" s="22"/>
      <c r="AJ269" s="17"/>
      <c r="AK269" s="17"/>
      <c r="AL269" s="102"/>
      <c r="AM269" s="132"/>
      <c r="AN269" s="161"/>
      <c r="AO269" s="115"/>
      <c r="AP269" s="115"/>
      <c r="AQ269" s="17"/>
      <c r="AR269" s="247"/>
      <c r="AS269" s="247"/>
      <c r="AT269" s="247"/>
      <c r="AU269" s="17"/>
      <c r="AV269" s="17"/>
      <c r="AW269" s="17"/>
      <c r="AX269" s="247"/>
      <c r="AY269" s="247"/>
      <c r="AZ269" s="247"/>
      <c r="BA269" s="17"/>
      <c r="BB269" s="52"/>
      <c r="BC269" s="17"/>
      <c r="BD269" s="247"/>
      <c r="BE269" s="247"/>
      <c r="BF269" s="247"/>
      <c r="BG269" s="17"/>
      <c r="BH269" s="17"/>
      <c r="BI269" s="17"/>
      <c r="BJ269" s="247"/>
      <c r="BK269" s="247"/>
      <c r="BL269" s="247"/>
      <c r="BM269" s="190"/>
      <c r="BN269" s="190"/>
      <c r="BO269" s="17"/>
      <c r="BP269" s="247"/>
      <c r="BQ269" s="247"/>
      <c r="BR269" s="247"/>
      <c r="BS269" s="17"/>
      <c r="BT269" s="17"/>
      <c r="BU269" s="17"/>
      <c r="BV269" s="189"/>
      <c r="BW269" s="197"/>
      <c r="BX269" s="246"/>
      <c r="BY269" s="190"/>
      <c r="BZ269" s="190"/>
      <c r="CA269" s="190"/>
      <c r="CB269" s="247"/>
      <c r="CC269" s="247"/>
      <c r="CD269" s="247"/>
      <c r="CE269" s="17"/>
      <c r="CF269" s="17"/>
      <c r="CG269" s="17"/>
      <c r="CH269" s="247"/>
      <c r="CI269" s="247"/>
      <c r="CJ269" s="247"/>
      <c r="CK269" s="17"/>
      <c r="CL269" s="17"/>
      <c r="CM269" s="17"/>
      <c r="CN269" s="17"/>
      <c r="CO269" s="17"/>
      <c r="CP269" s="11"/>
      <c r="CQ269" s="11"/>
      <c r="CR269" s="11"/>
      <c r="CS269" s="11"/>
      <c r="CT269" s="247"/>
      <c r="CU269" s="247"/>
      <c r="CV269" s="247"/>
      <c r="CW269" s="11"/>
      <c r="CX269" s="11"/>
      <c r="CY269" s="11"/>
      <c r="CZ269" s="11"/>
      <c r="DA269" s="11"/>
      <c r="DB269" s="11"/>
      <c r="DC269" s="11"/>
      <c r="DD269" s="11"/>
      <c r="DE269" s="11"/>
      <c r="DF269" s="11"/>
      <c r="DG269" s="11"/>
      <c r="DH269" s="11"/>
      <c r="DI269" s="11"/>
      <c r="DJ269" s="11"/>
      <c r="DK269" s="11"/>
      <c r="DL269" s="247"/>
      <c r="DM269" s="247"/>
      <c r="DN269" s="247"/>
      <c r="DO269" s="247"/>
      <c r="DP269" s="247"/>
      <c r="DQ269" s="247"/>
      <c r="DR269" s="247"/>
      <c r="DS269" s="247"/>
      <c r="DT269" s="247"/>
      <c r="DU269" s="247"/>
      <c r="DV269" s="247"/>
      <c r="DW269" s="247"/>
      <c r="DX269" s="247"/>
      <c r="DY269" s="247"/>
      <c r="DZ269" s="247"/>
      <c r="EA269" s="247"/>
      <c r="EB269" s="247"/>
      <c r="EC269" s="247"/>
      <c r="ED269" s="17">
        <f t="shared" si="82"/>
        <v>130900</v>
      </c>
      <c r="EE269" s="29">
        <f t="shared" si="83"/>
        <v>1</v>
      </c>
      <c r="EF269" s="17">
        <f t="shared" si="81"/>
        <v>130900</v>
      </c>
    </row>
    <row r="270" spans="1:136" ht="38.25" x14ac:dyDescent="0.25">
      <c r="A270" s="25">
        <f>Distribución_Elementos!A270</f>
        <v>268</v>
      </c>
      <c r="B270" s="22" t="str">
        <f>Distribución_Elementos!B270</f>
        <v xml:space="preserve">Guantes desechables de nitrilo y neopreno. Que cumplan las normas EN 420, 388 &amp; 374 Categoría III. Talla S
</v>
      </c>
      <c r="C270" s="22" t="str">
        <f>Distribución_Elementos!C270</f>
        <v>Microflex 93-260</v>
      </c>
      <c r="D270" s="22" t="str">
        <f>Distribución_Elementos!D270</f>
        <v>cajax100</v>
      </c>
      <c r="E270" s="224">
        <v>1</v>
      </c>
      <c r="F270" s="221">
        <v>0</v>
      </c>
      <c r="G270" s="221">
        <v>0</v>
      </c>
      <c r="H270" s="221">
        <v>0</v>
      </c>
      <c r="I270" s="221">
        <v>0</v>
      </c>
      <c r="J270" s="221">
        <v>0</v>
      </c>
      <c r="K270" s="221">
        <v>0</v>
      </c>
      <c r="L270" s="247"/>
      <c r="M270" s="247"/>
      <c r="N270" s="227">
        <v>110000</v>
      </c>
      <c r="O270" s="119">
        <f t="shared" si="85"/>
        <v>20900</v>
      </c>
      <c r="P270" s="119">
        <f t="shared" si="86"/>
        <v>130900</v>
      </c>
      <c r="Q270" s="115"/>
      <c r="R270" s="115"/>
      <c r="S270" s="11"/>
      <c r="T270" s="247"/>
      <c r="U270" s="247"/>
      <c r="V270" s="247"/>
      <c r="W270" s="17"/>
      <c r="X270" s="11"/>
      <c r="Y270" s="11"/>
      <c r="Z270" s="247"/>
      <c r="AA270" s="247"/>
      <c r="AB270" s="247"/>
      <c r="AC270" s="5"/>
      <c r="AD270" s="22"/>
      <c r="AE270" s="17"/>
      <c r="AF270" s="247"/>
      <c r="AG270" s="247"/>
      <c r="AH270" s="149"/>
      <c r="AI270" s="4"/>
      <c r="AJ270" s="17"/>
      <c r="AK270" s="17"/>
      <c r="AL270" s="102"/>
      <c r="AM270" s="132"/>
      <c r="AN270" s="161"/>
      <c r="AO270" s="115"/>
      <c r="AP270" s="115"/>
      <c r="AQ270" s="17"/>
      <c r="AR270" s="247"/>
      <c r="AS270" s="247"/>
      <c r="AT270" s="247"/>
      <c r="AU270" s="17"/>
      <c r="AV270" s="17"/>
      <c r="AW270" s="17"/>
      <c r="AX270" s="247"/>
      <c r="AY270" s="247"/>
      <c r="AZ270" s="247"/>
      <c r="BA270" s="17"/>
      <c r="BB270" s="52"/>
      <c r="BC270" s="17"/>
      <c r="BD270" s="247"/>
      <c r="BE270" s="247"/>
      <c r="BF270" s="247"/>
      <c r="BG270" s="17"/>
      <c r="BH270" s="17"/>
      <c r="BI270" s="17"/>
      <c r="BJ270" s="247"/>
      <c r="BK270" s="247"/>
      <c r="BL270" s="247"/>
      <c r="BM270" s="190"/>
      <c r="BN270" s="190"/>
      <c r="BO270" s="17"/>
      <c r="BP270" s="247"/>
      <c r="BQ270" s="247"/>
      <c r="BR270" s="247"/>
      <c r="BS270" s="17"/>
      <c r="BT270" s="17"/>
      <c r="BU270" s="17"/>
      <c r="BV270" s="189"/>
      <c r="BW270" s="197"/>
      <c r="BX270" s="246"/>
      <c r="BY270" s="190"/>
      <c r="BZ270" s="190"/>
      <c r="CA270" s="190"/>
      <c r="CB270" s="247"/>
      <c r="CC270" s="247"/>
      <c r="CD270" s="247"/>
      <c r="CE270" s="17"/>
      <c r="CF270" s="17"/>
      <c r="CG270" s="17"/>
      <c r="CH270" s="247"/>
      <c r="CI270" s="247"/>
      <c r="CJ270" s="247"/>
      <c r="CK270" s="17"/>
      <c r="CL270" s="17"/>
      <c r="CM270" s="17"/>
      <c r="CN270" s="17"/>
      <c r="CO270" s="17"/>
      <c r="CP270" s="11"/>
      <c r="CQ270" s="11"/>
      <c r="CR270" s="11"/>
      <c r="CS270" s="11"/>
      <c r="CT270" s="247"/>
      <c r="CU270" s="247"/>
      <c r="CV270" s="247"/>
      <c r="CW270" s="11"/>
      <c r="CX270" s="11"/>
      <c r="CY270" s="11"/>
      <c r="CZ270" s="11"/>
      <c r="DA270" s="11"/>
      <c r="DB270" s="11"/>
      <c r="DC270" s="11"/>
      <c r="DD270" s="11"/>
      <c r="DE270" s="11"/>
      <c r="DF270" s="11"/>
      <c r="DG270" s="11"/>
      <c r="DH270" s="11"/>
      <c r="DI270" s="11"/>
      <c r="DJ270" s="11"/>
      <c r="DK270" s="11"/>
      <c r="DL270" s="247"/>
      <c r="DM270" s="247"/>
      <c r="DN270" s="247"/>
      <c r="DO270" s="247"/>
      <c r="DP270" s="247"/>
      <c r="DQ270" s="247"/>
      <c r="DR270" s="247"/>
      <c r="DS270" s="247"/>
      <c r="DT270" s="247"/>
      <c r="DU270" s="247"/>
      <c r="DV270" s="247"/>
      <c r="DW270" s="247"/>
      <c r="DX270" s="247"/>
      <c r="DY270" s="247"/>
      <c r="DZ270" s="247"/>
      <c r="EA270" s="247"/>
      <c r="EB270" s="247"/>
      <c r="EC270" s="247"/>
      <c r="ED270" s="17">
        <f t="shared" si="82"/>
        <v>130900</v>
      </c>
      <c r="EE270" s="29">
        <f t="shared" si="83"/>
        <v>1</v>
      </c>
      <c r="EF270" s="17">
        <f t="shared" si="81"/>
        <v>130900</v>
      </c>
    </row>
    <row r="271" spans="1:136" x14ac:dyDescent="0.25">
      <c r="A271" s="25">
        <f>Distribución_Elementos!A271</f>
        <v>269</v>
      </c>
      <c r="B271" s="22" t="str">
        <f>Distribución_Elementos!B271</f>
        <v>Guantes industrial calibre 35 talla 7 1/2</v>
      </c>
      <c r="C271" s="22" t="str">
        <f>Distribución_Elementos!C271</f>
        <v>Cualquier marca</v>
      </c>
      <c r="D271" s="22" t="str">
        <f>Distribución_Elementos!D271</f>
        <v>Par</v>
      </c>
      <c r="E271" s="224">
        <v>1</v>
      </c>
      <c r="F271" s="221">
        <v>14012.25</v>
      </c>
      <c r="G271" s="221">
        <v>13566</v>
      </c>
      <c r="H271" s="221">
        <v>11817.104600000001</v>
      </c>
      <c r="I271" s="221">
        <v>0</v>
      </c>
      <c r="J271" s="221">
        <v>21228.93888888889</v>
      </c>
      <c r="K271" s="221">
        <v>20825</v>
      </c>
      <c r="L271" s="247">
        <f>AVERAGE(F271,H271,J271)</f>
        <v>15686.097829629629</v>
      </c>
      <c r="M271" s="247">
        <f>AVERAGE(G271,K271)*E1</f>
        <v>17711.365000000002</v>
      </c>
      <c r="N271" s="227">
        <v>7000</v>
      </c>
      <c r="O271" s="119">
        <f t="shared" si="85"/>
        <v>1330</v>
      </c>
      <c r="P271" s="119">
        <f t="shared" si="86"/>
        <v>8330</v>
      </c>
      <c r="Q271" s="115"/>
      <c r="R271" s="115"/>
      <c r="S271" s="11"/>
      <c r="T271" s="247"/>
      <c r="U271" s="247"/>
      <c r="V271" s="247"/>
      <c r="W271" s="17"/>
      <c r="X271" s="11"/>
      <c r="Y271" s="11"/>
      <c r="Z271" s="247"/>
      <c r="AA271" s="247"/>
      <c r="AB271" s="247"/>
      <c r="AC271" s="5"/>
      <c r="AD271" s="22"/>
      <c r="AE271" s="17"/>
      <c r="AF271" s="247"/>
      <c r="AG271" s="247"/>
      <c r="AH271" s="149"/>
      <c r="AI271" s="4"/>
      <c r="AJ271" s="17"/>
      <c r="AK271" s="17"/>
      <c r="AL271" s="102"/>
      <c r="AM271" s="132"/>
      <c r="AN271" s="161"/>
      <c r="AO271" s="115"/>
      <c r="AP271" s="115"/>
      <c r="AQ271" s="17"/>
      <c r="AR271" s="247"/>
      <c r="AS271" s="247"/>
      <c r="AT271" s="247"/>
      <c r="AU271" s="17"/>
      <c r="AV271" s="17"/>
      <c r="AW271" s="17"/>
      <c r="AX271" s="247"/>
      <c r="AY271" s="247"/>
      <c r="AZ271" s="247"/>
      <c r="BA271" s="17"/>
      <c r="BB271" s="52"/>
      <c r="BC271" s="17"/>
      <c r="BD271" s="247"/>
      <c r="BE271" s="247"/>
      <c r="BF271" s="247"/>
      <c r="BG271" s="17"/>
      <c r="BH271" s="17"/>
      <c r="BI271" s="17"/>
      <c r="BJ271" s="252">
        <v>20000</v>
      </c>
      <c r="BK271" s="247">
        <f>+BJ271*0</f>
        <v>0</v>
      </c>
      <c r="BL271" s="247">
        <f>+BJ271+BK271</f>
        <v>20000</v>
      </c>
      <c r="BM271" s="191" t="s">
        <v>1629</v>
      </c>
      <c r="BN271" s="190" t="s">
        <v>1630</v>
      </c>
      <c r="BO271" s="17"/>
      <c r="BP271" s="247">
        <v>12500</v>
      </c>
      <c r="BQ271" s="247">
        <f>+BP271*19%</f>
        <v>2375</v>
      </c>
      <c r="BR271" s="247">
        <f>+BQ271+BP271</f>
        <v>14875</v>
      </c>
      <c r="BS271" s="17"/>
      <c r="BT271" s="17"/>
      <c r="BU271" s="17"/>
      <c r="BV271" s="195">
        <v>54811.161599999999</v>
      </c>
      <c r="BW271" s="198">
        <f>+BV271*0</f>
        <v>0</v>
      </c>
      <c r="BX271" s="246">
        <f>+BV271+BW271</f>
        <v>54811.161599999999</v>
      </c>
      <c r="BY271" s="191" t="s">
        <v>1629</v>
      </c>
      <c r="BZ271" s="190" t="s">
        <v>1630</v>
      </c>
      <c r="CA271" s="190"/>
      <c r="CB271" s="247"/>
      <c r="CC271" s="247"/>
      <c r="CD271" s="247"/>
      <c r="CE271" s="17"/>
      <c r="CF271" s="17"/>
      <c r="CG271" s="17"/>
      <c r="CH271" s="247"/>
      <c r="CI271" s="247"/>
      <c r="CJ271" s="247"/>
      <c r="CK271" s="17"/>
      <c r="CL271" s="17"/>
      <c r="CM271" s="17"/>
      <c r="CN271" s="17"/>
      <c r="CO271" s="17"/>
      <c r="CP271" s="11"/>
      <c r="CQ271" s="11"/>
      <c r="CR271" s="11"/>
      <c r="CS271" s="11"/>
      <c r="CT271" s="247"/>
      <c r="CU271" s="247"/>
      <c r="CV271" s="247"/>
      <c r="CW271" s="11"/>
      <c r="CX271" s="11"/>
      <c r="CY271" s="11"/>
      <c r="CZ271" s="11"/>
      <c r="DA271" s="11"/>
      <c r="DB271" s="11"/>
      <c r="DC271" s="11"/>
      <c r="DD271" s="11"/>
      <c r="DE271" s="11"/>
      <c r="DF271" s="11"/>
      <c r="DG271" s="11"/>
      <c r="DH271" s="11"/>
      <c r="DI271" s="11"/>
      <c r="DJ271" s="11"/>
      <c r="DK271" s="11"/>
      <c r="DL271" s="247"/>
      <c r="DM271" s="247"/>
      <c r="DN271" s="247"/>
      <c r="DO271" s="247"/>
      <c r="DP271" s="247"/>
      <c r="DQ271" s="247"/>
      <c r="DR271" s="247"/>
      <c r="DS271" s="247"/>
      <c r="DT271" s="247"/>
      <c r="DU271" s="247"/>
      <c r="DV271" s="247"/>
      <c r="DW271" s="247"/>
      <c r="DX271" s="247"/>
      <c r="DY271" s="247"/>
      <c r="DZ271" s="247"/>
      <c r="EA271" s="247"/>
      <c r="EB271" s="247"/>
      <c r="EC271" s="247"/>
      <c r="ED271" s="17">
        <f t="shared" si="82"/>
        <v>115727.52660000001</v>
      </c>
      <c r="EE271" s="29">
        <f t="shared" si="83"/>
        <v>5</v>
      </c>
      <c r="EF271" s="17">
        <f t="shared" si="81"/>
        <v>23145.505320000004</v>
      </c>
    </row>
    <row r="272" spans="1:136" x14ac:dyDescent="0.25">
      <c r="A272" s="25">
        <f>Distribución_Elementos!A272</f>
        <v>270</v>
      </c>
      <c r="B272" s="22" t="str">
        <f>Distribución_Elementos!B272</f>
        <v>Guantes industrial calibre 35 talla 9</v>
      </c>
      <c r="C272" s="22" t="str">
        <f>Distribución_Elementos!C272</f>
        <v>Cualquier marca</v>
      </c>
      <c r="D272" s="22" t="str">
        <f>Distribución_Elementos!D272</f>
        <v>Par</v>
      </c>
      <c r="E272" s="224">
        <v>1</v>
      </c>
      <c r="F272" s="221">
        <v>17393.833333333332</v>
      </c>
      <c r="G272" s="221">
        <v>16779</v>
      </c>
      <c r="H272" s="221">
        <v>12924.839900000001</v>
      </c>
      <c r="I272" s="221">
        <v>12852</v>
      </c>
      <c r="J272" s="221">
        <v>23061.538888888888</v>
      </c>
      <c r="K272" s="221">
        <v>22610</v>
      </c>
      <c r="L272" s="247">
        <f>AVERAGE(F272,H272,J272)</f>
        <v>17793.404040740741</v>
      </c>
      <c r="M272" s="247">
        <f>AVERAGE(G272,I272,K272)*E1</f>
        <v>17936.076666666668</v>
      </c>
      <c r="N272" s="227">
        <v>7000</v>
      </c>
      <c r="O272" s="119">
        <f t="shared" si="85"/>
        <v>1330</v>
      </c>
      <c r="P272" s="119">
        <f t="shared" si="86"/>
        <v>8330</v>
      </c>
      <c r="Q272" s="115"/>
      <c r="R272" s="115"/>
      <c r="S272" s="11"/>
      <c r="T272" s="247"/>
      <c r="U272" s="247"/>
      <c r="V272" s="247"/>
      <c r="W272" s="17"/>
      <c r="X272" s="11"/>
      <c r="Y272" s="11"/>
      <c r="Z272" s="247"/>
      <c r="AA272" s="247"/>
      <c r="AB272" s="247"/>
      <c r="AC272" s="44"/>
      <c r="AD272" s="22"/>
      <c r="AE272" s="17"/>
      <c r="AF272" s="247"/>
      <c r="AG272" s="247"/>
      <c r="AH272" s="151"/>
      <c r="AI272" s="22"/>
      <c r="AJ272" s="17"/>
      <c r="AK272" s="17"/>
      <c r="AL272" s="102"/>
      <c r="AM272" s="132"/>
      <c r="AN272" s="161"/>
      <c r="AO272" s="115"/>
      <c r="AP272" s="115"/>
      <c r="AQ272" s="17"/>
      <c r="AR272" s="247"/>
      <c r="AS272" s="247"/>
      <c r="AT272" s="247"/>
      <c r="AU272" s="17"/>
      <c r="AV272" s="17"/>
      <c r="AW272" s="17"/>
      <c r="AX272" s="247"/>
      <c r="AY272" s="247"/>
      <c r="AZ272" s="247"/>
      <c r="BA272" s="17"/>
      <c r="BB272" s="52"/>
      <c r="BC272" s="17"/>
      <c r="BD272" s="247"/>
      <c r="BE272" s="247"/>
      <c r="BF272" s="247"/>
      <c r="BG272" s="17"/>
      <c r="BH272" s="17"/>
      <c r="BI272" s="17"/>
      <c r="BJ272" s="252">
        <v>20000</v>
      </c>
      <c r="BK272" s="247">
        <f>+BJ272*0</f>
        <v>0</v>
      </c>
      <c r="BL272" s="247">
        <f>+BJ272+BK272</f>
        <v>20000</v>
      </c>
      <c r="BM272" s="191" t="s">
        <v>1629</v>
      </c>
      <c r="BN272" s="190" t="s">
        <v>1630</v>
      </c>
      <c r="BO272" s="17"/>
      <c r="BP272" s="247">
        <v>12500</v>
      </c>
      <c r="BQ272" s="247">
        <f>+BP272*19%</f>
        <v>2375</v>
      </c>
      <c r="BR272" s="247">
        <f>+BQ272+BP272</f>
        <v>14875</v>
      </c>
      <c r="BS272" s="17"/>
      <c r="BT272" s="17"/>
      <c r="BU272" s="17"/>
      <c r="BV272" s="195">
        <v>57998.682000000008</v>
      </c>
      <c r="BW272" s="198">
        <f>+BV272*0</f>
        <v>0</v>
      </c>
      <c r="BX272" s="246">
        <f>+BV272+BW272</f>
        <v>57998.682000000008</v>
      </c>
      <c r="BY272" s="191" t="s">
        <v>1629</v>
      </c>
      <c r="BZ272" s="190" t="s">
        <v>1630</v>
      </c>
      <c r="CA272" s="190"/>
      <c r="CB272" s="247"/>
      <c r="CC272" s="247"/>
      <c r="CD272" s="247"/>
      <c r="CE272" s="17"/>
      <c r="CF272" s="17"/>
      <c r="CG272" s="17"/>
      <c r="CH272" s="247"/>
      <c r="CI272" s="247"/>
      <c r="CJ272" s="247"/>
      <c r="CK272" s="17"/>
      <c r="CL272" s="17"/>
      <c r="CM272" s="17"/>
      <c r="CN272" s="17"/>
      <c r="CO272" s="17"/>
      <c r="CP272" s="11"/>
      <c r="CQ272" s="11"/>
      <c r="CR272" s="11"/>
      <c r="CS272" s="11"/>
      <c r="CT272" s="247"/>
      <c r="CU272" s="247"/>
      <c r="CV272" s="247"/>
      <c r="CW272" s="11"/>
      <c r="CX272" s="11"/>
      <c r="CY272" s="11"/>
      <c r="CZ272" s="11"/>
      <c r="DA272" s="11"/>
      <c r="DB272" s="11"/>
      <c r="DC272" s="11"/>
      <c r="DD272" s="11"/>
      <c r="DE272" s="11"/>
      <c r="DF272" s="11"/>
      <c r="DG272" s="11"/>
      <c r="DH272" s="11"/>
      <c r="DI272" s="11"/>
      <c r="DJ272" s="11"/>
      <c r="DK272" s="11"/>
      <c r="DL272" s="247"/>
      <c r="DM272" s="247"/>
      <c r="DN272" s="247"/>
      <c r="DO272" s="247"/>
      <c r="DP272" s="247"/>
      <c r="DQ272" s="247"/>
      <c r="DR272" s="247"/>
      <c r="DS272" s="247"/>
      <c r="DT272" s="247"/>
      <c r="DU272" s="247"/>
      <c r="DV272" s="247"/>
      <c r="DW272" s="247"/>
      <c r="DX272" s="247"/>
      <c r="DY272" s="247"/>
      <c r="DZ272" s="247"/>
      <c r="EA272" s="247"/>
      <c r="EB272" s="247"/>
      <c r="EC272" s="247"/>
      <c r="ED272" s="17">
        <f t="shared" si="82"/>
        <v>119139.75866666668</v>
      </c>
      <c r="EE272" s="29">
        <f t="shared" si="83"/>
        <v>5</v>
      </c>
      <c r="EF272" s="17">
        <f t="shared" si="81"/>
        <v>23827.951733333335</v>
      </c>
    </row>
    <row r="273" spans="1:136" ht="25.5" x14ac:dyDescent="0.25">
      <c r="A273" s="25">
        <f>Distribución_Elementos!A273</f>
        <v>271</v>
      </c>
      <c r="B273" s="22" t="str">
        <f>Distribución_Elementos!B273</f>
        <v>Guantes Libres de Talco Para usar en Espectrometría de Masas debe cumpluir con CE89/686/CEE cat I Talla 8</v>
      </c>
      <c r="C273" s="22" t="str">
        <f>Distribución_Elementos!C273</f>
        <v>Fisher 191301597C o equivalente</v>
      </c>
      <c r="D273" s="22" t="str">
        <f>Distribución_Elementos!D273</f>
        <v>Paquete x 100</v>
      </c>
      <c r="E273" s="224">
        <v>1</v>
      </c>
      <c r="F273" s="221">
        <v>84966</v>
      </c>
      <c r="G273" s="221">
        <v>83300</v>
      </c>
      <c r="H273" s="221">
        <v>99563.333333333328</v>
      </c>
      <c r="I273" s="221">
        <v>0</v>
      </c>
      <c r="J273" s="221">
        <v>288072.02666666661</v>
      </c>
      <c r="K273" s="221">
        <v>236810</v>
      </c>
      <c r="L273" s="247">
        <f>AVERAGE(F273,H273,J273)</f>
        <v>157533.78666666665</v>
      </c>
      <c r="M273" s="247">
        <f>AVERAGE(G273,K273)*E1</f>
        <v>164856.65</v>
      </c>
      <c r="N273" s="227"/>
      <c r="O273" s="119"/>
      <c r="P273" s="119"/>
      <c r="Q273" s="11"/>
      <c r="R273" s="11"/>
      <c r="S273" s="25"/>
      <c r="T273" s="128"/>
      <c r="U273" s="247"/>
      <c r="V273" s="247"/>
      <c r="W273" s="17"/>
      <c r="X273" s="11"/>
      <c r="Y273" s="11"/>
      <c r="Z273" s="247"/>
      <c r="AA273" s="247"/>
      <c r="AB273" s="247"/>
      <c r="AC273" s="11"/>
      <c r="AD273" s="11"/>
      <c r="AE273" s="11"/>
      <c r="AF273" s="247"/>
      <c r="AG273" s="247"/>
      <c r="AH273" s="247"/>
      <c r="AI273" s="11"/>
      <c r="AJ273" s="11"/>
      <c r="AK273" s="11"/>
      <c r="AL273" s="102"/>
      <c r="AM273" s="102"/>
      <c r="AN273" s="102"/>
      <c r="AO273" s="44"/>
      <c r="AP273" s="44"/>
      <c r="AQ273" s="11"/>
      <c r="AR273" s="247"/>
      <c r="AS273" s="247"/>
      <c r="AT273" s="247"/>
      <c r="AU273" s="11"/>
      <c r="AV273" s="11"/>
      <c r="AW273" s="11"/>
      <c r="AX273" s="247"/>
      <c r="AY273" s="247"/>
      <c r="AZ273" s="247"/>
      <c r="BA273" s="11"/>
      <c r="BB273" s="52"/>
      <c r="BC273" s="17"/>
      <c r="BD273" s="247"/>
      <c r="BE273" s="247"/>
      <c r="BF273" s="247"/>
      <c r="BG273" s="11"/>
      <c r="BH273" s="11"/>
      <c r="BI273" s="11"/>
      <c r="BJ273" s="247"/>
      <c r="BK273" s="247"/>
      <c r="BL273" s="247"/>
      <c r="BM273" s="190"/>
      <c r="BN273" s="190"/>
      <c r="BO273" s="16"/>
      <c r="BP273" s="247"/>
      <c r="BQ273" s="247"/>
      <c r="BR273" s="247"/>
      <c r="BS273" s="16"/>
      <c r="BT273" s="16"/>
      <c r="BU273" s="16"/>
      <c r="BV273" s="189"/>
      <c r="BW273" s="197"/>
      <c r="BX273" s="246"/>
      <c r="BY273" s="190"/>
      <c r="BZ273" s="190"/>
      <c r="CA273" s="190"/>
      <c r="CB273" s="247"/>
      <c r="CC273" s="247"/>
      <c r="CD273" s="247"/>
      <c r="CE273" s="11"/>
      <c r="CF273" s="11"/>
      <c r="CG273" s="11"/>
      <c r="CH273" s="247"/>
      <c r="CI273" s="247"/>
      <c r="CJ273" s="247"/>
      <c r="CK273" s="11"/>
      <c r="CL273" s="11"/>
      <c r="CM273" s="11"/>
      <c r="CN273" s="11"/>
      <c r="CO273" s="11"/>
      <c r="CP273" s="11"/>
      <c r="CQ273" s="11"/>
      <c r="CR273" s="11"/>
      <c r="CS273" s="11"/>
      <c r="CT273" s="247"/>
      <c r="CU273" s="247"/>
      <c r="CV273" s="247"/>
      <c r="CW273" s="11"/>
      <c r="CX273" s="11"/>
      <c r="CY273" s="11"/>
      <c r="CZ273" s="11"/>
      <c r="DA273" s="11"/>
      <c r="DB273" s="11"/>
      <c r="DC273" s="11"/>
      <c r="DD273" s="11"/>
      <c r="DE273" s="11"/>
      <c r="DF273" s="11"/>
      <c r="DG273" s="11"/>
      <c r="DH273" s="11"/>
      <c r="DI273" s="11"/>
      <c r="DJ273" s="11"/>
      <c r="DK273" s="11"/>
      <c r="DL273" s="247"/>
      <c r="DM273" s="247"/>
      <c r="DN273" s="247"/>
      <c r="DO273" s="247"/>
      <c r="DP273" s="247"/>
      <c r="DQ273" s="247"/>
      <c r="DR273" s="247"/>
      <c r="DS273" s="247"/>
      <c r="DT273" s="247"/>
      <c r="DU273" s="247"/>
      <c r="DV273" s="247"/>
      <c r="DW273" s="247"/>
      <c r="DX273" s="247"/>
      <c r="DY273" s="247"/>
      <c r="DZ273" s="247"/>
      <c r="EA273" s="247"/>
      <c r="EB273" s="247"/>
      <c r="EC273" s="247"/>
      <c r="ED273" s="17">
        <f t="shared" si="82"/>
        <v>164856.65</v>
      </c>
      <c r="EE273" s="29">
        <f t="shared" si="83"/>
        <v>1</v>
      </c>
      <c r="EF273" s="17">
        <f t="shared" si="81"/>
        <v>164856.65</v>
      </c>
    </row>
    <row r="274" spans="1:136" ht="25.5" x14ac:dyDescent="0.25">
      <c r="A274" s="25">
        <f>Distribución_Elementos!A274</f>
        <v>272</v>
      </c>
      <c r="B274" s="22" t="str">
        <f>Distribución_Elementos!B274</f>
        <v>Guantes resistentes al calor (Guantes Industriales en Carnaza y tela • Cosido con Kevlar®) tallas M y L</v>
      </c>
      <c r="C274" s="22" t="str">
        <f>Distribución_Elementos!C274</f>
        <v>Cualquier marca</v>
      </c>
      <c r="D274" s="22" t="str">
        <f>Distribución_Elementos!D274</f>
        <v>Par</v>
      </c>
      <c r="E274" s="224">
        <v>1</v>
      </c>
      <c r="F274" s="221">
        <v>0</v>
      </c>
      <c r="G274" s="221">
        <v>0</v>
      </c>
      <c r="H274" s="221">
        <v>0</v>
      </c>
      <c r="I274" s="221">
        <v>0</v>
      </c>
      <c r="J274" s="221">
        <v>185937.5</v>
      </c>
      <c r="K274" s="221">
        <v>178500</v>
      </c>
      <c r="L274" s="247">
        <f>J274</f>
        <v>185937.5</v>
      </c>
      <c r="M274" s="247">
        <f>K274*E1</f>
        <v>183855</v>
      </c>
      <c r="N274" s="227">
        <v>155000</v>
      </c>
      <c r="O274" s="119">
        <f>+N274*0.19</f>
        <v>29450</v>
      </c>
      <c r="P274" s="119">
        <f>+N274+O274</f>
        <v>184450</v>
      </c>
      <c r="Q274" s="115"/>
      <c r="R274" s="115"/>
      <c r="S274" s="11"/>
      <c r="T274" s="247"/>
      <c r="U274" s="247"/>
      <c r="V274" s="247"/>
      <c r="W274" s="17"/>
      <c r="X274" s="11"/>
      <c r="Y274" s="11"/>
      <c r="Z274" s="247"/>
      <c r="AA274" s="247"/>
      <c r="AB274" s="247"/>
      <c r="AC274" s="44"/>
      <c r="AD274" s="22"/>
      <c r="AE274" s="17"/>
      <c r="AF274" s="247"/>
      <c r="AG274" s="247"/>
      <c r="AH274" s="151"/>
      <c r="AI274" s="4"/>
      <c r="AJ274" s="17"/>
      <c r="AK274" s="17"/>
      <c r="AL274" s="102"/>
      <c r="AM274" s="132"/>
      <c r="AN274" s="161"/>
      <c r="AO274" s="115"/>
      <c r="AP274" s="115"/>
      <c r="AQ274" s="17"/>
      <c r="AR274" s="247"/>
      <c r="AS274" s="247"/>
      <c r="AT274" s="247"/>
      <c r="AU274" s="17"/>
      <c r="AV274" s="17"/>
      <c r="AW274" s="17"/>
      <c r="AX274" s="247"/>
      <c r="AY274" s="247"/>
      <c r="AZ274" s="247"/>
      <c r="BA274" s="17"/>
      <c r="BB274" s="52"/>
      <c r="BC274" s="17"/>
      <c r="BD274" s="247"/>
      <c r="BE274" s="247"/>
      <c r="BF274" s="247"/>
      <c r="BG274" s="17"/>
      <c r="BH274" s="17"/>
      <c r="BI274" s="17"/>
      <c r="BJ274" s="247">
        <v>62800</v>
      </c>
      <c r="BK274" s="247">
        <f>+BJ274*0</f>
        <v>0</v>
      </c>
      <c r="BL274" s="247">
        <f>+BJ274+BK274</f>
        <v>62800</v>
      </c>
      <c r="BM274" s="191" t="s">
        <v>1629</v>
      </c>
      <c r="BN274" s="190" t="s">
        <v>1631</v>
      </c>
      <c r="BO274" s="17"/>
      <c r="BP274" s="247"/>
      <c r="BQ274" s="247"/>
      <c r="BR274" s="247"/>
      <c r="BS274" s="17"/>
      <c r="BT274" s="17"/>
      <c r="BU274" s="17"/>
      <c r="BV274" s="195">
        <v>68597.381999999998</v>
      </c>
      <c r="BW274" s="198">
        <f>+BV274*0</f>
        <v>0</v>
      </c>
      <c r="BX274" s="246">
        <f>+BV274+BW274</f>
        <v>68597.381999999998</v>
      </c>
      <c r="BY274" s="191" t="s">
        <v>1629</v>
      </c>
      <c r="BZ274" s="190" t="s">
        <v>1631</v>
      </c>
      <c r="CA274" s="190"/>
      <c r="CB274" s="247"/>
      <c r="CC274" s="247"/>
      <c r="CD274" s="247"/>
      <c r="CE274" s="17"/>
      <c r="CF274" s="17"/>
      <c r="CG274" s="17"/>
      <c r="CH274" s="247"/>
      <c r="CI274" s="247"/>
      <c r="CJ274" s="247"/>
      <c r="CK274" s="17"/>
      <c r="CL274" s="17"/>
      <c r="CM274" s="17"/>
      <c r="CN274" s="17"/>
      <c r="CO274" s="17"/>
      <c r="CP274" s="11"/>
      <c r="CQ274" s="11"/>
      <c r="CR274" s="11"/>
      <c r="CS274" s="11"/>
      <c r="CT274" s="247"/>
      <c r="CU274" s="247"/>
      <c r="CV274" s="247"/>
      <c r="CW274" s="11"/>
      <c r="CX274" s="11"/>
      <c r="CY274" s="11"/>
      <c r="CZ274" s="11"/>
      <c r="DA274" s="11"/>
      <c r="DB274" s="11"/>
      <c r="DC274" s="11"/>
      <c r="DD274" s="11"/>
      <c r="DE274" s="11"/>
      <c r="DF274" s="11"/>
      <c r="DG274" s="11"/>
      <c r="DH274" s="11"/>
      <c r="DI274" s="11"/>
      <c r="DJ274" s="11"/>
      <c r="DK274" s="11"/>
      <c r="DL274" s="247"/>
      <c r="DM274" s="247"/>
      <c r="DN274" s="247"/>
      <c r="DO274" s="247"/>
      <c r="DP274" s="247"/>
      <c r="DQ274" s="247"/>
      <c r="DR274" s="247"/>
      <c r="DS274" s="247"/>
      <c r="DT274" s="247"/>
      <c r="DU274" s="247"/>
      <c r="DV274" s="247"/>
      <c r="DW274" s="247"/>
      <c r="DX274" s="247"/>
      <c r="DY274" s="247"/>
      <c r="DZ274" s="247"/>
      <c r="EA274" s="247"/>
      <c r="EB274" s="247"/>
      <c r="EC274" s="247"/>
      <c r="ED274" s="17">
        <f t="shared" si="82"/>
        <v>499702.38199999998</v>
      </c>
      <c r="EE274" s="29">
        <f t="shared" si="83"/>
        <v>4</v>
      </c>
      <c r="EF274" s="17">
        <f t="shared" si="81"/>
        <v>124925.5955</v>
      </c>
    </row>
    <row r="275" spans="1:136" ht="25.5" x14ac:dyDescent="0.25">
      <c r="A275" s="25">
        <f>Distribución_Elementos!A275</f>
        <v>273</v>
      </c>
      <c r="B275" s="22" t="str">
        <f>Distribución_Elementos!B275</f>
        <v>Hachuela inoxidable. Mango ergonómico de polietileno. Hoja ancha de forma rectangular. Tamaño total 16 cm</v>
      </c>
      <c r="C275" s="22" t="str">
        <f>Distribución_Elementos!C275</f>
        <v>Tramontina o equivalente</v>
      </c>
      <c r="D275" s="22" t="str">
        <f>Distribución_Elementos!D275</f>
        <v>Unidad</v>
      </c>
      <c r="E275" s="224">
        <v>1</v>
      </c>
      <c r="F275" s="221">
        <v>0</v>
      </c>
      <c r="G275" s="221">
        <v>0</v>
      </c>
      <c r="H275" s="221">
        <v>0</v>
      </c>
      <c r="I275" s="221">
        <v>0</v>
      </c>
      <c r="J275" s="221">
        <v>146268.9025</v>
      </c>
      <c r="K275" s="221">
        <v>145180</v>
      </c>
      <c r="L275" s="247">
        <f>J275</f>
        <v>146268.9025</v>
      </c>
      <c r="M275" s="247">
        <f>K275*E1</f>
        <v>149535.4</v>
      </c>
      <c r="N275" s="227">
        <v>75000</v>
      </c>
      <c r="O275" s="119">
        <f>+N275*0.19</f>
        <v>14250</v>
      </c>
      <c r="P275" s="119">
        <f>+N275+O275</f>
        <v>89250</v>
      </c>
      <c r="Q275" s="115"/>
      <c r="R275" s="115"/>
      <c r="S275" s="11"/>
      <c r="T275" s="247"/>
      <c r="U275" s="247"/>
      <c r="V275" s="247"/>
      <c r="W275" s="17"/>
      <c r="X275" s="11"/>
      <c r="Y275" s="11"/>
      <c r="Z275" s="247"/>
      <c r="AA275" s="247"/>
      <c r="AB275" s="247"/>
      <c r="AC275" s="44"/>
      <c r="AD275" s="22"/>
      <c r="AE275" s="17"/>
      <c r="AF275" s="247"/>
      <c r="AG275" s="247"/>
      <c r="AH275" s="151"/>
      <c r="AI275" s="22"/>
      <c r="AJ275" s="17"/>
      <c r="AK275" s="17"/>
      <c r="AL275" s="102"/>
      <c r="AM275" s="132"/>
      <c r="AN275" s="161"/>
      <c r="AO275" s="115"/>
      <c r="AP275" s="115"/>
      <c r="AQ275" s="17"/>
      <c r="AR275" s="247"/>
      <c r="AS275" s="247"/>
      <c r="AT275" s="247"/>
      <c r="AU275" s="17"/>
      <c r="AV275" s="17"/>
      <c r="AW275" s="17"/>
      <c r="AX275" s="247"/>
      <c r="AY275" s="247"/>
      <c r="AZ275" s="247"/>
      <c r="BA275" s="17"/>
      <c r="BB275" s="52"/>
      <c r="BC275" s="17"/>
      <c r="BD275" s="247"/>
      <c r="BE275" s="247"/>
      <c r="BF275" s="247"/>
      <c r="BG275" s="17"/>
      <c r="BH275" s="17"/>
      <c r="BI275" s="17"/>
      <c r="BJ275" s="247">
        <v>740800</v>
      </c>
      <c r="BK275" s="247">
        <f>+BJ275*0.19</f>
        <v>140752</v>
      </c>
      <c r="BL275" s="247">
        <f>+BJ275+BK275</f>
        <v>881552</v>
      </c>
      <c r="BM275" s="191" t="s">
        <v>140</v>
      </c>
      <c r="BN275" s="190" t="s">
        <v>1632</v>
      </c>
      <c r="BO275" s="17"/>
      <c r="BP275" s="247"/>
      <c r="BQ275" s="247"/>
      <c r="BR275" s="247"/>
      <c r="BS275" s="17"/>
      <c r="BT275" s="17"/>
      <c r="BU275" s="17"/>
      <c r="BV275" s="195">
        <v>770803.88159999996</v>
      </c>
      <c r="BW275" s="195">
        <f>+BV275*0.19</f>
        <v>146452.73750399999</v>
      </c>
      <c r="BX275" s="246">
        <f>+BV275+BW275</f>
        <v>917256.61910399992</v>
      </c>
      <c r="BY275" s="191" t="s">
        <v>140</v>
      </c>
      <c r="BZ275" s="190" t="s">
        <v>1632</v>
      </c>
      <c r="CA275" s="190"/>
      <c r="CB275" s="247"/>
      <c r="CC275" s="247"/>
      <c r="CD275" s="247"/>
      <c r="CE275" s="17"/>
      <c r="CF275" s="17"/>
      <c r="CG275" s="17"/>
      <c r="CH275" s="247"/>
      <c r="CI275" s="247"/>
      <c r="CJ275" s="247"/>
      <c r="CK275" s="17"/>
      <c r="CL275" s="17"/>
      <c r="CM275" s="17"/>
      <c r="CN275" s="17"/>
      <c r="CO275" s="17"/>
      <c r="CP275" s="11"/>
      <c r="CQ275" s="11"/>
      <c r="CR275" s="11"/>
      <c r="CS275" s="11"/>
      <c r="CT275" s="247"/>
      <c r="CU275" s="247"/>
      <c r="CV275" s="247"/>
      <c r="CW275" s="11"/>
      <c r="CX275" s="11"/>
      <c r="CY275" s="11"/>
      <c r="CZ275" s="11"/>
      <c r="DA275" s="11"/>
      <c r="DB275" s="11"/>
      <c r="DC275" s="11"/>
      <c r="DD275" s="11"/>
      <c r="DE275" s="11"/>
      <c r="DF275" s="11"/>
      <c r="DG275" s="11"/>
      <c r="DH275" s="11"/>
      <c r="DI275" s="11"/>
      <c r="DJ275" s="11"/>
      <c r="DK275" s="11"/>
      <c r="DL275" s="247"/>
      <c r="DM275" s="247"/>
      <c r="DN275" s="247"/>
      <c r="DO275" s="247"/>
      <c r="DP275" s="247"/>
      <c r="DQ275" s="247"/>
      <c r="DR275" s="247"/>
      <c r="DS275" s="247"/>
      <c r="DT275" s="247"/>
      <c r="DU275" s="247"/>
      <c r="DV275" s="247"/>
      <c r="DW275" s="247"/>
      <c r="DX275" s="247"/>
      <c r="DY275" s="247"/>
      <c r="DZ275" s="247"/>
      <c r="EA275" s="247"/>
      <c r="EB275" s="247"/>
      <c r="EC275" s="247"/>
      <c r="ED275" s="17">
        <f t="shared" si="82"/>
        <v>2037594.0191039997</v>
      </c>
      <c r="EE275" s="29">
        <f t="shared" si="83"/>
        <v>4</v>
      </c>
      <c r="EF275" s="17">
        <f t="shared" si="81"/>
        <v>509398.50477599993</v>
      </c>
    </row>
    <row r="276" spans="1:136" ht="38.25" x14ac:dyDescent="0.25">
      <c r="A276" s="25">
        <f>Distribución_Elementos!A276</f>
        <v>274</v>
      </c>
      <c r="B276" s="22" t="str">
        <f>Distribución_Elementos!B276</f>
        <v>Hisopo estéril de dacrón, rayón o poliéster con palillo plástico</v>
      </c>
      <c r="C276" s="22" t="str">
        <f>Distribución_Elementos!C276</f>
        <v>Daigger 22116D o equivalente que cumpla estrictamente con la descripción técnica</v>
      </c>
      <c r="D276" s="22" t="str">
        <f>Distribución_Elementos!D276</f>
        <v>Caja x 500</v>
      </c>
      <c r="E276" s="224">
        <v>1</v>
      </c>
      <c r="F276" s="221">
        <v>574175</v>
      </c>
      <c r="G276" s="221">
        <v>556920</v>
      </c>
      <c r="H276" s="221">
        <v>645011.17800000007</v>
      </c>
      <c r="I276" s="221">
        <v>0</v>
      </c>
      <c r="J276" s="221">
        <v>584766</v>
      </c>
      <c r="K276" s="221">
        <v>583100</v>
      </c>
      <c r="L276" s="247">
        <f>AVERAGE(F276,H276,J276)</f>
        <v>601317.39266666665</v>
      </c>
      <c r="M276" s="247">
        <f>AVERAGE(G276,K276)*E1</f>
        <v>587110.30000000005</v>
      </c>
      <c r="N276" s="227"/>
      <c r="O276" s="119"/>
      <c r="P276" s="119"/>
      <c r="Q276" s="115"/>
      <c r="R276" s="115"/>
      <c r="S276" s="11"/>
      <c r="T276" s="247"/>
      <c r="U276" s="247"/>
      <c r="V276" s="247"/>
      <c r="W276" s="17"/>
      <c r="X276" s="11"/>
      <c r="Y276" s="11"/>
      <c r="Z276" s="247"/>
      <c r="AA276" s="247"/>
      <c r="AB276" s="247"/>
      <c r="AC276" s="44"/>
      <c r="AD276" s="22"/>
      <c r="AE276" s="17"/>
      <c r="AF276" s="247"/>
      <c r="AG276" s="247"/>
      <c r="AH276" s="151"/>
      <c r="AI276" s="4"/>
      <c r="AJ276" s="17"/>
      <c r="AK276" s="17"/>
      <c r="AL276" s="102"/>
      <c r="AM276" s="132"/>
      <c r="AN276" s="161"/>
      <c r="AO276" s="115"/>
      <c r="AP276" s="115"/>
      <c r="AQ276" s="17"/>
      <c r="AR276" s="247"/>
      <c r="AS276" s="247"/>
      <c r="AT276" s="247"/>
      <c r="AU276" s="17"/>
      <c r="AV276" s="17"/>
      <c r="AW276" s="17"/>
      <c r="AX276" s="247"/>
      <c r="AY276" s="247"/>
      <c r="AZ276" s="247"/>
      <c r="BA276" s="17"/>
      <c r="BB276" s="52"/>
      <c r="BC276" s="17"/>
      <c r="BD276" s="247"/>
      <c r="BE276" s="247"/>
      <c r="BF276" s="247"/>
      <c r="BG276" s="17"/>
      <c r="BH276" s="17"/>
      <c r="BI276" s="17"/>
      <c r="BJ276" s="247"/>
      <c r="BK276" s="247"/>
      <c r="BL276" s="247"/>
      <c r="BM276" s="190"/>
      <c r="BN276" s="190"/>
      <c r="BO276" s="17"/>
      <c r="BP276" s="247"/>
      <c r="BQ276" s="247"/>
      <c r="BR276" s="247"/>
      <c r="BS276" s="17"/>
      <c r="BT276" s="17"/>
      <c r="BU276" s="17"/>
      <c r="BV276" s="189"/>
      <c r="BW276" s="197"/>
      <c r="BX276" s="246"/>
      <c r="BY276" s="190"/>
      <c r="BZ276" s="190"/>
      <c r="CA276" s="190"/>
      <c r="CB276" s="247"/>
      <c r="CC276" s="247"/>
      <c r="CD276" s="247"/>
      <c r="CE276" s="17"/>
      <c r="CF276" s="17"/>
      <c r="CG276" s="17"/>
      <c r="CH276" s="247"/>
      <c r="CI276" s="247"/>
      <c r="CJ276" s="247"/>
      <c r="CK276" s="17"/>
      <c r="CL276" s="17"/>
      <c r="CM276" s="17"/>
      <c r="CN276" s="17"/>
      <c r="CO276" s="17"/>
      <c r="CP276" s="11"/>
      <c r="CQ276" s="11"/>
      <c r="CR276" s="11"/>
      <c r="CS276" s="11"/>
      <c r="CT276" s="247"/>
      <c r="CU276" s="247"/>
      <c r="CV276" s="247"/>
      <c r="CW276" s="11"/>
      <c r="CX276" s="11"/>
      <c r="CY276" s="11"/>
      <c r="CZ276" s="11"/>
      <c r="DA276" s="59"/>
      <c r="DB276" s="55"/>
      <c r="DC276" s="55"/>
      <c r="DD276" s="54"/>
      <c r="DE276" s="54"/>
      <c r="DF276" s="54"/>
      <c r="DG276" s="54"/>
      <c r="DH276" s="54"/>
      <c r="DI276" s="54"/>
      <c r="DJ276" s="54"/>
      <c r="DK276" s="54"/>
      <c r="DL276" s="51"/>
      <c r="DM276" s="51"/>
      <c r="DN276" s="51"/>
      <c r="DO276" s="51"/>
      <c r="DP276" s="51"/>
      <c r="DQ276" s="51"/>
      <c r="DR276" s="51"/>
      <c r="DS276" s="51"/>
      <c r="DT276" s="51"/>
      <c r="DU276" s="51"/>
      <c r="DV276" s="51"/>
      <c r="DW276" s="51"/>
      <c r="DX276" s="51"/>
      <c r="DY276" s="51"/>
      <c r="DZ276" s="51"/>
      <c r="EA276" s="51"/>
      <c r="EB276" s="51"/>
      <c r="EC276" s="51"/>
      <c r="ED276" s="17">
        <f t="shared" si="82"/>
        <v>587110.30000000005</v>
      </c>
      <c r="EE276" s="29">
        <f t="shared" si="83"/>
        <v>1</v>
      </c>
      <c r="EF276" s="17">
        <f t="shared" si="81"/>
        <v>587110.30000000005</v>
      </c>
    </row>
    <row r="277" spans="1:136" x14ac:dyDescent="0.25">
      <c r="A277" s="25">
        <f>Distribución_Elementos!A277</f>
        <v>275</v>
      </c>
      <c r="B277" s="22" t="str">
        <f>Distribución_Elementos!B277</f>
        <v>Hisopo estéril de rayón o de algodón estéril</v>
      </c>
      <c r="C277" s="22" t="str">
        <f>Distribución_Elementos!C277</f>
        <v>Cualquier marca</v>
      </c>
      <c r="D277" s="22" t="str">
        <f>Distribución_Elementos!D277</f>
        <v>Bolsa x 1000</v>
      </c>
      <c r="E277" s="224">
        <v>1</v>
      </c>
      <c r="F277" s="221">
        <v>0</v>
      </c>
      <c r="G277" s="221">
        <v>0</v>
      </c>
      <c r="H277" s="221">
        <v>0</v>
      </c>
      <c r="I277" s="221">
        <v>0</v>
      </c>
      <c r="J277" s="221">
        <v>491425</v>
      </c>
      <c r="K277" s="221">
        <v>0</v>
      </c>
      <c r="L277" s="247">
        <f>J277</f>
        <v>491425</v>
      </c>
      <c r="M277" s="247"/>
      <c r="N277" s="227">
        <v>300000</v>
      </c>
      <c r="O277" s="119">
        <f>+N277*0.19</f>
        <v>57000</v>
      </c>
      <c r="P277" s="119">
        <f>+N277+O277</f>
        <v>357000</v>
      </c>
      <c r="Q277" s="115"/>
      <c r="R277" s="115"/>
      <c r="S277" s="11"/>
      <c r="T277" s="247"/>
      <c r="U277" s="247"/>
      <c r="V277" s="247"/>
      <c r="W277" s="17"/>
      <c r="X277" s="11"/>
      <c r="Y277" s="11"/>
      <c r="Z277" s="247"/>
      <c r="AA277" s="247"/>
      <c r="AB277" s="247"/>
      <c r="AC277" s="44"/>
      <c r="AD277" s="22"/>
      <c r="AE277" s="17"/>
      <c r="AF277" s="247"/>
      <c r="AG277" s="247"/>
      <c r="AH277" s="151"/>
      <c r="AI277" s="4"/>
      <c r="AJ277" s="17"/>
      <c r="AK277" s="17"/>
      <c r="AL277" s="102"/>
      <c r="AM277" s="132"/>
      <c r="AN277" s="161"/>
      <c r="AO277" s="115"/>
      <c r="AP277" s="115"/>
      <c r="AQ277" s="17"/>
      <c r="AR277" s="247"/>
      <c r="AS277" s="247"/>
      <c r="AT277" s="247"/>
      <c r="AU277" s="17"/>
      <c r="AV277" s="17"/>
      <c r="AW277" s="17"/>
      <c r="AX277" s="247"/>
      <c r="AY277" s="247"/>
      <c r="AZ277" s="247"/>
      <c r="BA277" s="17"/>
      <c r="BB277" s="52"/>
      <c r="BC277" s="17"/>
      <c r="BD277" s="247"/>
      <c r="BE277" s="247"/>
      <c r="BF277" s="247"/>
      <c r="BG277" s="17"/>
      <c r="BH277" s="17"/>
      <c r="BI277" s="17"/>
      <c r="BJ277" s="247"/>
      <c r="BK277" s="247"/>
      <c r="BL277" s="247"/>
      <c r="BM277" s="190"/>
      <c r="BN277" s="190"/>
      <c r="BO277" s="17"/>
      <c r="BP277" s="247"/>
      <c r="BQ277" s="247"/>
      <c r="BR277" s="247"/>
      <c r="BS277" s="17"/>
      <c r="BT277" s="17"/>
      <c r="BU277" s="17"/>
      <c r="BV277" s="189"/>
      <c r="BW277" s="197"/>
      <c r="BX277" s="246"/>
      <c r="BY277" s="190"/>
      <c r="BZ277" s="190"/>
      <c r="CA277" s="190"/>
      <c r="CB277" s="247"/>
      <c r="CC277" s="247"/>
      <c r="CD277" s="247"/>
      <c r="CE277" s="17"/>
      <c r="CF277" s="17"/>
      <c r="CG277" s="17"/>
      <c r="CH277" s="247"/>
      <c r="CI277" s="247"/>
      <c r="CJ277" s="247"/>
      <c r="CK277" s="17"/>
      <c r="CL277" s="17"/>
      <c r="CM277" s="17"/>
      <c r="CN277" s="17"/>
      <c r="CO277" s="17"/>
      <c r="CP277" s="11"/>
      <c r="CQ277" s="11"/>
      <c r="CR277" s="11"/>
      <c r="CS277" s="11"/>
      <c r="CT277" s="247"/>
      <c r="CU277" s="247"/>
      <c r="CV277" s="247"/>
      <c r="CW277" s="11"/>
      <c r="CX277" s="11"/>
      <c r="CY277" s="11"/>
      <c r="CZ277" s="11"/>
      <c r="DA277" s="11"/>
      <c r="DB277" s="11"/>
      <c r="DC277" s="11"/>
      <c r="DD277" s="11"/>
      <c r="DE277" s="11"/>
      <c r="DF277" s="11"/>
      <c r="DG277" s="11"/>
      <c r="DH277" s="11"/>
      <c r="DI277" s="11"/>
      <c r="DJ277" s="11"/>
      <c r="DK277" s="11"/>
      <c r="DL277" s="247"/>
      <c r="DM277" s="247"/>
      <c r="DN277" s="247"/>
      <c r="DO277" s="247"/>
      <c r="DP277" s="247"/>
      <c r="DQ277" s="247"/>
      <c r="DR277" s="247"/>
      <c r="DS277" s="247"/>
      <c r="DT277" s="247"/>
      <c r="DU277" s="247"/>
      <c r="DV277" s="247"/>
      <c r="DW277" s="247"/>
      <c r="DX277" s="247"/>
      <c r="DY277" s="247"/>
      <c r="DZ277" s="247"/>
      <c r="EA277" s="247"/>
      <c r="EB277" s="247"/>
      <c r="EC277" s="247"/>
      <c r="ED277" s="17">
        <f t="shared" si="82"/>
        <v>357000</v>
      </c>
      <c r="EE277" s="29">
        <f t="shared" si="83"/>
        <v>1</v>
      </c>
      <c r="EF277" s="17">
        <f t="shared" si="81"/>
        <v>357000</v>
      </c>
    </row>
    <row r="278" spans="1:136" x14ac:dyDescent="0.25">
      <c r="A278" s="25">
        <f>Distribución_Elementos!A278</f>
        <v>276</v>
      </c>
      <c r="B278" s="22" t="str">
        <f>Distribución_Elementos!B278</f>
        <v>Hisopo punta de algodón de 15 cm de longitud (Estériles)</v>
      </c>
      <c r="C278" s="22" t="str">
        <f>Distribución_Elementos!C278</f>
        <v>Cualquier marca</v>
      </c>
      <c r="D278" s="22" t="str">
        <f>Distribución_Elementos!D278</f>
        <v>Paquete x 100</v>
      </c>
      <c r="E278" s="224">
        <v>1</v>
      </c>
      <c r="F278" s="221">
        <v>178500</v>
      </c>
      <c r="G278" s="221">
        <v>175763</v>
      </c>
      <c r="H278" s="221">
        <v>80827.223633333342</v>
      </c>
      <c r="I278" s="221">
        <v>0</v>
      </c>
      <c r="J278" s="221">
        <v>991855.87666666659</v>
      </c>
      <c r="K278" s="221">
        <v>928200</v>
      </c>
      <c r="L278" s="247">
        <f>AVERAGE(F278,H278,J278)</f>
        <v>417061.03343333333</v>
      </c>
      <c r="M278" s="247">
        <f>AVERAGE(G278,K278)*E1</f>
        <v>568540.94500000007</v>
      </c>
      <c r="N278" s="227">
        <v>50000</v>
      </c>
      <c r="O278" s="119">
        <f>+N278*0.19</f>
        <v>9500</v>
      </c>
      <c r="P278" s="119">
        <f>+N278+O278</f>
        <v>59500</v>
      </c>
      <c r="Q278" s="115"/>
      <c r="R278" s="115"/>
      <c r="S278" s="11"/>
      <c r="T278" s="247"/>
      <c r="U278" s="247"/>
      <c r="V278" s="247"/>
      <c r="W278" s="17"/>
      <c r="X278" s="11"/>
      <c r="Y278" s="11"/>
      <c r="Z278" s="247"/>
      <c r="AA278" s="247"/>
      <c r="AB278" s="247"/>
      <c r="AC278" s="46"/>
      <c r="AD278" s="23"/>
      <c r="AE278" s="17"/>
      <c r="AF278" s="247"/>
      <c r="AG278" s="247"/>
      <c r="AH278" s="152"/>
      <c r="AI278" s="24"/>
      <c r="AJ278" s="17"/>
      <c r="AK278" s="17"/>
      <c r="AL278" s="102"/>
      <c r="AM278" s="165"/>
      <c r="AN278" s="167"/>
      <c r="AO278" s="164"/>
      <c r="AP278" s="115"/>
      <c r="AQ278" s="17"/>
      <c r="AR278" s="162"/>
      <c r="AS278" s="163"/>
      <c r="AT278" s="179"/>
      <c r="AU278" s="17"/>
      <c r="AV278" s="17"/>
      <c r="AW278" s="17"/>
      <c r="AX278" s="247"/>
      <c r="AY278" s="247"/>
      <c r="AZ278" s="247"/>
      <c r="BA278" s="17"/>
      <c r="BB278" s="52"/>
      <c r="BC278" s="17"/>
      <c r="BD278" s="247"/>
      <c r="BE278" s="247"/>
      <c r="BF278" s="247"/>
      <c r="BG278" s="17"/>
      <c r="BH278" s="17"/>
      <c r="BI278" s="17"/>
      <c r="BJ278" s="247"/>
      <c r="BK278" s="247"/>
      <c r="BL278" s="247"/>
      <c r="BM278" s="190"/>
      <c r="BN278" s="190"/>
      <c r="BO278" s="17"/>
      <c r="BP278" s="247"/>
      <c r="BQ278" s="247"/>
      <c r="BR278" s="247"/>
      <c r="BS278" s="17"/>
      <c r="BT278" s="17"/>
      <c r="BU278" s="17"/>
      <c r="BV278" s="189"/>
      <c r="BW278" s="197"/>
      <c r="BX278" s="246"/>
      <c r="BY278" s="190"/>
      <c r="BZ278" s="190"/>
      <c r="CA278" s="190"/>
      <c r="CB278" s="247"/>
      <c r="CC278" s="247"/>
      <c r="CD278" s="247"/>
      <c r="CE278" s="17"/>
      <c r="CF278" s="17"/>
      <c r="CG278" s="17"/>
      <c r="CH278" s="247"/>
      <c r="CI278" s="247"/>
      <c r="CJ278" s="247"/>
      <c r="CK278" s="17"/>
      <c r="CL278" s="17"/>
      <c r="CM278" s="17"/>
      <c r="CN278" s="17"/>
      <c r="CO278" s="17"/>
      <c r="CP278" s="11"/>
      <c r="CQ278" s="11"/>
      <c r="CR278" s="11"/>
      <c r="CS278" s="11"/>
      <c r="CT278" s="247"/>
      <c r="CU278" s="247"/>
      <c r="CV278" s="247"/>
      <c r="CW278" s="11"/>
      <c r="CX278" s="11"/>
      <c r="CY278" s="11"/>
      <c r="CZ278" s="56"/>
      <c r="DA278" s="95"/>
      <c r="DB278" s="55"/>
      <c r="DC278" s="55"/>
      <c r="DD278" s="54"/>
      <c r="DE278" s="54"/>
      <c r="DF278" s="54"/>
      <c r="DG278" s="54"/>
      <c r="DH278" s="54"/>
      <c r="DI278" s="54"/>
      <c r="DJ278" s="54"/>
      <c r="DK278" s="54"/>
      <c r="DL278" s="51"/>
      <c r="DM278" s="51"/>
      <c r="DN278" s="51"/>
      <c r="DO278" s="51"/>
      <c r="DP278" s="51"/>
      <c r="DQ278" s="51"/>
      <c r="DR278" s="51"/>
      <c r="DS278" s="51"/>
      <c r="DT278" s="51"/>
      <c r="DU278" s="51"/>
      <c r="DV278" s="51"/>
      <c r="DW278" s="51"/>
      <c r="DX278" s="51"/>
      <c r="DY278" s="51"/>
      <c r="DZ278" s="51"/>
      <c r="EA278" s="51"/>
      <c r="EB278" s="51"/>
      <c r="EC278" s="51"/>
      <c r="ED278" s="17">
        <f t="shared" si="82"/>
        <v>628040.94500000007</v>
      </c>
      <c r="EE278" s="29">
        <f t="shared" si="83"/>
        <v>2</v>
      </c>
      <c r="EF278" s="17">
        <f t="shared" si="81"/>
        <v>314020.47250000003</v>
      </c>
    </row>
    <row r="279" spans="1:136" x14ac:dyDescent="0.25">
      <c r="A279" s="25">
        <f>Distribución_Elementos!A279</f>
        <v>277</v>
      </c>
      <c r="B279" s="22" t="str">
        <f>Distribución_Elementos!B279</f>
        <v>Hisopo Quick Swab para muestreo de superficies (Cabina)</v>
      </c>
      <c r="C279" s="22" t="str">
        <f>Distribución_Elementos!C279</f>
        <v>3M</v>
      </c>
      <c r="D279" s="22" t="str">
        <f>Distribución_Elementos!D279</f>
        <v xml:space="preserve">Caja x 50 </v>
      </c>
      <c r="E279" s="224">
        <v>1</v>
      </c>
      <c r="F279" s="221">
        <v>699720</v>
      </c>
      <c r="G279" s="221">
        <v>0</v>
      </c>
      <c r="H279" s="221">
        <v>702100</v>
      </c>
      <c r="I279" s="221">
        <v>0</v>
      </c>
      <c r="J279" s="221">
        <v>773500</v>
      </c>
      <c r="K279" s="221">
        <v>773500</v>
      </c>
      <c r="L279" s="247">
        <f>AVERAGE(F279,H279,J279)</f>
        <v>725106.66666666663</v>
      </c>
      <c r="M279" s="247">
        <f>K279*E1</f>
        <v>796705</v>
      </c>
      <c r="N279" s="227"/>
      <c r="O279" s="119"/>
      <c r="P279" s="119"/>
      <c r="Q279" s="115"/>
      <c r="R279" s="115"/>
      <c r="S279" s="11"/>
      <c r="T279" s="247"/>
      <c r="U279" s="247"/>
      <c r="V279" s="247"/>
      <c r="W279" s="17"/>
      <c r="X279" s="11"/>
      <c r="Y279" s="11"/>
      <c r="Z279" s="247"/>
      <c r="AA279" s="247"/>
      <c r="AB279" s="247"/>
      <c r="AC279" s="44"/>
      <c r="AD279" s="22"/>
      <c r="AE279" s="17"/>
      <c r="AF279" s="247"/>
      <c r="AG279" s="247"/>
      <c r="AH279" s="97"/>
      <c r="AI279" s="22"/>
      <c r="AJ279" s="17"/>
      <c r="AK279" s="17"/>
      <c r="AL279" s="102"/>
      <c r="AM279" s="170"/>
      <c r="AN279" s="102"/>
      <c r="AO279" s="115"/>
      <c r="AP279" s="115"/>
      <c r="AQ279" s="115"/>
      <c r="AR279" s="102"/>
      <c r="AS279" s="102"/>
      <c r="AT279" s="102"/>
      <c r="AU279" s="115"/>
      <c r="AV279" s="115"/>
      <c r="AW279" s="115"/>
      <c r="AX279" s="247"/>
      <c r="AY279" s="102"/>
      <c r="AZ279" s="102"/>
      <c r="BA279" s="115"/>
      <c r="BB279" s="52"/>
      <c r="BC279" s="17"/>
      <c r="BD279" s="247"/>
      <c r="BE279" s="102"/>
      <c r="BF279" s="102"/>
      <c r="BG279" s="115"/>
      <c r="BH279" s="115"/>
      <c r="BI279" s="115"/>
      <c r="BJ279" s="102"/>
      <c r="BK279" s="247"/>
      <c r="BL279" s="247"/>
      <c r="BM279" s="190"/>
      <c r="BN279" s="190"/>
      <c r="BO279" s="115"/>
      <c r="BP279" s="247"/>
      <c r="BQ279" s="247"/>
      <c r="BR279" s="247"/>
      <c r="BS279" s="17"/>
      <c r="BT279" s="17"/>
      <c r="BU279" s="36"/>
      <c r="BV279" s="189"/>
      <c r="BW279" s="197"/>
      <c r="BX279" s="246"/>
      <c r="BY279" s="190"/>
      <c r="BZ279" s="190"/>
      <c r="CA279" s="190"/>
      <c r="CB279" s="247"/>
      <c r="CC279" s="247"/>
      <c r="CD279" s="247"/>
      <c r="CE279" s="115"/>
      <c r="CF279" s="115"/>
      <c r="CG279" s="115"/>
      <c r="CH279" s="247"/>
      <c r="CI279" s="247"/>
      <c r="CJ279" s="247"/>
      <c r="CK279" s="53"/>
      <c r="CL279" s="115"/>
      <c r="CM279" s="115"/>
      <c r="CN279" s="115"/>
      <c r="CO279" s="115"/>
      <c r="CP279" s="11"/>
      <c r="CQ279" s="11"/>
      <c r="CR279" s="11"/>
      <c r="CS279" s="11"/>
      <c r="CT279" s="247"/>
      <c r="CU279" s="247"/>
      <c r="CV279" s="247"/>
      <c r="CW279" s="11"/>
      <c r="CX279" s="11"/>
      <c r="CY279" s="11"/>
      <c r="CZ279" s="11"/>
      <c r="DA279" s="11"/>
      <c r="DB279" s="11"/>
      <c r="DC279" s="11"/>
      <c r="DD279" s="11"/>
      <c r="DE279" s="11"/>
      <c r="DF279" s="11"/>
      <c r="DG279" s="11"/>
      <c r="DH279" s="11"/>
      <c r="DI279" s="11"/>
      <c r="DJ279" s="11"/>
      <c r="DK279" s="11"/>
      <c r="DL279" s="247"/>
      <c r="DM279" s="247"/>
      <c r="DN279" s="247"/>
      <c r="DO279" s="247"/>
      <c r="DP279" s="247"/>
      <c r="DQ279" s="247"/>
      <c r="DR279" s="247"/>
      <c r="DS279" s="247"/>
      <c r="DT279" s="247"/>
      <c r="DU279" s="247"/>
      <c r="DV279" s="247"/>
      <c r="DW279" s="247"/>
      <c r="DX279" s="247"/>
      <c r="DY279" s="247"/>
      <c r="DZ279" s="247"/>
      <c r="EA279" s="247"/>
      <c r="EB279" s="247"/>
      <c r="EC279" s="247"/>
      <c r="ED279" s="17">
        <f t="shared" si="82"/>
        <v>796705</v>
      </c>
      <c r="EE279" s="29">
        <f t="shared" si="83"/>
        <v>1</v>
      </c>
      <c r="EF279" s="17">
        <f t="shared" si="81"/>
        <v>796705</v>
      </c>
    </row>
    <row r="280" spans="1:136" ht="25.5" x14ac:dyDescent="0.25">
      <c r="A280" s="25">
        <f>Distribución_Elementos!A280</f>
        <v>278</v>
      </c>
      <c r="B280" s="22" t="str">
        <f>Distribución_Elementos!B280</f>
        <v>Inserto para vial de cromatografía  300 µL, polypropylene, polymer feet.   Insert size: 5.6 x 30 mm aproximadamente</v>
      </c>
      <c r="C280" s="22" t="str">
        <f>Distribución_Elementos!C280</f>
        <v>Cualquier marca</v>
      </c>
      <c r="D280" s="22" t="str">
        <f>Distribución_Elementos!D280</f>
        <v>Paquete x 100</v>
      </c>
      <c r="E280" s="224">
        <v>1</v>
      </c>
      <c r="F280" s="221">
        <v>0</v>
      </c>
      <c r="G280" s="221">
        <v>0</v>
      </c>
      <c r="H280" s="221">
        <v>0</v>
      </c>
      <c r="I280" s="221">
        <v>0</v>
      </c>
      <c r="J280" s="221">
        <v>0</v>
      </c>
      <c r="K280" s="221">
        <v>0</v>
      </c>
      <c r="L280" s="247"/>
      <c r="M280" s="247"/>
      <c r="N280" s="227"/>
      <c r="O280" s="119"/>
      <c r="P280" s="119"/>
      <c r="Q280" s="115"/>
      <c r="R280" s="115"/>
      <c r="S280" s="11"/>
      <c r="T280" s="247"/>
      <c r="U280" s="247"/>
      <c r="V280" s="247"/>
      <c r="W280" s="17"/>
      <c r="X280" s="11"/>
      <c r="Y280" s="11"/>
      <c r="Z280" s="247"/>
      <c r="AA280" s="247"/>
      <c r="AB280" s="247"/>
      <c r="AC280" s="44"/>
      <c r="AD280" s="22"/>
      <c r="AE280" s="17"/>
      <c r="AF280" s="247"/>
      <c r="AG280" s="247"/>
      <c r="AH280" s="151"/>
      <c r="AI280" s="4"/>
      <c r="AJ280" s="17"/>
      <c r="AK280" s="17"/>
      <c r="AL280" s="102"/>
      <c r="AM280" s="132"/>
      <c r="AN280" s="161"/>
      <c r="AO280" s="115"/>
      <c r="AP280" s="115"/>
      <c r="AQ280" s="17"/>
      <c r="AR280" s="247"/>
      <c r="AS280" s="247"/>
      <c r="AT280" s="247"/>
      <c r="AU280" s="17"/>
      <c r="AV280" s="17"/>
      <c r="AW280" s="17"/>
      <c r="AX280" s="247"/>
      <c r="AY280" s="247"/>
      <c r="AZ280" s="247"/>
      <c r="BA280" s="17"/>
      <c r="BB280" s="52"/>
      <c r="BC280" s="17"/>
      <c r="BD280" s="247"/>
      <c r="BE280" s="247"/>
      <c r="BF280" s="247"/>
      <c r="BG280" s="17"/>
      <c r="BH280" s="17"/>
      <c r="BI280" s="17"/>
      <c r="BJ280" s="247"/>
      <c r="BK280" s="247"/>
      <c r="BL280" s="247"/>
      <c r="BM280" s="190"/>
      <c r="BN280" s="190"/>
      <c r="BO280" s="17"/>
      <c r="BP280" s="247">
        <v>135000</v>
      </c>
      <c r="BQ280" s="247">
        <f>+BP280*19%</f>
        <v>25650</v>
      </c>
      <c r="BR280" s="247">
        <f>+BQ280+BP280</f>
        <v>160650</v>
      </c>
      <c r="BS280" s="17"/>
      <c r="BT280" s="17"/>
      <c r="BU280" s="17"/>
      <c r="BV280" s="189"/>
      <c r="BW280" s="197"/>
      <c r="BX280" s="246"/>
      <c r="BY280" s="190"/>
      <c r="BZ280" s="190"/>
      <c r="CA280" s="190"/>
      <c r="CB280" s="247"/>
      <c r="CC280" s="247"/>
      <c r="CD280" s="247"/>
      <c r="CE280" s="17"/>
      <c r="CF280" s="17"/>
      <c r="CG280" s="17"/>
      <c r="CH280" s="247"/>
      <c r="CI280" s="247"/>
      <c r="CJ280" s="247"/>
      <c r="CK280" s="17"/>
      <c r="CL280" s="17"/>
      <c r="CM280" s="17"/>
      <c r="CN280" s="17"/>
      <c r="CO280" s="17"/>
      <c r="CP280" s="11"/>
      <c r="CQ280" s="11"/>
      <c r="CR280" s="11"/>
      <c r="CS280" s="11"/>
      <c r="CT280" s="247"/>
      <c r="CU280" s="247"/>
      <c r="CV280" s="247"/>
      <c r="CW280" s="11"/>
      <c r="CX280" s="11"/>
      <c r="CY280" s="11"/>
      <c r="CZ280" s="11"/>
      <c r="DA280" s="11"/>
      <c r="DB280" s="11"/>
      <c r="DC280" s="11"/>
      <c r="DD280" s="11"/>
      <c r="DE280" s="11"/>
      <c r="DF280" s="11"/>
      <c r="DG280" s="11"/>
      <c r="DH280" s="11"/>
      <c r="DI280" s="11"/>
      <c r="DJ280" s="11"/>
      <c r="DK280" s="11"/>
      <c r="DL280" s="247"/>
      <c r="DM280" s="247"/>
      <c r="DN280" s="247"/>
      <c r="DO280" s="247"/>
      <c r="DP280" s="247"/>
      <c r="DQ280" s="247"/>
      <c r="DR280" s="247"/>
      <c r="DS280" s="247"/>
      <c r="DT280" s="247"/>
      <c r="DU280" s="247"/>
      <c r="DV280" s="247"/>
      <c r="DW280" s="247"/>
      <c r="DX280" s="247"/>
      <c r="DY280" s="247"/>
      <c r="DZ280" s="247"/>
      <c r="EA280" s="247"/>
      <c r="EB280" s="247"/>
      <c r="EC280" s="247"/>
      <c r="ED280" s="17">
        <f t="shared" si="82"/>
        <v>160650</v>
      </c>
      <c r="EE280" s="29">
        <f t="shared" si="83"/>
        <v>1</v>
      </c>
      <c r="EF280" s="17">
        <f t="shared" si="81"/>
        <v>160650</v>
      </c>
    </row>
    <row r="281" spans="1:136" x14ac:dyDescent="0.25">
      <c r="A281" s="25">
        <f>Distribución_Elementos!A281</f>
        <v>279</v>
      </c>
      <c r="B281" s="22" t="str">
        <f>Distribución_Elementos!B281</f>
        <v xml:space="preserve">Jabón en polvo </v>
      </c>
      <c r="C281" s="22" t="str">
        <f>Distribución_Elementos!C281</f>
        <v>Cualquier marca</v>
      </c>
      <c r="D281" s="22" t="str">
        <f>Distribución_Elementos!D281</f>
        <v>Kilo</v>
      </c>
      <c r="E281" s="224">
        <v>1</v>
      </c>
      <c r="F281" s="221">
        <v>0</v>
      </c>
      <c r="G281" s="221">
        <v>0</v>
      </c>
      <c r="H281" s="221">
        <v>0</v>
      </c>
      <c r="I281" s="221">
        <v>0</v>
      </c>
      <c r="J281" s="221">
        <v>0</v>
      </c>
      <c r="K281" s="221">
        <v>0</v>
      </c>
      <c r="L281" s="247"/>
      <c r="M281" s="247"/>
      <c r="N281" s="227">
        <v>8500</v>
      </c>
      <c r="O281" s="119">
        <f>+N281*0.19</f>
        <v>1615</v>
      </c>
      <c r="P281" s="119">
        <f>+N281+O281</f>
        <v>10115</v>
      </c>
      <c r="Q281" s="115"/>
      <c r="R281" s="115"/>
      <c r="S281" s="11"/>
      <c r="T281" s="247"/>
      <c r="U281" s="247"/>
      <c r="V281" s="247"/>
      <c r="W281" s="17"/>
      <c r="X281" s="11"/>
      <c r="Y281" s="11"/>
      <c r="Z281" s="247"/>
      <c r="AA281" s="247"/>
      <c r="AB281" s="247"/>
      <c r="AC281" s="5"/>
      <c r="AD281" s="5"/>
      <c r="AE281" s="17"/>
      <c r="AF281" s="247"/>
      <c r="AG281" s="247"/>
      <c r="AH281" s="149"/>
      <c r="AI281" s="5"/>
      <c r="AJ281" s="17"/>
      <c r="AK281" s="17"/>
      <c r="AL281" s="102"/>
      <c r="AM281" s="132"/>
      <c r="AN281" s="161"/>
      <c r="AO281" s="115"/>
      <c r="AP281" s="115"/>
      <c r="AQ281" s="17"/>
      <c r="AR281" s="247"/>
      <c r="AS281" s="247"/>
      <c r="AT281" s="247"/>
      <c r="AU281" s="17"/>
      <c r="AV281" s="17"/>
      <c r="AW281" s="17"/>
      <c r="AX281" s="247"/>
      <c r="AY281" s="247"/>
      <c r="AZ281" s="247"/>
      <c r="BA281" s="17"/>
      <c r="BB281" s="52"/>
      <c r="BC281" s="17"/>
      <c r="BD281" s="247"/>
      <c r="BE281" s="247"/>
      <c r="BF281" s="247"/>
      <c r="BG281" s="17"/>
      <c r="BH281" s="17"/>
      <c r="BI281" s="17"/>
      <c r="BJ281" s="247"/>
      <c r="BK281" s="247"/>
      <c r="BL281" s="247"/>
      <c r="BM281" s="190"/>
      <c r="BN281" s="190"/>
      <c r="BO281" s="17"/>
      <c r="BP281" s="247">
        <v>12000</v>
      </c>
      <c r="BQ281" s="247">
        <f>+BP281*19%</f>
        <v>2280</v>
      </c>
      <c r="BR281" s="247">
        <f>+BQ281+BP281</f>
        <v>14280</v>
      </c>
      <c r="BS281" s="17"/>
      <c r="BT281" s="17"/>
      <c r="BU281" s="17"/>
      <c r="BV281" s="189"/>
      <c r="BW281" s="197"/>
      <c r="BX281" s="246"/>
      <c r="BY281" s="190"/>
      <c r="BZ281" s="190"/>
      <c r="CA281" s="190"/>
      <c r="CB281" s="247"/>
      <c r="CC281" s="247"/>
      <c r="CD281" s="247"/>
      <c r="CE281" s="17"/>
      <c r="CF281" s="17"/>
      <c r="CG281" s="17"/>
      <c r="CH281" s="247"/>
      <c r="CI281" s="247"/>
      <c r="CJ281" s="247"/>
      <c r="CK281" s="17"/>
      <c r="CL281" s="17"/>
      <c r="CM281" s="17"/>
      <c r="CN281" s="17"/>
      <c r="CO281" s="17"/>
      <c r="CP281" s="11"/>
      <c r="CQ281" s="11"/>
      <c r="CR281" s="11"/>
      <c r="CS281" s="11"/>
      <c r="CT281" s="247"/>
      <c r="CU281" s="247"/>
      <c r="CV281" s="247"/>
      <c r="CW281" s="11"/>
      <c r="CX281" s="11"/>
      <c r="CY281" s="11"/>
      <c r="CZ281" s="11"/>
      <c r="DA281" s="11"/>
      <c r="DB281" s="11"/>
      <c r="DC281" s="11"/>
      <c r="DD281" s="11"/>
      <c r="DE281" s="11"/>
      <c r="DF281" s="11"/>
      <c r="DG281" s="11"/>
      <c r="DH281" s="11"/>
      <c r="DI281" s="11"/>
      <c r="DJ281" s="11"/>
      <c r="DK281" s="11"/>
      <c r="DL281" s="247"/>
      <c r="DM281" s="247"/>
      <c r="DN281" s="247"/>
      <c r="DO281" s="247"/>
      <c r="DP281" s="247"/>
      <c r="DQ281" s="247"/>
      <c r="DR281" s="247"/>
      <c r="DS281" s="247"/>
      <c r="DT281" s="247"/>
      <c r="DU281" s="247"/>
      <c r="DV281" s="247"/>
      <c r="DW281" s="247"/>
      <c r="DX281" s="247"/>
      <c r="DY281" s="247"/>
      <c r="DZ281" s="247"/>
      <c r="EA281" s="247"/>
      <c r="EB281" s="247"/>
      <c r="EC281" s="247"/>
      <c r="ED281" s="17">
        <f t="shared" si="82"/>
        <v>24395</v>
      </c>
      <c r="EE281" s="29">
        <f t="shared" si="83"/>
        <v>2</v>
      </c>
      <c r="EF281" s="17">
        <f t="shared" si="81"/>
        <v>12197.5</v>
      </c>
    </row>
    <row r="282" spans="1:136" x14ac:dyDescent="0.25">
      <c r="A282" s="25">
        <f>Distribución_Elementos!A282</f>
        <v>280</v>
      </c>
      <c r="B282" s="22" t="str">
        <f>Distribución_Elementos!B282</f>
        <v>Jabón para manos y cuerpo de avena</v>
      </c>
      <c r="C282" s="22" t="str">
        <f>Distribución_Elementos!C282</f>
        <v>Cualquier marca</v>
      </c>
      <c r="D282" s="22" t="str">
        <f>Distribución_Elementos!D282</f>
        <v>Galón x 5 l</v>
      </c>
      <c r="E282" s="224">
        <v>1</v>
      </c>
      <c r="F282" s="221">
        <v>0</v>
      </c>
      <c r="G282" s="221">
        <v>0</v>
      </c>
      <c r="H282" s="221">
        <v>65450</v>
      </c>
      <c r="I282" s="221">
        <v>65323</v>
      </c>
      <c r="J282" s="221">
        <v>83300</v>
      </c>
      <c r="K282" s="221">
        <v>83062</v>
      </c>
      <c r="L282" s="247">
        <f>AVERAGE(H282,J282)</f>
        <v>74375</v>
      </c>
      <c r="M282" s="247">
        <f>AVERAGE(I282,K282)*E1</f>
        <v>76418.275000000009</v>
      </c>
      <c r="N282" s="227">
        <v>55000</v>
      </c>
      <c r="O282" s="119">
        <f>+N282*0.19</f>
        <v>10450</v>
      </c>
      <c r="P282" s="119">
        <f>+N282+O282</f>
        <v>65450</v>
      </c>
      <c r="Q282" s="115"/>
      <c r="R282" s="115"/>
      <c r="S282" s="11"/>
      <c r="T282" s="247"/>
      <c r="U282" s="247"/>
      <c r="V282" s="247"/>
      <c r="W282" s="17"/>
      <c r="X282" s="11"/>
      <c r="Y282" s="11"/>
      <c r="Z282" s="247"/>
      <c r="AA282" s="247"/>
      <c r="AB282" s="247"/>
      <c r="AC282" s="44"/>
      <c r="AD282" s="22"/>
      <c r="AE282" s="17"/>
      <c r="AF282" s="247"/>
      <c r="AG282" s="247"/>
      <c r="AH282" s="151"/>
      <c r="AI282" s="4"/>
      <c r="AJ282" s="17"/>
      <c r="AK282" s="17"/>
      <c r="AL282" s="102"/>
      <c r="AM282" s="132"/>
      <c r="AN282" s="161"/>
      <c r="AO282" s="115"/>
      <c r="AP282" s="115"/>
      <c r="AQ282" s="17"/>
      <c r="AR282" s="247"/>
      <c r="AS282" s="247"/>
      <c r="AT282" s="247"/>
      <c r="AU282" s="17"/>
      <c r="AV282" s="17"/>
      <c r="AW282" s="17"/>
      <c r="AX282" s="247"/>
      <c r="AY282" s="247"/>
      <c r="AZ282" s="247"/>
      <c r="BA282" s="17"/>
      <c r="BB282" s="52"/>
      <c r="BC282" s="17"/>
      <c r="BD282" s="247"/>
      <c r="BE282" s="247"/>
      <c r="BF282" s="247"/>
      <c r="BG282" s="17"/>
      <c r="BH282" s="17"/>
      <c r="BI282" s="17"/>
      <c r="BJ282" s="247"/>
      <c r="BK282" s="247"/>
      <c r="BL282" s="247"/>
      <c r="BM282" s="190"/>
      <c r="BN282" s="190"/>
      <c r="BO282" s="17"/>
      <c r="BP282" s="247">
        <v>42000</v>
      </c>
      <c r="BQ282" s="247">
        <f>+BP282*19%</f>
        <v>7980</v>
      </c>
      <c r="BR282" s="247">
        <f>+BQ282+BP282</f>
        <v>49980</v>
      </c>
      <c r="BS282" s="17"/>
      <c r="BT282" s="17"/>
      <c r="BU282" s="17"/>
      <c r="BV282" s="189"/>
      <c r="BW282" s="197"/>
      <c r="BX282" s="246"/>
      <c r="BY282" s="190"/>
      <c r="BZ282" s="190"/>
      <c r="CA282" s="190"/>
      <c r="CB282" s="247"/>
      <c r="CC282" s="247"/>
      <c r="CD282" s="247"/>
      <c r="CE282" s="17"/>
      <c r="CF282" s="17"/>
      <c r="CG282" s="17"/>
      <c r="CH282" s="247"/>
      <c r="CI282" s="247"/>
      <c r="CJ282" s="247"/>
      <c r="CK282" s="17"/>
      <c r="CL282" s="17"/>
      <c r="CM282" s="17"/>
      <c r="CN282" s="17"/>
      <c r="CO282" s="17"/>
      <c r="CP282" s="11"/>
      <c r="CQ282" s="11"/>
      <c r="CR282" s="11"/>
      <c r="CS282" s="11"/>
      <c r="CT282" s="247"/>
      <c r="CU282" s="247"/>
      <c r="CV282" s="247"/>
      <c r="CW282" s="11"/>
      <c r="CX282" s="11"/>
      <c r="CY282" s="11"/>
      <c r="CZ282" s="11"/>
      <c r="DA282" s="11"/>
      <c r="DB282" s="11"/>
      <c r="DC282" s="11"/>
      <c r="DD282" s="11"/>
      <c r="DE282" s="11"/>
      <c r="DF282" s="11"/>
      <c r="DG282" s="11"/>
      <c r="DH282" s="11"/>
      <c r="DI282" s="11"/>
      <c r="DJ282" s="11"/>
      <c r="DK282" s="11"/>
      <c r="DL282" s="247"/>
      <c r="DM282" s="247"/>
      <c r="DN282" s="247"/>
      <c r="DO282" s="247"/>
      <c r="DP282" s="247"/>
      <c r="DQ282" s="247"/>
      <c r="DR282" s="247"/>
      <c r="DS282" s="247"/>
      <c r="DT282" s="247"/>
      <c r="DU282" s="247"/>
      <c r="DV282" s="247"/>
      <c r="DW282" s="247"/>
      <c r="DX282" s="247"/>
      <c r="DY282" s="247"/>
      <c r="DZ282" s="247"/>
      <c r="EA282" s="247"/>
      <c r="EB282" s="247"/>
      <c r="EC282" s="247"/>
      <c r="ED282" s="17">
        <f t="shared" si="82"/>
        <v>191848.27500000002</v>
      </c>
      <c r="EE282" s="29">
        <f t="shared" si="83"/>
        <v>3</v>
      </c>
      <c r="EF282" s="17">
        <f t="shared" si="81"/>
        <v>63949.42500000001</v>
      </c>
    </row>
    <row r="283" spans="1:136" x14ac:dyDescent="0.25">
      <c r="A283" s="25">
        <f>Distribución_Elementos!A283</f>
        <v>281</v>
      </c>
      <c r="B283" s="22" t="str">
        <f>Distribución_Elementos!B283</f>
        <v>Jarra anaerobiosis de 2,5 litros</v>
      </c>
      <c r="C283" s="22" t="str">
        <f>Distribución_Elementos!C283</f>
        <v>Cualquier marca</v>
      </c>
      <c r="D283" s="22" t="str">
        <f>Distribución_Elementos!D283</f>
        <v>Unidad</v>
      </c>
      <c r="E283" s="224">
        <v>1</v>
      </c>
      <c r="F283" s="221">
        <v>1171852.5</v>
      </c>
      <c r="G283" s="221">
        <v>1142519</v>
      </c>
      <c r="H283" s="221">
        <v>903619.13390000013</v>
      </c>
      <c r="I283" s="221">
        <v>0</v>
      </c>
      <c r="J283" s="221">
        <v>758489.1416666666</v>
      </c>
      <c r="K283" s="221">
        <v>0</v>
      </c>
      <c r="L283" s="247">
        <f>AVERAGE(F283,H283,J283)</f>
        <v>944653.59185555566</v>
      </c>
      <c r="M283" s="247">
        <f>G283*E1</f>
        <v>1176794.57</v>
      </c>
      <c r="N283" s="227">
        <v>1500000</v>
      </c>
      <c r="O283" s="119">
        <f>+N283*0.19</f>
        <v>285000</v>
      </c>
      <c r="P283" s="119">
        <f>+N283+O283</f>
        <v>1785000</v>
      </c>
      <c r="Q283" s="115"/>
      <c r="R283" s="115"/>
      <c r="S283" s="11"/>
      <c r="T283" s="247"/>
      <c r="U283" s="247"/>
      <c r="V283" s="247"/>
      <c r="W283" s="17"/>
      <c r="X283" s="11"/>
      <c r="Y283" s="11"/>
      <c r="Z283" s="247"/>
      <c r="AA283" s="247"/>
      <c r="AB283" s="247"/>
      <c r="AC283" s="44"/>
      <c r="AD283" s="22"/>
      <c r="AE283" s="17"/>
      <c r="AF283" s="247"/>
      <c r="AG283" s="247"/>
      <c r="AH283" s="151"/>
      <c r="AI283" s="4"/>
      <c r="AJ283" s="17"/>
      <c r="AK283" s="17"/>
      <c r="AL283" s="102"/>
      <c r="AM283" s="132"/>
      <c r="AN283" s="161"/>
      <c r="AO283" s="115"/>
      <c r="AP283" s="115"/>
      <c r="AQ283" s="17"/>
      <c r="AR283" s="247"/>
      <c r="AS283" s="247"/>
      <c r="AT283" s="247"/>
      <c r="AU283" s="17"/>
      <c r="AV283" s="17"/>
      <c r="AW283" s="17"/>
      <c r="AX283" s="247"/>
      <c r="AY283" s="247"/>
      <c r="AZ283" s="247"/>
      <c r="BA283" s="17"/>
      <c r="BB283" s="52"/>
      <c r="BC283" s="17"/>
      <c r="BD283" s="247"/>
      <c r="BE283" s="247"/>
      <c r="BF283" s="247"/>
      <c r="BG283" s="17"/>
      <c r="BH283" s="17"/>
      <c r="BI283" s="17"/>
      <c r="BJ283" s="247"/>
      <c r="BK283" s="247"/>
      <c r="BL283" s="247"/>
      <c r="BM283" s="190"/>
      <c r="BN283" s="190"/>
      <c r="BO283" s="17"/>
      <c r="BP283" s="247">
        <v>1452000</v>
      </c>
      <c r="BQ283" s="247">
        <f>+BP283*19%</f>
        <v>275880</v>
      </c>
      <c r="BR283" s="247">
        <f>+BQ283+BP283</f>
        <v>1727880</v>
      </c>
      <c r="BS283" s="17"/>
      <c r="BT283" s="17"/>
      <c r="BU283" s="17"/>
      <c r="BV283" s="189"/>
      <c r="BW283" s="197"/>
      <c r="BX283" s="246"/>
      <c r="BY283" s="190"/>
      <c r="BZ283" s="190"/>
      <c r="CA283" s="190"/>
      <c r="CB283" s="247"/>
      <c r="CC283" s="247"/>
      <c r="CD283" s="247"/>
      <c r="CE283" s="17"/>
      <c r="CF283" s="17"/>
      <c r="CG283" s="17"/>
      <c r="CH283" s="247"/>
      <c r="CI283" s="247"/>
      <c r="CJ283" s="247"/>
      <c r="CK283" s="17"/>
      <c r="CL283" s="17"/>
      <c r="CM283" s="17"/>
      <c r="CN283" s="17"/>
      <c r="CO283" s="17"/>
      <c r="CP283" s="11"/>
      <c r="CQ283" s="11"/>
      <c r="CR283" s="11"/>
      <c r="CS283" s="11"/>
      <c r="CT283" s="247"/>
      <c r="CU283" s="247"/>
      <c r="CV283" s="247"/>
      <c r="CW283" s="11"/>
      <c r="CX283" s="11"/>
      <c r="CY283" s="11"/>
      <c r="CZ283" s="11"/>
      <c r="DA283" s="11"/>
      <c r="DB283" s="11"/>
      <c r="DC283" s="11"/>
      <c r="DD283" s="11"/>
      <c r="DE283" s="11"/>
      <c r="DF283" s="11"/>
      <c r="DG283" s="11"/>
      <c r="DH283" s="11"/>
      <c r="DI283" s="11"/>
      <c r="DJ283" s="11"/>
      <c r="DK283" s="11"/>
      <c r="DL283" s="247"/>
      <c r="DM283" s="247"/>
      <c r="DN283" s="247"/>
      <c r="DO283" s="247"/>
      <c r="DP283" s="247"/>
      <c r="DQ283" s="247"/>
      <c r="DR283" s="247"/>
      <c r="DS283" s="247"/>
      <c r="DT283" s="247"/>
      <c r="DU283" s="247"/>
      <c r="DV283" s="247"/>
      <c r="DW283" s="247"/>
      <c r="DX283" s="247"/>
      <c r="DY283" s="247"/>
      <c r="DZ283" s="247"/>
      <c r="EA283" s="247"/>
      <c r="EB283" s="247"/>
      <c r="EC283" s="247"/>
      <c r="ED283" s="17">
        <f t="shared" si="82"/>
        <v>4689674.57</v>
      </c>
      <c r="EE283" s="29">
        <f t="shared" si="83"/>
        <v>3</v>
      </c>
      <c r="EF283" s="17">
        <f t="shared" si="81"/>
        <v>1563224.8566666667</v>
      </c>
    </row>
    <row r="284" spans="1:136" ht="25.5" x14ac:dyDescent="0.25">
      <c r="A284" s="25">
        <f>Distribución_Elementos!A284</f>
        <v>282</v>
      </c>
      <c r="B284" s="22" t="str">
        <f>Distribución_Elementos!B284</f>
        <v>Jeringa desechable de 1 ml de insulina estéril, dos partes. Libre de pirógenos. Aguja para insulina 25G X5/8"" 16x0,5 mm</v>
      </c>
      <c r="C284" s="22" t="str">
        <f>Distribución_Elementos!C284</f>
        <v>BD, Vacutest o equivalente</v>
      </c>
      <c r="D284" s="22" t="str">
        <f>Distribución_Elementos!D284</f>
        <v xml:space="preserve">Caja x 100 </v>
      </c>
      <c r="E284" s="224">
        <v>1</v>
      </c>
      <c r="F284" s="221">
        <v>51318.75</v>
      </c>
      <c r="G284" s="221">
        <v>49266</v>
      </c>
      <c r="H284" s="221">
        <v>58881.205950000003</v>
      </c>
      <c r="I284" s="221">
        <v>0</v>
      </c>
      <c r="J284" s="221">
        <v>49769.766666666663</v>
      </c>
      <c r="K284" s="221">
        <v>0</v>
      </c>
      <c r="L284" s="247">
        <f t="shared" ref="L284:L289" si="87">AVERAGE(F284,H284,J284)</f>
        <v>53323.240872222224</v>
      </c>
      <c r="M284" s="247">
        <f>G284*E1</f>
        <v>50743.98</v>
      </c>
      <c r="N284" s="227">
        <v>70000</v>
      </c>
      <c r="O284" s="119">
        <f t="shared" ref="O284:O290" si="88">+N284*0.19</f>
        <v>13300</v>
      </c>
      <c r="P284" s="119">
        <f t="shared" ref="P284:P290" si="89">+N284+O284</f>
        <v>83300</v>
      </c>
      <c r="Q284" s="115"/>
      <c r="R284" s="115"/>
      <c r="S284" s="11"/>
      <c r="T284" s="247"/>
      <c r="U284" s="247"/>
      <c r="V284" s="247"/>
      <c r="W284" s="17"/>
      <c r="X284" s="11"/>
      <c r="Y284" s="11"/>
      <c r="Z284" s="247"/>
      <c r="AA284" s="247"/>
      <c r="AB284" s="247"/>
      <c r="AC284" s="44"/>
      <c r="AD284" s="22"/>
      <c r="AE284" s="17"/>
      <c r="AF284" s="247"/>
      <c r="AG284" s="247"/>
      <c r="AH284" s="151"/>
      <c r="AI284" s="4"/>
      <c r="AJ284" s="17"/>
      <c r="AK284" s="17"/>
      <c r="AL284" s="102"/>
      <c r="AM284" s="132"/>
      <c r="AN284" s="161"/>
      <c r="AO284" s="115"/>
      <c r="AP284" s="115"/>
      <c r="AQ284" s="17"/>
      <c r="AR284" s="247"/>
      <c r="AS284" s="247"/>
      <c r="AT284" s="247"/>
      <c r="AU284" s="17"/>
      <c r="AV284" s="17"/>
      <c r="AW284" s="17"/>
      <c r="AX284" s="247"/>
      <c r="AY284" s="247"/>
      <c r="AZ284" s="247"/>
      <c r="BA284" s="17"/>
      <c r="BB284" s="52"/>
      <c r="BC284" s="17"/>
      <c r="BD284" s="247"/>
      <c r="BE284" s="247"/>
      <c r="BF284" s="247"/>
      <c r="BG284" s="17"/>
      <c r="BH284" s="17"/>
      <c r="BI284" s="17"/>
      <c r="BJ284" s="247"/>
      <c r="BK284" s="247"/>
      <c r="BL284" s="247"/>
      <c r="BM284" s="190"/>
      <c r="BN284" s="190"/>
      <c r="BO284" s="17"/>
      <c r="BP284" s="247">
        <v>32500</v>
      </c>
      <c r="BQ284" s="247">
        <f t="shared" ref="BQ284:BQ292" si="90">+BP284*19%</f>
        <v>6175</v>
      </c>
      <c r="BR284" s="247">
        <f t="shared" ref="BR284:BR292" si="91">+BQ284+BP284</f>
        <v>38675</v>
      </c>
      <c r="BS284" s="17"/>
      <c r="BT284" s="17"/>
      <c r="BU284" s="17"/>
      <c r="BV284" s="189"/>
      <c r="BW284" s="197"/>
      <c r="BX284" s="246"/>
      <c r="BY284" s="190"/>
      <c r="BZ284" s="190"/>
      <c r="CA284" s="190"/>
      <c r="CB284" s="247"/>
      <c r="CC284" s="247"/>
      <c r="CD284" s="247"/>
      <c r="CE284" s="17"/>
      <c r="CF284" s="17"/>
      <c r="CG284" s="17"/>
      <c r="CH284" s="247"/>
      <c r="CI284" s="247"/>
      <c r="CJ284" s="247"/>
      <c r="CK284" s="17"/>
      <c r="CL284" s="17"/>
      <c r="CM284" s="17"/>
      <c r="CN284" s="17"/>
      <c r="CO284" s="17"/>
      <c r="CP284" s="11"/>
      <c r="CQ284" s="11"/>
      <c r="CR284" s="11"/>
      <c r="CS284" s="11"/>
      <c r="CT284" s="247"/>
      <c r="CU284" s="247"/>
      <c r="CV284" s="247"/>
      <c r="CW284" s="11"/>
      <c r="CX284" s="11"/>
      <c r="CY284" s="11"/>
      <c r="CZ284" s="11"/>
      <c r="DA284" s="11"/>
      <c r="DB284" s="11"/>
      <c r="DC284" s="11"/>
      <c r="DD284" s="11"/>
      <c r="DE284" s="11"/>
      <c r="DF284" s="11"/>
      <c r="DG284" s="11"/>
      <c r="DH284" s="11"/>
      <c r="DI284" s="11"/>
      <c r="DJ284" s="11"/>
      <c r="DK284" s="11"/>
      <c r="DL284" s="247"/>
      <c r="DM284" s="247"/>
      <c r="DN284" s="247"/>
      <c r="DO284" s="247"/>
      <c r="DP284" s="247"/>
      <c r="DQ284" s="247"/>
      <c r="DR284" s="247"/>
      <c r="DS284" s="247"/>
      <c r="DT284" s="247"/>
      <c r="DU284" s="247"/>
      <c r="DV284" s="247"/>
      <c r="DW284" s="247"/>
      <c r="DX284" s="247"/>
      <c r="DY284" s="247"/>
      <c r="DZ284" s="247"/>
      <c r="EA284" s="247"/>
      <c r="EB284" s="247"/>
      <c r="EC284" s="247"/>
      <c r="ED284" s="17">
        <f t="shared" si="82"/>
        <v>172718.98</v>
      </c>
      <c r="EE284" s="29">
        <f t="shared" si="83"/>
        <v>3</v>
      </c>
      <c r="EF284" s="17">
        <f t="shared" si="81"/>
        <v>57572.993333333339</v>
      </c>
    </row>
    <row r="285" spans="1:136" ht="38.25" x14ac:dyDescent="0.25">
      <c r="A285" s="25">
        <f>Distribución_Elementos!A285</f>
        <v>283</v>
      </c>
      <c r="B285" s="22" t="str">
        <f>Distribución_Elementos!B285</f>
        <v>Jeringa desechable de 10 ml sin caucho en el émbolo con aguja tribicelada de 21 G x 1½ estéril, dos partes, libre de pirógenos</v>
      </c>
      <c r="C285" s="22" t="str">
        <f>Distribución_Elementos!C285</f>
        <v>BD301001 o equivalente</v>
      </c>
      <c r="D285" s="22" t="str">
        <f>Distribución_Elementos!D285</f>
        <v xml:space="preserve">Caja x 100 </v>
      </c>
      <c r="E285" s="224">
        <v>1</v>
      </c>
      <c r="F285" s="221">
        <v>55989.5</v>
      </c>
      <c r="G285" s="221">
        <v>0</v>
      </c>
      <c r="H285" s="221">
        <v>53970.466666666667</v>
      </c>
      <c r="I285" s="221">
        <v>0</v>
      </c>
      <c r="J285" s="221">
        <v>91827.011111111133</v>
      </c>
      <c r="K285" s="221">
        <v>57120</v>
      </c>
      <c r="L285" s="247">
        <f t="shared" si="87"/>
        <v>67262.325925925936</v>
      </c>
      <c r="M285" s="247">
        <f>K285*E1</f>
        <v>58833.599999999999</v>
      </c>
      <c r="N285" s="227">
        <v>50000</v>
      </c>
      <c r="O285" s="119">
        <f t="shared" si="88"/>
        <v>9500</v>
      </c>
      <c r="P285" s="119">
        <f t="shared" si="89"/>
        <v>59500</v>
      </c>
      <c r="Q285" s="115"/>
      <c r="R285" s="115"/>
      <c r="S285" s="11"/>
      <c r="T285" s="247"/>
      <c r="U285" s="247"/>
      <c r="V285" s="247"/>
      <c r="W285" s="17"/>
      <c r="X285" s="11"/>
      <c r="Y285" s="11"/>
      <c r="Z285" s="247"/>
      <c r="AA285" s="247"/>
      <c r="AB285" s="247"/>
      <c r="AC285" s="44"/>
      <c r="AD285" s="22"/>
      <c r="AE285" s="17"/>
      <c r="AF285" s="247"/>
      <c r="AG285" s="247"/>
      <c r="AH285" s="151"/>
      <c r="AI285" s="4"/>
      <c r="AJ285" s="17"/>
      <c r="AK285" s="17"/>
      <c r="AL285" s="102"/>
      <c r="AM285" s="132"/>
      <c r="AN285" s="161"/>
      <c r="AO285" s="115"/>
      <c r="AP285" s="115"/>
      <c r="AQ285" s="17"/>
      <c r="AR285" s="247"/>
      <c r="AS285" s="247"/>
      <c r="AT285" s="247"/>
      <c r="AU285" s="17"/>
      <c r="AV285" s="17"/>
      <c r="AW285" s="17"/>
      <c r="AX285" s="247"/>
      <c r="AY285" s="247"/>
      <c r="AZ285" s="247"/>
      <c r="BA285" s="17"/>
      <c r="BB285" s="52"/>
      <c r="BC285" s="17"/>
      <c r="BD285" s="247"/>
      <c r="BE285" s="247"/>
      <c r="BF285" s="247"/>
      <c r="BG285" s="17"/>
      <c r="BH285" s="17"/>
      <c r="BI285" s="17"/>
      <c r="BJ285" s="247">
        <v>86300</v>
      </c>
      <c r="BK285" s="247">
        <f>+BJ285*0</f>
        <v>0</v>
      </c>
      <c r="BL285" s="247">
        <f>+BJ285+BK285</f>
        <v>86300</v>
      </c>
      <c r="BM285" s="190" t="s">
        <v>337</v>
      </c>
      <c r="BN285" s="190" t="s">
        <v>27</v>
      </c>
      <c r="BO285" s="17"/>
      <c r="BP285" s="247">
        <v>33500</v>
      </c>
      <c r="BQ285" s="247">
        <f t="shared" si="90"/>
        <v>6365</v>
      </c>
      <c r="BR285" s="247">
        <f t="shared" si="91"/>
        <v>39865</v>
      </c>
      <c r="BS285" s="17"/>
      <c r="BT285" s="17"/>
      <c r="BU285" s="17"/>
      <c r="BV285" s="195">
        <v>95077.400399999999</v>
      </c>
      <c r="BW285" s="198">
        <f>+BV285*0</f>
        <v>0</v>
      </c>
      <c r="BX285" s="246">
        <f>+BV285+BW285</f>
        <v>95077.400399999999</v>
      </c>
      <c r="BY285" s="190" t="s">
        <v>337</v>
      </c>
      <c r="BZ285" s="190" t="s">
        <v>27</v>
      </c>
      <c r="CA285" s="190"/>
      <c r="CB285" s="247"/>
      <c r="CC285" s="247">
        <f>+CB285*0.19</f>
        <v>0</v>
      </c>
      <c r="CD285" s="247">
        <f>+CB285+CC285</f>
        <v>0</v>
      </c>
      <c r="CE285" s="17"/>
      <c r="CF285" s="17"/>
      <c r="CG285" s="17"/>
      <c r="CH285" s="247"/>
      <c r="CI285" s="247"/>
      <c r="CJ285" s="247"/>
      <c r="CK285" s="17"/>
      <c r="CL285" s="17"/>
      <c r="CM285" s="17"/>
      <c r="CN285" s="17"/>
      <c r="CO285" s="17"/>
      <c r="CP285" s="11"/>
      <c r="CQ285" s="11"/>
      <c r="CR285" s="11"/>
      <c r="CS285" s="11"/>
      <c r="CT285" s="247"/>
      <c r="CU285" s="247"/>
      <c r="CV285" s="247"/>
      <c r="CW285" s="11"/>
      <c r="CX285" s="11"/>
      <c r="CY285" s="11"/>
      <c r="CZ285" s="11"/>
      <c r="DA285" s="11"/>
      <c r="DB285" s="11"/>
      <c r="DC285" s="11"/>
      <c r="DD285" s="11"/>
      <c r="DE285" s="11"/>
      <c r="DF285" s="11"/>
      <c r="DG285" s="11"/>
      <c r="DH285" s="11"/>
      <c r="DI285" s="11"/>
      <c r="DJ285" s="11"/>
      <c r="DK285" s="11"/>
      <c r="DL285" s="247"/>
      <c r="DM285" s="247"/>
      <c r="DN285" s="247"/>
      <c r="DO285" s="247"/>
      <c r="DP285" s="247"/>
      <c r="DQ285" s="247"/>
      <c r="DR285" s="247"/>
      <c r="DS285" s="247"/>
      <c r="DT285" s="247"/>
      <c r="DU285" s="247"/>
      <c r="DV285" s="247"/>
      <c r="DW285" s="247"/>
      <c r="DX285" s="247"/>
      <c r="DY285" s="247"/>
      <c r="DZ285" s="247"/>
      <c r="EA285" s="247"/>
      <c r="EB285" s="247"/>
      <c r="EC285" s="247"/>
      <c r="ED285" s="17">
        <f t="shared" si="82"/>
        <v>339576.00040000002</v>
      </c>
      <c r="EE285" s="29">
        <f t="shared" si="83"/>
        <v>5</v>
      </c>
      <c r="EF285" s="17">
        <f t="shared" si="81"/>
        <v>67915.20008000001</v>
      </c>
    </row>
    <row r="286" spans="1:136" ht="25.5" x14ac:dyDescent="0.25">
      <c r="A286" s="25">
        <f>Distribución_Elementos!A286</f>
        <v>284</v>
      </c>
      <c r="B286" s="22" t="str">
        <f>Distribución_Elementos!B286</f>
        <v>Jeringa desechable de 2 ml con aguja 21G X 1½" tribicelada, sin émbolo de caucho</v>
      </c>
      <c r="C286" s="22" t="str">
        <f>Distribución_Elementos!C286</f>
        <v>BD 300318 o equivalente</v>
      </c>
      <c r="D286" s="22" t="str">
        <f>Distribución_Elementos!D286</f>
        <v xml:space="preserve">Caja x 100 </v>
      </c>
      <c r="E286" s="224">
        <v>1</v>
      </c>
      <c r="F286" s="221">
        <v>39270</v>
      </c>
      <c r="G286" s="221">
        <v>38675</v>
      </c>
      <c r="H286" s="221">
        <v>37111.563125000001</v>
      </c>
      <c r="I286" s="221">
        <v>37009</v>
      </c>
      <c r="J286" s="221">
        <v>60342.916666666664</v>
      </c>
      <c r="K286" s="221">
        <v>55454</v>
      </c>
      <c r="L286" s="247">
        <f t="shared" si="87"/>
        <v>45574.826597222222</v>
      </c>
      <c r="M286" s="247">
        <f>AVERAGE(G286,I286,K286)*E1</f>
        <v>45024.046666666669</v>
      </c>
      <c r="N286" s="227">
        <v>38000</v>
      </c>
      <c r="O286" s="119">
        <f t="shared" si="88"/>
        <v>7220</v>
      </c>
      <c r="P286" s="119">
        <f t="shared" si="89"/>
        <v>45220</v>
      </c>
      <c r="Q286" s="115"/>
      <c r="R286" s="115"/>
      <c r="S286" s="11"/>
      <c r="T286" s="247"/>
      <c r="U286" s="247"/>
      <c r="V286" s="247"/>
      <c r="W286" s="17"/>
      <c r="X286" s="11"/>
      <c r="Y286" s="11"/>
      <c r="Z286" s="247"/>
      <c r="AA286" s="247"/>
      <c r="AB286" s="247"/>
      <c r="AC286" s="44"/>
      <c r="AD286" s="22"/>
      <c r="AE286" s="17"/>
      <c r="AF286" s="247"/>
      <c r="AG286" s="247"/>
      <c r="AH286" s="151"/>
      <c r="AI286" s="4"/>
      <c r="AJ286" s="17"/>
      <c r="AK286" s="17"/>
      <c r="AL286" s="102"/>
      <c r="AM286" s="132"/>
      <c r="AN286" s="161"/>
      <c r="AO286" s="115"/>
      <c r="AP286" s="115"/>
      <c r="AQ286" s="17"/>
      <c r="AR286" s="247"/>
      <c r="AS286" s="247"/>
      <c r="AT286" s="247"/>
      <c r="AU286" s="17"/>
      <c r="AV286" s="17"/>
      <c r="AW286" s="17"/>
      <c r="AX286" s="247"/>
      <c r="AY286" s="247"/>
      <c r="AZ286" s="247"/>
      <c r="BA286" s="17"/>
      <c r="BB286" s="52"/>
      <c r="BC286" s="17"/>
      <c r="BD286" s="247"/>
      <c r="BE286" s="247"/>
      <c r="BF286" s="247"/>
      <c r="BG286" s="17"/>
      <c r="BH286" s="17"/>
      <c r="BI286" s="17"/>
      <c r="BJ286" s="247">
        <v>57500</v>
      </c>
      <c r="BK286" s="247">
        <f>+BJ286*0</f>
        <v>0</v>
      </c>
      <c r="BL286" s="247">
        <f>+BJ286+BK286</f>
        <v>57500</v>
      </c>
      <c r="BM286" s="190" t="s">
        <v>337</v>
      </c>
      <c r="BN286" s="190" t="s">
        <v>27</v>
      </c>
      <c r="BO286" s="17"/>
      <c r="BP286" s="247">
        <v>33500</v>
      </c>
      <c r="BQ286" s="247">
        <f t="shared" si="90"/>
        <v>6365</v>
      </c>
      <c r="BR286" s="247">
        <f t="shared" si="91"/>
        <v>39865</v>
      </c>
      <c r="BS286" s="17"/>
      <c r="BT286" s="17"/>
      <c r="BU286" s="17"/>
      <c r="BV286" s="195">
        <v>63429.974999999999</v>
      </c>
      <c r="BW286" s="198">
        <f>+BV286*0</f>
        <v>0</v>
      </c>
      <c r="BX286" s="246">
        <f>+BV286+BW286</f>
        <v>63429.974999999999</v>
      </c>
      <c r="BY286" s="190" t="s">
        <v>337</v>
      </c>
      <c r="BZ286" s="190" t="s">
        <v>27</v>
      </c>
      <c r="CA286" s="190"/>
      <c r="CB286" s="247"/>
      <c r="CC286" s="247"/>
      <c r="CD286" s="247"/>
      <c r="CE286" s="17"/>
      <c r="CF286" s="17"/>
      <c r="CG286" s="17"/>
      <c r="CH286" s="247"/>
      <c r="CI286" s="247"/>
      <c r="CJ286" s="247"/>
      <c r="CK286" s="17"/>
      <c r="CL286" s="17"/>
      <c r="CM286" s="17"/>
      <c r="CN286" s="17"/>
      <c r="CO286" s="17"/>
      <c r="CP286" s="11"/>
      <c r="CQ286" s="11"/>
      <c r="CR286" s="11"/>
      <c r="CS286" s="11"/>
      <c r="CT286" s="247"/>
      <c r="CU286" s="247"/>
      <c r="CV286" s="247"/>
      <c r="CW286" s="11"/>
      <c r="CX286" s="11"/>
      <c r="CY286" s="11"/>
      <c r="CZ286" s="11"/>
      <c r="DA286" s="11"/>
      <c r="DB286" s="11"/>
      <c r="DC286" s="11"/>
      <c r="DD286" s="11"/>
      <c r="DE286" s="11"/>
      <c r="DF286" s="11"/>
      <c r="DG286" s="11"/>
      <c r="DH286" s="11"/>
      <c r="DI286" s="11"/>
      <c r="DJ286" s="11"/>
      <c r="DK286" s="11"/>
      <c r="DL286" s="247"/>
      <c r="DM286" s="247"/>
      <c r="DN286" s="247"/>
      <c r="DO286" s="247"/>
      <c r="DP286" s="247"/>
      <c r="DQ286" s="247"/>
      <c r="DR286" s="247"/>
      <c r="DS286" s="247"/>
      <c r="DT286" s="247"/>
      <c r="DU286" s="247"/>
      <c r="DV286" s="247"/>
      <c r="DW286" s="247"/>
      <c r="DX286" s="247"/>
      <c r="DY286" s="247"/>
      <c r="DZ286" s="247"/>
      <c r="EA286" s="247"/>
      <c r="EB286" s="247"/>
      <c r="EC286" s="247"/>
      <c r="ED286" s="17">
        <f t="shared" si="82"/>
        <v>251039.02166666667</v>
      </c>
      <c r="EE286" s="29">
        <f t="shared" si="83"/>
        <v>5</v>
      </c>
      <c r="EF286" s="17">
        <f t="shared" si="81"/>
        <v>50207.804333333333</v>
      </c>
    </row>
    <row r="287" spans="1:136" x14ac:dyDescent="0.25">
      <c r="A287" s="25">
        <f>Distribución_Elementos!A287</f>
        <v>285</v>
      </c>
      <c r="B287" s="22" t="str">
        <f>Distribución_Elementos!B287</f>
        <v xml:space="preserve">Jeringa desechable de 2 ml sin aguja </v>
      </c>
      <c r="C287" s="22" t="str">
        <f>Distribución_Elementos!C287</f>
        <v>BD, Vacutest o equivalente</v>
      </c>
      <c r="D287" s="22" t="str">
        <f>Distribución_Elementos!D287</f>
        <v>Caja x 100</v>
      </c>
      <c r="E287" s="224">
        <v>1</v>
      </c>
      <c r="F287" s="221">
        <v>39270</v>
      </c>
      <c r="G287" s="221">
        <v>29750</v>
      </c>
      <c r="H287" s="221">
        <v>30486.808333333334</v>
      </c>
      <c r="I287" s="221">
        <v>0</v>
      </c>
      <c r="J287" s="221">
        <v>28881.300000000003</v>
      </c>
      <c r="K287" s="221">
        <v>0</v>
      </c>
      <c r="L287" s="247">
        <f t="shared" si="87"/>
        <v>32879.369444444448</v>
      </c>
      <c r="M287" s="247">
        <f>G287*E1</f>
        <v>30642.5</v>
      </c>
      <c r="N287" s="227">
        <v>35000</v>
      </c>
      <c r="O287" s="119">
        <f t="shared" si="88"/>
        <v>6650</v>
      </c>
      <c r="P287" s="119">
        <f t="shared" si="89"/>
        <v>41650</v>
      </c>
      <c r="Q287" s="115"/>
      <c r="R287" s="115"/>
      <c r="S287" s="11"/>
      <c r="T287" s="247"/>
      <c r="U287" s="247"/>
      <c r="V287" s="247"/>
      <c r="W287" s="17"/>
      <c r="X287" s="11"/>
      <c r="Y287" s="11"/>
      <c r="Z287" s="247"/>
      <c r="AA287" s="247"/>
      <c r="AB287" s="247"/>
      <c r="AC287" s="44"/>
      <c r="AD287" s="22"/>
      <c r="AE287" s="17"/>
      <c r="AF287" s="247"/>
      <c r="AG287" s="247"/>
      <c r="AH287" s="151"/>
      <c r="AI287" s="4"/>
      <c r="AJ287" s="17"/>
      <c r="AK287" s="17"/>
      <c r="AL287" s="102"/>
      <c r="AM287" s="132"/>
      <c r="AN287" s="161"/>
      <c r="AO287" s="115"/>
      <c r="AP287" s="115"/>
      <c r="AQ287" s="17"/>
      <c r="AR287" s="247"/>
      <c r="AS287" s="247"/>
      <c r="AT287" s="247"/>
      <c r="AU287" s="17"/>
      <c r="AV287" s="17"/>
      <c r="AW287" s="17"/>
      <c r="AX287" s="247"/>
      <c r="AY287" s="247"/>
      <c r="AZ287" s="247"/>
      <c r="BA287" s="17"/>
      <c r="BB287" s="52"/>
      <c r="BC287" s="17"/>
      <c r="BD287" s="247"/>
      <c r="BE287" s="247"/>
      <c r="BF287" s="247"/>
      <c r="BG287" s="17"/>
      <c r="BH287" s="17"/>
      <c r="BI287" s="17"/>
      <c r="BJ287" s="247"/>
      <c r="BK287" s="247"/>
      <c r="BL287" s="247"/>
      <c r="BM287" s="190"/>
      <c r="BN287" s="190"/>
      <c r="BO287" s="17"/>
      <c r="BP287" s="247">
        <v>28500</v>
      </c>
      <c r="BQ287" s="247">
        <f t="shared" si="90"/>
        <v>5415</v>
      </c>
      <c r="BR287" s="247">
        <f t="shared" si="91"/>
        <v>33915</v>
      </c>
      <c r="BS287" s="17"/>
      <c r="BT287" s="17"/>
      <c r="BU287" s="17"/>
      <c r="BV287" s="189"/>
      <c r="BW287" s="197"/>
      <c r="BX287" s="246"/>
      <c r="BY287" s="190"/>
      <c r="BZ287" s="190"/>
      <c r="CA287" s="190"/>
      <c r="CB287" s="252"/>
      <c r="CC287" s="247"/>
      <c r="CD287" s="247"/>
      <c r="CE287" s="17"/>
      <c r="CF287" s="17"/>
      <c r="CG287" s="17"/>
      <c r="CH287" s="247"/>
      <c r="CI287" s="247"/>
      <c r="CJ287" s="247"/>
      <c r="CK287" s="17"/>
      <c r="CL287" s="17"/>
      <c r="CM287" s="17"/>
      <c r="CN287" s="17"/>
      <c r="CO287" s="17"/>
      <c r="CP287" s="11"/>
      <c r="CQ287" s="11"/>
      <c r="CR287" s="11"/>
      <c r="CS287" s="11"/>
      <c r="CT287" s="247"/>
      <c r="CU287" s="247"/>
      <c r="CV287" s="247"/>
      <c r="CW287" s="11"/>
      <c r="CX287" s="11"/>
      <c r="CY287" s="11"/>
      <c r="CZ287" s="11"/>
      <c r="DA287" s="11"/>
      <c r="DB287" s="11"/>
      <c r="DC287" s="11"/>
      <c r="DD287" s="11"/>
      <c r="DE287" s="11"/>
      <c r="DF287" s="11"/>
      <c r="DG287" s="11"/>
      <c r="DH287" s="11"/>
      <c r="DI287" s="11"/>
      <c r="DJ287" s="11"/>
      <c r="DK287" s="11"/>
      <c r="DL287" s="247"/>
      <c r="DM287" s="247"/>
      <c r="DN287" s="247"/>
      <c r="DO287" s="247"/>
      <c r="DP287" s="247"/>
      <c r="DQ287" s="247"/>
      <c r="DR287" s="247"/>
      <c r="DS287" s="247"/>
      <c r="DT287" s="247"/>
      <c r="DU287" s="247"/>
      <c r="DV287" s="247"/>
      <c r="DW287" s="247"/>
      <c r="DX287" s="247"/>
      <c r="DY287" s="247"/>
      <c r="DZ287" s="247"/>
      <c r="EA287" s="247"/>
      <c r="EB287" s="247"/>
      <c r="EC287" s="247"/>
      <c r="ED287" s="17">
        <f t="shared" si="82"/>
        <v>106207.5</v>
      </c>
      <c r="EE287" s="29">
        <f t="shared" si="83"/>
        <v>3</v>
      </c>
      <c r="EF287" s="17">
        <f t="shared" si="81"/>
        <v>35402.5</v>
      </c>
    </row>
    <row r="288" spans="1:136" ht="25.5" x14ac:dyDescent="0.25">
      <c r="A288" s="25">
        <f>Distribución_Elementos!A288</f>
        <v>286</v>
      </c>
      <c r="B288" s="22" t="str">
        <f>Distribución_Elementos!B288</f>
        <v>Jeringa desechable de 3 ml desechable con aguja 21G x 1½ tribicelada</v>
      </c>
      <c r="C288" s="22" t="str">
        <f>Distribución_Elementos!C288</f>
        <v>BD, Vacutest o equivalente</v>
      </c>
      <c r="D288" s="22" t="str">
        <f>Distribución_Elementos!D288</f>
        <v>Caja x 100</v>
      </c>
      <c r="E288" s="224">
        <v>1</v>
      </c>
      <c r="F288" s="221">
        <v>50808.24</v>
      </c>
      <c r="G288" s="221">
        <v>48671</v>
      </c>
      <c r="H288" s="221">
        <v>47319.843059999999</v>
      </c>
      <c r="I288" s="221">
        <v>0</v>
      </c>
      <c r="J288" s="221">
        <v>76612.861111111109</v>
      </c>
      <c r="K288" s="221">
        <v>47481</v>
      </c>
      <c r="L288" s="247">
        <f t="shared" si="87"/>
        <v>58246.981390370369</v>
      </c>
      <c r="M288" s="247">
        <f>AVERAGE(G288,K288)*E1</f>
        <v>49518.28</v>
      </c>
      <c r="N288" s="228">
        <v>45000</v>
      </c>
      <c r="O288" s="119">
        <f t="shared" si="88"/>
        <v>8550</v>
      </c>
      <c r="P288" s="119">
        <f t="shared" si="89"/>
        <v>53550</v>
      </c>
      <c r="Q288" s="115"/>
      <c r="R288" s="115"/>
      <c r="S288" s="11"/>
      <c r="T288" s="247"/>
      <c r="U288" s="247"/>
      <c r="V288" s="247"/>
      <c r="W288" s="17"/>
      <c r="X288" s="11"/>
      <c r="Y288" s="11"/>
      <c r="Z288" s="247"/>
      <c r="AA288" s="247"/>
      <c r="AB288" s="247"/>
      <c r="AC288" s="44"/>
      <c r="AD288" s="22"/>
      <c r="AE288" s="17"/>
      <c r="AF288" s="247"/>
      <c r="AG288" s="247"/>
      <c r="AH288" s="151"/>
      <c r="AI288" s="22"/>
      <c r="AJ288" s="17"/>
      <c r="AK288" s="17"/>
      <c r="AL288" s="102"/>
      <c r="AM288" s="132"/>
      <c r="AN288" s="161"/>
      <c r="AO288" s="115"/>
      <c r="AP288" s="115"/>
      <c r="AQ288" s="17"/>
      <c r="AR288" s="247"/>
      <c r="AS288" s="247"/>
      <c r="AT288" s="247"/>
      <c r="AU288" s="17"/>
      <c r="AV288" s="17"/>
      <c r="AW288" s="17"/>
      <c r="AX288" s="252"/>
      <c r="AY288" s="247"/>
      <c r="AZ288" s="247"/>
      <c r="BA288" s="17"/>
      <c r="BB288" s="52"/>
      <c r="BC288" s="17"/>
      <c r="BD288" s="247"/>
      <c r="BE288" s="247"/>
      <c r="BF288" s="247"/>
      <c r="BG288" s="17"/>
      <c r="BH288" s="17"/>
      <c r="BI288" s="17"/>
      <c r="BJ288" s="247">
        <v>41600</v>
      </c>
      <c r="BK288" s="247">
        <f>+BJ288*0</f>
        <v>0</v>
      </c>
      <c r="BL288" s="247">
        <f>+BJ288+BK288</f>
        <v>41600</v>
      </c>
      <c r="BM288" s="190" t="s">
        <v>337</v>
      </c>
      <c r="BN288" s="190" t="s">
        <v>1633</v>
      </c>
      <c r="BO288" s="17"/>
      <c r="BP288" s="247">
        <v>24000</v>
      </c>
      <c r="BQ288" s="247">
        <f t="shared" si="90"/>
        <v>4560</v>
      </c>
      <c r="BR288" s="247">
        <f t="shared" si="91"/>
        <v>28560</v>
      </c>
      <c r="BS288" s="17"/>
      <c r="BT288" s="17"/>
      <c r="BU288" s="17"/>
      <c r="BV288" s="189">
        <v>47654.547200000001</v>
      </c>
      <c r="BW288" s="198">
        <f>+BV288*0</f>
        <v>0</v>
      </c>
      <c r="BX288" s="246">
        <f>+BV288+BW288</f>
        <v>47654.547200000001</v>
      </c>
      <c r="BY288" s="190" t="s">
        <v>337</v>
      </c>
      <c r="BZ288" s="190" t="s">
        <v>1633</v>
      </c>
      <c r="CA288" s="190"/>
      <c r="CB288" s="247"/>
      <c r="CC288" s="247"/>
      <c r="CD288" s="247"/>
      <c r="CE288" s="17"/>
      <c r="CF288" s="17"/>
      <c r="CG288" s="17"/>
      <c r="CH288" s="252"/>
      <c r="CI288" s="252"/>
      <c r="CJ288" s="252"/>
      <c r="CK288" s="17"/>
      <c r="CL288" s="17"/>
      <c r="CM288" s="17"/>
      <c r="CN288" s="17"/>
      <c r="CO288" s="17"/>
      <c r="CP288" s="11"/>
      <c r="CQ288" s="11"/>
      <c r="CR288" s="11"/>
      <c r="CS288" s="11"/>
      <c r="CT288" s="247"/>
      <c r="CU288" s="247"/>
      <c r="CV288" s="247"/>
      <c r="CW288" s="11"/>
      <c r="CX288" s="11"/>
      <c r="CY288" s="11"/>
      <c r="CZ288" s="11"/>
      <c r="DA288" s="11"/>
      <c r="DB288" s="11"/>
      <c r="DC288" s="11"/>
      <c r="DD288" s="11"/>
      <c r="DE288" s="11"/>
      <c r="DF288" s="11"/>
      <c r="DG288" s="11"/>
      <c r="DH288" s="11"/>
      <c r="DI288" s="11"/>
      <c r="DJ288" s="11"/>
      <c r="DK288" s="11"/>
      <c r="DL288" s="247"/>
      <c r="DM288" s="247"/>
      <c r="DN288" s="247"/>
      <c r="DO288" s="247"/>
      <c r="DP288" s="247"/>
      <c r="DQ288" s="247"/>
      <c r="DR288" s="247"/>
      <c r="DS288" s="247"/>
      <c r="DT288" s="247"/>
      <c r="DU288" s="247"/>
      <c r="DV288" s="247"/>
      <c r="DW288" s="247"/>
      <c r="DX288" s="247"/>
      <c r="DY288" s="247"/>
      <c r="DZ288" s="247"/>
      <c r="EA288" s="247"/>
      <c r="EB288" s="247"/>
      <c r="EC288" s="247"/>
      <c r="ED288" s="17">
        <f t="shared" si="82"/>
        <v>220882.8272</v>
      </c>
      <c r="EE288" s="29">
        <f t="shared" si="83"/>
        <v>5</v>
      </c>
      <c r="EF288" s="17">
        <f t="shared" si="81"/>
        <v>44176.565439999998</v>
      </c>
    </row>
    <row r="289" spans="1:136" ht="38.25" x14ac:dyDescent="0.25">
      <c r="A289" s="25">
        <f>Distribución_Elementos!A289</f>
        <v>287</v>
      </c>
      <c r="B289" s="22" t="str">
        <f>Distribución_Elementos!B289</f>
        <v>Jeringa desechable de 5 ml con aguja de 21 G x 1½" tribicelada. Estéril. Dos partes. Libre de pirógenos. Con empate Luer Slip</v>
      </c>
      <c r="C289" s="22" t="str">
        <f>Distribución_Elementos!C289</f>
        <v>BD, Vacutest o equivalente</v>
      </c>
      <c r="D289" s="22" t="str">
        <f>Distribución_Elementos!D289</f>
        <v xml:space="preserve">Caja x 100 </v>
      </c>
      <c r="E289" s="224">
        <v>1</v>
      </c>
      <c r="F289" s="221">
        <v>50708.28</v>
      </c>
      <c r="G289" s="221">
        <v>48671</v>
      </c>
      <c r="H289" s="221">
        <v>42493.485883333335</v>
      </c>
      <c r="I289" s="221">
        <v>42364</v>
      </c>
      <c r="J289" s="221">
        <v>68601.516666666663</v>
      </c>
      <c r="K289" s="221">
        <v>29750</v>
      </c>
      <c r="L289" s="247">
        <f t="shared" si="87"/>
        <v>53934.42751666667</v>
      </c>
      <c r="M289" s="247">
        <f>AVERAGE(G289,I289,K289)*E1</f>
        <v>41469.516666666663</v>
      </c>
      <c r="N289" s="227">
        <v>4000</v>
      </c>
      <c r="O289" s="119">
        <f t="shared" si="88"/>
        <v>760</v>
      </c>
      <c r="P289" s="119">
        <f t="shared" si="89"/>
        <v>4760</v>
      </c>
      <c r="Q289" s="115"/>
      <c r="R289" s="115"/>
      <c r="S289" s="11"/>
      <c r="T289" s="247"/>
      <c r="U289" s="247"/>
      <c r="V289" s="247"/>
      <c r="W289" s="17"/>
      <c r="X289" s="11"/>
      <c r="Y289" s="11"/>
      <c r="Z289" s="247"/>
      <c r="AA289" s="247"/>
      <c r="AB289" s="247"/>
      <c r="AC289" s="44"/>
      <c r="AD289" s="22"/>
      <c r="AE289" s="17"/>
      <c r="AF289" s="247"/>
      <c r="AG289" s="247"/>
      <c r="AH289" s="151"/>
      <c r="AI289" s="4"/>
      <c r="AJ289" s="17"/>
      <c r="AK289" s="17"/>
      <c r="AL289" s="102"/>
      <c r="AM289" s="132"/>
      <c r="AN289" s="161"/>
      <c r="AO289" s="115"/>
      <c r="AP289" s="115"/>
      <c r="AQ289" s="17"/>
      <c r="AR289" s="247"/>
      <c r="AS289" s="247"/>
      <c r="AT289" s="247"/>
      <c r="AU289" s="17"/>
      <c r="AV289" s="17"/>
      <c r="AW289" s="17"/>
      <c r="AX289" s="247"/>
      <c r="AY289" s="247"/>
      <c r="AZ289" s="247"/>
      <c r="BA289" s="17"/>
      <c r="BB289" s="52"/>
      <c r="BC289" s="17"/>
      <c r="BD289" s="247"/>
      <c r="BE289" s="247"/>
      <c r="BF289" s="247"/>
      <c r="BG289" s="17"/>
      <c r="BH289" s="17"/>
      <c r="BI289" s="17"/>
      <c r="BJ289" s="247">
        <v>63600</v>
      </c>
      <c r="BK289" s="247">
        <f>+BJ289*0</f>
        <v>0</v>
      </c>
      <c r="BL289" s="247">
        <f>+BJ289+BK289</f>
        <v>63600</v>
      </c>
      <c r="BM289" s="190" t="s">
        <v>337</v>
      </c>
      <c r="BN289" s="190" t="s">
        <v>27</v>
      </c>
      <c r="BO289" s="17"/>
      <c r="BP289" s="247">
        <v>42500</v>
      </c>
      <c r="BQ289" s="247">
        <f t="shared" si="90"/>
        <v>8075</v>
      </c>
      <c r="BR289" s="247">
        <f t="shared" si="91"/>
        <v>50575</v>
      </c>
      <c r="BS289" s="17"/>
      <c r="BT289" s="17"/>
      <c r="BU289" s="17"/>
      <c r="BV289" s="195">
        <v>70827.24960000001</v>
      </c>
      <c r="BW289" s="198">
        <f>+BV289*0</f>
        <v>0</v>
      </c>
      <c r="BX289" s="246">
        <f>+BV289+BW289</f>
        <v>70827.24960000001</v>
      </c>
      <c r="BY289" s="190" t="s">
        <v>337</v>
      </c>
      <c r="BZ289" s="190" t="s">
        <v>27</v>
      </c>
      <c r="CA289" s="190"/>
      <c r="CB289" s="247"/>
      <c r="CC289" s="247"/>
      <c r="CD289" s="247"/>
      <c r="CE289" s="17"/>
      <c r="CF289" s="17"/>
      <c r="CG289" s="17"/>
      <c r="CH289" s="247"/>
      <c r="CI289" s="247"/>
      <c r="CJ289" s="247"/>
      <c r="CK289" s="17"/>
      <c r="CL289" s="17"/>
      <c r="CM289" s="17"/>
      <c r="CN289" s="17"/>
      <c r="CO289" s="17"/>
      <c r="CP289" s="11"/>
      <c r="CQ289" s="11"/>
      <c r="CR289" s="11"/>
      <c r="CS289" s="11"/>
      <c r="CT289" s="247"/>
      <c r="CU289" s="247"/>
      <c r="CV289" s="247"/>
      <c r="CW289" s="11"/>
      <c r="CX289" s="11"/>
      <c r="CY289" s="11"/>
      <c r="CZ289" s="11"/>
      <c r="DA289" s="11"/>
      <c r="DB289" s="11"/>
      <c r="DC289" s="11"/>
      <c r="DD289" s="11"/>
      <c r="DE289" s="11"/>
      <c r="DF289" s="11"/>
      <c r="DG289" s="11"/>
      <c r="DH289" s="11"/>
      <c r="DI289" s="11"/>
      <c r="DJ289" s="11"/>
      <c r="DK289" s="11"/>
      <c r="DL289" s="247"/>
      <c r="DM289" s="247"/>
      <c r="DN289" s="247"/>
      <c r="DO289" s="247"/>
      <c r="DP289" s="247"/>
      <c r="DQ289" s="247"/>
      <c r="DR289" s="247"/>
      <c r="DS289" s="247"/>
      <c r="DT289" s="247"/>
      <c r="DU289" s="247"/>
      <c r="DV289" s="247"/>
      <c r="DW289" s="247"/>
      <c r="DX289" s="247"/>
      <c r="DY289" s="247"/>
      <c r="DZ289" s="247"/>
      <c r="EA289" s="247"/>
      <c r="EB289" s="247"/>
      <c r="EC289" s="247"/>
      <c r="ED289" s="17">
        <f t="shared" si="82"/>
        <v>231231.76626666667</v>
      </c>
      <c r="EE289" s="29">
        <f t="shared" si="83"/>
        <v>5</v>
      </c>
      <c r="EF289" s="17">
        <f t="shared" si="81"/>
        <v>46246.353253333335</v>
      </c>
    </row>
    <row r="290" spans="1:136" x14ac:dyDescent="0.25">
      <c r="A290" s="25">
        <f>Distribución_Elementos!A290</f>
        <v>288</v>
      </c>
      <c r="B290" s="22" t="str">
        <f>Distribución_Elementos!B290</f>
        <v>Jeringas desechable de 20 ml (Sin aguja)</v>
      </c>
      <c r="C290" s="22" t="str">
        <f>Distribución_Elementos!C290</f>
        <v>BD, Vacutest o equivalente</v>
      </c>
      <c r="D290" s="22" t="str">
        <f>Distribución_Elementos!D290</f>
        <v>Caja x 80</v>
      </c>
      <c r="E290" s="224">
        <v>1</v>
      </c>
      <c r="F290" s="221">
        <v>0</v>
      </c>
      <c r="G290" s="221">
        <v>0</v>
      </c>
      <c r="H290" s="221">
        <v>46687.666666666664</v>
      </c>
      <c r="I290" s="221">
        <v>0</v>
      </c>
      <c r="J290" s="221">
        <v>77915.25</v>
      </c>
      <c r="K290" s="221">
        <v>71995</v>
      </c>
      <c r="L290" s="247">
        <f>AVERAGE(H290,J290)</f>
        <v>62301.458333333328</v>
      </c>
      <c r="M290" s="247">
        <f>K290*E1</f>
        <v>74154.850000000006</v>
      </c>
      <c r="N290" s="227">
        <v>50000</v>
      </c>
      <c r="O290" s="119">
        <f t="shared" si="88"/>
        <v>9500</v>
      </c>
      <c r="P290" s="119">
        <f t="shared" si="89"/>
        <v>59500</v>
      </c>
      <c r="Q290" s="115"/>
      <c r="R290" s="115"/>
      <c r="S290" s="11"/>
      <c r="T290" s="247"/>
      <c r="U290" s="247"/>
      <c r="V290" s="247"/>
      <c r="W290" s="17"/>
      <c r="X290" s="11"/>
      <c r="Y290" s="11"/>
      <c r="Z290" s="247"/>
      <c r="AA290" s="247"/>
      <c r="AB290" s="247"/>
      <c r="AC290" s="44"/>
      <c r="AD290" s="22"/>
      <c r="AE290" s="17"/>
      <c r="AF290" s="247"/>
      <c r="AG290" s="247"/>
      <c r="AH290" s="151"/>
      <c r="AI290" s="22"/>
      <c r="AJ290" s="17"/>
      <c r="AK290" s="17"/>
      <c r="AL290" s="102"/>
      <c r="AM290" s="166"/>
      <c r="AN290" s="161"/>
      <c r="AO290" s="164"/>
      <c r="AP290" s="115"/>
      <c r="AQ290" s="17"/>
      <c r="AR290" s="247"/>
      <c r="AS290" s="247"/>
      <c r="AT290" s="247"/>
      <c r="AU290" s="17"/>
      <c r="AV290" s="17"/>
      <c r="AW290" s="17"/>
      <c r="AX290" s="247"/>
      <c r="AY290" s="247"/>
      <c r="AZ290" s="247"/>
      <c r="BA290" s="17"/>
      <c r="BB290" s="52"/>
      <c r="BC290" s="17"/>
      <c r="BD290" s="247"/>
      <c r="BE290" s="247"/>
      <c r="BF290" s="247"/>
      <c r="BG290" s="17"/>
      <c r="BH290" s="17"/>
      <c r="BI290" s="17"/>
      <c r="BJ290" s="247">
        <v>82200</v>
      </c>
      <c r="BK290" s="247">
        <f>+BJ290*0</f>
        <v>0</v>
      </c>
      <c r="BL290" s="247">
        <f>+BJ290+BK290</f>
        <v>82200</v>
      </c>
      <c r="BM290" s="190" t="s">
        <v>1634</v>
      </c>
      <c r="BN290" s="190" t="s">
        <v>27</v>
      </c>
      <c r="BO290" s="17"/>
      <c r="BP290" s="247">
        <v>85200</v>
      </c>
      <c r="BQ290" s="247">
        <f t="shared" si="90"/>
        <v>16188</v>
      </c>
      <c r="BR290" s="247">
        <f t="shared" si="91"/>
        <v>101388</v>
      </c>
      <c r="BS290" s="17"/>
      <c r="BT290" s="17"/>
      <c r="BU290" s="17"/>
      <c r="BV290" s="195">
        <v>96900.237000000008</v>
      </c>
      <c r="BW290" s="198">
        <f>+BV290*0</f>
        <v>0</v>
      </c>
      <c r="BX290" s="246">
        <f>+BV290+BW290</f>
        <v>96900.237000000008</v>
      </c>
      <c r="BY290" s="190" t="s">
        <v>1634</v>
      </c>
      <c r="BZ290" s="190" t="s">
        <v>27</v>
      </c>
      <c r="CA290" s="190"/>
      <c r="CB290" s="247"/>
      <c r="CC290" s="247"/>
      <c r="CD290" s="247"/>
      <c r="CE290" s="17"/>
      <c r="CF290" s="17"/>
      <c r="CG290" s="17"/>
      <c r="CH290" s="247"/>
      <c r="CI290" s="247"/>
      <c r="CJ290" s="247"/>
      <c r="CK290" s="17"/>
      <c r="CL290" s="17"/>
      <c r="CM290" s="17"/>
      <c r="CN290" s="17"/>
      <c r="CO290" s="17"/>
      <c r="CP290" s="11"/>
      <c r="CQ290" s="11"/>
      <c r="CR290" s="11"/>
      <c r="CS290" s="11"/>
      <c r="CT290" s="247"/>
      <c r="CU290" s="247"/>
      <c r="CV290" s="247"/>
      <c r="CW290" s="11"/>
      <c r="CX290" s="11"/>
      <c r="CY290" s="11"/>
      <c r="CZ290" s="11"/>
      <c r="DA290" s="11"/>
      <c r="DB290" s="11"/>
      <c r="DC290" s="11"/>
      <c r="DD290" s="11"/>
      <c r="DE290" s="11"/>
      <c r="DF290" s="11"/>
      <c r="DG290" s="11"/>
      <c r="DH290" s="11"/>
      <c r="DI290" s="11"/>
      <c r="DJ290" s="11"/>
      <c r="DK290" s="11"/>
      <c r="DL290" s="247"/>
      <c r="DM290" s="247"/>
      <c r="DN290" s="247"/>
      <c r="DO290" s="247"/>
      <c r="DP290" s="247"/>
      <c r="DQ290" s="247"/>
      <c r="DR290" s="247"/>
      <c r="DS290" s="247"/>
      <c r="DT290" s="247"/>
      <c r="DU290" s="247"/>
      <c r="DV290" s="247"/>
      <c r="DW290" s="247"/>
      <c r="DX290" s="247"/>
      <c r="DY290" s="247"/>
      <c r="DZ290" s="247"/>
      <c r="EA290" s="247"/>
      <c r="EB290" s="247"/>
      <c r="EC290" s="247"/>
      <c r="ED290" s="17">
        <f t="shared" si="82"/>
        <v>414143.087</v>
      </c>
      <c r="EE290" s="29">
        <f t="shared" si="83"/>
        <v>5</v>
      </c>
      <c r="EF290" s="17">
        <f t="shared" si="81"/>
        <v>82828.617400000003</v>
      </c>
    </row>
    <row r="291" spans="1:136" ht="25.5" x14ac:dyDescent="0.25">
      <c r="A291" s="25">
        <f>Distribución_Elementos!A291</f>
        <v>289</v>
      </c>
      <c r="B291" s="22" t="str">
        <f>Distribución_Elementos!B291</f>
        <v xml:space="preserve">Juego de bateria acero inoxidable para coloración de hematoxilina </v>
      </c>
      <c r="C291" s="22" t="str">
        <f>Distribución_Elementos!C291</f>
        <v>Cualquier marca</v>
      </c>
      <c r="D291" s="22" t="str">
        <f>Distribución_Elementos!D291</f>
        <v>Juego x 16 cajas</v>
      </c>
      <c r="E291" s="224">
        <v>1</v>
      </c>
      <c r="F291" s="221">
        <v>0</v>
      </c>
      <c r="G291" s="221">
        <v>0</v>
      </c>
      <c r="H291" s="221">
        <v>0</v>
      </c>
      <c r="I291" s="221">
        <v>0</v>
      </c>
      <c r="J291" s="221">
        <v>0</v>
      </c>
      <c r="K291" s="221">
        <v>0</v>
      </c>
      <c r="L291" s="247"/>
      <c r="M291" s="247"/>
      <c r="N291" s="227"/>
      <c r="O291" s="119"/>
      <c r="P291" s="119"/>
      <c r="Q291" s="115"/>
      <c r="R291" s="115"/>
      <c r="S291" s="11"/>
      <c r="T291" s="247"/>
      <c r="U291" s="247"/>
      <c r="V291" s="247"/>
      <c r="W291" s="17"/>
      <c r="X291" s="11"/>
      <c r="Y291" s="11"/>
      <c r="Z291" s="247"/>
      <c r="AA291" s="247"/>
      <c r="AB291" s="247"/>
      <c r="AC291" s="44"/>
      <c r="AD291" s="22"/>
      <c r="AE291" s="17"/>
      <c r="AF291" s="247"/>
      <c r="AG291" s="247"/>
      <c r="AH291" s="151"/>
      <c r="AI291" s="22"/>
      <c r="AJ291" s="17"/>
      <c r="AK291" s="17"/>
      <c r="AL291" s="102"/>
      <c r="AM291" s="132"/>
      <c r="AN291" s="161"/>
      <c r="AO291" s="115"/>
      <c r="AP291" s="115"/>
      <c r="AQ291" s="17"/>
      <c r="AR291" s="247"/>
      <c r="AS291" s="247"/>
      <c r="AT291" s="247"/>
      <c r="AU291" s="17"/>
      <c r="AV291" s="17"/>
      <c r="AW291" s="17"/>
      <c r="AX291" s="247"/>
      <c r="AY291" s="247"/>
      <c r="AZ291" s="247"/>
      <c r="BA291" s="17"/>
      <c r="BB291" s="52"/>
      <c r="BC291" s="17"/>
      <c r="BD291" s="247"/>
      <c r="BE291" s="247"/>
      <c r="BF291" s="247"/>
      <c r="BG291" s="17"/>
      <c r="BH291" s="17"/>
      <c r="BI291" s="17"/>
      <c r="BJ291" s="247"/>
      <c r="BK291" s="247"/>
      <c r="BL291" s="247"/>
      <c r="BM291" s="190"/>
      <c r="BN291" s="190"/>
      <c r="BO291" s="17"/>
      <c r="BP291" s="247">
        <v>1450000</v>
      </c>
      <c r="BQ291" s="247">
        <f t="shared" si="90"/>
        <v>275500</v>
      </c>
      <c r="BR291" s="247">
        <f t="shared" si="91"/>
        <v>1725500</v>
      </c>
      <c r="BS291" s="17"/>
      <c r="BT291" s="17"/>
      <c r="BU291" s="17"/>
      <c r="BV291" s="189"/>
      <c r="BW291" s="197"/>
      <c r="BX291" s="246"/>
      <c r="BY291" s="190"/>
      <c r="BZ291" s="190"/>
      <c r="CA291" s="190"/>
      <c r="CB291" s="247"/>
      <c r="CC291" s="247"/>
      <c r="CD291" s="247"/>
      <c r="CE291" s="17"/>
      <c r="CF291" s="17"/>
      <c r="CG291" s="17"/>
      <c r="CH291" s="247"/>
      <c r="CI291" s="247"/>
      <c r="CJ291" s="247"/>
      <c r="CK291" s="17"/>
      <c r="CL291" s="17"/>
      <c r="CM291" s="17"/>
      <c r="CN291" s="17"/>
      <c r="CO291" s="17"/>
      <c r="CP291" s="11"/>
      <c r="CQ291" s="11"/>
      <c r="CR291" s="11"/>
      <c r="CS291" s="11"/>
      <c r="CT291" s="247"/>
      <c r="CU291" s="247"/>
      <c r="CV291" s="247"/>
      <c r="CW291" s="11"/>
      <c r="CX291" s="11"/>
      <c r="CY291" s="11"/>
      <c r="CZ291" s="11"/>
      <c r="DA291" s="11"/>
      <c r="DB291" s="11"/>
      <c r="DC291" s="11"/>
      <c r="DD291" s="11"/>
      <c r="DE291" s="11"/>
      <c r="DF291" s="11"/>
      <c r="DG291" s="11"/>
      <c r="DH291" s="11"/>
      <c r="DI291" s="11"/>
      <c r="DJ291" s="11"/>
      <c r="DK291" s="11"/>
      <c r="DL291" s="247"/>
      <c r="DM291" s="247"/>
      <c r="DN291" s="247"/>
      <c r="DO291" s="247"/>
      <c r="DP291" s="247"/>
      <c r="DQ291" s="247"/>
      <c r="DR291" s="247"/>
      <c r="DS291" s="247"/>
      <c r="DT291" s="247"/>
      <c r="DU291" s="247"/>
      <c r="DV291" s="247"/>
      <c r="DW291" s="247"/>
      <c r="DX291" s="247"/>
      <c r="DY291" s="247"/>
      <c r="DZ291" s="247"/>
      <c r="EA291" s="247"/>
      <c r="EB291" s="247"/>
      <c r="EC291" s="247"/>
      <c r="ED291" s="17">
        <f t="shared" si="82"/>
        <v>1725500</v>
      </c>
      <c r="EE291" s="29">
        <f t="shared" si="83"/>
        <v>1</v>
      </c>
      <c r="EF291" s="17">
        <f t="shared" si="81"/>
        <v>1725500</v>
      </c>
    </row>
    <row r="292" spans="1:136" ht="38.25" x14ac:dyDescent="0.25">
      <c r="A292" s="25">
        <f>Distribución_Elementos!A292</f>
        <v>290</v>
      </c>
      <c r="B292" s="22" t="str">
        <f>Distribución_Elementos!B292</f>
        <v>Juego de pesas metrológicas en acero inoxidable antimagnéticas clase F1  Seis pesas de pesos: 2 10, 20, 50, 100  y 200 miligramos</v>
      </c>
      <c r="C292" s="22" t="str">
        <f>Distribución_Elementos!C292</f>
        <v>Cualquier marca</v>
      </c>
      <c r="D292" s="22" t="str">
        <f>Distribución_Elementos!D292</f>
        <v>Juego x 16 cajas</v>
      </c>
      <c r="E292" s="224">
        <v>1</v>
      </c>
      <c r="F292" s="221">
        <v>0</v>
      </c>
      <c r="G292" s="221">
        <v>0</v>
      </c>
      <c r="H292" s="221">
        <v>0</v>
      </c>
      <c r="I292" s="221">
        <v>0</v>
      </c>
      <c r="J292" s="221">
        <v>966280</v>
      </c>
      <c r="K292" s="221">
        <v>966280</v>
      </c>
      <c r="L292" s="247">
        <f>J292</f>
        <v>966280</v>
      </c>
      <c r="M292" s="247">
        <f>K292*E1</f>
        <v>995268.4</v>
      </c>
      <c r="N292" s="227"/>
      <c r="O292" s="119"/>
      <c r="P292" s="119"/>
      <c r="Q292" s="115"/>
      <c r="R292" s="115"/>
      <c r="S292" s="11"/>
      <c r="T292" s="247"/>
      <c r="U292" s="247"/>
      <c r="V292" s="247"/>
      <c r="W292" s="17"/>
      <c r="X292" s="11"/>
      <c r="Y292" s="11"/>
      <c r="Z292" s="247"/>
      <c r="AA292" s="247"/>
      <c r="AB292" s="247"/>
      <c r="AC292" s="44"/>
      <c r="AD292" s="22"/>
      <c r="AE292" s="17"/>
      <c r="AF292" s="247"/>
      <c r="AG292" s="247"/>
      <c r="AH292" s="151"/>
      <c r="AI292" s="22"/>
      <c r="AJ292" s="17"/>
      <c r="AK292" s="17"/>
      <c r="AL292" s="102"/>
      <c r="AM292" s="132"/>
      <c r="AN292" s="161"/>
      <c r="AO292" s="115"/>
      <c r="AP292" s="115"/>
      <c r="AQ292" s="17"/>
      <c r="AR292" s="247"/>
      <c r="AS292" s="247"/>
      <c r="AT292" s="247"/>
      <c r="AU292" s="17"/>
      <c r="AV292" s="17"/>
      <c r="AW292" s="17"/>
      <c r="AX292" s="247"/>
      <c r="AY292" s="247"/>
      <c r="AZ292" s="247"/>
      <c r="BA292" s="17"/>
      <c r="BB292" s="52"/>
      <c r="BC292" s="17"/>
      <c r="BD292" s="247"/>
      <c r="BE292" s="247"/>
      <c r="BF292" s="247"/>
      <c r="BG292" s="17"/>
      <c r="BH292" s="17"/>
      <c r="BI292" s="17"/>
      <c r="BJ292" s="247"/>
      <c r="BK292" s="247"/>
      <c r="BL292" s="247"/>
      <c r="BM292" s="190"/>
      <c r="BN292" s="190"/>
      <c r="BO292" s="17"/>
      <c r="BP292" s="247">
        <v>3850000</v>
      </c>
      <c r="BQ292" s="247">
        <f t="shared" si="90"/>
        <v>731500</v>
      </c>
      <c r="BR292" s="247">
        <f t="shared" si="91"/>
        <v>4581500</v>
      </c>
      <c r="BS292" s="17"/>
      <c r="BT292" s="17"/>
      <c r="BU292" s="17"/>
      <c r="BV292" s="189"/>
      <c r="BW292" s="197"/>
      <c r="BX292" s="246"/>
      <c r="BY292" s="190"/>
      <c r="BZ292" s="190"/>
      <c r="CA292" s="190"/>
      <c r="CB292" s="247"/>
      <c r="CC292" s="247"/>
      <c r="CD292" s="247"/>
      <c r="CE292" s="17"/>
      <c r="CF292" s="17"/>
      <c r="CG292" s="17"/>
      <c r="CH292" s="247"/>
      <c r="CI292" s="247"/>
      <c r="CJ292" s="247"/>
      <c r="CK292" s="17"/>
      <c r="CL292" s="17"/>
      <c r="CM292" s="17"/>
      <c r="CN292" s="17"/>
      <c r="CO292" s="17"/>
      <c r="CP292" s="11"/>
      <c r="CQ292" s="11"/>
      <c r="CR292" s="11"/>
      <c r="CS292" s="11"/>
      <c r="CT292" s="247"/>
      <c r="CU292" s="247"/>
      <c r="CV292" s="247"/>
      <c r="CW292" s="11"/>
      <c r="CX292" s="11"/>
      <c r="CY292" s="11"/>
      <c r="CZ292" s="11"/>
      <c r="DA292" s="11"/>
      <c r="DB292" s="11"/>
      <c r="DC292" s="11"/>
      <c r="DD292" s="11"/>
      <c r="DE292" s="11"/>
      <c r="DF292" s="11"/>
      <c r="DG292" s="11"/>
      <c r="DH292" s="11"/>
      <c r="DI292" s="11"/>
      <c r="DJ292" s="11"/>
      <c r="DK292" s="11"/>
      <c r="DL292" s="247"/>
      <c r="DM292" s="247"/>
      <c r="DN292" s="247"/>
      <c r="DO292" s="247"/>
      <c r="DP292" s="247"/>
      <c r="DQ292" s="247"/>
      <c r="DR292" s="247"/>
      <c r="DS292" s="247"/>
      <c r="DT292" s="247"/>
      <c r="DU292" s="247"/>
      <c r="DV292" s="247"/>
      <c r="DW292" s="247"/>
      <c r="DX292" s="247"/>
      <c r="DY292" s="247"/>
      <c r="DZ292" s="247"/>
      <c r="EA292" s="247"/>
      <c r="EB292" s="247"/>
      <c r="EC292" s="247"/>
      <c r="ED292" s="17">
        <f t="shared" si="82"/>
        <v>5576768.4000000004</v>
      </c>
      <c r="EE292" s="29">
        <f t="shared" si="83"/>
        <v>2</v>
      </c>
      <c r="EF292" s="17">
        <f t="shared" si="81"/>
        <v>2788384.2</v>
      </c>
    </row>
    <row r="293" spans="1:136" x14ac:dyDescent="0.25">
      <c r="A293" s="25">
        <f>Distribución_Elementos!A293</f>
        <v>291</v>
      </c>
      <c r="B293" s="22" t="str">
        <f>Distribución_Elementos!B293</f>
        <v>Juego de tamices (250 um, 106 um, 38 um</v>
      </c>
      <c r="C293" s="22" t="str">
        <f>Distribución_Elementos!C293</f>
        <v>Cualquier marca</v>
      </c>
      <c r="D293" s="22" t="str">
        <f>Distribución_Elementos!D293</f>
        <v>Paquete x 3</v>
      </c>
      <c r="E293" s="224">
        <v>1</v>
      </c>
      <c r="F293" s="221">
        <v>0</v>
      </c>
      <c r="G293" s="221">
        <v>0</v>
      </c>
      <c r="H293" s="221">
        <v>1428000</v>
      </c>
      <c r="I293" s="221">
        <v>0</v>
      </c>
      <c r="J293" s="221">
        <v>0</v>
      </c>
      <c r="K293" s="221">
        <v>0</v>
      </c>
      <c r="L293" s="247">
        <f>H293</f>
        <v>1428000</v>
      </c>
      <c r="M293" s="247"/>
      <c r="N293" s="227"/>
      <c r="O293" s="119"/>
      <c r="P293" s="119"/>
      <c r="Q293" s="115"/>
      <c r="R293" s="115"/>
      <c r="S293" s="11"/>
      <c r="T293" s="247"/>
      <c r="U293" s="247"/>
      <c r="V293" s="247"/>
      <c r="W293" s="17"/>
      <c r="X293" s="11"/>
      <c r="Y293" s="11"/>
      <c r="Z293" s="247"/>
      <c r="AA293" s="247"/>
      <c r="AB293" s="247"/>
      <c r="AC293" s="44"/>
      <c r="AD293" s="22"/>
      <c r="AE293" s="17"/>
      <c r="AF293" s="247"/>
      <c r="AG293" s="247"/>
      <c r="AH293" s="151"/>
      <c r="AI293" s="22"/>
      <c r="AJ293" s="17"/>
      <c r="AK293" s="17"/>
      <c r="AL293" s="102"/>
      <c r="AM293" s="132"/>
      <c r="AN293" s="161"/>
      <c r="AO293" s="115"/>
      <c r="AP293" s="115"/>
      <c r="AQ293" s="17"/>
      <c r="AR293" s="247">
        <v>750000</v>
      </c>
      <c r="AS293" s="247">
        <f t="shared" ref="AS293:AS298" si="92">+AR293*0.19</f>
        <v>142500</v>
      </c>
      <c r="AT293" s="247">
        <f t="shared" ref="AT293:AT298" si="93">+AR293+AS293</f>
        <v>892500</v>
      </c>
      <c r="AU293" s="17"/>
      <c r="AV293" s="17"/>
      <c r="AW293" s="17"/>
      <c r="AX293" s="247"/>
      <c r="AY293" s="247"/>
      <c r="AZ293" s="247"/>
      <c r="BA293" s="17"/>
      <c r="BB293" s="52"/>
      <c r="BC293" s="17"/>
      <c r="BD293" s="247"/>
      <c r="BE293" s="247"/>
      <c r="BF293" s="247"/>
      <c r="BG293" s="17"/>
      <c r="BH293" s="17"/>
      <c r="BI293" s="17"/>
      <c r="BJ293" s="247"/>
      <c r="BK293" s="247"/>
      <c r="BL293" s="247"/>
      <c r="BM293" s="190"/>
      <c r="BN293" s="190"/>
      <c r="BO293" s="17"/>
      <c r="BP293" s="247">
        <v>865000</v>
      </c>
      <c r="BQ293" s="247">
        <f>+BP293*19%</f>
        <v>164350</v>
      </c>
      <c r="BR293" s="247">
        <f>+BQ293+BP293</f>
        <v>1029350</v>
      </c>
      <c r="BS293" s="17"/>
      <c r="BT293" s="17"/>
      <c r="BU293" s="17"/>
      <c r="BV293" s="189"/>
      <c r="BW293" s="197"/>
      <c r="BX293" s="246"/>
      <c r="BY293" s="190"/>
      <c r="BZ293" s="190"/>
      <c r="CA293" s="190"/>
      <c r="CB293" s="247"/>
      <c r="CC293" s="247"/>
      <c r="CD293" s="247"/>
      <c r="CE293" s="17"/>
      <c r="CF293" s="17"/>
      <c r="CG293" s="17"/>
      <c r="CH293" s="247"/>
      <c r="CI293" s="247"/>
      <c r="CJ293" s="247"/>
      <c r="CK293" s="17"/>
      <c r="CL293" s="17"/>
      <c r="CM293" s="17"/>
      <c r="CN293" s="17"/>
      <c r="CO293" s="17"/>
      <c r="CP293" s="11"/>
      <c r="CQ293" s="11"/>
      <c r="CR293" s="11"/>
      <c r="CS293" s="11"/>
      <c r="CT293" s="247"/>
      <c r="CU293" s="247"/>
      <c r="CV293" s="247"/>
      <c r="CW293" s="11"/>
      <c r="CX293" s="11"/>
      <c r="CY293" s="11"/>
      <c r="CZ293" s="11"/>
      <c r="DA293" s="11"/>
      <c r="DB293" s="11"/>
      <c r="DC293" s="11"/>
      <c r="DD293" s="11"/>
      <c r="DE293" s="11"/>
      <c r="DF293" s="11"/>
      <c r="DG293" s="11"/>
      <c r="DH293" s="11"/>
      <c r="DI293" s="11"/>
      <c r="DJ293" s="11"/>
      <c r="DK293" s="11"/>
      <c r="DL293" s="247"/>
      <c r="DM293" s="247"/>
      <c r="DN293" s="247"/>
      <c r="DO293" s="247"/>
      <c r="DP293" s="247"/>
      <c r="DQ293" s="247"/>
      <c r="DR293" s="247"/>
      <c r="DS293" s="247"/>
      <c r="DT293" s="247"/>
      <c r="DU293" s="247"/>
      <c r="DV293" s="247"/>
      <c r="DW293" s="247"/>
      <c r="DX293" s="247"/>
      <c r="DY293" s="247"/>
      <c r="DZ293" s="247"/>
      <c r="EA293" s="247"/>
      <c r="EB293" s="247"/>
      <c r="EC293" s="247"/>
      <c r="ED293" s="17">
        <f t="shared" si="82"/>
        <v>1921850</v>
      </c>
      <c r="EE293" s="29">
        <f t="shared" si="83"/>
        <v>2</v>
      </c>
      <c r="EF293" s="17">
        <f t="shared" si="81"/>
        <v>960925</v>
      </c>
    </row>
    <row r="294" spans="1:136" ht="216.75" x14ac:dyDescent="0.25">
      <c r="A294" s="25">
        <f>Distribución_Elementos!A294</f>
        <v>292</v>
      </c>
      <c r="B294" s="22" t="str">
        <f>Distribución_Elementos!B294</f>
        <v>Kit de Emergencia - Equipo de emergencia vesiculares compuesto por: 4 narigueras automaticas para bovino;  2  manilas de 1/2" X 10 metros cada una;  2 aciales largos para cerdos en acero inoxidable tipo guaya de 30 cm, sin freno mango y sujetador antideslizante;  2 abrebocas para bovino; 4 cepillos de cerda dura;  2 pinzas con garra de 14,5 cm en acero inoxidable;  2 pinzas sin garra de 14,5 cm en acero inoxidable; 2 tijeras  de mayo una  recta punta roma y una recta  punta fina de 14 cm en acero inoxidable;  2 tijeras de mayo curva punta roma de 14 cm en acero inoxidable; 1 cepillo lavado instrumental de cerda dura plastica; 1 juego de copas probang de 3 tamaños diferentes en acero inoxidable; caja organizadora en plastico donde los anteriores elementos se puedan guardar con dimensiones mínimo de largo 60 cm, ancho 26 cm, alto 24 cm con bandeja siempre que cuente con espacio suficiente para almecenas los anteriores elementos.  Se requiere anexar muestras de copas probang.</v>
      </c>
      <c r="C294" s="22" t="str">
        <f>Distribución_Elementos!C294</f>
        <v>Cualquier marca</v>
      </c>
      <c r="D294" s="22" t="str">
        <f>Distribución_Elementos!D294</f>
        <v>Unidad</v>
      </c>
      <c r="E294" s="224">
        <v>1</v>
      </c>
      <c r="F294" s="221">
        <v>0</v>
      </c>
      <c r="G294" s="221">
        <v>0</v>
      </c>
      <c r="H294" s="221">
        <v>0</v>
      </c>
      <c r="I294" s="221">
        <v>0</v>
      </c>
      <c r="J294" s="221">
        <v>0</v>
      </c>
      <c r="K294" s="221">
        <v>0</v>
      </c>
      <c r="L294" s="247"/>
      <c r="M294" s="247"/>
      <c r="N294" s="227">
        <v>2250000</v>
      </c>
      <c r="O294" s="119">
        <f>+N294*0.19</f>
        <v>427500</v>
      </c>
      <c r="P294" s="119">
        <f>+N294+O294</f>
        <v>2677500</v>
      </c>
      <c r="Q294" s="115"/>
      <c r="R294" s="115"/>
      <c r="S294" s="11"/>
      <c r="T294" s="247"/>
      <c r="U294" s="247"/>
      <c r="V294" s="247"/>
      <c r="W294" s="17"/>
      <c r="X294" s="11"/>
      <c r="Y294" s="11"/>
      <c r="Z294" s="247"/>
      <c r="AA294" s="247"/>
      <c r="AB294" s="247"/>
      <c r="AC294" s="44"/>
      <c r="AD294" s="22"/>
      <c r="AE294" s="17"/>
      <c r="AF294" s="247"/>
      <c r="AG294" s="247"/>
      <c r="AH294" s="151"/>
      <c r="AI294" s="22"/>
      <c r="AJ294" s="17"/>
      <c r="AK294" s="17"/>
      <c r="AL294" s="102"/>
      <c r="AM294" s="132"/>
      <c r="AN294" s="161"/>
      <c r="AO294" s="115"/>
      <c r="AP294" s="115"/>
      <c r="AQ294" s="17"/>
      <c r="AR294" s="247">
        <v>1720000</v>
      </c>
      <c r="AS294" s="247">
        <f t="shared" si="92"/>
        <v>326800</v>
      </c>
      <c r="AT294" s="247">
        <f t="shared" si="93"/>
        <v>2046800</v>
      </c>
      <c r="AU294" s="17"/>
      <c r="AV294" s="17"/>
      <c r="AW294" s="17"/>
      <c r="AX294" s="247"/>
      <c r="AY294" s="247"/>
      <c r="AZ294" s="247"/>
      <c r="BA294" s="17"/>
      <c r="BB294" s="52"/>
      <c r="BC294" s="17"/>
      <c r="BD294" s="247"/>
      <c r="BE294" s="247"/>
      <c r="BF294" s="247"/>
      <c r="BG294" s="17"/>
      <c r="BH294" s="17"/>
      <c r="BI294" s="17"/>
      <c r="BJ294" s="247"/>
      <c r="BK294" s="247"/>
      <c r="BL294" s="247"/>
      <c r="BM294" s="190"/>
      <c r="BN294" s="190"/>
      <c r="BO294" s="17"/>
      <c r="BP294" s="247"/>
      <c r="BQ294" s="247"/>
      <c r="BR294" s="247"/>
      <c r="BS294" s="17"/>
      <c r="BT294" s="17"/>
      <c r="BU294" s="17"/>
      <c r="BV294" s="189"/>
      <c r="BW294" s="197"/>
      <c r="BX294" s="246"/>
      <c r="BY294" s="190"/>
      <c r="BZ294" s="190"/>
      <c r="CA294" s="190"/>
      <c r="CB294" s="247"/>
      <c r="CC294" s="247"/>
      <c r="CD294" s="247"/>
      <c r="CE294" s="17"/>
      <c r="CF294" s="17"/>
      <c r="CG294" s="17"/>
      <c r="CH294" s="247"/>
      <c r="CI294" s="247"/>
      <c r="CJ294" s="247"/>
      <c r="CK294" s="17"/>
      <c r="CL294" s="17"/>
      <c r="CM294" s="17"/>
      <c r="CN294" s="17"/>
      <c r="CO294" s="17"/>
      <c r="CP294" s="11"/>
      <c r="CQ294" s="11"/>
      <c r="CR294" s="11"/>
      <c r="CS294" s="11"/>
      <c r="CT294" s="247"/>
      <c r="CU294" s="247"/>
      <c r="CV294" s="247"/>
      <c r="CW294" s="11"/>
      <c r="CX294" s="11"/>
      <c r="CY294" s="11"/>
      <c r="CZ294" s="11"/>
      <c r="DA294" s="11"/>
      <c r="DB294" s="11"/>
      <c r="DC294" s="11"/>
      <c r="DD294" s="11"/>
      <c r="DE294" s="11"/>
      <c r="DF294" s="11"/>
      <c r="DG294" s="11"/>
      <c r="DH294" s="11"/>
      <c r="DI294" s="11"/>
      <c r="DJ294" s="11"/>
      <c r="DK294" s="11"/>
      <c r="DL294" s="247"/>
      <c r="DM294" s="247"/>
      <c r="DN294" s="247"/>
      <c r="DO294" s="247"/>
      <c r="DP294" s="247"/>
      <c r="DQ294" s="247"/>
      <c r="DR294" s="247"/>
      <c r="DS294" s="247"/>
      <c r="DT294" s="247"/>
      <c r="DU294" s="247"/>
      <c r="DV294" s="247"/>
      <c r="DW294" s="247"/>
      <c r="DX294" s="247"/>
      <c r="DY294" s="247"/>
      <c r="DZ294" s="247"/>
      <c r="EA294" s="247"/>
      <c r="EB294" s="247"/>
      <c r="EC294" s="247"/>
      <c r="ED294" s="17">
        <f t="shared" si="82"/>
        <v>4724300</v>
      </c>
      <c r="EE294" s="29">
        <f t="shared" si="83"/>
        <v>2</v>
      </c>
      <c r="EF294" s="17">
        <f t="shared" si="81"/>
        <v>2362150</v>
      </c>
    </row>
    <row r="295" spans="1:136" ht="127.5" x14ac:dyDescent="0.25">
      <c r="A295" s="25">
        <f>Distribución_Elementos!A295</f>
        <v>293</v>
      </c>
      <c r="B295" s="22" t="str">
        <f>Distribución_Elementos!B295</f>
        <v>Kit de Necropsia Grandes Animales que contenga: 2 pinzas con garra de 14,5 cm en acero inoxidable; 2 pinzas sin garra de 14,5 cm en acero inoxidable; 2 tijeras  de mayo 1 recta punta roma y 1 recta punta fina de 14 cm en acero inoxidable; 2 tijeras de mayo curva punta roma de 14 cm en acero inoxidable;  3 cuchillos de necropsia de 30 Cm de largo, mango plástico antideslizante color blanco;  Marco para cegueta en acero inoxidable y  6 hojas para la misma dimensión de la cegueta, 1 hachuela en mango plastico antideslizante en acero inoxidable</v>
      </c>
      <c r="C295" s="22" t="str">
        <f>Distribución_Elementos!C295</f>
        <v>Cualquier marca</v>
      </c>
      <c r="D295" s="22" t="str">
        <f>Distribución_Elementos!D295</f>
        <v>Unidad</v>
      </c>
      <c r="E295" s="224">
        <v>1</v>
      </c>
      <c r="F295" s="221">
        <v>0</v>
      </c>
      <c r="G295" s="221">
        <v>0</v>
      </c>
      <c r="H295" s="221">
        <v>0</v>
      </c>
      <c r="I295" s="221">
        <v>0</v>
      </c>
      <c r="J295" s="221">
        <v>0</v>
      </c>
      <c r="K295" s="221">
        <v>0</v>
      </c>
      <c r="L295" s="247"/>
      <c r="M295" s="247"/>
      <c r="N295" s="227">
        <v>2100000</v>
      </c>
      <c r="O295" s="119">
        <f>+N295*0.19</f>
        <v>399000</v>
      </c>
      <c r="P295" s="119">
        <f>+N295+O295</f>
        <v>2499000</v>
      </c>
      <c r="Q295" s="115"/>
      <c r="R295" s="115"/>
      <c r="S295" s="11"/>
      <c r="T295" s="247"/>
      <c r="U295" s="247"/>
      <c r="V295" s="247"/>
      <c r="W295" s="17"/>
      <c r="X295" s="11"/>
      <c r="Y295" s="11"/>
      <c r="Z295" s="247"/>
      <c r="AA295" s="247"/>
      <c r="AB295" s="247"/>
      <c r="AC295" s="44"/>
      <c r="AD295" s="22"/>
      <c r="AE295" s="17"/>
      <c r="AF295" s="247"/>
      <c r="AG295" s="247"/>
      <c r="AH295" s="151"/>
      <c r="AI295" s="4"/>
      <c r="AJ295" s="17"/>
      <c r="AK295" s="17"/>
      <c r="AL295" s="102"/>
      <c r="AM295" s="132"/>
      <c r="AN295" s="161"/>
      <c r="AO295" s="115"/>
      <c r="AP295" s="115"/>
      <c r="AQ295" s="17"/>
      <c r="AR295" s="247">
        <v>1650000</v>
      </c>
      <c r="AS295" s="247">
        <f t="shared" si="92"/>
        <v>313500</v>
      </c>
      <c r="AT295" s="247">
        <f t="shared" si="93"/>
        <v>1963500</v>
      </c>
      <c r="AU295" s="17"/>
      <c r="AV295" s="17"/>
      <c r="AW295" s="17"/>
      <c r="AX295" s="247"/>
      <c r="AY295" s="247"/>
      <c r="AZ295" s="247"/>
      <c r="BA295" s="17"/>
      <c r="BB295" s="52"/>
      <c r="BC295" s="17"/>
      <c r="BD295" s="247"/>
      <c r="BE295" s="247"/>
      <c r="BF295" s="247"/>
      <c r="BG295" s="17"/>
      <c r="BH295" s="17"/>
      <c r="BI295" s="17"/>
      <c r="BJ295" s="247"/>
      <c r="BK295" s="247"/>
      <c r="BL295" s="247"/>
      <c r="BM295" s="190"/>
      <c r="BN295" s="190"/>
      <c r="BO295" s="17"/>
      <c r="BP295" s="247"/>
      <c r="BQ295" s="247"/>
      <c r="BR295" s="247"/>
      <c r="BS295" s="17"/>
      <c r="BT295" s="17"/>
      <c r="BU295" s="17"/>
      <c r="BV295" s="189"/>
      <c r="BW295" s="197"/>
      <c r="BX295" s="246"/>
      <c r="BY295" s="190"/>
      <c r="BZ295" s="190"/>
      <c r="CA295" s="190"/>
      <c r="CB295" s="247"/>
      <c r="CC295" s="247"/>
      <c r="CD295" s="247"/>
      <c r="CE295" s="17"/>
      <c r="CF295" s="17"/>
      <c r="CG295" s="17"/>
      <c r="CH295" s="247"/>
      <c r="CI295" s="247"/>
      <c r="CJ295" s="247"/>
      <c r="CK295" s="17"/>
      <c r="CL295" s="17"/>
      <c r="CM295" s="17"/>
      <c r="CN295" s="17"/>
      <c r="CO295" s="17"/>
      <c r="CP295" s="11"/>
      <c r="CQ295" s="11"/>
      <c r="CR295" s="11"/>
      <c r="CS295" s="11"/>
      <c r="CT295" s="247"/>
      <c r="CU295" s="247"/>
      <c r="CV295" s="247"/>
      <c r="CW295" s="11"/>
      <c r="CX295" s="11"/>
      <c r="CY295" s="11"/>
      <c r="CZ295" s="11"/>
      <c r="DA295" s="11"/>
      <c r="DB295" s="11"/>
      <c r="DC295" s="11"/>
      <c r="DD295" s="11"/>
      <c r="DE295" s="11"/>
      <c r="DF295" s="11"/>
      <c r="DG295" s="11"/>
      <c r="DH295" s="11"/>
      <c r="DI295" s="11"/>
      <c r="DJ295" s="11"/>
      <c r="DK295" s="11"/>
      <c r="DL295" s="247"/>
      <c r="DM295" s="247"/>
      <c r="DN295" s="247"/>
      <c r="DO295" s="247"/>
      <c r="DP295" s="247"/>
      <c r="DQ295" s="247"/>
      <c r="DR295" s="247"/>
      <c r="DS295" s="247"/>
      <c r="DT295" s="247"/>
      <c r="DU295" s="247"/>
      <c r="DV295" s="247"/>
      <c r="DW295" s="247"/>
      <c r="DX295" s="247"/>
      <c r="DY295" s="247"/>
      <c r="DZ295" s="247"/>
      <c r="EA295" s="247"/>
      <c r="EB295" s="247"/>
      <c r="EC295" s="247"/>
      <c r="ED295" s="17">
        <f t="shared" si="82"/>
        <v>4462500</v>
      </c>
      <c r="EE295" s="29">
        <f t="shared" si="83"/>
        <v>2</v>
      </c>
      <c r="EF295" s="17">
        <f t="shared" si="81"/>
        <v>2231250</v>
      </c>
    </row>
    <row r="296" spans="1:136" ht="127.5" x14ac:dyDescent="0.25">
      <c r="A296" s="25">
        <f>Distribución_Elementos!A296</f>
        <v>294</v>
      </c>
      <c r="B296" s="22" t="str">
        <f>Distribución_Elementos!B296</f>
        <v>Kit de Necropsia para Porcinos que contenga: Caja  plástica para herramientas con capacidad para almacenar los siguientes elementos; dos mangos de bisturí No 4, 100 Unidades de Hojas de bisturi, Una Pinza con garra, una pinza sin garra, una tijera metzembaun recta punta roma, una tijera metzembaun curva punta roma, 2 pinzas mosquito curvas , 2 pinzas mosquito rectas pequeñas, un cuchillo pequeño, un cuchillo grande, una navaja de campo, una riñonera pequeña con tapa,  un cuchillo de cegueta pequeño,  una piedra de afilar.</v>
      </c>
      <c r="C296" s="22" t="str">
        <f>Distribución_Elementos!C296</f>
        <v>Cualquier marca</v>
      </c>
      <c r="D296" s="22" t="str">
        <f>Distribución_Elementos!D296</f>
        <v>Unidad</v>
      </c>
      <c r="E296" s="224">
        <v>1</v>
      </c>
      <c r="F296" s="221">
        <v>0</v>
      </c>
      <c r="G296" s="221">
        <v>0</v>
      </c>
      <c r="H296" s="221">
        <v>0</v>
      </c>
      <c r="I296" s="221">
        <v>0</v>
      </c>
      <c r="J296" s="221">
        <v>0</v>
      </c>
      <c r="K296" s="221">
        <v>0</v>
      </c>
      <c r="L296" s="247"/>
      <c r="M296" s="247"/>
      <c r="N296" s="227">
        <v>700000</v>
      </c>
      <c r="O296" s="119">
        <f>+N296*0.19</f>
        <v>133000</v>
      </c>
      <c r="P296" s="119">
        <f>+N296+O296</f>
        <v>833000</v>
      </c>
      <c r="Q296" s="115"/>
      <c r="R296" s="115"/>
      <c r="S296" s="11"/>
      <c r="T296" s="247"/>
      <c r="U296" s="247"/>
      <c r="V296" s="247"/>
      <c r="W296" s="17"/>
      <c r="X296" s="11"/>
      <c r="Y296" s="11"/>
      <c r="Z296" s="247"/>
      <c r="AA296" s="247"/>
      <c r="AB296" s="247"/>
      <c r="AC296" s="44"/>
      <c r="AD296" s="22"/>
      <c r="AE296" s="17"/>
      <c r="AF296" s="247"/>
      <c r="AG296" s="247"/>
      <c r="AH296" s="151"/>
      <c r="AI296" s="4"/>
      <c r="AJ296" s="17"/>
      <c r="AK296" s="17"/>
      <c r="AL296" s="102"/>
      <c r="AM296" s="132"/>
      <c r="AN296" s="161"/>
      <c r="AO296" s="115"/>
      <c r="AP296" s="115"/>
      <c r="AQ296" s="17"/>
      <c r="AR296" s="247">
        <v>580000</v>
      </c>
      <c r="AS296" s="247">
        <f t="shared" si="92"/>
        <v>110200</v>
      </c>
      <c r="AT296" s="247">
        <f t="shared" si="93"/>
        <v>690200</v>
      </c>
      <c r="AU296" s="17"/>
      <c r="AV296" s="17"/>
      <c r="AW296" s="17"/>
      <c r="AX296" s="247"/>
      <c r="AY296" s="247"/>
      <c r="AZ296" s="247"/>
      <c r="BA296" s="17"/>
      <c r="BB296" s="52"/>
      <c r="BC296" s="17"/>
      <c r="BD296" s="247"/>
      <c r="BE296" s="247"/>
      <c r="BF296" s="247"/>
      <c r="BG296" s="17"/>
      <c r="BH296" s="17"/>
      <c r="BI296" s="17"/>
      <c r="BJ296" s="247"/>
      <c r="BK296" s="247"/>
      <c r="BL296" s="247"/>
      <c r="BM296" s="190"/>
      <c r="BN296" s="190"/>
      <c r="BO296" s="17"/>
      <c r="BP296" s="247"/>
      <c r="BQ296" s="247"/>
      <c r="BR296" s="247"/>
      <c r="BS296" s="17"/>
      <c r="BT296" s="17"/>
      <c r="BU296" s="17"/>
      <c r="BV296" s="189"/>
      <c r="BW296" s="197"/>
      <c r="BX296" s="246"/>
      <c r="BY296" s="190"/>
      <c r="BZ296" s="190"/>
      <c r="CA296" s="190"/>
      <c r="CB296" s="247"/>
      <c r="CC296" s="247"/>
      <c r="CD296" s="247"/>
      <c r="CE296" s="17"/>
      <c r="CF296" s="17"/>
      <c r="CG296" s="17"/>
      <c r="CH296" s="247"/>
      <c r="CI296" s="247"/>
      <c r="CJ296" s="247"/>
      <c r="CK296" s="17"/>
      <c r="CL296" s="17"/>
      <c r="CM296" s="17"/>
      <c r="CN296" s="17"/>
      <c r="CO296" s="17"/>
      <c r="CP296" s="11"/>
      <c r="CQ296" s="11"/>
      <c r="CR296" s="11"/>
      <c r="CS296" s="11"/>
      <c r="CT296" s="247"/>
      <c r="CU296" s="247"/>
      <c r="CV296" s="247"/>
      <c r="CW296" s="11"/>
      <c r="CX296" s="11"/>
      <c r="CY296" s="11"/>
      <c r="CZ296" s="11"/>
      <c r="DA296" s="11"/>
      <c r="DB296" s="11"/>
      <c r="DC296" s="11"/>
      <c r="DD296" s="11"/>
      <c r="DE296" s="11"/>
      <c r="DF296" s="11"/>
      <c r="DG296" s="11"/>
      <c r="DH296" s="11"/>
      <c r="DI296" s="11"/>
      <c r="DJ296" s="11"/>
      <c r="DK296" s="11"/>
      <c r="DL296" s="247"/>
      <c r="DM296" s="247"/>
      <c r="DN296" s="247"/>
      <c r="DO296" s="247"/>
      <c r="DP296" s="247"/>
      <c r="DQ296" s="247"/>
      <c r="DR296" s="247"/>
      <c r="DS296" s="247"/>
      <c r="DT296" s="247"/>
      <c r="DU296" s="247"/>
      <c r="DV296" s="247"/>
      <c r="DW296" s="247"/>
      <c r="DX296" s="247"/>
      <c r="DY296" s="247"/>
      <c r="DZ296" s="247"/>
      <c r="EA296" s="247"/>
      <c r="EB296" s="247"/>
      <c r="EC296" s="247"/>
      <c r="ED296" s="17">
        <f t="shared" si="82"/>
        <v>1523200</v>
      </c>
      <c r="EE296" s="29">
        <f t="shared" si="83"/>
        <v>2</v>
      </c>
      <c r="EF296" s="17">
        <f t="shared" si="81"/>
        <v>761600</v>
      </c>
    </row>
    <row r="297" spans="1:136" ht="114.75" x14ac:dyDescent="0.25">
      <c r="A297" s="25">
        <f>Distribución_Elementos!A297</f>
        <v>295</v>
      </c>
      <c r="B297" s="22" t="str">
        <f>Distribución_Elementos!B297</f>
        <v>Kit para control de derrames compuesto por: 2 almohadillas desechables de 25x25 cm para químicos 3 cordón-tubular 3" X 1.20 m para químicos 6 material absorbente particulado para químicos Bolsa x 1 K 1 Guantess nitrilo 13" 1 mascarilla para vapores ácidos, doble cartucho 1 gafas de seguridad 1 cinta de precaución para señalización x 50 metros 4 Bolsa industrial para residuos roja 1 chaleco reflectivo 1 contenedor plástico 45 gal dos ruedas 1 overol desechable para químicos 1 recogedor plástico con escobilla 1 instructivo corto para emergencias</v>
      </c>
      <c r="C297" s="22" t="str">
        <f>Distribución_Elementos!C297</f>
        <v>Cualquier marca</v>
      </c>
      <c r="D297" s="22" t="str">
        <f>Distribución_Elementos!D297</f>
        <v>Kit</v>
      </c>
      <c r="E297" s="224">
        <v>1</v>
      </c>
      <c r="F297" s="221">
        <v>0</v>
      </c>
      <c r="G297" s="221">
        <v>0</v>
      </c>
      <c r="H297" s="221">
        <v>0</v>
      </c>
      <c r="I297" s="221">
        <v>0</v>
      </c>
      <c r="J297" s="221">
        <v>0</v>
      </c>
      <c r="K297" s="221">
        <v>0</v>
      </c>
      <c r="L297" s="247"/>
      <c r="M297" s="247"/>
      <c r="N297" s="227">
        <v>700000</v>
      </c>
      <c r="O297" s="119">
        <f>+N297*0.19</f>
        <v>133000</v>
      </c>
      <c r="P297" s="119">
        <f>+N297+O297</f>
        <v>833000</v>
      </c>
      <c r="Q297" s="115"/>
      <c r="R297" s="115"/>
      <c r="S297" s="11"/>
      <c r="T297" s="247"/>
      <c r="U297" s="247"/>
      <c r="V297" s="247"/>
      <c r="W297" s="17"/>
      <c r="X297" s="11"/>
      <c r="Y297" s="11"/>
      <c r="Z297" s="247"/>
      <c r="AA297" s="247"/>
      <c r="AB297" s="247"/>
      <c r="AC297" s="44"/>
      <c r="AD297" s="22"/>
      <c r="AE297" s="17"/>
      <c r="AF297" s="247"/>
      <c r="AG297" s="247"/>
      <c r="AH297" s="151"/>
      <c r="AI297" s="4"/>
      <c r="AJ297" s="17"/>
      <c r="AK297" s="17"/>
      <c r="AL297" s="102"/>
      <c r="AM297" s="132"/>
      <c r="AN297" s="161"/>
      <c r="AO297" s="115"/>
      <c r="AP297" s="115"/>
      <c r="AQ297" s="17"/>
      <c r="AR297" s="247">
        <v>783000</v>
      </c>
      <c r="AS297" s="247">
        <f t="shared" si="92"/>
        <v>148770</v>
      </c>
      <c r="AT297" s="247">
        <f t="shared" si="93"/>
        <v>931770</v>
      </c>
      <c r="AU297" s="17"/>
      <c r="AV297" s="17"/>
      <c r="AW297" s="17"/>
      <c r="AX297" s="247"/>
      <c r="AY297" s="247"/>
      <c r="AZ297" s="247"/>
      <c r="BA297" s="17"/>
      <c r="BB297" s="52"/>
      <c r="BC297" s="17"/>
      <c r="BD297" s="247"/>
      <c r="BE297" s="247"/>
      <c r="BF297" s="247"/>
      <c r="BG297" s="17"/>
      <c r="BH297" s="17"/>
      <c r="BI297" s="17"/>
      <c r="BJ297" s="247"/>
      <c r="BK297" s="247"/>
      <c r="BL297" s="247"/>
      <c r="BM297" s="190"/>
      <c r="BN297" s="190"/>
      <c r="BO297" s="17"/>
      <c r="BP297" s="247"/>
      <c r="BQ297" s="247"/>
      <c r="BR297" s="247"/>
      <c r="BS297" s="17"/>
      <c r="BT297" s="17"/>
      <c r="BU297" s="17"/>
      <c r="BV297" s="189"/>
      <c r="BW297" s="197"/>
      <c r="BX297" s="246"/>
      <c r="BY297" s="190"/>
      <c r="BZ297" s="190"/>
      <c r="CA297" s="190"/>
      <c r="CB297" s="247"/>
      <c r="CC297" s="247"/>
      <c r="CD297" s="247"/>
      <c r="CE297" s="17"/>
      <c r="CF297" s="17"/>
      <c r="CG297" s="17"/>
      <c r="CH297" s="247"/>
      <c r="CI297" s="247"/>
      <c r="CJ297" s="247"/>
      <c r="CK297" s="17"/>
      <c r="CL297" s="17"/>
      <c r="CM297" s="17"/>
      <c r="CN297" s="17"/>
      <c r="CO297" s="17"/>
      <c r="CP297" s="11"/>
      <c r="CQ297" s="11"/>
      <c r="CR297" s="11"/>
      <c r="CS297" s="11"/>
      <c r="CT297" s="247"/>
      <c r="CU297" s="247"/>
      <c r="CV297" s="247"/>
      <c r="CW297" s="11"/>
      <c r="CX297" s="11"/>
      <c r="CY297" s="11"/>
      <c r="CZ297" s="11"/>
      <c r="DA297" s="11"/>
      <c r="DB297" s="11"/>
      <c r="DC297" s="11"/>
      <c r="DD297" s="11"/>
      <c r="DE297" s="11"/>
      <c r="DF297" s="11"/>
      <c r="DG297" s="11"/>
      <c r="DH297" s="11"/>
      <c r="DI297" s="11"/>
      <c r="DJ297" s="11"/>
      <c r="DK297" s="11"/>
      <c r="DL297" s="247"/>
      <c r="DM297" s="247"/>
      <c r="DN297" s="247"/>
      <c r="DO297" s="247"/>
      <c r="DP297" s="247"/>
      <c r="DQ297" s="247"/>
      <c r="DR297" s="247"/>
      <c r="DS297" s="247"/>
      <c r="DT297" s="247"/>
      <c r="DU297" s="247"/>
      <c r="DV297" s="247"/>
      <c r="DW297" s="247"/>
      <c r="DX297" s="247"/>
      <c r="DY297" s="247"/>
      <c r="DZ297" s="247"/>
      <c r="EA297" s="247"/>
      <c r="EB297" s="247"/>
      <c r="EC297" s="247"/>
      <c r="ED297" s="17">
        <f t="shared" si="82"/>
        <v>1764770</v>
      </c>
      <c r="EE297" s="29">
        <f t="shared" si="83"/>
        <v>2</v>
      </c>
      <c r="EF297" s="17">
        <f t="shared" si="81"/>
        <v>882385</v>
      </c>
    </row>
    <row r="298" spans="1:136" ht="127.5" x14ac:dyDescent="0.25">
      <c r="A298" s="25">
        <f>Distribución_Elementos!A298</f>
        <v>296</v>
      </c>
      <c r="B298" s="22" t="str">
        <f>Distribución_Elementos!B298</f>
        <v>Kit para necropsia de peces que contenga: Caja Rimax plástica pequeña con capacidad para almacenar los materioales listados a continuación; dos mangos de bisturí No 4; 100 Unidades de Hojas de bisturi; Una Pinza con garra; una pinza sin garra; una tijera metzembaun recta punta roma; una tijera metzembaun curva punta roma; 2 pinzas mosquito curvas;  2 pinzas mosquito rectas pequeñas; un cuchillo pequeño de 18  Cm; un cuchillo grande de 30 Cm; una navaja de bolsillo con mínimo 5 funciones; una riñonera pequeña con tapa; un cuchillo de cegueta pequeño;  una piedra de afilar.</v>
      </c>
      <c r="C298" s="22" t="str">
        <f>Distribución_Elementos!C298</f>
        <v>Cualquier marca</v>
      </c>
      <c r="D298" s="22" t="str">
        <f>Distribución_Elementos!D298</f>
        <v>Unidad</v>
      </c>
      <c r="E298" s="224">
        <v>1</v>
      </c>
      <c r="F298" s="221">
        <v>0</v>
      </c>
      <c r="G298" s="221">
        <v>0</v>
      </c>
      <c r="H298" s="221">
        <v>0</v>
      </c>
      <c r="I298" s="221">
        <v>0</v>
      </c>
      <c r="J298" s="221">
        <v>0</v>
      </c>
      <c r="K298" s="221">
        <v>0</v>
      </c>
      <c r="L298" s="247"/>
      <c r="M298" s="247"/>
      <c r="N298" s="227">
        <v>700000</v>
      </c>
      <c r="O298" s="119">
        <f>+N298*0.19</f>
        <v>133000</v>
      </c>
      <c r="P298" s="119">
        <f>+N298+O298</f>
        <v>833000</v>
      </c>
      <c r="Q298" s="115"/>
      <c r="R298" s="115"/>
      <c r="S298" s="11"/>
      <c r="T298" s="247"/>
      <c r="U298" s="247"/>
      <c r="V298" s="247"/>
      <c r="W298" s="17"/>
      <c r="X298" s="11"/>
      <c r="Y298" s="11"/>
      <c r="Z298" s="247"/>
      <c r="AA298" s="247"/>
      <c r="AB298" s="247"/>
      <c r="AC298" s="5"/>
      <c r="AD298" s="5"/>
      <c r="AE298" s="17"/>
      <c r="AF298" s="247"/>
      <c r="AG298" s="247"/>
      <c r="AH298" s="149"/>
      <c r="AI298" s="5"/>
      <c r="AJ298" s="17"/>
      <c r="AK298" s="17"/>
      <c r="AL298" s="102"/>
      <c r="AM298" s="132"/>
      <c r="AN298" s="161"/>
      <c r="AO298" s="115"/>
      <c r="AP298" s="115"/>
      <c r="AQ298" s="17"/>
      <c r="AR298" s="247">
        <v>560000</v>
      </c>
      <c r="AS298" s="247">
        <f t="shared" si="92"/>
        <v>106400</v>
      </c>
      <c r="AT298" s="247">
        <f t="shared" si="93"/>
        <v>666400</v>
      </c>
      <c r="AU298" s="17"/>
      <c r="AV298" s="17"/>
      <c r="AW298" s="17"/>
      <c r="AX298" s="247"/>
      <c r="AY298" s="247"/>
      <c r="AZ298" s="247"/>
      <c r="BA298" s="17"/>
      <c r="BB298" s="52"/>
      <c r="BC298" s="17"/>
      <c r="BD298" s="247"/>
      <c r="BE298" s="247"/>
      <c r="BF298" s="247"/>
      <c r="BG298" s="17"/>
      <c r="BH298" s="17"/>
      <c r="BI298" s="17"/>
      <c r="BJ298" s="247"/>
      <c r="BK298" s="247"/>
      <c r="BL298" s="247"/>
      <c r="BM298" s="190"/>
      <c r="BN298" s="190"/>
      <c r="BO298" s="17"/>
      <c r="BP298" s="247"/>
      <c r="BQ298" s="247"/>
      <c r="BR298" s="247"/>
      <c r="BS298" s="17"/>
      <c r="BT298" s="17"/>
      <c r="BU298" s="17"/>
      <c r="BV298" s="189"/>
      <c r="BW298" s="197"/>
      <c r="BX298" s="246"/>
      <c r="BY298" s="190"/>
      <c r="BZ298" s="190"/>
      <c r="CA298" s="190"/>
      <c r="CB298" s="252"/>
      <c r="CC298" s="247"/>
      <c r="CD298" s="247"/>
      <c r="CE298" s="17"/>
      <c r="CF298" s="17"/>
      <c r="CG298" s="17"/>
      <c r="CH298" s="247"/>
      <c r="CI298" s="247"/>
      <c r="CJ298" s="247"/>
      <c r="CK298" s="17"/>
      <c r="CL298" s="17"/>
      <c r="CM298" s="17"/>
      <c r="CN298" s="17"/>
      <c r="CO298" s="17"/>
      <c r="CP298" s="11"/>
      <c r="CQ298" s="11"/>
      <c r="CR298" s="11"/>
      <c r="CS298" s="11"/>
      <c r="CT298" s="247"/>
      <c r="CU298" s="247"/>
      <c r="CV298" s="247"/>
      <c r="CW298" s="11"/>
      <c r="CX298" s="11"/>
      <c r="CY298" s="11"/>
      <c r="CZ298" s="11"/>
      <c r="DA298" s="11"/>
      <c r="DB298" s="11"/>
      <c r="DC298" s="11"/>
      <c r="DD298" s="11"/>
      <c r="DE298" s="11"/>
      <c r="DF298" s="11"/>
      <c r="DG298" s="11"/>
      <c r="DH298" s="11"/>
      <c r="DI298" s="11"/>
      <c r="DJ298" s="11"/>
      <c r="DK298" s="11"/>
      <c r="DL298" s="247"/>
      <c r="DM298" s="247"/>
      <c r="DN298" s="247"/>
      <c r="DO298" s="247"/>
      <c r="DP298" s="247"/>
      <c r="DQ298" s="247"/>
      <c r="DR298" s="247"/>
      <c r="DS298" s="247"/>
      <c r="DT298" s="247"/>
      <c r="DU298" s="247"/>
      <c r="DV298" s="247"/>
      <c r="DW298" s="247"/>
      <c r="DX298" s="247"/>
      <c r="DY298" s="247"/>
      <c r="DZ298" s="247"/>
      <c r="EA298" s="247"/>
      <c r="EB298" s="247"/>
      <c r="EC298" s="247"/>
      <c r="ED298" s="17">
        <f t="shared" si="82"/>
        <v>1499400</v>
      </c>
      <c r="EE298" s="29">
        <f t="shared" si="83"/>
        <v>2</v>
      </c>
      <c r="EF298" s="17">
        <f t="shared" si="81"/>
        <v>749700</v>
      </c>
    </row>
    <row r="299" spans="1:136" ht="38.25" x14ac:dyDescent="0.25">
      <c r="A299" s="25">
        <f>Distribución_Elementos!A299</f>
        <v>297</v>
      </c>
      <c r="B299" s="22" t="str">
        <f>Distribución_Elementos!B299</f>
        <v xml:space="preserve">Lámina microscope slide Probe On Plus Precleaned 25 x 75 x1.0 mm. Diapositivas de medida 1 x 3 pulgadas (25 x 75 mm) y 1 mm de espesor </v>
      </c>
      <c r="C299" s="22" t="str">
        <f>Distribución_Elementos!C299</f>
        <v>Fisher 22-230-900</v>
      </c>
      <c r="D299" s="22" t="str">
        <f>Distribución_Elementos!D299</f>
        <v>Caja x 144</v>
      </c>
      <c r="E299" s="224">
        <v>1</v>
      </c>
      <c r="F299" s="221">
        <v>955332</v>
      </c>
      <c r="G299" s="221">
        <v>917014</v>
      </c>
      <c r="H299" s="221">
        <v>698607.82004999998</v>
      </c>
      <c r="I299" s="221">
        <v>698530</v>
      </c>
      <c r="J299" s="221">
        <v>962864.70000000007</v>
      </c>
      <c r="K299" s="221">
        <v>0</v>
      </c>
      <c r="L299" s="247">
        <f>AVERAGE(F299,H299,J299)</f>
        <v>872268.17334999994</v>
      </c>
      <c r="M299" s="247">
        <f>AVERAGE(G299,I299)*E1</f>
        <v>832005.16</v>
      </c>
      <c r="N299" s="228"/>
      <c r="O299" s="119"/>
      <c r="P299" s="119"/>
      <c r="Q299" s="115"/>
      <c r="R299" s="115"/>
      <c r="S299" s="11"/>
      <c r="T299" s="247"/>
      <c r="U299" s="247"/>
      <c r="V299" s="247"/>
      <c r="W299" s="17"/>
      <c r="X299" s="11"/>
      <c r="Y299" s="11"/>
      <c r="Z299" s="247"/>
      <c r="AA299" s="247"/>
      <c r="AB299" s="247"/>
      <c r="AC299" s="44"/>
      <c r="AD299" s="22"/>
      <c r="AE299" s="17"/>
      <c r="AF299" s="247"/>
      <c r="AG299" s="247"/>
      <c r="AH299" s="151"/>
      <c r="AI299" s="22"/>
      <c r="AJ299" s="17"/>
      <c r="AK299" s="17"/>
      <c r="AL299" s="102"/>
      <c r="AM299" s="132"/>
      <c r="AN299" s="161"/>
      <c r="AO299" s="115"/>
      <c r="AP299" s="115"/>
      <c r="AQ299" s="17"/>
      <c r="AR299" s="247"/>
      <c r="AS299" s="247"/>
      <c r="AT299" s="247"/>
      <c r="AU299" s="17"/>
      <c r="AV299" s="17"/>
      <c r="AW299" s="17"/>
      <c r="AX299" s="252"/>
      <c r="AY299" s="247"/>
      <c r="AZ299" s="247"/>
      <c r="BA299" s="17"/>
      <c r="BB299" s="52"/>
      <c r="BC299" s="17"/>
      <c r="BD299" s="247"/>
      <c r="BE299" s="247"/>
      <c r="BF299" s="247"/>
      <c r="BG299" s="17"/>
      <c r="BH299" s="17"/>
      <c r="BI299" s="17"/>
      <c r="BJ299" s="247"/>
      <c r="BK299" s="247"/>
      <c r="BL299" s="247"/>
      <c r="BM299" s="190"/>
      <c r="BN299" s="190"/>
      <c r="BO299" s="17"/>
      <c r="BP299" s="247">
        <v>85600</v>
      </c>
      <c r="BQ299" s="247">
        <f>+BP299*19%</f>
        <v>16264</v>
      </c>
      <c r="BR299" s="247">
        <f>+BQ299+BP299</f>
        <v>101864</v>
      </c>
      <c r="BS299" s="17"/>
      <c r="BT299" s="17"/>
      <c r="BU299" s="17"/>
      <c r="BV299" s="189"/>
      <c r="BW299" s="197"/>
      <c r="BX299" s="246"/>
      <c r="BY299" s="190"/>
      <c r="BZ299" s="190"/>
      <c r="CA299" s="190"/>
      <c r="CB299" s="247"/>
      <c r="CC299" s="247"/>
      <c r="CD299" s="247"/>
      <c r="CE299" s="17"/>
      <c r="CF299" s="17"/>
      <c r="CG299" s="17"/>
      <c r="CH299" s="252"/>
      <c r="CI299" s="252"/>
      <c r="CJ299" s="252"/>
      <c r="CK299" s="17"/>
      <c r="CL299" s="17"/>
      <c r="CM299" s="17"/>
      <c r="CN299" s="17"/>
      <c r="CO299" s="17"/>
      <c r="CP299" s="11"/>
      <c r="CQ299" s="11"/>
      <c r="CR299" s="11"/>
      <c r="CS299" s="11"/>
      <c r="CT299" s="247"/>
      <c r="CU299" s="247"/>
      <c r="CV299" s="247"/>
      <c r="CW299" s="11"/>
      <c r="CX299" s="11"/>
      <c r="CY299" s="11"/>
      <c r="CZ299" s="11"/>
      <c r="DA299" s="11"/>
      <c r="DB299" s="11"/>
      <c r="DC299" s="11"/>
      <c r="DD299" s="11"/>
      <c r="DE299" s="11"/>
      <c r="DF299" s="11"/>
      <c r="DG299" s="11"/>
      <c r="DH299" s="11"/>
      <c r="DI299" s="11"/>
      <c r="DJ299" s="11"/>
      <c r="DK299" s="11"/>
      <c r="DL299" s="247"/>
      <c r="DM299" s="247"/>
      <c r="DN299" s="247"/>
      <c r="DO299" s="247"/>
      <c r="DP299" s="247"/>
      <c r="DQ299" s="247"/>
      <c r="DR299" s="247"/>
      <c r="DS299" s="247"/>
      <c r="DT299" s="247"/>
      <c r="DU299" s="247"/>
      <c r="DV299" s="247"/>
      <c r="DW299" s="247"/>
      <c r="DX299" s="247"/>
      <c r="DY299" s="247"/>
      <c r="DZ299" s="247"/>
      <c r="EA299" s="247"/>
      <c r="EB299" s="247"/>
      <c r="EC299" s="247"/>
      <c r="ED299" s="17">
        <f t="shared" si="82"/>
        <v>933869.16</v>
      </c>
      <c r="EE299" s="29">
        <f t="shared" si="83"/>
        <v>2</v>
      </c>
      <c r="EF299" s="17">
        <f t="shared" si="81"/>
        <v>466934.58</v>
      </c>
    </row>
    <row r="300" spans="1:136" x14ac:dyDescent="0.25">
      <c r="A300" s="25">
        <f>Distribución_Elementos!A300</f>
        <v>298</v>
      </c>
      <c r="B300" s="22" t="str">
        <f>Distribución_Elementos!B300</f>
        <v>Lámina portaobjetos de 76 x 26 mm (3 x 1)</v>
      </c>
      <c r="C300" s="22" t="str">
        <f>Distribución_Elementos!C300</f>
        <v>Cualquier marca</v>
      </c>
      <c r="D300" s="22" t="str">
        <f>Distribución_Elementos!D300</f>
        <v xml:space="preserve">Caja x 50 </v>
      </c>
      <c r="E300" s="224">
        <v>1</v>
      </c>
      <c r="F300" s="221">
        <v>0</v>
      </c>
      <c r="G300" s="221">
        <v>0</v>
      </c>
      <c r="H300" s="221">
        <v>9470.2804219823356</v>
      </c>
      <c r="I300" s="221">
        <v>4284</v>
      </c>
      <c r="J300" s="221">
        <v>5882.5666666666666</v>
      </c>
      <c r="K300" s="221">
        <v>5831</v>
      </c>
      <c r="L300" s="247">
        <f>AVERAGE(H300,J300)</f>
        <v>7676.4235443245016</v>
      </c>
      <c r="M300" s="247">
        <f>AVERAGE(I300,K300)*E1</f>
        <v>5209.2250000000004</v>
      </c>
      <c r="N300" s="227">
        <v>7000</v>
      </c>
      <c r="O300" s="119">
        <f t="shared" ref="O300:O306" si="94">+N300*0.19</f>
        <v>1330</v>
      </c>
      <c r="P300" s="119">
        <f t="shared" ref="P300:P306" si="95">+N300+O300</f>
        <v>8330</v>
      </c>
      <c r="Q300" s="115"/>
      <c r="R300" s="115"/>
      <c r="S300" s="11"/>
      <c r="T300" s="247">
        <v>3960.0000000000005</v>
      </c>
      <c r="U300" s="247">
        <f>+T300*0.19</f>
        <v>752.40000000000009</v>
      </c>
      <c r="V300" s="247">
        <f>+T300+U300</f>
        <v>4712.4000000000005</v>
      </c>
      <c r="W300" s="17" t="s">
        <v>1635</v>
      </c>
      <c r="X300" s="11" t="s">
        <v>1636</v>
      </c>
      <c r="Y300" s="11"/>
      <c r="Z300" s="247"/>
      <c r="AA300" s="247"/>
      <c r="AB300" s="247"/>
      <c r="AC300" s="44"/>
      <c r="AD300" s="22"/>
      <c r="AE300" s="17"/>
      <c r="AF300" s="247"/>
      <c r="AG300" s="247"/>
      <c r="AH300" s="151"/>
      <c r="AI300" s="4"/>
      <c r="AJ300" s="17"/>
      <c r="AK300" s="17"/>
      <c r="AL300" s="102"/>
      <c r="AM300" s="132"/>
      <c r="AN300" s="161"/>
      <c r="AO300" s="115"/>
      <c r="AP300" s="115"/>
      <c r="AQ300" s="17"/>
      <c r="AR300" s="247"/>
      <c r="AS300" s="247"/>
      <c r="AT300" s="247"/>
      <c r="AU300" s="17"/>
      <c r="AV300" s="17"/>
      <c r="AW300" s="17"/>
      <c r="AX300" s="247"/>
      <c r="AY300" s="247"/>
      <c r="AZ300" s="247"/>
      <c r="BA300" s="17"/>
      <c r="BB300" s="52"/>
      <c r="BC300" s="17"/>
      <c r="BD300" s="247"/>
      <c r="BE300" s="247"/>
      <c r="BF300" s="247"/>
      <c r="BG300" s="17"/>
      <c r="BH300" s="17"/>
      <c r="BI300" s="17"/>
      <c r="BJ300" s="247"/>
      <c r="BK300" s="247"/>
      <c r="BL300" s="247"/>
      <c r="BM300" s="190"/>
      <c r="BN300" s="190"/>
      <c r="BO300" s="17"/>
      <c r="BP300" s="247"/>
      <c r="BQ300" s="247"/>
      <c r="BR300" s="247"/>
      <c r="BS300" s="17"/>
      <c r="BT300" s="17"/>
      <c r="BU300" s="17"/>
      <c r="BV300" s="195"/>
      <c r="BW300" s="195"/>
      <c r="BX300" s="246"/>
      <c r="BY300" s="190"/>
      <c r="BZ300" s="190"/>
      <c r="CA300" s="190"/>
      <c r="CB300" s="247"/>
      <c r="CC300" s="247"/>
      <c r="CD300" s="247"/>
      <c r="CE300" s="17"/>
      <c r="CF300" s="17"/>
      <c r="CG300" s="17"/>
      <c r="CH300" s="247"/>
      <c r="CI300" s="247"/>
      <c r="CJ300" s="247"/>
      <c r="CK300" s="17"/>
      <c r="CL300" s="17"/>
      <c r="CM300" s="17"/>
      <c r="CN300" s="17"/>
      <c r="CO300" s="17"/>
      <c r="CP300" s="11"/>
      <c r="CQ300" s="11"/>
      <c r="CR300" s="11"/>
      <c r="CS300" s="11"/>
      <c r="CT300" s="247"/>
      <c r="CU300" s="247"/>
      <c r="CV300" s="247"/>
      <c r="CW300" s="11"/>
      <c r="CX300" s="11"/>
      <c r="CY300" s="11"/>
      <c r="CZ300" s="11"/>
      <c r="DA300" s="11"/>
      <c r="DB300" s="11"/>
      <c r="DC300" s="11"/>
      <c r="DD300" s="11"/>
      <c r="DE300" s="11"/>
      <c r="DF300" s="11"/>
      <c r="DG300" s="11"/>
      <c r="DH300" s="11"/>
      <c r="DI300" s="11"/>
      <c r="DJ300" s="11"/>
      <c r="DK300" s="11"/>
      <c r="DL300" s="247"/>
      <c r="DM300" s="247"/>
      <c r="DN300" s="247"/>
      <c r="DO300" s="247"/>
      <c r="DP300" s="247"/>
      <c r="DQ300" s="247"/>
      <c r="DR300" s="247"/>
      <c r="DS300" s="247"/>
      <c r="DT300" s="247"/>
      <c r="DU300" s="247"/>
      <c r="DV300" s="247"/>
      <c r="DW300" s="247"/>
      <c r="DX300" s="247"/>
      <c r="DY300" s="247"/>
      <c r="DZ300" s="247"/>
      <c r="EA300" s="247"/>
      <c r="EB300" s="247"/>
      <c r="EC300" s="247"/>
      <c r="ED300" s="17">
        <f t="shared" si="82"/>
        <v>18251.625</v>
      </c>
      <c r="EE300" s="29">
        <f t="shared" si="83"/>
        <v>3</v>
      </c>
      <c r="EF300" s="17">
        <f t="shared" si="81"/>
        <v>6083.875</v>
      </c>
    </row>
    <row r="301" spans="1:136" x14ac:dyDescent="0.25">
      <c r="A301" s="25">
        <f>Distribución_Elementos!A301</f>
        <v>299</v>
      </c>
      <c r="B301" s="22" t="str">
        <f>Distribución_Elementos!B301</f>
        <v>Lámina portaobjetos excavada de una cavidad</v>
      </c>
      <c r="C301" s="22" t="str">
        <f>Distribución_Elementos!C301</f>
        <v>Cualquier marca</v>
      </c>
      <c r="D301" s="22" t="str">
        <f>Distribución_Elementos!D301</f>
        <v>Caja x 10</v>
      </c>
      <c r="E301" s="224">
        <v>1</v>
      </c>
      <c r="F301" s="221">
        <v>0</v>
      </c>
      <c r="G301" s="221">
        <v>0</v>
      </c>
      <c r="H301" s="221">
        <v>178500</v>
      </c>
      <c r="I301" s="221">
        <v>0</v>
      </c>
      <c r="J301" s="221">
        <v>132187.31555555554</v>
      </c>
      <c r="K301" s="221">
        <v>0</v>
      </c>
      <c r="L301" s="247">
        <f>AVERAGE(H301,J301)</f>
        <v>155343.65777777776</v>
      </c>
      <c r="M301" s="247"/>
      <c r="N301" s="227">
        <v>150000</v>
      </c>
      <c r="O301" s="119">
        <f t="shared" si="94"/>
        <v>28500</v>
      </c>
      <c r="P301" s="119">
        <f t="shared" si="95"/>
        <v>178500</v>
      </c>
      <c r="Q301" s="115"/>
      <c r="R301" s="115"/>
      <c r="S301" s="11"/>
      <c r="T301" s="247"/>
      <c r="U301" s="247"/>
      <c r="V301" s="247"/>
      <c r="W301" s="17"/>
      <c r="X301" s="11"/>
      <c r="Y301" s="11"/>
      <c r="Z301" s="247"/>
      <c r="AA301" s="247"/>
      <c r="AB301" s="247"/>
      <c r="AC301" s="44"/>
      <c r="AD301" s="22"/>
      <c r="AE301" s="17"/>
      <c r="AF301" s="247"/>
      <c r="AG301" s="247"/>
      <c r="AH301" s="151"/>
      <c r="AI301" s="4"/>
      <c r="AJ301" s="17"/>
      <c r="AK301" s="17"/>
      <c r="AL301" s="102"/>
      <c r="AM301" s="132"/>
      <c r="AN301" s="161"/>
      <c r="AO301" s="115"/>
      <c r="AP301" s="115"/>
      <c r="AQ301" s="17"/>
      <c r="AR301" s="247"/>
      <c r="AS301" s="247"/>
      <c r="AT301" s="247"/>
      <c r="AU301" s="17"/>
      <c r="AV301" s="17"/>
      <c r="AW301" s="17"/>
      <c r="AX301" s="247"/>
      <c r="AY301" s="247"/>
      <c r="AZ301" s="247"/>
      <c r="BA301" s="17"/>
      <c r="BB301" s="52"/>
      <c r="BC301" s="17"/>
      <c r="BD301" s="247"/>
      <c r="BE301" s="247"/>
      <c r="BF301" s="247"/>
      <c r="BG301" s="17"/>
      <c r="BH301" s="17"/>
      <c r="BI301" s="17"/>
      <c r="BJ301" s="247"/>
      <c r="BK301" s="247"/>
      <c r="BL301" s="247"/>
      <c r="BM301" s="190"/>
      <c r="BN301" s="190"/>
      <c r="BO301" s="17"/>
      <c r="BP301" s="247">
        <v>85000</v>
      </c>
      <c r="BQ301" s="247">
        <f>+BP301*19%</f>
        <v>16150</v>
      </c>
      <c r="BR301" s="247">
        <f>+BQ301+BP301</f>
        <v>101150</v>
      </c>
      <c r="BS301" s="17"/>
      <c r="BT301" s="17"/>
      <c r="BU301" s="17"/>
      <c r="BV301" s="189"/>
      <c r="BW301" s="197"/>
      <c r="BX301" s="246"/>
      <c r="BY301" s="190"/>
      <c r="BZ301" s="190"/>
      <c r="CA301" s="190"/>
      <c r="CB301" s="247"/>
      <c r="CC301" s="247"/>
      <c r="CD301" s="247"/>
      <c r="CE301" s="17"/>
      <c r="CF301" s="17"/>
      <c r="CG301" s="17"/>
      <c r="CH301" s="247"/>
      <c r="CI301" s="247"/>
      <c r="CJ301" s="247"/>
      <c r="CK301" s="17"/>
      <c r="CL301" s="17"/>
      <c r="CM301" s="17"/>
      <c r="CN301" s="17"/>
      <c r="CO301" s="17"/>
      <c r="CP301" s="11"/>
      <c r="CQ301" s="11"/>
      <c r="CR301" s="11"/>
      <c r="CS301" s="11"/>
      <c r="CT301" s="247"/>
      <c r="CU301" s="247"/>
      <c r="CV301" s="247"/>
      <c r="CW301" s="11"/>
      <c r="CX301" s="11"/>
      <c r="CY301" s="11"/>
      <c r="CZ301" s="11"/>
      <c r="DA301" s="11"/>
      <c r="DB301" s="11"/>
      <c r="DC301" s="11"/>
      <c r="DD301" s="11"/>
      <c r="DE301" s="11"/>
      <c r="DF301" s="11"/>
      <c r="DG301" s="11"/>
      <c r="DH301" s="11"/>
      <c r="DI301" s="11"/>
      <c r="DJ301" s="11"/>
      <c r="DK301" s="11"/>
      <c r="DL301" s="247"/>
      <c r="DM301" s="247"/>
      <c r="DN301" s="247"/>
      <c r="DO301" s="247"/>
      <c r="DP301" s="247"/>
      <c r="DQ301" s="247"/>
      <c r="DR301" s="247"/>
      <c r="DS301" s="247"/>
      <c r="DT301" s="247"/>
      <c r="DU301" s="247"/>
      <c r="DV301" s="247"/>
      <c r="DW301" s="247"/>
      <c r="DX301" s="247"/>
      <c r="DY301" s="247"/>
      <c r="DZ301" s="247"/>
      <c r="EA301" s="247"/>
      <c r="EB301" s="247"/>
      <c r="EC301" s="247"/>
      <c r="ED301" s="17">
        <f t="shared" si="82"/>
        <v>279650</v>
      </c>
      <c r="EE301" s="29">
        <f t="shared" si="83"/>
        <v>2</v>
      </c>
      <c r="EF301" s="17">
        <f t="shared" si="81"/>
        <v>139825</v>
      </c>
    </row>
    <row r="302" spans="1:136" x14ac:dyDescent="0.25">
      <c r="A302" s="25">
        <f>Distribución_Elementos!A302</f>
        <v>300</v>
      </c>
      <c r="B302" s="22" t="str">
        <f>Distribución_Elementos!B302</f>
        <v>Láminilla circular 22 mm</v>
      </c>
      <c r="C302" s="22" t="str">
        <f>Distribución_Elementos!C302</f>
        <v>Cualquier marca</v>
      </c>
      <c r="D302" s="22" t="str">
        <f>Distribución_Elementos!D302</f>
        <v>Caja x 100</v>
      </c>
      <c r="E302" s="224">
        <v>1</v>
      </c>
      <c r="F302" s="221">
        <v>0</v>
      </c>
      <c r="G302" s="221">
        <v>0</v>
      </c>
      <c r="H302" s="221">
        <v>0</v>
      </c>
      <c r="I302" s="221">
        <v>0</v>
      </c>
      <c r="J302" s="221">
        <v>0</v>
      </c>
      <c r="K302" s="221">
        <v>0</v>
      </c>
      <c r="L302" s="247"/>
      <c r="M302" s="247"/>
      <c r="N302" s="227">
        <v>55000</v>
      </c>
      <c r="O302" s="119">
        <f t="shared" si="94"/>
        <v>10450</v>
      </c>
      <c r="P302" s="119">
        <f t="shared" si="95"/>
        <v>65450</v>
      </c>
      <c r="Q302" s="115"/>
      <c r="R302" s="115"/>
      <c r="S302" s="11"/>
      <c r="T302" s="247"/>
      <c r="U302" s="247"/>
      <c r="V302" s="247"/>
      <c r="W302" s="17"/>
      <c r="X302" s="11"/>
      <c r="Y302" s="11"/>
      <c r="Z302" s="247"/>
      <c r="AA302" s="247"/>
      <c r="AB302" s="247"/>
      <c r="AC302" s="44"/>
      <c r="AD302" s="22"/>
      <c r="AE302" s="17"/>
      <c r="AF302" s="247"/>
      <c r="AG302" s="247"/>
      <c r="AH302" s="151"/>
      <c r="AI302" s="4"/>
      <c r="AJ302" s="17"/>
      <c r="AK302" s="17"/>
      <c r="AL302" s="102"/>
      <c r="AM302" s="132"/>
      <c r="AN302" s="161"/>
      <c r="AO302" s="115"/>
      <c r="AP302" s="115"/>
      <c r="AQ302" s="17"/>
      <c r="AR302" s="247"/>
      <c r="AS302" s="247"/>
      <c r="AT302" s="247"/>
      <c r="AU302" s="17"/>
      <c r="AV302" s="17"/>
      <c r="AW302" s="17"/>
      <c r="AX302" s="247"/>
      <c r="AY302" s="247"/>
      <c r="AZ302" s="247"/>
      <c r="BA302" s="17"/>
      <c r="BB302" s="52"/>
      <c r="BC302" s="17"/>
      <c r="BD302" s="247"/>
      <c r="BE302" s="247"/>
      <c r="BF302" s="247"/>
      <c r="BG302" s="17"/>
      <c r="BH302" s="17"/>
      <c r="BI302" s="17"/>
      <c r="BJ302" s="247"/>
      <c r="BK302" s="247"/>
      <c r="BL302" s="247"/>
      <c r="BM302" s="190"/>
      <c r="BN302" s="190"/>
      <c r="BO302" s="17"/>
      <c r="BP302" s="247">
        <v>65000</v>
      </c>
      <c r="BQ302" s="247">
        <f>+BP302*19%</f>
        <v>12350</v>
      </c>
      <c r="BR302" s="247">
        <f>+BQ302+BP302</f>
        <v>77350</v>
      </c>
      <c r="BS302" s="17"/>
      <c r="BT302" s="17"/>
      <c r="BU302" s="17"/>
      <c r="BV302" s="189"/>
      <c r="BW302" s="197"/>
      <c r="BX302" s="246"/>
      <c r="BY302" s="190"/>
      <c r="BZ302" s="190"/>
      <c r="CA302" s="190"/>
      <c r="CB302" s="247"/>
      <c r="CC302" s="247"/>
      <c r="CD302" s="247"/>
      <c r="CE302" s="17"/>
      <c r="CF302" s="17"/>
      <c r="CG302" s="17"/>
      <c r="CH302" s="247"/>
      <c r="CI302" s="247"/>
      <c r="CJ302" s="247"/>
      <c r="CK302" s="17"/>
      <c r="CL302" s="17"/>
      <c r="CM302" s="17"/>
      <c r="CN302" s="17"/>
      <c r="CO302" s="17"/>
      <c r="CP302" s="11"/>
      <c r="CQ302" s="11"/>
      <c r="CR302" s="11"/>
      <c r="CS302" s="11"/>
      <c r="CT302" s="247"/>
      <c r="CU302" s="247"/>
      <c r="CV302" s="247"/>
      <c r="CW302" s="11"/>
      <c r="CX302" s="11"/>
      <c r="CY302" s="11"/>
      <c r="CZ302" s="11"/>
      <c r="DA302" s="11"/>
      <c r="DB302" s="11"/>
      <c r="DC302" s="11"/>
      <c r="DD302" s="11"/>
      <c r="DE302" s="11"/>
      <c r="DF302" s="11"/>
      <c r="DG302" s="11"/>
      <c r="DH302" s="11"/>
      <c r="DI302" s="11"/>
      <c r="DJ302" s="11"/>
      <c r="DK302" s="11"/>
      <c r="DL302" s="247"/>
      <c r="DM302" s="247"/>
      <c r="DN302" s="247"/>
      <c r="DO302" s="247"/>
      <c r="DP302" s="247"/>
      <c r="DQ302" s="247"/>
      <c r="DR302" s="247"/>
      <c r="DS302" s="247"/>
      <c r="DT302" s="247"/>
      <c r="DU302" s="247"/>
      <c r="DV302" s="247"/>
      <c r="DW302" s="247"/>
      <c r="DX302" s="247"/>
      <c r="DY302" s="247"/>
      <c r="DZ302" s="247"/>
      <c r="EA302" s="247"/>
      <c r="EB302" s="247"/>
      <c r="EC302" s="247"/>
      <c r="ED302" s="17">
        <f t="shared" si="82"/>
        <v>142800</v>
      </c>
      <c r="EE302" s="29">
        <f t="shared" si="83"/>
        <v>2</v>
      </c>
      <c r="EF302" s="17">
        <f t="shared" si="81"/>
        <v>71400</v>
      </c>
    </row>
    <row r="303" spans="1:136" x14ac:dyDescent="0.25">
      <c r="A303" s="25">
        <f>Distribución_Elementos!A303</f>
        <v>301</v>
      </c>
      <c r="B303" s="22" t="str">
        <f>Distribución_Elementos!B303</f>
        <v>Laminilla cubre objeto 22 x 22 mm</v>
      </c>
      <c r="C303" s="22" t="str">
        <f>Distribución_Elementos!C303</f>
        <v>Cualquier marca</v>
      </c>
      <c r="D303" s="22" t="str">
        <f>Distribución_Elementos!D303</f>
        <v xml:space="preserve">Caja x 100 </v>
      </c>
      <c r="E303" s="224">
        <v>1</v>
      </c>
      <c r="F303" s="221">
        <v>20593.901999999998</v>
      </c>
      <c r="G303" s="221">
        <v>19516</v>
      </c>
      <c r="H303" s="221">
        <v>9969.1134389597646</v>
      </c>
      <c r="I303" s="221">
        <v>4879</v>
      </c>
      <c r="J303" s="221">
        <v>9174.2388888888891</v>
      </c>
      <c r="K303" s="221">
        <v>8925</v>
      </c>
      <c r="L303" s="247">
        <f>AVERAGE(F303,H303,J303)</f>
        <v>13245.751442616218</v>
      </c>
      <c r="M303" s="247">
        <f>AVERAGE(G303,I303,K303)*E1</f>
        <v>11439.866666666667</v>
      </c>
      <c r="N303" s="227">
        <v>7500</v>
      </c>
      <c r="O303" s="119">
        <f t="shared" si="94"/>
        <v>1425</v>
      </c>
      <c r="P303" s="119">
        <f t="shared" si="95"/>
        <v>8925</v>
      </c>
      <c r="Q303" s="115"/>
      <c r="R303" s="115"/>
      <c r="S303" s="11"/>
      <c r="T303" s="247">
        <v>4510</v>
      </c>
      <c r="U303" s="247">
        <f>+T303*0.19</f>
        <v>856.9</v>
      </c>
      <c r="V303" s="247">
        <f>+T303+U303</f>
        <v>5366.9</v>
      </c>
      <c r="W303" s="17" t="s">
        <v>1061</v>
      </c>
      <c r="X303" s="11" t="s">
        <v>1637</v>
      </c>
      <c r="Y303" s="11"/>
      <c r="Z303" s="247"/>
      <c r="AA303" s="247"/>
      <c r="AB303" s="247"/>
      <c r="AC303" s="31"/>
      <c r="AD303" s="22"/>
      <c r="AE303" s="17"/>
      <c r="AF303" s="247"/>
      <c r="AG303" s="247"/>
      <c r="AH303" s="124"/>
      <c r="AI303" s="4"/>
      <c r="AJ303" s="17"/>
      <c r="AK303" s="17"/>
      <c r="AL303" s="102"/>
      <c r="AM303" s="132"/>
      <c r="AN303" s="161"/>
      <c r="AO303" s="115"/>
      <c r="AP303" s="115"/>
      <c r="AQ303" s="17"/>
      <c r="AR303" s="247"/>
      <c r="AS303" s="247"/>
      <c r="AT303" s="247"/>
      <c r="AU303" s="17"/>
      <c r="AV303" s="17"/>
      <c r="AW303" s="17"/>
      <c r="AX303" s="247"/>
      <c r="AY303" s="247"/>
      <c r="AZ303" s="247"/>
      <c r="BA303" s="17"/>
      <c r="BB303" s="52"/>
      <c r="BC303" s="17"/>
      <c r="BD303" s="247"/>
      <c r="BE303" s="247"/>
      <c r="BF303" s="247"/>
      <c r="BG303" s="17"/>
      <c r="BH303" s="17"/>
      <c r="BI303" s="17"/>
      <c r="BJ303" s="247"/>
      <c r="BK303" s="247"/>
      <c r="BL303" s="247"/>
      <c r="BM303" s="190"/>
      <c r="BN303" s="190"/>
      <c r="BO303" s="17"/>
      <c r="BP303" s="247">
        <v>3500</v>
      </c>
      <c r="BQ303" s="247">
        <f>+BP303*19%</f>
        <v>665</v>
      </c>
      <c r="BR303" s="247">
        <f>+BQ303+BP303</f>
        <v>4165</v>
      </c>
      <c r="BS303" s="17"/>
      <c r="BT303" s="17"/>
      <c r="BU303" s="17"/>
      <c r="BV303" s="189"/>
      <c r="BW303" s="197"/>
      <c r="BX303" s="246"/>
      <c r="BY303" s="190"/>
      <c r="BZ303" s="190"/>
      <c r="CA303" s="190"/>
      <c r="CB303" s="247"/>
      <c r="CC303" s="247"/>
      <c r="CD303" s="247"/>
      <c r="CE303" s="17"/>
      <c r="CF303" s="17"/>
      <c r="CG303" s="17"/>
      <c r="CH303" s="247"/>
      <c r="CI303" s="247"/>
      <c r="CJ303" s="247"/>
      <c r="CK303" s="17"/>
      <c r="CL303" s="17"/>
      <c r="CM303" s="17"/>
      <c r="CN303" s="17"/>
      <c r="CO303" s="17"/>
      <c r="CP303" s="11"/>
      <c r="CQ303" s="11"/>
      <c r="CR303" s="11"/>
      <c r="CS303" s="11"/>
      <c r="CT303" s="247"/>
      <c r="CU303" s="247"/>
      <c r="CV303" s="247"/>
      <c r="CW303" s="11"/>
      <c r="CX303" s="11"/>
      <c r="CY303" s="11"/>
      <c r="CZ303" s="11"/>
      <c r="DA303" s="11"/>
      <c r="DB303" s="11"/>
      <c r="DC303" s="11"/>
      <c r="DD303" s="11"/>
      <c r="DE303" s="11"/>
      <c r="DF303" s="11"/>
      <c r="DG303" s="11"/>
      <c r="DH303" s="11"/>
      <c r="DI303" s="11"/>
      <c r="DJ303" s="11"/>
      <c r="DK303" s="11"/>
      <c r="DL303" s="247"/>
      <c r="DM303" s="247"/>
      <c r="DN303" s="247"/>
      <c r="DO303" s="247"/>
      <c r="DP303" s="247"/>
      <c r="DQ303" s="247"/>
      <c r="DR303" s="247"/>
      <c r="DS303" s="247"/>
      <c r="DT303" s="247"/>
      <c r="DU303" s="247"/>
      <c r="DV303" s="247"/>
      <c r="DW303" s="247"/>
      <c r="DX303" s="247"/>
      <c r="DY303" s="247"/>
      <c r="DZ303" s="247"/>
      <c r="EA303" s="247"/>
      <c r="EB303" s="247"/>
      <c r="EC303" s="247"/>
      <c r="ED303" s="17">
        <f t="shared" si="82"/>
        <v>29896.76666666667</v>
      </c>
      <c r="EE303" s="29">
        <f t="shared" si="83"/>
        <v>4</v>
      </c>
      <c r="EF303" s="17">
        <f t="shared" si="81"/>
        <v>7474.1916666666675</v>
      </c>
    </row>
    <row r="304" spans="1:136" x14ac:dyDescent="0.25">
      <c r="A304" s="25">
        <f>Distribución_Elementos!A304</f>
        <v>302</v>
      </c>
      <c r="B304" s="22" t="str">
        <f>Distribución_Elementos!B304</f>
        <v>Laminilla cubre objeto 22 x 44 mm</v>
      </c>
      <c r="C304" s="22" t="str">
        <f>Distribución_Elementos!C304</f>
        <v>Cualquier marca</v>
      </c>
      <c r="D304" s="22" t="str">
        <f>Distribución_Elementos!D304</f>
        <v xml:space="preserve">Caja x 100 </v>
      </c>
      <c r="E304" s="224">
        <v>1</v>
      </c>
      <c r="F304" s="221">
        <v>8637.8133333333335</v>
      </c>
      <c r="G304" s="221">
        <v>8211</v>
      </c>
      <c r="H304" s="221">
        <v>11305</v>
      </c>
      <c r="I304" s="221">
        <v>0</v>
      </c>
      <c r="J304" s="221">
        <v>23294.25</v>
      </c>
      <c r="K304" s="221">
        <v>0</v>
      </c>
      <c r="L304" s="247">
        <f>AVERAGE(F304,H304,J304)</f>
        <v>14412.354444444443</v>
      </c>
      <c r="M304" s="247">
        <f>G304*E1</f>
        <v>8457.33</v>
      </c>
      <c r="N304" s="227">
        <v>15000</v>
      </c>
      <c r="O304" s="119">
        <f t="shared" si="94"/>
        <v>2850</v>
      </c>
      <c r="P304" s="119">
        <f t="shared" si="95"/>
        <v>17850</v>
      </c>
      <c r="Q304" s="115"/>
      <c r="R304" s="115"/>
      <c r="S304" s="11"/>
      <c r="T304" s="247"/>
      <c r="U304" s="247"/>
      <c r="V304" s="247"/>
      <c r="W304" s="17"/>
      <c r="X304" s="11"/>
      <c r="Y304" s="11"/>
      <c r="Z304" s="247"/>
      <c r="AA304" s="247"/>
      <c r="AB304" s="247"/>
      <c r="AC304" s="44"/>
      <c r="AD304" s="22"/>
      <c r="AE304" s="17"/>
      <c r="AF304" s="247"/>
      <c r="AG304" s="247"/>
      <c r="AH304" s="151"/>
      <c r="AI304" s="4"/>
      <c r="AJ304" s="17"/>
      <c r="AK304" s="17"/>
      <c r="AL304" s="102"/>
      <c r="AM304" s="132"/>
      <c r="AN304" s="161"/>
      <c r="AO304" s="115"/>
      <c r="AP304" s="115"/>
      <c r="AQ304" s="17"/>
      <c r="AR304" s="247"/>
      <c r="AS304" s="247"/>
      <c r="AT304" s="247"/>
      <c r="AU304" s="17"/>
      <c r="AV304" s="17"/>
      <c r="AW304" s="17"/>
      <c r="AX304" s="247"/>
      <c r="AY304" s="247"/>
      <c r="AZ304" s="247"/>
      <c r="BA304" s="17"/>
      <c r="BB304" s="52"/>
      <c r="BC304" s="17"/>
      <c r="BD304" s="247"/>
      <c r="BE304" s="247"/>
      <c r="BF304" s="247"/>
      <c r="BG304" s="17"/>
      <c r="BH304" s="17"/>
      <c r="BI304" s="17"/>
      <c r="BJ304" s="247"/>
      <c r="BK304" s="247"/>
      <c r="BL304" s="247"/>
      <c r="BM304" s="190"/>
      <c r="BN304" s="190"/>
      <c r="BO304" s="17"/>
      <c r="BP304" s="247">
        <v>85000</v>
      </c>
      <c r="BQ304" s="247">
        <f>+BP304*19%</f>
        <v>16150</v>
      </c>
      <c r="BR304" s="247">
        <f>+BQ304+BP304</f>
        <v>101150</v>
      </c>
      <c r="BS304" s="17"/>
      <c r="BT304" s="17"/>
      <c r="BU304" s="17"/>
      <c r="BV304" s="189"/>
      <c r="BW304" s="197"/>
      <c r="BX304" s="246"/>
      <c r="BY304" s="190"/>
      <c r="BZ304" s="190"/>
      <c r="CA304" s="190"/>
      <c r="CB304" s="247"/>
      <c r="CC304" s="247"/>
      <c r="CD304" s="247"/>
      <c r="CE304" s="17"/>
      <c r="CF304" s="17"/>
      <c r="CG304" s="17"/>
      <c r="CH304" s="247"/>
      <c r="CI304" s="247"/>
      <c r="CJ304" s="247"/>
      <c r="CK304" s="17"/>
      <c r="CL304" s="17"/>
      <c r="CM304" s="17"/>
      <c r="CN304" s="17"/>
      <c r="CO304" s="17"/>
      <c r="CP304" s="11"/>
      <c r="CQ304" s="11"/>
      <c r="CR304" s="11"/>
      <c r="CS304" s="11"/>
      <c r="CT304" s="247"/>
      <c r="CU304" s="247"/>
      <c r="CV304" s="247"/>
      <c r="CW304" s="11"/>
      <c r="CX304" s="11"/>
      <c r="CY304" s="11"/>
      <c r="CZ304" s="11"/>
      <c r="DA304" s="11"/>
      <c r="DB304" s="11"/>
      <c r="DC304" s="11"/>
      <c r="DD304" s="11"/>
      <c r="DE304" s="11"/>
      <c r="DF304" s="11"/>
      <c r="DG304" s="11"/>
      <c r="DH304" s="11"/>
      <c r="DI304" s="11"/>
      <c r="DJ304" s="11"/>
      <c r="DK304" s="11"/>
      <c r="DL304" s="247"/>
      <c r="DM304" s="247"/>
      <c r="DN304" s="247"/>
      <c r="DO304" s="247"/>
      <c r="DP304" s="247"/>
      <c r="DQ304" s="247"/>
      <c r="DR304" s="247"/>
      <c r="DS304" s="247"/>
      <c r="DT304" s="247"/>
      <c r="DU304" s="247"/>
      <c r="DV304" s="247"/>
      <c r="DW304" s="247"/>
      <c r="DX304" s="247"/>
      <c r="DY304" s="247"/>
      <c r="DZ304" s="247"/>
      <c r="EA304" s="247"/>
      <c r="EB304" s="247"/>
      <c r="EC304" s="247"/>
      <c r="ED304" s="17">
        <f t="shared" si="82"/>
        <v>127457.33</v>
      </c>
      <c r="EE304" s="29">
        <f t="shared" si="83"/>
        <v>3</v>
      </c>
      <c r="EF304" s="17">
        <f t="shared" si="81"/>
        <v>42485.776666666665</v>
      </c>
    </row>
    <row r="305" spans="1:136" x14ac:dyDescent="0.25">
      <c r="A305" s="25">
        <f>Distribución_Elementos!A305</f>
        <v>303</v>
      </c>
      <c r="B305" s="22" t="str">
        <f>Distribución_Elementos!B305</f>
        <v>Laminillas de Cuarzo para camara de Newbauer</v>
      </c>
      <c r="C305" s="22" t="str">
        <f>Distribución_Elementos!C305</f>
        <v>OSSALUD o equivalente</v>
      </c>
      <c r="D305" s="22" t="str">
        <f>Distribución_Elementos!D305</f>
        <v xml:space="preserve">Caja x 10 Unidades   </v>
      </c>
      <c r="E305" s="224">
        <v>1</v>
      </c>
      <c r="F305" s="221">
        <v>0</v>
      </c>
      <c r="G305" s="221">
        <v>0</v>
      </c>
      <c r="H305" s="221">
        <v>75271.46666666666</v>
      </c>
      <c r="I305" s="221">
        <v>0</v>
      </c>
      <c r="J305" s="221">
        <v>64557.5</v>
      </c>
      <c r="K305" s="221">
        <v>0</v>
      </c>
      <c r="L305" s="247">
        <f>AVERAGE(H305,J305)</f>
        <v>69914.483333333337</v>
      </c>
      <c r="M305" s="247"/>
      <c r="N305" s="227">
        <v>30000</v>
      </c>
      <c r="O305" s="119">
        <f t="shared" si="94"/>
        <v>5700</v>
      </c>
      <c r="P305" s="119">
        <f t="shared" si="95"/>
        <v>35700</v>
      </c>
      <c r="Q305" s="115"/>
      <c r="R305" s="115"/>
      <c r="S305" s="11"/>
      <c r="T305" s="247"/>
      <c r="U305" s="247"/>
      <c r="V305" s="247"/>
      <c r="W305" s="17"/>
      <c r="X305" s="11"/>
      <c r="Y305" s="11"/>
      <c r="Z305" s="247"/>
      <c r="AA305" s="247"/>
      <c r="AB305" s="247"/>
      <c r="AC305" s="44"/>
      <c r="AD305" s="22"/>
      <c r="AE305" s="17"/>
      <c r="AF305" s="247"/>
      <c r="AG305" s="247"/>
      <c r="AH305" s="151"/>
      <c r="AI305" s="22"/>
      <c r="AJ305" s="17"/>
      <c r="AK305" s="17"/>
      <c r="AL305" s="102"/>
      <c r="AM305" s="132"/>
      <c r="AN305" s="161"/>
      <c r="AO305" s="115"/>
      <c r="AP305" s="115"/>
      <c r="AQ305" s="17"/>
      <c r="AR305" s="247"/>
      <c r="AS305" s="247"/>
      <c r="AT305" s="247"/>
      <c r="AU305" s="17"/>
      <c r="AV305" s="17"/>
      <c r="AW305" s="17"/>
      <c r="AX305" s="247"/>
      <c r="AY305" s="247"/>
      <c r="AZ305" s="247"/>
      <c r="BA305" s="17"/>
      <c r="BB305" s="52"/>
      <c r="BC305" s="17"/>
      <c r="BD305" s="247"/>
      <c r="BE305" s="247"/>
      <c r="BF305" s="247"/>
      <c r="BG305" s="17"/>
      <c r="BH305" s="17"/>
      <c r="BI305" s="17"/>
      <c r="BJ305" s="247"/>
      <c r="BK305" s="247"/>
      <c r="BL305" s="247"/>
      <c r="BM305" s="190"/>
      <c r="BN305" s="190"/>
      <c r="BO305" s="17"/>
      <c r="BP305" s="247"/>
      <c r="BQ305" s="247"/>
      <c r="BR305" s="247"/>
      <c r="BS305" s="17"/>
      <c r="BT305" s="17"/>
      <c r="BU305" s="17"/>
      <c r="BV305" s="189"/>
      <c r="BW305" s="197"/>
      <c r="BX305" s="246"/>
      <c r="BY305" s="190"/>
      <c r="BZ305" s="190"/>
      <c r="CA305" s="190"/>
      <c r="CB305" s="247"/>
      <c r="CC305" s="247"/>
      <c r="CD305" s="247"/>
      <c r="CE305" s="17"/>
      <c r="CF305" s="17"/>
      <c r="CG305" s="17"/>
      <c r="CH305" s="247"/>
      <c r="CI305" s="247"/>
      <c r="CJ305" s="247"/>
      <c r="CK305" s="17"/>
      <c r="CL305" s="17"/>
      <c r="CM305" s="17"/>
      <c r="CN305" s="17"/>
      <c r="CO305" s="17"/>
      <c r="CP305" s="11"/>
      <c r="CQ305" s="11"/>
      <c r="CR305" s="11"/>
      <c r="CS305" s="11"/>
      <c r="CT305" s="247"/>
      <c r="CU305" s="247"/>
      <c r="CV305" s="247"/>
      <c r="CW305" s="11"/>
      <c r="CX305" s="11"/>
      <c r="CY305" s="11"/>
      <c r="CZ305" s="11"/>
      <c r="DA305" s="11"/>
      <c r="DB305" s="11"/>
      <c r="DC305" s="11"/>
      <c r="DD305" s="11"/>
      <c r="DE305" s="11"/>
      <c r="DF305" s="11"/>
      <c r="DG305" s="11"/>
      <c r="DH305" s="11"/>
      <c r="DI305" s="11"/>
      <c r="DJ305" s="11"/>
      <c r="DK305" s="11"/>
      <c r="DL305" s="247"/>
      <c r="DM305" s="247"/>
      <c r="DN305" s="247"/>
      <c r="DO305" s="247"/>
      <c r="DP305" s="247"/>
      <c r="DQ305" s="247"/>
      <c r="DR305" s="247"/>
      <c r="DS305" s="247"/>
      <c r="DT305" s="247"/>
      <c r="DU305" s="247"/>
      <c r="DV305" s="247"/>
      <c r="DW305" s="247"/>
      <c r="DX305" s="247"/>
      <c r="DY305" s="247"/>
      <c r="DZ305" s="247"/>
      <c r="EA305" s="247"/>
      <c r="EB305" s="247"/>
      <c r="EC305" s="247"/>
      <c r="ED305" s="17">
        <f t="shared" ref="ED305:ED338" si="96">SUM(M305,P305,V305,AB305,AH305,AN305,AT305,AZ305,BF305,BL305,BR305,BX305,CD305,CJ305,CP305,CV305,DB305,DH305,DN305,DT305,DZ305)</f>
        <v>35700</v>
      </c>
      <c r="EE305" s="29">
        <f t="shared" ref="EE305:EE338" si="97">COUNTA(M305,N305,T305,Z305,AF305,AL305,AR305,AX305,BD305,BJ305,BP305,BV305,CB305,CH305,CN305,CT305,CZ305,DF305,DL305,DR305,DX305)</f>
        <v>1</v>
      </c>
      <c r="EF305" s="17">
        <f t="shared" ref="EF305:EF337" si="98">IFERROR(ED305/EE305," ")</f>
        <v>35700</v>
      </c>
    </row>
    <row r="306" spans="1:136" ht="38.25" x14ac:dyDescent="0.25">
      <c r="A306" s="25">
        <f>Distribución_Elementos!A306</f>
        <v>304</v>
      </c>
      <c r="B306" s="22" t="str">
        <f>Distribución_Elementos!B306</f>
        <v>Lapiz marcador de vidrio con punta de diamante, especial para marcaciones finas, con repuestos para trabajo continuo de dos años Longitud total 152 mm (6 ")</v>
      </c>
      <c r="C306" s="22" t="str">
        <f>Distribución_Elementos!C306</f>
        <v>Musco Sports Lightining o su equivalente</v>
      </c>
      <c r="D306" s="22" t="str">
        <f>Distribución_Elementos!D306</f>
        <v>Unidad</v>
      </c>
      <c r="E306" s="224">
        <v>1</v>
      </c>
      <c r="F306" s="221">
        <v>83300</v>
      </c>
      <c r="G306" s="221">
        <v>80801</v>
      </c>
      <c r="H306" s="221">
        <v>128610.82476666667</v>
      </c>
      <c r="I306" s="221">
        <v>128520</v>
      </c>
      <c r="J306" s="221">
        <v>92995.524999999994</v>
      </c>
      <c r="K306" s="221">
        <v>92820</v>
      </c>
      <c r="L306" s="247">
        <f>AVERAGE(F306,H306,J306)</f>
        <v>101635.44992222222</v>
      </c>
      <c r="M306" s="247">
        <f>AVERAGE(G306,I306,K306)*E1</f>
        <v>103735.07666666668</v>
      </c>
      <c r="N306" s="227">
        <v>85000</v>
      </c>
      <c r="O306" s="119">
        <f t="shared" si="94"/>
        <v>16150</v>
      </c>
      <c r="P306" s="119">
        <f t="shared" si="95"/>
        <v>101150</v>
      </c>
      <c r="Q306" s="115"/>
      <c r="R306" s="115"/>
      <c r="S306" s="11"/>
      <c r="T306" s="247"/>
      <c r="U306" s="247"/>
      <c r="V306" s="247"/>
      <c r="W306" s="17"/>
      <c r="X306" s="11"/>
      <c r="Y306" s="11"/>
      <c r="Z306" s="247"/>
      <c r="AA306" s="247"/>
      <c r="AB306" s="247"/>
      <c r="AC306" s="44"/>
      <c r="AD306" s="22"/>
      <c r="AE306" s="17"/>
      <c r="AF306" s="247"/>
      <c r="AG306" s="247"/>
      <c r="AH306" s="151"/>
      <c r="AI306" s="22"/>
      <c r="AJ306" s="17"/>
      <c r="AK306" s="17"/>
      <c r="AL306" s="102"/>
      <c r="AM306" s="132"/>
      <c r="AN306" s="161"/>
      <c r="AO306" s="115"/>
      <c r="AP306" s="115"/>
      <c r="AQ306" s="17"/>
      <c r="AR306" s="247"/>
      <c r="AS306" s="247"/>
      <c r="AT306" s="247"/>
      <c r="AU306" s="17"/>
      <c r="AV306" s="17"/>
      <c r="AW306" s="17"/>
      <c r="AX306" s="247"/>
      <c r="AY306" s="247"/>
      <c r="AZ306" s="247"/>
      <c r="BA306" s="17"/>
      <c r="BB306" s="52"/>
      <c r="BC306" s="17"/>
      <c r="BD306" s="247"/>
      <c r="BE306" s="247"/>
      <c r="BF306" s="247"/>
      <c r="BG306" s="17"/>
      <c r="BH306" s="17"/>
      <c r="BI306" s="17"/>
      <c r="BJ306" s="247">
        <v>152000</v>
      </c>
      <c r="BK306" s="247">
        <f t="shared" ref="BK306:BK337" si="99">+BJ306*0.19</f>
        <v>28880</v>
      </c>
      <c r="BL306" s="247">
        <f t="shared" ref="BL306:BL337" si="100">+BJ306+BK306</f>
        <v>180880</v>
      </c>
      <c r="BM306" s="191" t="s">
        <v>140</v>
      </c>
      <c r="BN306" s="190" t="s">
        <v>1619</v>
      </c>
      <c r="BO306" s="17"/>
      <c r="BP306" s="247">
        <v>8500</v>
      </c>
      <c r="BQ306" s="247">
        <f>+BP306*19%</f>
        <v>1615</v>
      </c>
      <c r="BR306" s="247">
        <f>+BQ306+BP306</f>
        <v>10115</v>
      </c>
      <c r="BS306" s="17"/>
      <c r="BT306" s="17"/>
      <c r="BU306" s="17"/>
      <c r="BV306" s="195">
        <v>175753.34400000001</v>
      </c>
      <c r="BW306" s="195">
        <f>+BV306*0.19</f>
        <v>33393.13536</v>
      </c>
      <c r="BX306" s="246">
        <f>+BV306+BW306</f>
        <v>209146.47936</v>
      </c>
      <c r="BY306" s="191" t="s">
        <v>140</v>
      </c>
      <c r="BZ306" s="190" t="s">
        <v>1619</v>
      </c>
      <c r="CA306" s="190"/>
      <c r="CB306" s="247"/>
      <c r="CC306" s="247"/>
      <c r="CD306" s="247"/>
      <c r="CE306" s="17"/>
      <c r="CF306" s="17"/>
      <c r="CG306" s="17"/>
      <c r="CH306" s="247"/>
      <c r="CI306" s="247"/>
      <c r="CJ306" s="247"/>
      <c r="CK306" s="17"/>
      <c r="CL306" s="17"/>
      <c r="CM306" s="17"/>
      <c r="CN306" s="17"/>
      <c r="CO306" s="17"/>
      <c r="CP306" s="11"/>
      <c r="CQ306" s="11"/>
      <c r="CR306" s="11"/>
      <c r="CS306" s="11"/>
      <c r="CT306" s="247"/>
      <c r="CU306" s="247"/>
      <c r="CV306" s="247"/>
      <c r="CW306" s="11"/>
      <c r="CX306" s="11"/>
      <c r="CY306" s="11"/>
      <c r="CZ306" s="11"/>
      <c r="DA306" s="11"/>
      <c r="DB306" s="11"/>
      <c r="DC306" s="11"/>
      <c r="DD306" s="11"/>
      <c r="DE306" s="11"/>
      <c r="DF306" s="11"/>
      <c r="DG306" s="11"/>
      <c r="DH306" s="11"/>
      <c r="DI306" s="11"/>
      <c r="DJ306" s="11"/>
      <c r="DK306" s="11"/>
      <c r="DL306" s="247"/>
      <c r="DM306" s="247"/>
      <c r="DN306" s="247"/>
      <c r="DO306" s="247"/>
      <c r="DP306" s="247"/>
      <c r="DQ306" s="247"/>
      <c r="DR306" s="247"/>
      <c r="DS306" s="247"/>
      <c r="DT306" s="247"/>
      <c r="DU306" s="247"/>
      <c r="DV306" s="247"/>
      <c r="DW306" s="247"/>
      <c r="DX306" s="247"/>
      <c r="DY306" s="247"/>
      <c r="DZ306" s="247"/>
      <c r="EA306" s="247"/>
      <c r="EB306" s="247"/>
      <c r="EC306" s="247"/>
      <c r="ED306" s="17">
        <f t="shared" si="96"/>
        <v>605026.55602666666</v>
      </c>
      <c r="EE306" s="29">
        <f t="shared" si="97"/>
        <v>5</v>
      </c>
      <c r="EF306" s="17">
        <f t="shared" si="98"/>
        <v>121005.31120533333</v>
      </c>
    </row>
    <row r="307" spans="1:136" x14ac:dyDescent="0.25">
      <c r="A307" s="25">
        <f>Distribución_Elementos!A307</f>
        <v>305</v>
      </c>
      <c r="B307" s="22" t="str">
        <f>Distribución_Elementos!B307</f>
        <v>Low-profile PCR tubes 8-tube strip,   clear cat# TLS0851</v>
      </c>
      <c r="C307" s="22" t="str">
        <f>Distribución_Elementos!C307</f>
        <v>BioRad o equivalente</v>
      </c>
      <c r="D307" s="22" t="str">
        <f>Distribución_Elementos!D307</f>
        <v>Paquete x 960</v>
      </c>
      <c r="E307" s="224">
        <v>1</v>
      </c>
      <c r="F307" s="221">
        <v>0</v>
      </c>
      <c r="G307" s="221">
        <v>0</v>
      </c>
      <c r="H307" s="221">
        <v>0</v>
      </c>
      <c r="I307" s="221">
        <v>0</v>
      </c>
      <c r="J307" s="221">
        <v>211820</v>
      </c>
      <c r="K307" s="221">
        <v>211820</v>
      </c>
      <c r="L307" s="247">
        <f>J307</f>
        <v>211820</v>
      </c>
      <c r="M307" s="247">
        <f>K307*E1</f>
        <v>218174.6</v>
      </c>
      <c r="N307" s="227"/>
      <c r="O307" s="119"/>
      <c r="P307" s="119"/>
      <c r="Q307" s="115"/>
      <c r="R307" s="115"/>
      <c r="S307" s="11"/>
      <c r="T307" s="247"/>
      <c r="U307" s="247"/>
      <c r="V307" s="247"/>
      <c r="W307" s="17"/>
      <c r="X307" s="11"/>
      <c r="Y307" s="11"/>
      <c r="Z307" s="247"/>
      <c r="AA307" s="247"/>
      <c r="AB307" s="247"/>
      <c r="AC307" s="5"/>
      <c r="AD307" s="5"/>
      <c r="AE307" s="17"/>
      <c r="AF307" s="247"/>
      <c r="AG307" s="247"/>
      <c r="AH307" s="149"/>
      <c r="AI307" s="5"/>
      <c r="AJ307" s="17"/>
      <c r="AK307" s="17"/>
      <c r="AL307" s="102"/>
      <c r="AM307" s="132"/>
      <c r="AN307" s="161"/>
      <c r="AO307" s="115"/>
      <c r="AP307" s="115"/>
      <c r="AQ307" s="17"/>
      <c r="AR307" s="247"/>
      <c r="AS307" s="247"/>
      <c r="AT307" s="247"/>
      <c r="AU307" s="17"/>
      <c r="AV307" s="17"/>
      <c r="AW307" s="17"/>
      <c r="AX307" s="247"/>
      <c r="AY307" s="247"/>
      <c r="AZ307" s="247"/>
      <c r="BA307" s="17"/>
      <c r="BB307" s="52"/>
      <c r="BC307" s="17"/>
      <c r="BD307" s="247"/>
      <c r="BE307" s="247"/>
      <c r="BF307" s="247"/>
      <c r="BG307" s="17"/>
      <c r="BH307" s="17"/>
      <c r="BI307" s="17"/>
      <c r="BJ307" s="247"/>
      <c r="BK307" s="247"/>
      <c r="BL307" s="247"/>
      <c r="BM307" s="190"/>
      <c r="BN307" s="190"/>
      <c r="BO307" s="17"/>
      <c r="BP307" s="247"/>
      <c r="BQ307" s="247"/>
      <c r="BR307" s="247"/>
      <c r="BS307" s="17"/>
      <c r="BT307" s="17"/>
      <c r="BU307" s="17"/>
      <c r="BV307" s="189"/>
      <c r="BW307" s="197"/>
      <c r="BX307" s="246"/>
      <c r="BY307" s="190"/>
      <c r="BZ307" s="190"/>
      <c r="CA307" s="190"/>
      <c r="CB307" s="247"/>
      <c r="CC307" s="247"/>
      <c r="CD307" s="247"/>
      <c r="CE307" s="17"/>
      <c r="CF307" s="17"/>
      <c r="CG307" s="17"/>
      <c r="CH307" s="247"/>
      <c r="CI307" s="247"/>
      <c r="CJ307" s="247"/>
      <c r="CK307" s="17"/>
      <c r="CL307" s="17"/>
      <c r="CM307" s="17"/>
      <c r="CN307" s="17"/>
      <c r="CO307" s="17"/>
      <c r="CP307" s="11"/>
      <c r="CQ307" s="11"/>
      <c r="CR307" s="11"/>
      <c r="CS307" s="11"/>
      <c r="CT307" s="247"/>
      <c r="CU307" s="247"/>
      <c r="CV307" s="247"/>
      <c r="CW307" s="11"/>
      <c r="CX307" s="11"/>
      <c r="CY307" s="11"/>
      <c r="CZ307" s="11"/>
      <c r="DA307" s="11"/>
      <c r="DB307" s="11"/>
      <c r="DC307" s="11"/>
      <c r="DD307" s="11"/>
      <c r="DE307" s="11"/>
      <c r="DF307" s="11"/>
      <c r="DG307" s="11"/>
      <c r="DH307" s="11"/>
      <c r="DI307" s="11"/>
      <c r="DJ307" s="11"/>
      <c r="DK307" s="11"/>
      <c r="DL307" s="247"/>
      <c r="DM307" s="247"/>
      <c r="DN307" s="247"/>
      <c r="DO307" s="247"/>
      <c r="DP307" s="247"/>
      <c r="DQ307" s="247"/>
      <c r="DR307" s="247"/>
      <c r="DS307" s="247"/>
      <c r="DT307" s="247"/>
      <c r="DU307" s="247"/>
      <c r="DV307" s="247"/>
      <c r="DW307" s="247"/>
      <c r="DX307" s="247"/>
      <c r="DY307" s="247"/>
      <c r="DZ307" s="247"/>
      <c r="EA307" s="247"/>
      <c r="EB307" s="247"/>
      <c r="EC307" s="247"/>
      <c r="ED307" s="17">
        <f t="shared" si="96"/>
        <v>218174.6</v>
      </c>
      <c r="EE307" s="29">
        <f t="shared" si="97"/>
        <v>1</v>
      </c>
      <c r="EF307" s="17">
        <f t="shared" si="98"/>
        <v>218174.6</v>
      </c>
    </row>
    <row r="308" spans="1:136" x14ac:dyDescent="0.25">
      <c r="A308" s="25">
        <f>Distribución_Elementos!A308</f>
        <v>306</v>
      </c>
      <c r="B308" s="22" t="str">
        <f>Distribución_Elementos!B308</f>
        <v xml:space="preserve">Lupa 20X. Lente 21mm cuerpo metálico, cromo </v>
      </c>
      <c r="C308" s="22" t="str">
        <f>Distribución_Elementos!C308</f>
        <v>Cualquier marca</v>
      </c>
      <c r="D308" s="22" t="str">
        <f>Distribución_Elementos!D308</f>
        <v>Unidad</v>
      </c>
      <c r="E308" s="224">
        <v>1</v>
      </c>
      <c r="F308" s="221">
        <v>65450</v>
      </c>
      <c r="G308" s="221">
        <v>65450</v>
      </c>
      <c r="H308" s="221">
        <v>74131.645000000004</v>
      </c>
      <c r="I308" s="221">
        <v>74018</v>
      </c>
      <c r="J308" s="221">
        <v>113479.72222222223</v>
      </c>
      <c r="K308" s="221">
        <v>57120</v>
      </c>
      <c r="L308" s="247">
        <f>AVERAGE(F308,H308,J308)</f>
        <v>84353.789074074084</v>
      </c>
      <c r="M308" s="247">
        <f>AVERAGE(G308,I308,K308)*E1</f>
        <v>67495.213333333333</v>
      </c>
      <c r="N308" s="227">
        <v>40000</v>
      </c>
      <c r="O308" s="119">
        <f>+N308*0.19</f>
        <v>7600</v>
      </c>
      <c r="P308" s="119">
        <f>+N308+O308</f>
        <v>47600</v>
      </c>
      <c r="Q308" s="115"/>
      <c r="R308" s="115"/>
      <c r="S308" s="11"/>
      <c r="T308" s="247"/>
      <c r="U308" s="247"/>
      <c r="V308" s="247"/>
      <c r="W308" s="17"/>
      <c r="X308" s="11"/>
      <c r="Y308" s="11"/>
      <c r="Z308" s="247"/>
      <c r="AA308" s="247"/>
      <c r="AB308" s="247"/>
      <c r="AC308" s="44"/>
      <c r="AD308" s="22"/>
      <c r="AE308" s="17"/>
      <c r="AF308" s="247"/>
      <c r="AG308" s="247"/>
      <c r="AH308" s="151"/>
      <c r="AI308" s="4"/>
      <c r="AJ308" s="17"/>
      <c r="AK308" s="17"/>
      <c r="AL308" s="102"/>
      <c r="AM308" s="132"/>
      <c r="AN308" s="161"/>
      <c r="AO308" s="115"/>
      <c r="AP308" s="115"/>
      <c r="AQ308" s="17"/>
      <c r="AR308" s="247">
        <v>75000</v>
      </c>
      <c r="AS308" s="247">
        <f>+AR308*0.19</f>
        <v>14250</v>
      </c>
      <c r="AT308" s="247">
        <f>+AR308+AS308</f>
        <v>89250</v>
      </c>
      <c r="AU308" s="17"/>
      <c r="AV308" s="17"/>
      <c r="AW308" s="17"/>
      <c r="AX308" s="247"/>
      <c r="AY308" s="247"/>
      <c r="AZ308" s="247"/>
      <c r="BA308" s="17"/>
      <c r="BB308" s="52"/>
      <c r="BC308" s="17"/>
      <c r="BD308" s="247"/>
      <c r="BE308" s="247"/>
      <c r="BF308" s="247"/>
      <c r="BG308" s="17"/>
      <c r="BH308" s="17"/>
      <c r="BI308" s="17"/>
      <c r="BJ308" s="247">
        <v>747600</v>
      </c>
      <c r="BK308" s="247">
        <f t="shared" si="99"/>
        <v>142044</v>
      </c>
      <c r="BL308" s="247">
        <f t="shared" si="100"/>
        <v>889644</v>
      </c>
      <c r="BM308" s="191" t="s">
        <v>140</v>
      </c>
      <c r="BN308" s="190" t="s">
        <v>316</v>
      </c>
      <c r="BO308" s="17"/>
      <c r="BP308" s="247"/>
      <c r="BQ308" s="247"/>
      <c r="BR308" s="247"/>
      <c r="BS308" s="17"/>
      <c r="BT308" s="17"/>
      <c r="BU308" s="17"/>
      <c r="BV308" s="195">
        <v>785581.07040000008</v>
      </c>
      <c r="BW308" s="195">
        <f>+BV308*0.19</f>
        <v>149260.40337600003</v>
      </c>
      <c r="BX308" s="246">
        <f>+BV308+BW308</f>
        <v>934841.47377600009</v>
      </c>
      <c r="BY308" s="191" t="s">
        <v>140</v>
      </c>
      <c r="BZ308" s="190" t="s">
        <v>316</v>
      </c>
      <c r="CA308" s="190"/>
      <c r="CB308" s="247"/>
      <c r="CC308" s="247"/>
      <c r="CD308" s="247"/>
      <c r="CE308" s="17"/>
      <c r="CF308" s="17"/>
      <c r="CG308" s="17"/>
      <c r="CH308" s="247"/>
      <c r="CI308" s="247"/>
      <c r="CJ308" s="247"/>
      <c r="CK308" s="17"/>
      <c r="CL308" s="17"/>
      <c r="CM308" s="17"/>
      <c r="CN308" s="17"/>
      <c r="CO308" s="17"/>
      <c r="CP308" s="11"/>
      <c r="CQ308" s="11"/>
      <c r="CR308" s="11"/>
      <c r="CS308" s="11"/>
      <c r="CT308" s="247"/>
      <c r="CU308" s="247"/>
      <c r="CV308" s="247"/>
      <c r="CW308" s="11"/>
      <c r="CX308" s="11"/>
      <c r="CY308" s="11"/>
      <c r="CZ308" s="11"/>
      <c r="DA308" s="11"/>
      <c r="DB308" s="11"/>
      <c r="DC308" s="11"/>
      <c r="DD308" s="11"/>
      <c r="DE308" s="11"/>
      <c r="DF308" s="11"/>
      <c r="DG308" s="11"/>
      <c r="DH308" s="11"/>
      <c r="DI308" s="11"/>
      <c r="DJ308" s="11"/>
      <c r="DK308" s="11"/>
      <c r="DL308" s="247"/>
      <c r="DM308" s="247"/>
      <c r="DN308" s="247"/>
      <c r="DO308" s="247"/>
      <c r="DP308" s="247"/>
      <c r="DQ308" s="247"/>
      <c r="DR308" s="247"/>
      <c r="DS308" s="247"/>
      <c r="DT308" s="247"/>
      <c r="DU308" s="247"/>
      <c r="DV308" s="247"/>
      <c r="DW308" s="247"/>
      <c r="DX308" s="247"/>
      <c r="DY308" s="247"/>
      <c r="DZ308" s="247"/>
      <c r="EA308" s="247"/>
      <c r="EB308" s="247"/>
      <c r="EC308" s="247"/>
      <c r="ED308" s="17">
        <f t="shared" si="96"/>
        <v>2028830.6871093335</v>
      </c>
      <c r="EE308" s="29">
        <f t="shared" si="97"/>
        <v>5</v>
      </c>
      <c r="EF308" s="17">
        <f t="shared" si="98"/>
        <v>405766.1374218667</v>
      </c>
    </row>
    <row r="309" spans="1:136" ht="36" x14ac:dyDescent="0.25">
      <c r="A309" s="25">
        <f>Distribución_Elementos!A309</f>
        <v>307</v>
      </c>
      <c r="B309" s="22" t="str">
        <f>Distribución_Elementos!B309</f>
        <v>Lysing Matrix A Bulk (Garnet)</v>
      </c>
      <c r="C309" s="22" t="str">
        <f>Distribución_Elementos!C309</f>
        <v>MP BIOMEDICALS  116540423</v>
      </c>
      <c r="D309" s="22" t="str">
        <f>Distribución_Elementos!D309</f>
        <v>Frasco x 200 g</v>
      </c>
      <c r="E309" s="224">
        <v>1</v>
      </c>
      <c r="F309" s="221">
        <v>0</v>
      </c>
      <c r="G309" s="221">
        <v>0</v>
      </c>
      <c r="H309" s="221">
        <v>0</v>
      </c>
      <c r="I309" s="221">
        <v>0</v>
      </c>
      <c r="J309" s="221">
        <v>542283</v>
      </c>
      <c r="K309" s="221">
        <v>0</v>
      </c>
      <c r="L309" s="247">
        <f>J309</f>
        <v>542283</v>
      </c>
      <c r="M309" s="247"/>
      <c r="N309" s="227"/>
      <c r="O309" s="119"/>
      <c r="P309" s="119"/>
      <c r="Q309" s="115"/>
      <c r="R309" s="115"/>
      <c r="S309" s="11"/>
      <c r="T309" s="247"/>
      <c r="U309" s="247"/>
      <c r="V309" s="247"/>
      <c r="W309" s="17"/>
      <c r="X309" s="11"/>
      <c r="Y309" s="11"/>
      <c r="Z309" s="247"/>
      <c r="AA309" s="247"/>
      <c r="AB309" s="247"/>
      <c r="AC309" s="44"/>
      <c r="AD309" s="22"/>
      <c r="AE309" s="17"/>
      <c r="AF309" s="247"/>
      <c r="AG309" s="247"/>
      <c r="AH309" s="151"/>
      <c r="AI309" s="4"/>
      <c r="AJ309" s="17"/>
      <c r="AK309" s="17"/>
      <c r="AL309" s="102"/>
      <c r="AM309" s="132"/>
      <c r="AN309" s="161"/>
      <c r="AO309" s="115"/>
      <c r="AP309" s="115"/>
      <c r="AQ309" s="17"/>
      <c r="AR309" s="247"/>
      <c r="AS309" s="247"/>
      <c r="AT309" s="247"/>
      <c r="AU309" s="17"/>
      <c r="AV309" s="17"/>
      <c r="AW309" s="17"/>
      <c r="AX309" s="247">
        <v>711000</v>
      </c>
      <c r="AY309" s="247">
        <f>+AX309*0.19</f>
        <v>135090</v>
      </c>
      <c r="AZ309" s="247">
        <f>+AX309+AY309</f>
        <v>846090</v>
      </c>
      <c r="BA309" s="17" t="s">
        <v>1638</v>
      </c>
      <c r="BB309" s="52" t="s">
        <v>1639</v>
      </c>
      <c r="BC309" s="17"/>
      <c r="BD309" s="247"/>
      <c r="BE309" s="247"/>
      <c r="BF309" s="247"/>
      <c r="BG309" s="17"/>
      <c r="BH309" s="17"/>
      <c r="BI309" s="17"/>
      <c r="BJ309" s="247">
        <v>1592600</v>
      </c>
      <c r="BK309" s="247">
        <f t="shared" si="99"/>
        <v>302594</v>
      </c>
      <c r="BL309" s="247">
        <f t="shared" si="100"/>
        <v>1895194</v>
      </c>
      <c r="BM309" s="190" t="s">
        <v>1640</v>
      </c>
      <c r="BN309" s="190" t="s">
        <v>475</v>
      </c>
      <c r="BO309" s="17"/>
      <c r="BP309" s="247"/>
      <c r="BQ309" s="247"/>
      <c r="BR309" s="247"/>
      <c r="BS309" s="17"/>
      <c r="BT309" s="17"/>
      <c r="BU309" s="17"/>
      <c r="BV309" s="195">
        <v>1807690.1856000002</v>
      </c>
      <c r="BW309" s="195">
        <f>+BV309*0.19</f>
        <v>343461.13526400004</v>
      </c>
      <c r="BX309" s="246">
        <f>+BV309+BW309</f>
        <v>2151151.3208640004</v>
      </c>
      <c r="BY309" s="190" t="s">
        <v>1640</v>
      </c>
      <c r="BZ309" s="190" t="s">
        <v>475</v>
      </c>
      <c r="CA309" s="190"/>
      <c r="CB309" s="247"/>
      <c r="CC309" s="247"/>
      <c r="CD309" s="247"/>
      <c r="CE309" s="17"/>
      <c r="CF309" s="17"/>
      <c r="CG309" s="17"/>
      <c r="CH309" s="247"/>
      <c r="CI309" s="247"/>
      <c r="CJ309" s="247"/>
      <c r="CK309" s="17"/>
      <c r="CL309" s="17"/>
      <c r="CM309" s="17"/>
      <c r="CN309" s="17"/>
      <c r="CO309" s="17"/>
      <c r="CP309" s="11"/>
      <c r="CQ309" s="11"/>
      <c r="CR309" s="11"/>
      <c r="CS309" s="11"/>
      <c r="CT309" s="247"/>
      <c r="CU309" s="247"/>
      <c r="CV309" s="247"/>
      <c r="CW309" s="11"/>
      <c r="CX309" s="11"/>
      <c r="CY309" s="11"/>
      <c r="CZ309" s="11"/>
      <c r="DA309" s="11"/>
      <c r="DB309" s="11"/>
      <c r="DC309" s="11"/>
      <c r="DD309" s="11"/>
      <c r="DE309" s="11"/>
      <c r="DF309" s="11"/>
      <c r="DG309" s="11"/>
      <c r="DH309" s="11"/>
      <c r="DI309" s="11"/>
      <c r="DJ309" s="11"/>
      <c r="DK309" s="11"/>
      <c r="DL309" s="247"/>
      <c r="DM309" s="247"/>
      <c r="DN309" s="247"/>
      <c r="DO309" s="247"/>
      <c r="DP309" s="247"/>
      <c r="DQ309" s="247"/>
      <c r="DR309" s="247"/>
      <c r="DS309" s="247"/>
      <c r="DT309" s="247"/>
      <c r="DU309" s="247"/>
      <c r="DV309" s="247"/>
      <c r="DW309" s="247"/>
      <c r="DX309" s="247"/>
      <c r="DY309" s="247"/>
      <c r="DZ309" s="247"/>
      <c r="EA309" s="247"/>
      <c r="EB309" s="247"/>
      <c r="EC309" s="247"/>
      <c r="ED309" s="17">
        <f t="shared" si="96"/>
        <v>4892435.3208640004</v>
      </c>
      <c r="EE309" s="29">
        <f t="shared" si="97"/>
        <v>3</v>
      </c>
      <c r="EF309" s="17">
        <f t="shared" si="98"/>
        <v>1630811.7736213335</v>
      </c>
    </row>
    <row r="310" spans="1:136" ht="24" x14ac:dyDescent="0.25">
      <c r="A310" s="25">
        <f>Distribución_Elementos!A310</f>
        <v>308</v>
      </c>
      <c r="B310" s="22" t="str">
        <f>Distribución_Elementos!B310</f>
        <v>LYSING MATRIX A, 4,5 mL Tube</v>
      </c>
      <c r="C310" s="22" t="str">
        <f>Distribución_Elementos!C310</f>
        <v>MP BIOMEDICALS 116970050</v>
      </c>
      <c r="D310" s="22" t="str">
        <f>Distribución_Elementos!D310</f>
        <v>Bolsa x 50</v>
      </c>
      <c r="E310" s="224">
        <v>1</v>
      </c>
      <c r="F310" s="221">
        <v>0</v>
      </c>
      <c r="G310" s="221">
        <v>0</v>
      </c>
      <c r="H310" s="221">
        <v>0</v>
      </c>
      <c r="I310" s="221">
        <v>0</v>
      </c>
      <c r="J310" s="221">
        <v>3998400</v>
      </c>
      <c r="K310" s="221">
        <v>0</v>
      </c>
      <c r="L310" s="247">
        <f>J310</f>
        <v>3998400</v>
      </c>
      <c r="M310" s="247"/>
      <c r="N310" s="227"/>
      <c r="O310" s="119"/>
      <c r="P310" s="119"/>
      <c r="Q310" s="115"/>
      <c r="R310" s="115"/>
      <c r="S310" s="11"/>
      <c r="T310" s="247"/>
      <c r="U310" s="247"/>
      <c r="V310" s="247"/>
      <c r="W310" s="17"/>
      <c r="X310" s="11"/>
      <c r="Y310" s="11"/>
      <c r="Z310" s="247"/>
      <c r="AA310" s="247"/>
      <c r="AB310" s="247"/>
      <c r="AC310" s="44"/>
      <c r="AD310" s="22"/>
      <c r="AE310" s="17"/>
      <c r="AF310" s="247"/>
      <c r="AG310" s="247"/>
      <c r="AH310" s="151"/>
      <c r="AI310" s="4"/>
      <c r="AJ310" s="17"/>
      <c r="AK310" s="17"/>
      <c r="AL310" s="102"/>
      <c r="AM310" s="132"/>
      <c r="AN310" s="161"/>
      <c r="AO310" s="115"/>
      <c r="AP310" s="115"/>
      <c r="AQ310" s="17"/>
      <c r="AR310" s="247"/>
      <c r="AS310" s="247"/>
      <c r="AT310" s="247"/>
      <c r="AU310" s="17"/>
      <c r="AV310" s="17"/>
      <c r="AW310" s="17"/>
      <c r="AX310" s="247"/>
      <c r="AY310" s="247"/>
      <c r="AZ310" s="247"/>
      <c r="BA310" s="17"/>
      <c r="BB310" s="52"/>
      <c r="BC310" s="17"/>
      <c r="BD310" s="247"/>
      <c r="BE310" s="247"/>
      <c r="BF310" s="247"/>
      <c r="BG310" s="17"/>
      <c r="BH310" s="17"/>
      <c r="BI310" s="17"/>
      <c r="BJ310" s="252">
        <v>5600000</v>
      </c>
      <c r="BK310" s="247">
        <f t="shared" si="99"/>
        <v>1064000</v>
      </c>
      <c r="BL310" s="247">
        <f t="shared" si="100"/>
        <v>6664000</v>
      </c>
      <c r="BM310" s="190" t="s">
        <v>1641</v>
      </c>
      <c r="BN310" s="190" t="s">
        <v>475</v>
      </c>
      <c r="BO310" s="17"/>
      <c r="BP310" s="247"/>
      <c r="BQ310" s="247"/>
      <c r="BR310" s="247"/>
      <c r="BS310" s="17"/>
      <c r="BT310" s="17"/>
      <c r="BU310" s="17"/>
      <c r="BV310" s="195"/>
      <c r="BW310" s="195"/>
      <c r="BX310" s="246"/>
      <c r="BY310" s="190"/>
      <c r="BZ310" s="190"/>
      <c r="CA310" s="190"/>
      <c r="CB310" s="247"/>
      <c r="CC310" s="247"/>
      <c r="CD310" s="247"/>
      <c r="CE310" s="17"/>
      <c r="CF310" s="17"/>
      <c r="CG310" s="17"/>
      <c r="CH310" s="247"/>
      <c r="CI310" s="247"/>
      <c r="CJ310" s="247"/>
      <c r="CK310" s="17"/>
      <c r="CL310" s="17"/>
      <c r="CM310" s="17"/>
      <c r="CN310" s="17"/>
      <c r="CO310" s="17"/>
      <c r="CP310" s="11"/>
      <c r="CQ310" s="11"/>
      <c r="CR310" s="11"/>
      <c r="CS310" s="11"/>
      <c r="CT310" s="247"/>
      <c r="CU310" s="247"/>
      <c r="CV310" s="247"/>
      <c r="CW310" s="11"/>
      <c r="CX310" s="11"/>
      <c r="CY310" s="11"/>
      <c r="CZ310" s="11"/>
      <c r="DA310" s="11"/>
      <c r="DB310" s="11"/>
      <c r="DC310" s="11"/>
      <c r="DD310" s="11"/>
      <c r="DE310" s="11"/>
      <c r="DF310" s="11"/>
      <c r="DG310" s="11"/>
      <c r="DH310" s="11"/>
      <c r="DI310" s="11"/>
      <c r="DJ310" s="11"/>
      <c r="DK310" s="11"/>
      <c r="DL310" s="247"/>
      <c r="DM310" s="247"/>
      <c r="DN310" s="247"/>
      <c r="DO310" s="247"/>
      <c r="DP310" s="247"/>
      <c r="DQ310" s="247"/>
      <c r="DR310" s="247"/>
      <c r="DS310" s="247"/>
      <c r="DT310" s="247"/>
      <c r="DU310" s="247"/>
      <c r="DV310" s="247"/>
      <c r="DW310" s="247"/>
      <c r="DX310" s="247"/>
      <c r="DY310" s="247"/>
      <c r="DZ310" s="247"/>
      <c r="EA310" s="247"/>
      <c r="EB310" s="247"/>
      <c r="EC310" s="247"/>
      <c r="ED310" s="17">
        <f t="shared" si="96"/>
        <v>6664000</v>
      </c>
      <c r="EE310" s="29">
        <f t="shared" si="97"/>
        <v>1</v>
      </c>
      <c r="EF310" s="17">
        <f t="shared" si="98"/>
        <v>6664000</v>
      </c>
    </row>
    <row r="311" spans="1:136" x14ac:dyDescent="0.25">
      <c r="A311" s="25">
        <f>Distribución_Elementos!A311</f>
        <v>309</v>
      </c>
      <c r="B311" s="22" t="str">
        <f>Distribución_Elementos!B311</f>
        <v>Maceradores en PP para viales de 1.5</v>
      </c>
      <c r="C311" s="22" t="str">
        <f>Distribución_Elementos!C311</f>
        <v>SSI Plastic</v>
      </c>
      <c r="D311" s="22" t="str">
        <f>Distribución_Elementos!D311</f>
        <v>Paquete X 10</v>
      </c>
      <c r="E311" s="224">
        <v>1</v>
      </c>
      <c r="F311" s="221">
        <v>0</v>
      </c>
      <c r="G311" s="221">
        <v>0</v>
      </c>
      <c r="H311" s="221">
        <v>41650</v>
      </c>
      <c r="I311" s="221">
        <v>0</v>
      </c>
      <c r="J311" s="221">
        <v>0</v>
      </c>
      <c r="K311" s="221">
        <v>0</v>
      </c>
      <c r="L311" s="247">
        <f>H311</f>
        <v>41650</v>
      </c>
      <c r="M311" s="247"/>
      <c r="N311" s="227"/>
      <c r="O311" s="119"/>
      <c r="P311" s="119"/>
      <c r="Q311" s="115"/>
      <c r="R311" s="115"/>
      <c r="S311" s="11"/>
      <c r="T311" s="247"/>
      <c r="U311" s="247"/>
      <c r="V311" s="247"/>
      <c r="W311" s="17"/>
      <c r="X311" s="11"/>
      <c r="Y311" s="11"/>
      <c r="Z311" s="247"/>
      <c r="AA311" s="247"/>
      <c r="AB311" s="247"/>
      <c r="AC311" s="44"/>
      <c r="AD311" s="22"/>
      <c r="AE311" s="17"/>
      <c r="AF311" s="247"/>
      <c r="AG311" s="247"/>
      <c r="AH311" s="151"/>
      <c r="AI311" s="22"/>
      <c r="AJ311" s="17"/>
      <c r="AK311" s="17"/>
      <c r="AL311" s="102"/>
      <c r="AM311" s="132"/>
      <c r="AN311" s="161"/>
      <c r="AO311" s="115"/>
      <c r="AP311" s="115"/>
      <c r="AQ311" s="17"/>
      <c r="AR311" s="247"/>
      <c r="AS311" s="247"/>
      <c r="AT311" s="247"/>
      <c r="AU311" s="17"/>
      <c r="AV311" s="17"/>
      <c r="AW311" s="17"/>
      <c r="AX311" s="247"/>
      <c r="AY311" s="247"/>
      <c r="AZ311" s="247"/>
      <c r="BA311" s="17"/>
      <c r="BB311" s="52"/>
      <c r="BC311" s="17"/>
      <c r="BD311" s="247"/>
      <c r="BE311" s="247"/>
      <c r="BF311" s="247"/>
      <c r="BG311" s="17"/>
      <c r="BH311" s="17"/>
      <c r="BI311" s="17"/>
      <c r="BJ311" s="247"/>
      <c r="BK311" s="247"/>
      <c r="BL311" s="247"/>
      <c r="BM311" s="190"/>
      <c r="BN311" s="190"/>
      <c r="BO311" s="17"/>
      <c r="BP311" s="247">
        <v>425000</v>
      </c>
      <c r="BQ311" s="247">
        <f>+BP311*19%</f>
        <v>80750</v>
      </c>
      <c r="BR311" s="247">
        <f>+BQ311+BP311</f>
        <v>505750</v>
      </c>
      <c r="BS311" s="17"/>
      <c r="BT311" s="17"/>
      <c r="BU311" s="17"/>
      <c r="BV311" s="189"/>
      <c r="BW311" s="197"/>
      <c r="BX311" s="246"/>
      <c r="BY311" s="190"/>
      <c r="BZ311" s="190"/>
      <c r="CA311" s="190"/>
      <c r="CB311" s="247"/>
      <c r="CC311" s="247"/>
      <c r="CD311" s="247"/>
      <c r="CE311" s="17"/>
      <c r="CF311" s="17"/>
      <c r="CG311" s="17"/>
      <c r="CH311" s="247"/>
      <c r="CI311" s="247"/>
      <c r="CJ311" s="247"/>
      <c r="CK311" s="17"/>
      <c r="CL311" s="17"/>
      <c r="CM311" s="17"/>
      <c r="CN311" s="17"/>
      <c r="CO311" s="17"/>
      <c r="CP311" s="11"/>
      <c r="CQ311" s="11"/>
      <c r="CR311" s="11"/>
      <c r="CS311" s="11"/>
      <c r="CT311" s="247"/>
      <c r="CU311" s="247"/>
      <c r="CV311" s="247"/>
      <c r="CW311" s="11"/>
      <c r="CX311" s="11"/>
      <c r="CY311" s="11"/>
      <c r="CZ311" s="11"/>
      <c r="DA311" s="11"/>
      <c r="DB311" s="11"/>
      <c r="DC311" s="11"/>
      <c r="DD311" s="11"/>
      <c r="DE311" s="11"/>
      <c r="DF311" s="11"/>
      <c r="DG311" s="11"/>
      <c r="DH311" s="11"/>
      <c r="DI311" s="11"/>
      <c r="DJ311" s="11"/>
      <c r="DK311" s="11"/>
      <c r="DL311" s="247"/>
      <c r="DM311" s="247"/>
      <c r="DN311" s="247"/>
      <c r="DO311" s="247"/>
      <c r="DP311" s="247"/>
      <c r="DQ311" s="247"/>
      <c r="DR311" s="247"/>
      <c r="DS311" s="247"/>
      <c r="DT311" s="247"/>
      <c r="DU311" s="247"/>
      <c r="DV311" s="247"/>
      <c r="DW311" s="247"/>
      <c r="DX311" s="247"/>
      <c r="DY311" s="247"/>
      <c r="DZ311" s="247"/>
      <c r="EA311" s="247"/>
      <c r="EB311" s="247"/>
      <c r="EC311" s="247"/>
      <c r="ED311" s="17">
        <f t="shared" si="96"/>
        <v>505750</v>
      </c>
      <c r="EE311" s="29">
        <f t="shared" si="97"/>
        <v>1</v>
      </c>
      <c r="EF311" s="17">
        <f t="shared" si="98"/>
        <v>505750</v>
      </c>
    </row>
    <row r="312" spans="1:136" x14ac:dyDescent="0.25">
      <c r="A312" s="25">
        <f>Distribución_Elementos!A312</f>
        <v>310</v>
      </c>
      <c r="B312" s="22" t="str">
        <f>Distribución_Elementos!B312</f>
        <v>Mango para bisturí en acero inoxidable No. 3</v>
      </c>
      <c r="C312" s="22" t="str">
        <f>Distribución_Elementos!C312</f>
        <v>Hospital o equivalente</v>
      </c>
      <c r="D312" s="22" t="str">
        <f>Distribución_Elementos!D312</f>
        <v>Unidad</v>
      </c>
      <c r="E312" s="224">
        <v>1</v>
      </c>
      <c r="F312" s="221">
        <v>11483.5</v>
      </c>
      <c r="G312" s="221">
        <v>0</v>
      </c>
      <c r="H312" s="221">
        <v>13328</v>
      </c>
      <c r="I312" s="221">
        <v>0</v>
      </c>
      <c r="J312" s="221">
        <v>16736.68888888889</v>
      </c>
      <c r="K312" s="221">
        <v>5117</v>
      </c>
      <c r="L312" s="247">
        <f>AVERAGE(F312,H312,J312)</f>
        <v>13849.396296296298</v>
      </c>
      <c r="M312" s="247">
        <f>K312*E1</f>
        <v>5270.51</v>
      </c>
      <c r="N312" s="227">
        <v>4500</v>
      </c>
      <c r="O312" s="119">
        <f>+N312*0.19</f>
        <v>855</v>
      </c>
      <c r="P312" s="119">
        <f>+N312+O312</f>
        <v>5355</v>
      </c>
      <c r="Q312" s="115"/>
      <c r="R312" s="115"/>
      <c r="S312" s="11"/>
      <c r="T312" s="247"/>
      <c r="U312" s="247"/>
      <c r="V312" s="247"/>
      <c r="W312" s="17"/>
      <c r="X312" s="11"/>
      <c r="Y312" s="11"/>
      <c r="Z312" s="247"/>
      <c r="AA312" s="247"/>
      <c r="AB312" s="247"/>
      <c r="AC312" s="44"/>
      <c r="AD312" s="22"/>
      <c r="AE312" s="17"/>
      <c r="AF312" s="247"/>
      <c r="AG312" s="247"/>
      <c r="AH312" s="151"/>
      <c r="AI312" s="4"/>
      <c r="AJ312" s="17"/>
      <c r="AK312" s="17"/>
      <c r="AL312" s="102"/>
      <c r="AM312" s="132"/>
      <c r="AN312" s="161"/>
      <c r="AO312" s="115"/>
      <c r="AP312" s="115"/>
      <c r="AQ312" s="17"/>
      <c r="AR312" s="247">
        <v>9200</v>
      </c>
      <c r="AS312" s="247">
        <f>+AR312*0.19</f>
        <v>1748</v>
      </c>
      <c r="AT312" s="247">
        <f>+AR312+AS312</f>
        <v>10948</v>
      </c>
      <c r="AU312" s="17"/>
      <c r="AV312" s="17"/>
      <c r="AW312" s="17"/>
      <c r="AX312" s="247"/>
      <c r="AY312" s="247"/>
      <c r="AZ312" s="247"/>
      <c r="BA312" s="17"/>
      <c r="BB312" s="52"/>
      <c r="BC312" s="17"/>
      <c r="BD312" s="247"/>
      <c r="BE312" s="247"/>
      <c r="BF312" s="247"/>
      <c r="BG312" s="17"/>
      <c r="BH312" s="17"/>
      <c r="BI312" s="17"/>
      <c r="BJ312" s="247">
        <v>5800</v>
      </c>
      <c r="BK312" s="247">
        <f t="shared" si="99"/>
        <v>1102</v>
      </c>
      <c r="BL312" s="247">
        <f t="shared" si="100"/>
        <v>6902</v>
      </c>
      <c r="BM312" s="191" t="s">
        <v>140</v>
      </c>
      <c r="BN312" s="190" t="s">
        <v>1500</v>
      </c>
      <c r="BO312" s="17"/>
      <c r="BP312" s="247">
        <v>12500</v>
      </c>
      <c r="BQ312" s="247">
        <f>+BP312*19%</f>
        <v>2375</v>
      </c>
      <c r="BR312" s="247">
        <f>+BQ312+BP312</f>
        <v>14875</v>
      </c>
      <c r="BS312" s="17"/>
      <c r="BT312" s="17"/>
      <c r="BU312" s="17"/>
      <c r="BV312" s="195">
        <v>6713.6160000000009</v>
      </c>
      <c r="BW312" s="195">
        <f>+BV312*0.19</f>
        <v>1275.5870400000001</v>
      </c>
      <c r="BX312" s="246">
        <f>+BV312+BW312</f>
        <v>7989.2030400000012</v>
      </c>
      <c r="BY312" s="191" t="s">
        <v>140</v>
      </c>
      <c r="BZ312" s="190" t="s">
        <v>1500</v>
      </c>
      <c r="CA312" s="190"/>
      <c r="CB312" s="247"/>
      <c r="CC312" s="247"/>
      <c r="CD312" s="247"/>
      <c r="CE312" s="17"/>
      <c r="CF312" s="17"/>
      <c r="CG312" s="17"/>
      <c r="CH312" s="247"/>
      <c r="CI312" s="247"/>
      <c r="CJ312" s="247"/>
      <c r="CK312" s="17"/>
      <c r="CL312" s="17"/>
      <c r="CM312" s="17"/>
      <c r="CN312" s="17"/>
      <c r="CO312" s="17"/>
      <c r="CP312" s="11"/>
      <c r="CQ312" s="11"/>
      <c r="CR312" s="11"/>
      <c r="CS312" s="11"/>
      <c r="CT312" s="247"/>
      <c r="CU312" s="247"/>
      <c r="CV312" s="247"/>
      <c r="CW312" s="11"/>
      <c r="CX312" s="11"/>
      <c r="CY312" s="11"/>
      <c r="CZ312" s="11"/>
      <c r="DA312" s="11"/>
      <c r="DB312" s="11"/>
      <c r="DC312" s="11"/>
      <c r="DD312" s="11"/>
      <c r="DE312" s="11"/>
      <c r="DF312" s="11"/>
      <c r="DG312" s="11"/>
      <c r="DH312" s="11"/>
      <c r="DI312" s="11"/>
      <c r="DJ312" s="11"/>
      <c r="DK312" s="11"/>
      <c r="DL312" s="247"/>
      <c r="DM312" s="247"/>
      <c r="DN312" s="247"/>
      <c r="DO312" s="247"/>
      <c r="DP312" s="247"/>
      <c r="DQ312" s="247"/>
      <c r="DR312" s="247"/>
      <c r="DS312" s="247"/>
      <c r="DT312" s="247"/>
      <c r="DU312" s="247"/>
      <c r="DV312" s="247"/>
      <c r="DW312" s="247"/>
      <c r="DX312" s="247"/>
      <c r="DY312" s="247"/>
      <c r="DZ312" s="247"/>
      <c r="EA312" s="247"/>
      <c r="EB312" s="247"/>
      <c r="EC312" s="247"/>
      <c r="ED312" s="17">
        <f t="shared" si="96"/>
        <v>51339.713040000002</v>
      </c>
      <c r="EE312" s="29">
        <f t="shared" si="97"/>
        <v>6</v>
      </c>
      <c r="EF312" s="17">
        <f t="shared" si="98"/>
        <v>8556.618840000001</v>
      </c>
    </row>
    <row r="313" spans="1:136" x14ac:dyDescent="0.25">
      <c r="A313" s="25">
        <f>Distribución_Elementos!A313</f>
        <v>311</v>
      </c>
      <c r="B313" s="22" t="str">
        <f>Distribución_Elementos!B313</f>
        <v>Mango para bisturí en acero inoxidable No. 4</v>
      </c>
      <c r="C313" s="22" t="str">
        <f>Distribución_Elementos!C313</f>
        <v>Hospital o equivalente</v>
      </c>
      <c r="D313" s="22" t="str">
        <f>Distribución_Elementos!D313</f>
        <v>Unidad</v>
      </c>
      <c r="E313" s="224">
        <v>1</v>
      </c>
      <c r="F313" s="221">
        <v>17493</v>
      </c>
      <c r="G313" s="221">
        <v>17136</v>
      </c>
      <c r="H313" s="221">
        <v>14587.952960000001</v>
      </c>
      <c r="I313" s="221">
        <v>14518</v>
      </c>
      <c r="J313" s="221">
        <v>21004.822222222225</v>
      </c>
      <c r="K313" s="221">
        <v>20825</v>
      </c>
      <c r="L313" s="247">
        <f>AVERAGE(F313,H313,J313)</f>
        <v>17695.258394074077</v>
      </c>
      <c r="M313" s="247">
        <f>AVERAGE(G313,I313,K313)*E1</f>
        <v>18017.79</v>
      </c>
      <c r="N313" s="227">
        <v>4500</v>
      </c>
      <c r="O313" s="119">
        <f>+N313*0.19</f>
        <v>855</v>
      </c>
      <c r="P313" s="119">
        <f>+N313+O313</f>
        <v>5355</v>
      </c>
      <c r="Q313" s="115"/>
      <c r="R313" s="115"/>
      <c r="S313" s="11"/>
      <c r="T313" s="247"/>
      <c r="U313" s="247"/>
      <c r="V313" s="247"/>
      <c r="W313" s="17"/>
      <c r="X313" s="11"/>
      <c r="Y313" s="11"/>
      <c r="Z313" s="247"/>
      <c r="AA313" s="247"/>
      <c r="AB313" s="247"/>
      <c r="AC313" s="44"/>
      <c r="AD313" s="22"/>
      <c r="AE313" s="17"/>
      <c r="AF313" s="247"/>
      <c r="AG313" s="247"/>
      <c r="AH313" s="151"/>
      <c r="AI313" s="4"/>
      <c r="AJ313" s="17"/>
      <c r="AK313" s="17"/>
      <c r="AL313" s="102"/>
      <c r="AM313" s="132"/>
      <c r="AN313" s="161"/>
      <c r="AO313" s="115"/>
      <c r="AP313" s="115"/>
      <c r="AQ313" s="17"/>
      <c r="AR313" s="247">
        <v>9600</v>
      </c>
      <c r="AS313" s="247">
        <f>+AR313*0.19</f>
        <v>1824</v>
      </c>
      <c r="AT313" s="247">
        <f>+AR313+AS313</f>
        <v>11424</v>
      </c>
      <c r="AU313" s="17"/>
      <c r="AV313" s="17"/>
      <c r="AW313" s="17"/>
      <c r="AX313" s="247"/>
      <c r="AY313" s="247"/>
      <c r="AZ313" s="247"/>
      <c r="BA313" s="17"/>
      <c r="BB313" s="52"/>
      <c r="BC313" s="17"/>
      <c r="BD313" s="247"/>
      <c r="BE313" s="247"/>
      <c r="BF313" s="247"/>
      <c r="BG313" s="17"/>
      <c r="BH313" s="17"/>
      <c r="BI313" s="17"/>
      <c r="BJ313" s="247">
        <v>24000</v>
      </c>
      <c r="BK313" s="247">
        <f t="shared" si="99"/>
        <v>4560</v>
      </c>
      <c r="BL313" s="247">
        <f t="shared" si="100"/>
        <v>28560</v>
      </c>
      <c r="BM313" s="191" t="s">
        <v>140</v>
      </c>
      <c r="BN313" s="190" t="s">
        <v>1642</v>
      </c>
      <c r="BO313" s="17"/>
      <c r="BP313" s="247">
        <v>12500</v>
      </c>
      <c r="BQ313" s="247">
        <f>+BP313*19%</f>
        <v>2375</v>
      </c>
      <c r="BR313" s="247">
        <f>+BQ313+BP313</f>
        <v>14875</v>
      </c>
      <c r="BS313" s="17"/>
      <c r="BT313" s="17"/>
      <c r="BU313" s="17"/>
      <c r="BV313" s="195">
        <v>26208.288</v>
      </c>
      <c r="BW313" s="195">
        <f>+BV313*0.19</f>
        <v>4979.5747200000005</v>
      </c>
      <c r="BX313" s="246">
        <f>+BV313+BW313</f>
        <v>31187.862720000001</v>
      </c>
      <c r="BY313" s="191" t="s">
        <v>140</v>
      </c>
      <c r="BZ313" s="190" t="s">
        <v>1642</v>
      </c>
      <c r="CA313" s="190"/>
      <c r="CB313" s="247"/>
      <c r="CC313" s="247"/>
      <c r="CD313" s="247"/>
      <c r="CE313" s="17"/>
      <c r="CF313" s="17"/>
      <c r="CG313" s="17"/>
      <c r="CH313" s="247"/>
      <c r="CI313" s="247"/>
      <c r="CJ313" s="247"/>
      <c r="CK313" s="17"/>
      <c r="CL313" s="17"/>
      <c r="CM313" s="17"/>
      <c r="CN313" s="17"/>
      <c r="CO313" s="17"/>
      <c r="CP313" s="11"/>
      <c r="CQ313" s="11"/>
      <c r="CR313" s="11"/>
      <c r="CS313" s="11"/>
      <c r="CT313" s="247"/>
      <c r="CU313" s="247"/>
      <c r="CV313" s="247"/>
      <c r="CW313" s="11"/>
      <c r="CX313" s="11"/>
      <c r="CY313" s="11"/>
      <c r="CZ313" s="11"/>
      <c r="DA313" s="11"/>
      <c r="DB313" s="11"/>
      <c r="DC313" s="11"/>
      <c r="DD313" s="11"/>
      <c r="DE313" s="11"/>
      <c r="DF313" s="11"/>
      <c r="DG313" s="11"/>
      <c r="DH313" s="11"/>
      <c r="DI313" s="11"/>
      <c r="DJ313" s="11"/>
      <c r="DK313" s="11"/>
      <c r="DL313" s="247"/>
      <c r="DM313" s="247"/>
      <c r="DN313" s="247"/>
      <c r="DO313" s="247"/>
      <c r="DP313" s="247"/>
      <c r="DQ313" s="247"/>
      <c r="DR313" s="247"/>
      <c r="DS313" s="247"/>
      <c r="DT313" s="247"/>
      <c r="DU313" s="247"/>
      <c r="DV313" s="247"/>
      <c r="DW313" s="247"/>
      <c r="DX313" s="247"/>
      <c r="DY313" s="247"/>
      <c r="DZ313" s="247"/>
      <c r="EA313" s="247"/>
      <c r="EB313" s="247"/>
      <c r="EC313" s="247"/>
      <c r="ED313" s="17">
        <f t="shared" si="96"/>
        <v>109419.65272000001</v>
      </c>
      <c r="EE313" s="29">
        <f t="shared" si="97"/>
        <v>6</v>
      </c>
      <c r="EF313" s="17">
        <f t="shared" si="98"/>
        <v>18236.608786666668</v>
      </c>
    </row>
    <row r="314" spans="1:136" x14ac:dyDescent="0.25">
      <c r="A314" s="25">
        <f>Distribución_Elementos!A314</f>
        <v>312</v>
      </c>
      <c r="B314" s="22" t="str">
        <f>Distribución_Elementos!B314</f>
        <v xml:space="preserve">Manguera de Silicona para Bomba de Filtración </v>
      </c>
      <c r="C314" s="22" t="str">
        <f>Distribución_Elementos!C314</f>
        <v>Cualquier marca</v>
      </c>
      <c r="D314" s="22" t="str">
        <f>Distribución_Elementos!D314</f>
        <v xml:space="preserve">5 Metros </v>
      </c>
      <c r="E314" s="224">
        <v>1</v>
      </c>
      <c r="F314" s="221">
        <v>83300</v>
      </c>
      <c r="G314" s="221">
        <v>0</v>
      </c>
      <c r="H314" s="221">
        <v>1714115.6666666667</v>
      </c>
      <c r="I314" s="221">
        <v>1713957</v>
      </c>
      <c r="J314" s="221">
        <v>1868181</v>
      </c>
      <c r="K314" s="221">
        <v>1178100</v>
      </c>
      <c r="L314" s="247">
        <f>AVERAGE(F314,H314,J314)</f>
        <v>1221865.5555555557</v>
      </c>
      <c r="M314" s="247">
        <f>AVERAGE(I314,K314)*E1</f>
        <v>1489409.355</v>
      </c>
      <c r="N314" s="227"/>
      <c r="O314" s="119"/>
      <c r="P314" s="119"/>
      <c r="Q314" s="115"/>
      <c r="R314" s="115"/>
      <c r="S314" s="11"/>
      <c r="T314" s="247"/>
      <c r="U314" s="247"/>
      <c r="V314" s="247"/>
      <c r="W314" s="17"/>
      <c r="X314" s="11"/>
      <c r="Y314" s="11"/>
      <c r="Z314" s="247"/>
      <c r="AA314" s="247"/>
      <c r="AB314" s="247"/>
      <c r="AC314" s="44"/>
      <c r="AD314" s="22"/>
      <c r="AE314" s="17"/>
      <c r="AF314" s="247"/>
      <c r="AG314" s="247"/>
      <c r="AH314" s="151"/>
      <c r="AI314" s="4"/>
      <c r="AJ314" s="17"/>
      <c r="AK314" s="17"/>
      <c r="AL314" s="102"/>
      <c r="AM314" s="132"/>
      <c r="AN314" s="161"/>
      <c r="AO314" s="115"/>
      <c r="AP314" s="115"/>
      <c r="AQ314" s="17"/>
      <c r="AR314" s="247"/>
      <c r="AS314" s="247"/>
      <c r="AT314" s="247"/>
      <c r="AU314" s="17"/>
      <c r="AV314" s="17"/>
      <c r="AW314" s="17"/>
      <c r="AX314" s="247"/>
      <c r="AY314" s="247"/>
      <c r="AZ314" s="247"/>
      <c r="BA314" s="17"/>
      <c r="BB314" s="52"/>
      <c r="BC314" s="17"/>
      <c r="BD314" s="247"/>
      <c r="BE314" s="247"/>
      <c r="BF314" s="247"/>
      <c r="BG314" s="17"/>
      <c r="BH314" s="17"/>
      <c r="BI314" s="17"/>
      <c r="BJ314" s="247">
        <v>106400</v>
      </c>
      <c r="BK314" s="247">
        <f t="shared" si="99"/>
        <v>20216</v>
      </c>
      <c r="BL314" s="247">
        <f t="shared" si="100"/>
        <v>126616</v>
      </c>
      <c r="BM314" s="191" t="s">
        <v>1643</v>
      </c>
      <c r="BN314" s="190" t="s">
        <v>1644</v>
      </c>
      <c r="BO314" s="17"/>
      <c r="BP314" s="247">
        <v>185000</v>
      </c>
      <c r="BQ314" s="247">
        <f>+BP314*19%</f>
        <v>35150</v>
      </c>
      <c r="BR314" s="247">
        <f>+BQ314+BP314</f>
        <v>220150</v>
      </c>
      <c r="BS314" s="17"/>
      <c r="BT314" s="17"/>
      <c r="BU314" s="17"/>
      <c r="BV314" s="195">
        <v>114008.5576</v>
      </c>
      <c r="BW314" s="195">
        <f>+BV314*0.19</f>
        <v>21661.625943999999</v>
      </c>
      <c r="BX314" s="246">
        <f>+BV314+BW314</f>
        <v>135670.183544</v>
      </c>
      <c r="BY314" s="191" t="s">
        <v>1643</v>
      </c>
      <c r="BZ314" s="190" t="s">
        <v>1644</v>
      </c>
      <c r="CA314" s="190"/>
      <c r="CB314" s="247"/>
      <c r="CC314" s="247"/>
      <c r="CD314" s="247"/>
      <c r="CE314" s="17"/>
      <c r="CF314" s="17"/>
      <c r="CG314" s="17"/>
      <c r="CH314" s="247"/>
      <c r="CI314" s="247"/>
      <c r="CJ314" s="247"/>
      <c r="CK314" s="17"/>
      <c r="CL314" s="17"/>
      <c r="CM314" s="17"/>
      <c r="CN314" s="17"/>
      <c r="CO314" s="17"/>
      <c r="CP314" s="11"/>
      <c r="CQ314" s="11"/>
      <c r="CR314" s="11"/>
      <c r="CS314" s="11"/>
      <c r="CT314" s="247"/>
      <c r="CU314" s="247"/>
      <c r="CV314" s="247"/>
      <c r="CW314" s="11"/>
      <c r="CX314" s="11"/>
      <c r="CY314" s="11"/>
      <c r="CZ314" s="11"/>
      <c r="DA314" s="11"/>
      <c r="DB314" s="11"/>
      <c r="DC314" s="11"/>
      <c r="DD314" s="11"/>
      <c r="DE314" s="11"/>
      <c r="DF314" s="11"/>
      <c r="DG314" s="11"/>
      <c r="DH314" s="11"/>
      <c r="DI314" s="11"/>
      <c r="DJ314" s="11"/>
      <c r="DK314" s="11"/>
      <c r="DL314" s="247"/>
      <c r="DM314" s="247"/>
      <c r="DN314" s="247"/>
      <c r="DO314" s="247"/>
      <c r="DP314" s="247"/>
      <c r="DQ314" s="247"/>
      <c r="DR314" s="247"/>
      <c r="DS314" s="247"/>
      <c r="DT314" s="247"/>
      <c r="DU314" s="247"/>
      <c r="DV314" s="247"/>
      <c r="DW314" s="247"/>
      <c r="DX314" s="247"/>
      <c r="DY314" s="247"/>
      <c r="DZ314" s="247"/>
      <c r="EA314" s="247"/>
      <c r="EB314" s="247"/>
      <c r="EC314" s="247"/>
      <c r="ED314" s="17">
        <f t="shared" si="96"/>
        <v>1971845.5385439999</v>
      </c>
      <c r="EE314" s="29">
        <f t="shared" si="97"/>
        <v>4</v>
      </c>
      <c r="EF314" s="17">
        <f t="shared" si="98"/>
        <v>492961.38463599997</v>
      </c>
    </row>
    <row r="315" spans="1:136" ht="25.5" x14ac:dyDescent="0.25">
      <c r="A315" s="25">
        <f>Distribución_Elementos!A315</f>
        <v>313</v>
      </c>
      <c r="B315" s="22" t="str">
        <f>Distribución_Elementos!B315</f>
        <v>Marco para segueta de 12" – 17.5” en acero inoxidable. Referencia del Kit de disección JV 22</v>
      </c>
      <c r="C315" s="22" t="str">
        <f>Distribución_Elementos!C315</f>
        <v>Cualquier marca</v>
      </c>
      <c r="D315" s="22" t="str">
        <f>Distribución_Elementos!D315</f>
        <v>Unidad</v>
      </c>
      <c r="E315" s="224">
        <v>1</v>
      </c>
      <c r="F315" s="221">
        <v>535500</v>
      </c>
      <c r="G315" s="221">
        <v>0</v>
      </c>
      <c r="H315" s="221">
        <v>505750</v>
      </c>
      <c r="I315" s="221">
        <v>0</v>
      </c>
      <c r="J315" s="221">
        <v>595000</v>
      </c>
      <c r="K315" s="221">
        <v>435900</v>
      </c>
      <c r="L315" s="247">
        <f>AVERAGE(F315,H315,J315)</f>
        <v>545416.66666666663</v>
      </c>
      <c r="M315" s="247">
        <f>K315*E1</f>
        <v>448977</v>
      </c>
      <c r="N315" s="227">
        <v>550000</v>
      </c>
      <c r="O315" s="119">
        <f>+N315*0.19</f>
        <v>104500</v>
      </c>
      <c r="P315" s="119">
        <f>+N315+O315</f>
        <v>654500</v>
      </c>
      <c r="Q315" s="115"/>
      <c r="R315" s="115"/>
      <c r="S315" s="11"/>
      <c r="T315" s="247"/>
      <c r="U315" s="247"/>
      <c r="V315" s="247"/>
      <c r="W315" s="17"/>
      <c r="X315" s="11"/>
      <c r="Y315" s="11"/>
      <c r="Z315" s="247"/>
      <c r="AA315" s="247"/>
      <c r="AB315" s="247"/>
      <c r="AC315" s="44"/>
      <c r="AD315" s="22"/>
      <c r="AE315" s="17"/>
      <c r="AF315" s="247"/>
      <c r="AG315" s="247"/>
      <c r="AH315" s="151"/>
      <c r="AI315" s="22"/>
      <c r="AJ315" s="17"/>
      <c r="AK315" s="17"/>
      <c r="AL315" s="102"/>
      <c r="AM315" s="132"/>
      <c r="AN315" s="161"/>
      <c r="AO315" s="115"/>
      <c r="AP315" s="115"/>
      <c r="AQ315" s="17"/>
      <c r="AR315" s="247">
        <v>520000</v>
      </c>
      <c r="AS315" s="247">
        <f>+AR315*0.19</f>
        <v>98800</v>
      </c>
      <c r="AT315" s="247">
        <f>+AR315+AS315</f>
        <v>618800</v>
      </c>
      <c r="AU315" s="17"/>
      <c r="AV315" s="17"/>
      <c r="AW315" s="17"/>
      <c r="AX315" s="247"/>
      <c r="AY315" s="247"/>
      <c r="AZ315" s="247"/>
      <c r="BA315" s="17"/>
      <c r="BB315" s="52"/>
      <c r="BC315" s="17"/>
      <c r="BD315" s="247"/>
      <c r="BE315" s="247"/>
      <c r="BF315" s="247"/>
      <c r="BG315" s="17"/>
      <c r="BH315" s="17"/>
      <c r="BI315" s="17"/>
      <c r="BJ315" s="247"/>
      <c r="BK315" s="247"/>
      <c r="BL315" s="247"/>
      <c r="BM315" s="190"/>
      <c r="BN315" s="190"/>
      <c r="BO315" s="17"/>
      <c r="BP315" s="247"/>
      <c r="BQ315" s="247"/>
      <c r="BR315" s="247"/>
      <c r="BS315" s="17"/>
      <c r="BT315" s="17"/>
      <c r="BU315" s="17"/>
      <c r="BV315" s="189"/>
      <c r="BW315" s="197"/>
      <c r="BX315" s="246"/>
      <c r="BY315" s="190"/>
      <c r="BZ315" s="190"/>
      <c r="CA315" s="190"/>
      <c r="CB315" s="247"/>
      <c r="CC315" s="247"/>
      <c r="CD315" s="247"/>
      <c r="CE315" s="17"/>
      <c r="CF315" s="17"/>
      <c r="CG315" s="17"/>
      <c r="CH315" s="247"/>
      <c r="CI315" s="247"/>
      <c r="CJ315" s="247"/>
      <c r="CK315" s="17"/>
      <c r="CL315" s="17"/>
      <c r="CM315" s="17"/>
      <c r="CN315" s="17"/>
      <c r="CO315" s="17"/>
      <c r="CP315" s="11"/>
      <c r="CQ315" s="11"/>
      <c r="CR315" s="11"/>
      <c r="CS315" s="11"/>
      <c r="CT315" s="247"/>
      <c r="CU315" s="247"/>
      <c r="CV315" s="247"/>
      <c r="CW315" s="11"/>
      <c r="CX315" s="11"/>
      <c r="CY315" s="11"/>
      <c r="CZ315" s="11"/>
      <c r="DA315" s="11"/>
      <c r="DB315" s="11"/>
      <c r="DC315" s="11"/>
      <c r="DD315" s="11"/>
      <c r="DE315" s="11"/>
      <c r="DF315" s="11"/>
      <c r="DG315" s="11"/>
      <c r="DH315" s="11"/>
      <c r="DI315" s="11"/>
      <c r="DJ315" s="11"/>
      <c r="DK315" s="11"/>
      <c r="DL315" s="247"/>
      <c r="DM315" s="247"/>
      <c r="DN315" s="247"/>
      <c r="DO315" s="247"/>
      <c r="DP315" s="247"/>
      <c r="DQ315" s="247"/>
      <c r="DR315" s="247"/>
      <c r="DS315" s="247"/>
      <c r="DT315" s="247"/>
      <c r="DU315" s="247"/>
      <c r="DV315" s="247"/>
      <c r="DW315" s="247"/>
      <c r="DX315" s="247"/>
      <c r="DY315" s="247"/>
      <c r="DZ315" s="247"/>
      <c r="EA315" s="247"/>
      <c r="EB315" s="247"/>
      <c r="EC315" s="247"/>
      <c r="ED315" s="17">
        <f t="shared" si="96"/>
        <v>1722277</v>
      </c>
      <c r="EE315" s="29">
        <f t="shared" si="97"/>
        <v>3</v>
      </c>
      <c r="EF315" s="17">
        <f t="shared" si="98"/>
        <v>574092.33333333337</v>
      </c>
    </row>
    <row r="316" spans="1:136" ht="25.5" x14ac:dyDescent="0.25">
      <c r="A316" s="25">
        <f>Distribución_Elementos!A316</f>
        <v>314</v>
      </c>
      <c r="B316" s="22" t="str">
        <f>Distribución_Elementos!B316</f>
        <v>Martillo en acero con pico de 20 cm incluida la cabeza mango antideslizante (Para necropsia)</v>
      </c>
      <c r="C316" s="22" t="str">
        <f>Distribución_Elementos!C316</f>
        <v>Cualquier marca</v>
      </c>
      <c r="D316" s="22" t="str">
        <f>Distribución_Elementos!D316</f>
        <v>Unidad</v>
      </c>
      <c r="E316" s="224">
        <v>1</v>
      </c>
      <c r="F316" s="221">
        <v>0</v>
      </c>
      <c r="G316" s="221">
        <v>0</v>
      </c>
      <c r="H316" s="221">
        <v>0</v>
      </c>
      <c r="I316" s="221">
        <v>0</v>
      </c>
      <c r="J316" s="221">
        <v>0</v>
      </c>
      <c r="K316" s="221">
        <v>0</v>
      </c>
      <c r="L316" s="247"/>
      <c r="M316" s="247"/>
      <c r="N316" s="227">
        <v>150000</v>
      </c>
      <c r="O316" s="119">
        <f>+N316*0.19</f>
        <v>28500</v>
      </c>
      <c r="P316" s="119">
        <f>+N316+O316</f>
        <v>178500</v>
      </c>
      <c r="Q316" s="115"/>
      <c r="R316" s="115"/>
      <c r="S316" s="11"/>
      <c r="T316" s="247"/>
      <c r="U316" s="247"/>
      <c r="V316" s="247"/>
      <c r="W316" s="17"/>
      <c r="X316" s="11"/>
      <c r="Y316" s="11"/>
      <c r="Z316" s="247"/>
      <c r="AA316" s="247"/>
      <c r="AB316" s="247"/>
      <c r="AC316" s="44"/>
      <c r="AD316" s="22"/>
      <c r="AE316" s="17"/>
      <c r="AF316" s="247"/>
      <c r="AG316" s="247"/>
      <c r="AH316" s="151"/>
      <c r="AI316" s="4"/>
      <c r="AJ316" s="17"/>
      <c r="AK316" s="17"/>
      <c r="AL316" s="102"/>
      <c r="AM316" s="132"/>
      <c r="AN316" s="161"/>
      <c r="AO316" s="115"/>
      <c r="AP316" s="115"/>
      <c r="AQ316" s="17"/>
      <c r="AR316" s="247">
        <v>80000</v>
      </c>
      <c r="AS316" s="247">
        <f>+AR316*0.19</f>
        <v>15200</v>
      </c>
      <c r="AT316" s="247">
        <f>+AR316+AS316</f>
        <v>95200</v>
      </c>
      <c r="AU316" s="17"/>
      <c r="AV316" s="17"/>
      <c r="AW316" s="17"/>
      <c r="AX316" s="247"/>
      <c r="AY316" s="247"/>
      <c r="AZ316" s="247"/>
      <c r="BA316" s="17"/>
      <c r="BB316" s="52"/>
      <c r="BC316" s="17"/>
      <c r="BD316" s="247"/>
      <c r="BE316" s="247"/>
      <c r="BF316" s="247"/>
      <c r="BG316" s="17"/>
      <c r="BH316" s="17"/>
      <c r="BI316" s="17"/>
      <c r="BJ316" s="247"/>
      <c r="BK316" s="247"/>
      <c r="BL316" s="247"/>
      <c r="BM316" s="190"/>
      <c r="BN316" s="190"/>
      <c r="BO316" s="17"/>
      <c r="BP316" s="247"/>
      <c r="BQ316" s="247"/>
      <c r="BR316" s="247"/>
      <c r="BS316" s="17"/>
      <c r="BT316" s="17"/>
      <c r="BU316" s="17"/>
      <c r="BV316" s="189"/>
      <c r="BW316" s="197"/>
      <c r="BX316" s="246"/>
      <c r="BY316" s="190"/>
      <c r="BZ316" s="190"/>
      <c r="CA316" s="190"/>
      <c r="CB316" s="247"/>
      <c r="CC316" s="247"/>
      <c r="CD316" s="247"/>
      <c r="CE316" s="17"/>
      <c r="CF316" s="17"/>
      <c r="CG316" s="17"/>
      <c r="CH316" s="247"/>
      <c r="CI316" s="247"/>
      <c r="CJ316" s="247"/>
      <c r="CK316" s="17"/>
      <c r="CL316" s="17"/>
      <c r="CM316" s="17"/>
      <c r="CN316" s="17"/>
      <c r="CO316" s="17"/>
      <c r="CP316" s="11"/>
      <c r="CQ316" s="11"/>
      <c r="CR316" s="11"/>
      <c r="CS316" s="11"/>
      <c r="CT316" s="247"/>
      <c r="CU316" s="247"/>
      <c r="CV316" s="247"/>
      <c r="CW316" s="11"/>
      <c r="CX316" s="11"/>
      <c r="CY316" s="11"/>
      <c r="CZ316" s="11"/>
      <c r="DA316" s="11"/>
      <c r="DB316" s="11"/>
      <c r="DC316" s="11"/>
      <c r="DD316" s="11"/>
      <c r="DE316" s="11"/>
      <c r="DF316" s="11"/>
      <c r="DG316" s="11"/>
      <c r="DH316" s="11"/>
      <c r="DI316" s="11"/>
      <c r="DJ316" s="11"/>
      <c r="DK316" s="11"/>
      <c r="DL316" s="247"/>
      <c r="DM316" s="247"/>
      <c r="DN316" s="247"/>
      <c r="DO316" s="247"/>
      <c r="DP316" s="247"/>
      <c r="DQ316" s="247"/>
      <c r="DR316" s="247"/>
      <c r="DS316" s="247"/>
      <c r="DT316" s="247"/>
      <c r="DU316" s="247"/>
      <c r="DV316" s="247"/>
      <c r="DW316" s="247"/>
      <c r="DX316" s="247"/>
      <c r="DY316" s="247"/>
      <c r="DZ316" s="247"/>
      <c r="EA316" s="247"/>
      <c r="EB316" s="247"/>
      <c r="EC316" s="247"/>
      <c r="ED316" s="17">
        <f t="shared" si="96"/>
        <v>273700</v>
      </c>
      <c r="EE316" s="29">
        <f t="shared" si="97"/>
        <v>2</v>
      </c>
      <c r="EF316" s="17">
        <f t="shared" si="98"/>
        <v>136850</v>
      </c>
    </row>
    <row r="317" spans="1:136" x14ac:dyDescent="0.25">
      <c r="A317" s="25">
        <f>Distribución_Elementos!A317</f>
        <v>315</v>
      </c>
      <c r="B317" s="22" t="str">
        <f>Distribución_Elementos!B317</f>
        <v>Máscara de media cara 3M</v>
      </c>
      <c r="C317" s="22" t="str">
        <f>Distribución_Elementos!C317</f>
        <v>3M 7502</v>
      </c>
      <c r="D317" s="22" t="str">
        <f>Distribución_Elementos!D317</f>
        <v>Unidad</v>
      </c>
      <c r="E317" s="224">
        <v>1</v>
      </c>
      <c r="F317" s="221">
        <v>85680</v>
      </c>
      <c r="G317" s="221">
        <v>83062</v>
      </c>
      <c r="H317" s="221">
        <v>67503.345000000001</v>
      </c>
      <c r="I317" s="221">
        <v>0</v>
      </c>
      <c r="J317" s="221">
        <v>67711</v>
      </c>
      <c r="K317" s="221">
        <v>67711</v>
      </c>
      <c r="L317" s="247">
        <f>AVERAGE(F317,H317,J317)</f>
        <v>73631.448333333334</v>
      </c>
      <c r="M317" s="247">
        <f>AVERAGE(G317,K317)*E1</f>
        <v>77648.095000000001</v>
      </c>
      <c r="N317" s="227">
        <v>150000</v>
      </c>
      <c r="O317" s="119">
        <f>+N317*0.19</f>
        <v>28500</v>
      </c>
      <c r="P317" s="119">
        <f>+N317+O317</f>
        <v>178500</v>
      </c>
      <c r="Q317" s="115"/>
      <c r="R317" s="115"/>
      <c r="S317" s="11"/>
      <c r="T317" s="247"/>
      <c r="U317" s="247"/>
      <c r="V317" s="247"/>
      <c r="W317" s="17"/>
      <c r="X317" s="11"/>
      <c r="Y317" s="11"/>
      <c r="Z317" s="247"/>
      <c r="AA317" s="247"/>
      <c r="AB317" s="247"/>
      <c r="AC317" s="44"/>
      <c r="AD317" s="22"/>
      <c r="AE317" s="17"/>
      <c r="AF317" s="247"/>
      <c r="AG317" s="247"/>
      <c r="AH317" s="151"/>
      <c r="AI317" s="22"/>
      <c r="AJ317" s="17"/>
      <c r="AK317" s="17"/>
      <c r="AL317" s="102"/>
      <c r="AM317" s="132"/>
      <c r="AN317" s="161"/>
      <c r="AO317" s="115"/>
      <c r="AP317" s="115"/>
      <c r="AQ317" s="17"/>
      <c r="AR317" s="247"/>
      <c r="AS317" s="247"/>
      <c r="AT317" s="247"/>
      <c r="AU317" s="17"/>
      <c r="AV317" s="17"/>
      <c r="AW317" s="17"/>
      <c r="AX317" s="247"/>
      <c r="AY317" s="247"/>
      <c r="AZ317" s="247"/>
      <c r="BA317" s="17"/>
      <c r="BB317" s="52"/>
      <c r="BC317" s="17"/>
      <c r="BD317" s="247"/>
      <c r="BE317" s="247"/>
      <c r="BF317" s="247"/>
      <c r="BG317" s="17"/>
      <c r="BH317" s="17"/>
      <c r="BI317" s="17"/>
      <c r="BJ317" s="247"/>
      <c r="BK317" s="247"/>
      <c r="BL317" s="247"/>
      <c r="BM317" s="190"/>
      <c r="BN317" s="190"/>
      <c r="BO317" s="17"/>
      <c r="BP317" s="247">
        <v>135000</v>
      </c>
      <c r="BQ317" s="247">
        <f>+BP317*19%</f>
        <v>25650</v>
      </c>
      <c r="BR317" s="247">
        <f>+BQ317+BP317</f>
        <v>160650</v>
      </c>
      <c r="BS317" s="17"/>
      <c r="BT317" s="17"/>
      <c r="BU317" s="17"/>
      <c r="BV317" s="189"/>
      <c r="BW317" s="197"/>
      <c r="BX317" s="246"/>
      <c r="BY317" s="190"/>
      <c r="BZ317" s="190"/>
      <c r="CA317" s="190"/>
      <c r="CB317" s="247"/>
      <c r="CC317" s="247"/>
      <c r="CD317" s="247"/>
      <c r="CE317" s="17"/>
      <c r="CF317" s="17"/>
      <c r="CG317" s="17"/>
      <c r="CH317" s="247"/>
      <c r="CI317" s="247"/>
      <c r="CJ317" s="247"/>
      <c r="CK317" s="17"/>
      <c r="CL317" s="17"/>
      <c r="CM317" s="17"/>
      <c r="CN317" s="17"/>
      <c r="CO317" s="17"/>
      <c r="CP317" s="11"/>
      <c r="CQ317" s="11"/>
      <c r="CR317" s="11"/>
      <c r="CS317" s="11"/>
      <c r="CT317" s="247"/>
      <c r="CU317" s="247"/>
      <c r="CV317" s="247"/>
      <c r="CW317" s="11"/>
      <c r="CX317" s="11"/>
      <c r="CY317" s="11"/>
      <c r="CZ317" s="11"/>
      <c r="DA317" s="11"/>
      <c r="DB317" s="11"/>
      <c r="DC317" s="11"/>
      <c r="DD317" s="11"/>
      <c r="DE317" s="11"/>
      <c r="DF317" s="11"/>
      <c r="DG317" s="11"/>
      <c r="DH317" s="11"/>
      <c r="DI317" s="11"/>
      <c r="DJ317" s="11"/>
      <c r="DK317" s="11"/>
      <c r="DL317" s="247"/>
      <c r="DM317" s="247"/>
      <c r="DN317" s="247"/>
      <c r="DO317" s="247"/>
      <c r="DP317" s="247"/>
      <c r="DQ317" s="247"/>
      <c r="DR317" s="247"/>
      <c r="DS317" s="247"/>
      <c r="DT317" s="247"/>
      <c r="DU317" s="247"/>
      <c r="DV317" s="247"/>
      <c r="DW317" s="247"/>
      <c r="DX317" s="247"/>
      <c r="DY317" s="247"/>
      <c r="DZ317" s="247"/>
      <c r="EA317" s="247"/>
      <c r="EB317" s="247"/>
      <c r="EC317" s="247"/>
      <c r="ED317" s="17">
        <f t="shared" si="96"/>
        <v>416798.09499999997</v>
      </c>
      <c r="EE317" s="29">
        <f t="shared" si="97"/>
        <v>3</v>
      </c>
      <c r="EF317" s="17">
        <f t="shared" si="98"/>
        <v>138932.69833333333</v>
      </c>
    </row>
    <row r="318" spans="1:136" x14ac:dyDescent="0.25">
      <c r="A318" s="25">
        <f>Distribución_Elementos!A318</f>
        <v>316</v>
      </c>
      <c r="B318" s="22" t="str">
        <f>Distribución_Elementos!B318</f>
        <v>Máscara Full face en silicona y filtros</v>
      </c>
      <c r="C318" s="22" t="str">
        <f>Distribución_Elementos!C318</f>
        <v>3M 7800</v>
      </c>
      <c r="D318" s="22" t="str">
        <f>Distribución_Elementos!D318</f>
        <v>Unidad</v>
      </c>
      <c r="E318" s="224">
        <v>1</v>
      </c>
      <c r="F318" s="221">
        <v>1068046.42</v>
      </c>
      <c r="G318" s="221">
        <v>0</v>
      </c>
      <c r="H318" s="221">
        <v>771239</v>
      </c>
      <c r="I318" s="221">
        <v>0</v>
      </c>
      <c r="J318" s="221">
        <v>730213.75</v>
      </c>
      <c r="K318" s="221">
        <v>0</v>
      </c>
      <c r="L318" s="247">
        <f>AVERAGE(F318,H318,J318)</f>
        <v>856499.72333333327</v>
      </c>
      <c r="M318" s="247"/>
      <c r="N318" s="227">
        <v>650000</v>
      </c>
      <c r="O318" s="119">
        <f>+N318*0.19</f>
        <v>123500</v>
      </c>
      <c r="P318" s="119">
        <f>+N318+O318</f>
        <v>773500</v>
      </c>
      <c r="Q318" s="115"/>
      <c r="R318" s="115"/>
      <c r="S318" s="11"/>
      <c r="T318" s="247"/>
      <c r="U318" s="247"/>
      <c r="V318" s="247"/>
      <c r="W318" s="17"/>
      <c r="X318" s="11"/>
      <c r="Y318" s="11"/>
      <c r="Z318" s="247"/>
      <c r="AA318" s="247"/>
      <c r="AB318" s="247"/>
      <c r="AC318" s="44"/>
      <c r="AD318" s="22"/>
      <c r="AE318" s="17"/>
      <c r="AF318" s="247"/>
      <c r="AG318" s="247"/>
      <c r="AH318" s="151"/>
      <c r="AI318" s="22"/>
      <c r="AJ318" s="17"/>
      <c r="AK318" s="17"/>
      <c r="AL318" s="102"/>
      <c r="AM318" s="132"/>
      <c r="AN318" s="161"/>
      <c r="AO318" s="115"/>
      <c r="AP318" s="115"/>
      <c r="AQ318" s="17"/>
      <c r="AR318" s="247"/>
      <c r="AS318" s="247"/>
      <c r="AT318" s="247"/>
      <c r="AU318" s="17"/>
      <c r="AV318" s="17"/>
      <c r="AW318" s="17"/>
      <c r="AX318" s="247"/>
      <c r="AY318" s="247"/>
      <c r="AZ318" s="247"/>
      <c r="BA318" s="17"/>
      <c r="BB318" s="52"/>
      <c r="BC318" s="17"/>
      <c r="BD318" s="247"/>
      <c r="BE318" s="247"/>
      <c r="BF318" s="247"/>
      <c r="BG318" s="17"/>
      <c r="BH318" s="17"/>
      <c r="BI318" s="17"/>
      <c r="BJ318" s="247"/>
      <c r="BK318" s="247"/>
      <c r="BL318" s="247"/>
      <c r="BM318" s="190"/>
      <c r="BN318" s="190"/>
      <c r="BO318" s="17"/>
      <c r="BP318" s="247">
        <v>265000</v>
      </c>
      <c r="BQ318" s="247">
        <f>+BP318*19%</f>
        <v>50350</v>
      </c>
      <c r="BR318" s="247">
        <f>+BQ318+BP318</f>
        <v>315350</v>
      </c>
      <c r="BS318" s="17"/>
      <c r="BT318" s="17"/>
      <c r="BU318" s="17"/>
      <c r="BV318" s="189"/>
      <c r="BW318" s="197"/>
      <c r="BX318" s="246"/>
      <c r="BY318" s="190"/>
      <c r="BZ318" s="190"/>
      <c r="CA318" s="190"/>
      <c r="CB318" s="247"/>
      <c r="CC318" s="247"/>
      <c r="CD318" s="247"/>
      <c r="CE318" s="17"/>
      <c r="CF318" s="17"/>
      <c r="CG318" s="17"/>
      <c r="CH318" s="247"/>
      <c r="CI318" s="247"/>
      <c r="CJ318" s="247"/>
      <c r="CK318" s="17"/>
      <c r="CL318" s="17"/>
      <c r="CM318" s="17"/>
      <c r="CN318" s="17"/>
      <c r="CO318" s="17"/>
      <c r="CP318" s="11"/>
      <c r="CQ318" s="11"/>
      <c r="CR318" s="11"/>
      <c r="CS318" s="11"/>
      <c r="CT318" s="247"/>
      <c r="CU318" s="247"/>
      <c r="CV318" s="247"/>
      <c r="CW318" s="11"/>
      <c r="CX318" s="11"/>
      <c r="CY318" s="11"/>
      <c r="CZ318" s="11"/>
      <c r="DA318" s="11"/>
      <c r="DB318" s="11"/>
      <c r="DC318" s="11"/>
      <c r="DD318" s="11"/>
      <c r="DE318" s="11"/>
      <c r="DF318" s="11"/>
      <c r="DG318" s="11"/>
      <c r="DH318" s="11"/>
      <c r="DI318" s="11"/>
      <c r="DJ318" s="11"/>
      <c r="DK318" s="11"/>
      <c r="DL318" s="247"/>
      <c r="DM318" s="247"/>
      <c r="DN318" s="247"/>
      <c r="DO318" s="247"/>
      <c r="DP318" s="247"/>
      <c r="DQ318" s="247"/>
      <c r="DR318" s="247"/>
      <c r="DS318" s="247"/>
      <c r="DT318" s="247"/>
      <c r="DU318" s="247"/>
      <c r="DV318" s="247"/>
      <c r="DW318" s="247"/>
      <c r="DX318" s="247"/>
      <c r="DY318" s="247"/>
      <c r="DZ318" s="247"/>
      <c r="EA318" s="247"/>
      <c r="EB318" s="247"/>
      <c r="EC318" s="247"/>
      <c r="ED318" s="17">
        <f t="shared" si="96"/>
        <v>1088850</v>
      </c>
      <c r="EE318" s="29">
        <f t="shared" si="97"/>
        <v>2</v>
      </c>
      <c r="EF318" s="17">
        <f t="shared" si="98"/>
        <v>544425</v>
      </c>
    </row>
    <row r="319" spans="1:136" ht="127.5" x14ac:dyDescent="0.25">
      <c r="A319" s="25">
        <f>Distribución_Elementos!A319</f>
        <v>317</v>
      </c>
      <c r="B319" s="22" t="str">
        <f>Distribución_Elementos!B319</f>
        <v>Máscara media pieza facial, protección respiratoria para productos químicos en material elastómero para uso prolongado,  tallas pequeña, mediana  y grande. Cartuchos con sistema de bayoneta, arnés de cabeza, dos cartuchos multipropósito incluidos para cada Unidad, los cartuchos deben ser tipo ABEK1 para protección contra combinaciones de vapores orgánicos (Punto de ebullición &gt;65ºC), inorgánicos, gases ácidos y amoniaco vapores orgánicos, partículas P3,  gases ácidos, formaldehído y amoniaco. Cumplimiento normativo explícito en el producto: EN 14387:2004+A1:2008 </v>
      </c>
      <c r="C319" s="22" t="str">
        <f>Distribución_Elementos!C319</f>
        <v>3M, Niosh o equivalente</v>
      </c>
      <c r="D319" s="22" t="str">
        <f>Distribución_Elementos!D319</f>
        <v>Unidad</v>
      </c>
      <c r="E319" s="224">
        <v>1</v>
      </c>
      <c r="F319" s="221">
        <v>0</v>
      </c>
      <c r="G319" s="221">
        <v>0</v>
      </c>
      <c r="H319" s="221">
        <v>0</v>
      </c>
      <c r="I319" s="221">
        <v>0</v>
      </c>
      <c r="J319" s="221">
        <v>0</v>
      </c>
      <c r="K319" s="221">
        <v>0</v>
      </c>
      <c r="L319" s="247"/>
      <c r="M319" s="247"/>
      <c r="N319" s="227">
        <v>150000</v>
      </c>
      <c r="O319" s="119">
        <f>+N319*0.19</f>
        <v>28500</v>
      </c>
      <c r="P319" s="119">
        <f>+N319+O319</f>
        <v>178500</v>
      </c>
      <c r="Q319" s="115"/>
      <c r="R319" s="115"/>
      <c r="S319" s="11"/>
      <c r="T319" s="247"/>
      <c r="U319" s="247"/>
      <c r="V319" s="247"/>
      <c r="W319" s="17"/>
      <c r="X319" s="11"/>
      <c r="Y319" s="11"/>
      <c r="Z319" s="247"/>
      <c r="AA319" s="247"/>
      <c r="AB319" s="247"/>
      <c r="AC319" s="44"/>
      <c r="AD319" s="22"/>
      <c r="AE319" s="17"/>
      <c r="AF319" s="247"/>
      <c r="AG319" s="247"/>
      <c r="AH319" s="151"/>
      <c r="AI319" s="4"/>
      <c r="AJ319" s="17"/>
      <c r="AK319" s="17"/>
      <c r="AL319" s="102"/>
      <c r="AM319" s="132"/>
      <c r="AN319" s="161"/>
      <c r="AO319" s="115"/>
      <c r="AP319" s="115"/>
      <c r="AQ319" s="17"/>
      <c r="AR319" s="247"/>
      <c r="AS319" s="247"/>
      <c r="AT319" s="247"/>
      <c r="AU319" s="17"/>
      <c r="AV319" s="17"/>
      <c r="AW319" s="17"/>
      <c r="AX319" s="247"/>
      <c r="AY319" s="247"/>
      <c r="AZ319" s="247"/>
      <c r="BA319" s="17"/>
      <c r="BB319" s="52"/>
      <c r="BC319" s="17"/>
      <c r="BD319" s="247"/>
      <c r="BE319" s="247"/>
      <c r="BF319" s="247"/>
      <c r="BG319" s="17"/>
      <c r="BH319" s="17"/>
      <c r="BI319" s="17"/>
      <c r="BJ319" s="247"/>
      <c r="BK319" s="247"/>
      <c r="BL319" s="247"/>
      <c r="BM319" s="190"/>
      <c r="BN319" s="190"/>
      <c r="BO319" s="17"/>
      <c r="BP319" s="247">
        <v>165000</v>
      </c>
      <c r="BQ319" s="247">
        <f>+BP319*19%</f>
        <v>31350</v>
      </c>
      <c r="BR319" s="247">
        <f>+BQ319+BP319</f>
        <v>196350</v>
      </c>
      <c r="BS319" s="17"/>
      <c r="BT319" s="17"/>
      <c r="BU319" s="17"/>
      <c r="BV319" s="189"/>
      <c r="BW319" s="197"/>
      <c r="BX319" s="246"/>
      <c r="BY319" s="190"/>
      <c r="BZ319" s="190"/>
      <c r="CA319" s="190"/>
      <c r="CB319" s="247"/>
      <c r="CC319" s="247"/>
      <c r="CD319" s="247"/>
      <c r="CE319" s="17"/>
      <c r="CF319" s="17"/>
      <c r="CG319" s="17"/>
      <c r="CH319" s="247"/>
      <c r="CI319" s="247"/>
      <c r="CJ319" s="247"/>
      <c r="CK319" s="17"/>
      <c r="CL319" s="17"/>
      <c r="CM319" s="17"/>
      <c r="CN319" s="17"/>
      <c r="CO319" s="17"/>
      <c r="CP319" s="11"/>
      <c r="CQ319" s="11"/>
      <c r="CR319" s="11"/>
      <c r="CS319" s="11"/>
      <c r="CT319" s="247"/>
      <c r="CU319" s="247"/>
      <c r="CV319" s="247"/>
      <c r="CW319" s="11"/>
      <c r="CX319" s="11"/>
      <c r="CY319" s="11"/>
      <c r="CZ319" s="11"/>
      <c r="DA319" s="11"/>
      <c r="DB319" s="11"/>
      <c r="DC319" s="11"/>
      <c r="DD319" s="11"/>
      <c r="DE319" s="11"/>
      <c r="DF319" s="11"/>
      <c r="DG319" s="11"/>
      <c r="DH319" s="11"/>
      <c r="DI319" s="11"/>
      <c r="DJ319" s="11"/>
      <c r="DK319" s="11"/>
      <c r="DL319" s="247"/>
      <c r="DM319" s="247"/>
      <c r="DN319" s="247"/>
      <c r="DO319" s="247"/>
      <c r="DP319" s="247"/>
      <c r="DQ319" s="247"/>
      <c r="DR319" s="247"/>
      <c r="DS319" s="247"/>
      <c r="DT319" s="247"/>
      <c r="DU319" s="247"/>
      <c r="DV319" s="247"/>
      <c r="DW319" s="247"/>
      <c r="DX319" s="247"/>
      <c r="DY319" s="247"/>
      <c r="DZ319" s="247"/>
      <c r="EA319" s="247"/>
      <c r="EB319" s="247"/>
      <c r="EC319" s="247"/>
      <c r="ED319" s="17">
        <f t="shared" si="96"/>
        <v>374850</v>
      </c>
      <c r="EE319" s="29">
        <f t="shared" si="97"/>
        <v>2</v>
      </c>
      <c r="EF319" s="17">
        <f t="shared" si="98"/>
        <v>187425</v>
      </c>
    </row>
    <row r="320" spans="1:136" ht="25.5" x14ac:dyDescent="0.25">
      <c r="A320" s="25">
        <f>Distribución_Elementos!A320</f>
        <v>318</v>
      </c>
      <c r="B320" s="22" t="str">
        <f>Distribución_Elementos!B320</f>
        <v>Mascarilla purificadora de aire con filtro contra bacterias. Medianos</v>
      </c>
      <c r="C320" s="22" t="str">
        <f>Distribución_Elementos!C320</f>
        <v>3M</v>
      </c>
      <c r="D320" s="22" t="str">
        <f>Distribución_Elementos!D320</f>
        <v>Caja x 100</v>
      </c>
      <c r="E320" s="224">
        <v>1</v>
      </c>
      <c r="F320" s="221">
        <v>0</v>
      </c>
      <c r="G320" s="221">
        <v>0</v>
      </c>
      <c r="H320" s="221">
        <v>377795.25</v>
      </c>
      <c r="I320" s="221">
        <v>0</v>
      </c>
      <c r="J320" s="221">
        <v>1190000</v>
      </c>
      <c r="K320" s="221">
        <v>1172150</v>
      </c>
      <c r="L320" s="247">
        <f>AVERAGE(H320,J320)</f>
        <v>783897.625</v>
      </c>
      <c r="M320" s="247">
        <f>K320*E1</f>
        <v>1207314.5</v>
      </c>
      <c r="N320" s="227"/>
      <c r="O320" s="119"/>
      <c r="P320" s="119"/>
      <c r="Q320" s="115"/>
      <c r="R320" s="115"/>
      <c r="S320" s="11"/>
      <c r="T320" s="247"/>
      <c r="U320" s="247"/>
      <c r="V320" s="247"/>
      <c r="W320" s="17"/>
      <c r="X320" s="11"/>
      <c r="Y320" s="11"/>
      <c r="Z320" s="247"/>
      <c r="AA320" s="247"/>
      <c r="AB320" s="247"/>
      <c r="AC320" s="44"/>
      <c r="AD320" s="22"/>
      <c r="AE320" s="17"/>
      <c r="AF320" s="247"/>
      <c r="AG320" s="247"/>
      <c r="AH320" s="151"/>
      <c r="AI320" s="4"/>
      <c r="AJ320" s="17"/>
      <c r="AK320" s="17"/>
      <c r="AL320" s="102"/>
      <c r="AM320" s="132"/>
      <c r="AN320" s="161"/>
      <c r="AO320" s="115"/>
      <c r="AP320" s="115"/>
      <c r="AQ320" s="17"/>
      <c r="AR320" s="247"/>
      <c r="AS320" s="247"/>
      <c r="AT320" s="247"/>
      <c r="AU320" s="17"/>
      <c r="AV320" s="17"/>
      <c r="AW320" s="17"/>
      <c r="AX320" s="247"/>
      <c r="AY320" s="247"/>
      <c r="AZ320" s="247"/>
      <c r="BA320" s="17"/>
      <c r="BB320" s="52"/>
      <c r="BC320" s="17"/>
      <c r="BD320" s="247"/>
      <c r="BE320" s="247"/>
      <c r="BF320" s="247"/>
      <c r="BG320" s="17"/>
      <c r="BH320" s="17"/>
      <c r="BI320" s="17"/>
      <c r="BJ320" s="247"/>
      <c r="BK320" s="247"/>
      <c r="BL320" s="247"/>
      <c r="BM320" s="190"/>
      <c r="BN320" s="190"/>
      <c r="BO320" s="17"/>
      <c r="BP320" s="247"/>
      <c r="BQ320" s="247"/>
      <c r="BR320" s="247"/>
      <c r="BS320" s="17"/>
      <c r="BT320" s="17"/>
      <c r="BU320" s="17"/>
      <c r="BV320" s="189"/>
      <c r="BW320" s="197"/>
      <c r="BX320" s="246"/>
      <c r="BY320" s="190"/>
      <c r="BZ320" s="190"/>
      <c r="CA320" s="190"/>
      <c r="CB320" s="247"/>
      <c r="CC320" s="247"/>
      <c r="CD320" s="247"/>
      <c r="CE320" s="17"/>
      <c r="CF320" s="17"/>
      <c r="CG320" s="17"/>
      <c r="CH320" s="247"/>
      <c r="CI320" s="247"/>
      <c r="CJ320" s="247"/>
      <c r="CK320" s="17"/>
      <c r="CL320" s="17"/>
      <c r="CM320" s="17"/>
      <c r="CN320" s="17"/>
      <c r="CO320" s="17"/>
      <c r="CP320" s="11"/>
      <c r="CQ320" s="11"/>
      <c r="CR320" s="11"/>
      <c r="CS320" s="11"/>
      <c r="CT320" s="247"/>
      <c r="CU320" s="247"/>
      <c r="CV320" s="247"/>
      <c r="CW320" s="11"/>
      <c r="CX320" s="11"/>
      <c r="CY320" s="11"/>
      <c r="CZ320" s="11"/>
      <c r="DA320" s="11"/>
      <c r="DB320" s="11"/>
      <c r="DC320" s="11"/>
      <c r="DD320" s="11"/>
      <c r="DE320" s="11"/>
      <c r="DF320" s="11"/>
      <c r="DG320" s="11"/>
      <c r="DH320" s="11"/>
      <c r="DI320" s="11"/>
      <c r="DJ320" s="11"/>
      <c r="DK320" s="11"/>
      <c r="DL320" s="247"/>
      <c r="DM320" s="247"/>
      <c r="DN320" s="247"/>
      <c r="DO320" s="247"/>
      <c r="DP320" s="247"/>
      <c r="DQ320" s="247"/>
      <c r="DR320" s="247"/>
      <c r="DS320" s="247"/>
      <c r="DT320" s="247"/>
      <c r="DU320" s="247"/>
      <c r="DV320" s="247"/>
      <c r="DW320" s="247"/>
      <c r="DX320" s="247"/>
      <c r="DY320" s="247"/>
      <c r="DZ320" s="247"/>
      <c r="EA320" s="247"/>
      <c r="EB320" s="247"/>
      <c r="EC320" s="247"/>
      <c r="ED320" s="17">
        <f t="shared" si="96"/>
        <v>1207314.5</v>
      </c>
      <c r="EE320" s="29">
        <f t="shared" si="97"/>
        <v>1</v>
      </c>
      <c r="EF320" s="17">
        <f t="shared" si="98"/>
        <v>1207314.5</v>
      </c>
    </row>
    <row r="321" spans="1:136" ht="25.5" x14ac:dyDescent="0.25">
      <c r="A321" s="25">
        <f>Distribución_Elementos!A321</f>
        <v>319</v>
      </c>
      <c r="B321" s="22" t="str">
        <f>Distribución_Elementos!B321</f>
        <v>Mascarilla quirúrgica y respirador contra partículas para el cuidado de la salud</v>
      </c>
      <c r="C321" s="22" t="str">
        <f>Distribución_Elementos!C321</f>
        <v>3M, o equivalente</v>
      </c>
      <c r="D321" s="22" t="str">
        <f>Distribución_Elementos!D321</f>
        <v>Caja x 20</v>
      </c>
      <c r="E321" s="224">
        <v>1</v>
      </c>
      <c r="F321" s="221">
        <v>0</v>
      </c>
      <c r="G321" s="221">
        <v>0</v>
      </c>
      <c r="H321" s="221">
        <v>116600.16666666667</v>
      </c>
      <c r="I321" s="221">
        <v>116501</v>
      </c>
      <c r="J321" s="221">
        <v>238000</v>
      </c>
      <c r="K321" s="221">
        <v>236810</v>
      </c>
      <c r="L321" s="247">
        <f>AVERAGE(H321,J321)</f>
        <v>177300.08333333334</v>
      </c>
      <c r="M321" s="247">
        <f>AVERAGE(I321,K321)*E1</f>
        <v>181955.16500000001</v>
      </c>
      <c r="N321" s="227"/>
      <c r="O321" s="119"/>
      <c r="P321" s="119"/>
      <c r="Q321" s="115"/>
      <c r="R321" s="115"/>
      <c r="S321" s="11"/>
      <c r="T321" s="247"/>
      <c r="U321" s="247"/>
      <c r="V321" s="247"/>
      <c r="W321" s="17"/>
      <c r="X321" s="11"/>
      <c r="Y321" s="11"/>
      <c r="Z321" s="247"/>
      <c r="AA321" s="247"/>
      <c r="AB321" s="247"/>
      <c r="AC321" s="44"/>
      <c r="AD321" s="22"/>
      <c r="AE321" s="17"/>
      <c r="AF321" s="247"/>
      <c r="AG321" s="247"/>
      <c r="AH321" s="97"/>
      <c r="AI321" s="4"/>
      <c r="AJ321" s="17"/>
      <c r="AK321" s="17"/>
      <c r="AL321" s="102"/>
      <c r="AM321" s="132"/>
      <c r="AN321" s="161"/>
      <c r="AO321" s="115"/>
      <c r="AP321" s="115"/>
      <c r="AQ321" s="17"/>
      <c r="AR321" s="247"/>
      <c r="AS321" s="247"/>
      <c r="AT321" s="247"/>
      <c r="AU321" s="17"/>
      <c r="AV321" s="17"/>
      <c r="AW321" s="17"/>
      <c r="AX321" s="247"/>
      <c r="AY321" s="247"/>
      <c r="AZ321" s="247"/>
      <c r="BA321" s="17"/>
      <c r="BB321" s="52"/>
      <c r="BC321" s="17"/>
      <c r="BD321" s="247"/>
      <c r="BE321" s="247"/>
      <c r="BF321" s="247"/>
      <c r="BG321" s="17"/>
      <c r="BH321" s="17"/>
      <c r="BI321" s="17"/>
      <c r="BJ321" s="247"/>
      <c r="BK321" s="247"/>
      <c r="BL321" s="247"/>
      <c r="BM321" s="190"/>
      <c r="BN321" s="190"/>
      <c r="BO321" s="17"/>
      <c r="BP321" s="247">
        <v>165000</v>
      </c>
      <c r="BQ321" s="247">
        <f>+BP321*19%</f>
        <v>31350</v>
      </c>
      <c r="BR321" s="247">
        <f>+BQ321+BP321</f>
        <v>196350</v>
      </c>
      <c r="BS321" s="17"/>
      <c r="BT321" s="17"/>
      <c r="BU321" s="17"/>
      <c r="BV321" s="189"/>
      <c r="BW321" s="197"/>
      <c r="BX321" s="246"/>
      <c r="BY321" s="190"/>
      <c r="BZ321" s="190"/>
      <c r="CA321" s="190"/>
      <c r="CB321" s="252"/>
      <c r="CC321" s="247"/>
      <c r="CD321" s="247"/>
      <c r="CE321" s="17"/>
      <c r="CF321" s="17"/>
      <c r="CG321" s="17"/>
      <c r="CH321" s="247"/>
      <c r="CI321" s="247"/>
      <c r="CJ321" s="247"/>
      <c r="CK321" s="17"/>
      <c r="CL321" s="17"/>
      <c r="CM321" s="17"/>
      <c r="CN321" s="17"/>
      <c r="CO321" s="17"/>
      <c r="CP321" s="11"/>
      <c r="CQ321" s="11"/>
      <c r="CR321" s="11"/>
      <c r="CS321" s="11"/>
      <c r="CT321" s="247"/>
      <c r="CU321" s="247"/>
      <c r="CV321" s="247"/>
      <c r="CW321" s="11"/>
      <c r="CX321" s="11"/>
      <c r="CY321" s="11"/>
      <c r="CZ321" s="11"/>
      <c r="DA321" s="11"/>
      <c r="DB321" s="11"/>
      <c r="DC321" s="11"/>
      <c r="DD321" s="11"/>
      <c r="DE321" s="11"/>
      <c r="DF321" s="11"/>
      <c r="DG321" s="11"/>
      <c r="DH321" s="11"/>
      <c r="DI321" s="11"/>
      <c r="DJ321" s="11"/>
      <c r="DK321" s="11"/>
      <c r="DL321" s="247"/>
      <c r="DM321" s="247"/>
      <c r="DN321" s="247"/>
      <c r="DO321" s="247"/>
      <c r="DP321" s="247"/>
      <c r="DQ321" s="247"/>
      <c r="DR321" s="247"/>
      <c r="DS321" s="247"/>
      <c r="DT321" s="247"/>
      <c r="DU321" s="247"/>
      <c r="DV321" s="247"/>
      <c r="DW321" s="247"/>
      <c r="DX321" s="247"/>
      <c r="DY321" s="247"/>
      <c r="DZ321" s="247"/>
      <c r="EA321" s="247"/>
      <c r="EB321" s="247"/>
      <c r="EC321" s="247"/>
      <c r="ED321" s="17">
        <f t="shared" si="96"/>
        <v>378305.16500000004</v>
      </c>
      <c r="EE321" s="29">
        <f t="shared" si="97"/>
        <v>2</v>
      </c>
      <c r="EF321" s="17">
        <f t="shared" si="98"/>
        <v>189152.58250000002</v>
      </c>
    </row>
    <row r="322" spans="1:136" ht="25.5" x14ac:dyDescent="0.25">
      <c r="A322" s="25">
        <f>Distribución_Elementos!A322</f>
        <v>320</v>
      </c>
      <c r="B322" s="22" t="str">
        <f>Distribución_Elementos!B322</f>
        <v>Mascarillas desechables con carbon activado categoría AX: contra gases y vapores orgánicos con P.E. &lt; 65 ºC</v>
      </c>
      <c r="C322" s="22" t="str">
        <f>Distribución_Elementos!C322</f>
        <v>3M, o equivalente</v>
      </c>
      <c r="D322" s="22" t="str">
        <f>Distribución_Elementos!D322</f>
        <v>Unidad</v>
      </c>
      <c r="E322" s="224">
        <v>1</v>
      </c>
      <c r="F322" s="221">
        <v>86513</v>
      </c>
      <c r="G322" s="221">
        <v>0</v>
      </c>
      <c r="H322" s="221">
        <v>36370.366666666669</v>
      </c>
      <c r="I322" s="221">
        <v>0</v>
      </c>
      <c r="J322" s="221">
        <v>63466.666666666672</v>
      </c>
      <c r="K322" s="221">
        <v>59381</v>
      </c>
      <c r="L322" s="247">
        <f>AVERAGE(F322,H322,J322)</f>
        <v>62116.677777777775</v>
      </c>
      <c r="M322" s="247">
        <f>K322*E1</f>
        <v>61162.43</v>
      </c>
      <c r="N322" s="228"/>
      <c r="O322" s="119"/>
      <c r="P322" s="119"/>
      <c r="Q322" s="115"/>
      <c r="R322" s="115"/>
      <c r="S322" s="11"/>
      <c r="T322" s="247"/>
      <c r="U322" s="247"/>
      <c r="V322" s="247"/>
      <c r="W322" s="17"/>
      <c r="X322" s="11"/>
      <c r="Y322" s="11"/>
      <c r="Z322" s="247"/>
      <c r="AA322" s="247"/>
      <c r="AB322" s="247"/>
      <c r="AC322" s="4"/>
      <c r="AD322" s="22"/>
      <c r="AE322" s="17"/>
      <c r="AF322" s="247"/>
      <c r="AG322" s="247"/>
      <c r="AH322" s="105"/>
      <c r="AI322" s="22"/>
      <c r="AJ322" s="17"/>
      <c r="AK322" s="17"/>
      <c r="AL322" s="102"/>
      <c r="AM322" s="132"/>
      <c r="AN322" s="161"/>
      <c r="AO322" s="115"/>
      <c r="AP322" s="115"/>
      <c r="AQ322" s="17"/>
      <c r="AR322" s="247"/>
      <c r="AS322" s="247"/>
      <c r="AT322" s="247"/>
      <c r="AU322" s="17"/>
      <c r="AV322" s="17"/>
      <c r="AW322" s="17"/>
      <c r="AX322" s="252"/>
      <c r="AY322" s="247"/>
      <c r="AZ322" s="247"/>
      <c r="BA322" s="17"/>
      <c r="BB322" s="52"/>
      <c r="BC322" s="17"/>
      <c r="BD322" s="247"/>
      <c r="BE322" s="247"/>
      <c r="BF322" s="247"/>
      <c r="BG322" s="17"/>
      <c r="BH322" s="17"/>
      <c r="BI322" s="17"/>
      <c r="BJ322" s="247"/>
      <c r="BK322" s="247"/>
      <c r="BL322" s="247"/>
      <c r="BM322" s="190"/>
      <c r="BN322" s="190"/>
      <c r="BO322" s="17"/>
      <c r="BP322" s="247"/>
      <c r="BQ322" s="247"/>
      <c r="BR322" s="247"/>
      <c r="BS322" s="17"/>
      <c r="BT322" s="17"/>
      <c r="BU322" s="17"/>
      <c r="BV322" s="189"/>
      <c r="BW322" s="197"/>
      <c r="BX322" s="246"/>
      <c r="BY322" s="190"/>
      <c r="BZ322" s="190"/>
      <c r="CA322" s="190"/>
      <c r="CB322" s="247"/>
      <c r="CC322" s="247"/>
      <c r="CD322" s="247"/>
      <c r="CE322" s="17"/>
      <c r="CF322" s="17"/>
      <c r="CG322" s="17"/>
      <c r="CH322" s="252"/>
      <c r="CI322" s="252"/>
      <c r="CJ322" s="252"/>
      <c r="CK322" s="17"/>
      <c r="CL322" s="17"/>
      <c r="CM322" s="17"/>
      <c r="CN322" s="17"/>
      <c r="CO322" s="17"/>
      <c r="CP322" s="11"/>
      <c r="CQ322" s="11"/>
      <c r="CR322" s="11"/>
      <c r="CS322" s="11"/>
      <c r="CT322" s="247"/>
      <c r="CU322" s="247"/>
      <c r="CV322" s="247"/>
      <c r="CW322" s="11"/>
      <c r="CX322" s="11"/>
      <c r="CY322" s="11"/>
      <c r="CZ322" s="11"/>
      <c r="DA322" s="11"/>
      <c r="DB322" s="11"/>
      <c r="DC322" s="11"/>
      <c r="DD322" s="11"/>
      <c r="DE322" s="11"/>
      <c r="DF322" s="11"/>
      <c r="DG322" s="11"/>
      <c r="DH322" s="11"/>
      <c r="DI322" s="11"/>
      <c r="DJ322" s="11"/>
      <c r="DK322" s="11"/>
      <c r="DL322" s="247"/>
      <c r="DM322" s="247"/>
      <c r="DN322" s="247"/>
      <c r="DO322" s="247"/>
      <c r="DP322" s="247"/>
      <c r="DQ322" s="247"/>
      <c r="DR322" s="247"/>
      <c r="DS322" s="247"/>
      <c r="DT322" s="247"/>
      <c r="DU322" s="247"/>
      <c r="DV322" s="247"/>
      <c r="DW322" s="247"/>
      <c r="DX322" s="247"/>
      <c r="DY322" s="247"/>
      <c r="DZ322" s="247"/>
      <c r="EA322" s="247"/>
      <c r="EB322" s="247"/>
      <c r="EC322" s="247"/>
      <c r="ED322" s="17">
        <f t="shared" si="96"/>
        <v>61162.43</v>
      </c>
      <c r="EE322" s="29">
        <f t="shared" si="97"/>
        <v>1</v>
      </c>
      <c r="EF322" s="17">
        <f t="shared" si="98"/>
        <v>61162.43</v>
      </c>
    </row>
    <row r="323" spans="1:136" x14ac:dyDescent="0.25">
      <c r="A323" s="25">
        <f>Distribución_Elementos!A323</f>
        <v>321</v>
      </c>
      <c r="B323" s="22" t="str">
        <f>Distribución_Elementos!B323</f>
        <v>Mechas para mechero de alcohol</v>
      </c>
      <c r="C323" s="22" t="str">
        <f>Distribución_Elementos!C323</f>
        <v>Cualquier marca</v>
      </c>
      <c r="D323" s="22" t="str">
        <f>Distribución_Elementos!D323</f>
        <v>Paquete</v>
      </c>
      <c r="E323" s="224">
        <v>1</v>
      </c>
      <c r="F323" s="221">
        <v>59500</v>
      </c>
      <c r="G323" s="221">
        <v>7021</v>
      </c>
      <c r="H323" s="221">
        <v>10829.705075</v>
      </c>
      <c r="I323" s="221">
        <v>7378</v>
      </c>
      <c r="J323" s="221">
        <v>16208.461111111113</v>
      </c>
      <c r="K323" s="221">
        <v>16184</v>
      </c>
      <c r="L323" s="247">
        <f>AVERAGE(F323,H323,J323)</f>
        <v>28846.055395370375</v>
      </c>
      <c r="M323" s="247">
        <f>AVERAGE(G323,I323,K323)*E1</f>
        <v>10500.163333333334</v>
      </c>
      <c r="N323" s="227">
        <v>3000</v>
      </c>
      <c r="O323" s="119">
        <f>+N323*0.19</f>
        <v>570</v>
      </c>
      <c r="P323" s="119">
        <f>+N323+O323</f>
        <v>3570</v>
      </c>
      <c r="Q323" s="115"/>
      <c r="R323" s="115"/>
      <c r="S323" s="11"/>
      <c r="T323" s="247">
        <v>7260.0000000000009</v>
      </c>
      <c r="U323" s="247">
        <f>+T323*0.19</f>
        <v>1379.4</v>
      </c>
      <c r="V323" s="247">
        <f>+T323+U323</f>
        <v>8639.4000000000015</v>
      </c>
      <c r="W323" s="17" t="s">
        <v>1645</v>
      </c>
      <c r="X323" s="11" t="s">
        <v>1646</v>
      </c>
      <c r="Y323" s="11"/>
      <c r="Z323" s="247"/>
      <c r="AA323" s="247"/>
      <c r="AB323" s="247"/>
      <c r="AC323" s="44"/>
      <c r="AD323" s="22"/>
      <c r="AE323" s="17"/>
      <c r="AF323" s="247"/>
      <c r="AG323" s="247"/>
      <c r="AH323" s="97"/>
      <c r="AI323" s="4"/>
      <c r="AJ323" s="17"/>
      <c r="AK323" s="17"/>
      <c r="AL323" s="102"/>
      <c r="AM323" s="132"/>
      <c r="AN323" s="161"/>
      <c r="AO323" s="115"/>
      <c r="AP323" s="115"/>
      <c r="AQ323" s="17"/>
      <c r="AR323" s="247"/>
      <c r="AS323" s="247"/>
      <c r="AT323" s="247"/>
      <c r="AU323" s="17"/>
      <c r="AV323" s="17"/>
      <c r="AW323" s="17"/>
      <c r="AX323" s="247"/>
      <c r="AY323" s="247"/>
      <c r="AZ323" s="247"/>
      <c r="BA323" s="17"/>
      <c r="BB323" s="52"/>
      <c r="BC323" s="17"/>
      <c r="BD323" s="247"/>
      <c r="BE323" s="247"/>
      <c r="BF323" s="247"/>
      <c r="BG323" s="17"/>
      <c r="BH323" s="17"/>
      <c r="BI323" s="17"/>
      <c r="BJ323" s="247"/>
      <c r="BK323" s="247"/>
      <c r="BL323" s="247"/>
      <c r="BM323" s="190"/>
      <c r="BN323" s="190"/>
      <c r="BO323" s="17"/>
      <c r="BP323" s="247">
        <v>26000</v>
      </c>
      <c r="BQ323" s="247">
        <f>+BP323*19%</f>
        <v>4940</v>
      </c>
      <c r="BR323" s="247">
        <f>+BQ323+BP323</f>
        <v>30940</v>
      </c>
      <c r="BS323" s="17"/>
      <c r="BT323" s="17"/>
      <c r="BU323" s="17"/>
      <c r="BV323" s="189"/>
      <c r="BW323" s="197"/>
      <c r="BX323" s="246"/>
      <c r="BY323" s="190"/>
      <c r="BZ323" s="190"/>
      <c r="CA323" s="190"/>
      <c r="CB323" s="247"/>
      <c r="CC323" s="247"/>
      <c r="CD323" s="247"/>
      <c r="CE323" s="17"/>
      <c r="CF323" s="17"/>
      <c r="CG323" s="17"/>
      <c r="CH323" s="247"/>
      <c r="CI323" s="247"/>
      <c r="CJ323" s="247"/>
      <c r="CK323" s="17"/>
      <c r="CL323" s="17"/>
      <c r="CM323" s="17"/>
      <c r="CN323" s="17"/>
      <c r="CO323" s="17"/>
      <c r="CP323" s="11"/>
      <c r="CQ323" s="11"/>
      <c r="CR323" s="11"/>
      <c r="CS323" s="11"/>
      <c r="CT323" s="247"/>
      <c r="CU323" s="247"/>
      <c r="CV323" s="247"/>
      <c r="CW323" s="11"/>
      <c r="CX323" s="11"/>
      <c r="CY323" s="11"/>
      <c r="CZ323" s="11"/>
      <c r="DA323" s="11"/>
      <c r="DB323" s="11"/>
      <c r="DC323" s="11"/>
      <c r="DD323" s="11"/>
      <c r="DE323" s="11"/>
      <c r="DF323" s="11"/>
      <c r="DG323" s="11"/>
      <c r="DH323" s="11"/>
      <c r="DI323" s="11"/>
      <c r="DJ323" s="11"/>
      <c r="DK323" s="11"/>
      <c r="DL323" s="247"/>
      <c r="DM323" s="247"/>
      <c r="DN323" s="247"/>
      <c r="DO323" s="247"/>
      <c r="DP323" s="247"/>
      <c r="DQ323" s="247"/>
      <c r="DR323" s="247"/>
      <c r="DS323" s="247"/>
      <c r="DT323" s="247"/>
      <c r="DU323" s="247"/>
      <c r="DV323" s="247"/>
      <c r="DW323" s="247"/>
      <c r="DX323" s="247"/>
      <c r="DY323" s="247"/>
      <c r="DZ323" s="247"/>
      <c r="EA323" s="247"/>
      <c r="EB323" s="247"/>
      <c r="EC323" s="247"/>
      <c r="ED323" s="17">
        <f t="shared" si="96"/>
        <v>53649.563333333339</v>
      </c>
      <c r="EE323" s="29">
        <f t="shared" si="97"/>
        <v>4</v>
      </c>
      <c r="EF323" s="17">
        <f t="shared" si="98"/>
        <v>13412.390833333335</v>
      </c>
    </row>
    <row r="324" spans="1:136" ht="38.25" x14ac:dyDescent="0.25">
      <c r="A324" s="25">
        <f>Distribución_Elementos!A324</f>
        <v>322</v>
      </c>
      <c r="B324" s="22" t="str">
        <f>Distribución_Elementos!B324</f>
        <v xml:space="preserve">Filtros de jeringa no estériles  de 0.22 um y  25-33 mm aproximadamente :membrana de PVDF   No esteriles 
</v>
      </c>
      <c r="C324" s="22" t="str">
        <f>Distribución_Elementos!C324</f>
        <v>Cualquier marca</v>
      </c>
      <c r="D324" s="22" t="str">
        <f>Distribución_Elementos!D324</f>
        <v>Paquete x 100</v>
      </c>
      <c r="E324" s="224">
        <v>1</v>
      </c>
      <c r="F324" s="221">
        <v>0</v>
      </c>
      <c r="G324" s="221">
        <v>0</v>
      </c>
      <c r="H324" s="221">
        <v>0</v>
      </c>
      <c r="I324" s="221">
        <v>0</v>
      </c>
      <c r="J324" s="221">
        <v>0</v>
      </c>
      <c r="K324" s="221">
        <v>0</v>
      </c>
      <c r="L324" s="247"/>
      <c r="M324" s="247"/>
      <c r="N324" s="227">
        <v>200000</v>
      </c>
      <c r="O324" s="119">
        <f>+N324*0.19</f>
        <v>38000</v>
      </c>
      <c r="P324" s="119">
        <f>+N324+O324</f>
        <v>238000</v>
      </c>
      <c r="Q324" s="115"/>
      <c r="R324" s="115"/>
      <c r="S324" s="11"/>
      <c r="T324" s="247"/>
      <c r="U324" s="247"/>
      <c r="V324" s="247"/>
      <c r="W324" s="17"/>
      <c r="X324" s="11"/>
      <c r="Y324" s="11"/>
      <c r="Z324" s="247"/>
      <c r="AA324" s="247"/>
      <c r="AB324" s="247"/>
      <c r="AC324" s="251"/>
      <c r="AD324" s="5"/>
      <c r="AE324" s="17"/>
      <c r="AF324" s="247"/>
      <c r="AG324" s="247"/>
      <c r="AH324" s="156"/>
      <c r="AI324" s="5"/>
      <c r="AJ324" s="17"/>
      <c r="AK324" s="17"/>
      <c r="AL324" s="102"/>
      <c r="AM324" s="132"/>
      <c r="AN324" s="161"/>
      <c r="AO324" s="115"/>
      <c r="AP324" s="115"/>
      <c r="AQ324" s="17"/>
      <c r="AR324" s="247"/>
      <c r="AS324" s="247"/>
      <c r="AT324" s="247"/>
      <c r="AU324" s="17"/>
      <c r="AV324" s="17"/>
      <c r="AW324" s="17"/>
      <c r="AX324" s="247"/>
      <c r="AY324" s="247"/>
      <c r="AZ324" s="247"/>
      <c r="BA324" s="17"/>
      <c r="BB324" s="52"/>
      <c r="BC324" s="17"/>
      <c r="BD324" s="247"/>
      <c r="BE324" s="247"/>
      <c r="BF324" s="247"/>
      <c r="BG324" s="17"/>
      <c r="BH324" s="17"/>
      <c r="BI324" s="17"/>
      <c r="BJ324" s="247">
        <f>1650000/5</f>
        <v>330000</v>
      </c>
      <c r="BK324" s="247">
        <f t="shared" si="99"/>
        <v>62700</v>
      </c>
      <c r="BL324" s="247">
        <f t="shared" si="100"/>
        <v>392700</v>
      </c>
      <c r="BM324" s="190" t="s">
        <v>1520</v>
      </c>
      <c r="BN324" s="190" t="s">
        <v>1558</v>
      </c>
      <c r="BO324" s="17"/>
      <c r="BP324" s="247">
        <v>165000</v>
      </c>
      <c r="BQ324" s="247">
        <f>+BP324*19%</f>
        <v>31350</v>
      </c>
      <c r="BR324" s="247">
        <f>+BQ324+BP324</f>
        <v>196350</v>
      </c>
      <c r="BS324" s="17"/>
      <c r="BT324" s="17"/>
      <c r="BU324" s="17"/>
      <c r="BV324" s="195">
        <f>1853814.6/5</f>
        <v>370762.92000000004</v>
      </c>
      <c r="BW324" s="195">
        <f>+BV324*0.19</f>
        <v>70444.954800000007</v>
      </c>
      <c r="BX324" s="246">
        <f>+BV324+BW324</f>
        <v>441207.87480000005</v>
      </c>
      <c r="BY324" s="190" t="s">
        <v>1520</v>
      </c>
      <c r="BZ324" s="190" t="s">
        <v>1558</v>
      </c>
      <c r="CA324" s="190"/>
      <c r="CB324" s="247">
        <v>701106</v>
      </c>
      <c r="CC324" s="247">
        <f>+CB324*0.19</f>
        <v>133210.14000000001</v>
      </c>
      <c r="CD324" s="247">
        <f>+CB324+CC324</f>
        <v>834316.14</v>
      </c>
      <c r="CE324" s="17"/>
      <c r="CF324" s="17"/>
      <c r="CG324" s="17"/>
      <c r="CH324" s="247">
        <v>436000</v>
      </c>
      <c r="CI324" s="247">
        <f>CH324*19%</f>
        <v>82840</v>
      </c>
      <c r="CJ324" s="247">
        <f>CH324+CI324</f>
        <v>518840</v>
      </c>
      <c r="CK324" s="17"/>
      <c r="CL324" s="17"/>
      <c r="CM324" s="17"/>
      <c r="CN324" s="17"/>
      <c r="CO324" s="17"/>
      <c r="CP324" s="11"/>
      <c r="CQ324" s="11"/>
      <c r="CR324" s="11"/>
      <c r="CS324" s="11"/>
      <c r="CT324" s="247"/>
      <c r="CU324" s="247"/>
      <c r="CV324" s="247"/>
      <c r="CW324" s="11"/>
      <c r="CX324" s="11"/>
      <c r="CY324" s="11"/>
      <c r="CZ324" s="11"/>
      <c r="DA324" s="11"/>
      <c r="DB324" s="11"/>
      <c r="DC324" s="11"/>
      <c r="DD324" s="11"/>
      <c r="DE324" s="11"/>
      <c r="DF324" s="11"/>
      <c r="DG324" s="11"/>
      <c r="DH324" s="11"/>
      <c r="DI324" s="11"/>
      <c r="DJ324" s="11"/>
      <c r="DK324" s="11"/>
      <c r="DL324" s="247"/>
      <c r="DM324" s="247"/>
      <c r="DN324" s="247"/>
      <c r="DO324" s="247"/>
      <c r="DP324" s="247"/>
      <c r="DQ324" s="247"/>
      <c r="DR324" s="247"/>
      <c r="DS324" s="247"/>
      <c r="DT324" s="247"/>
      <c r="DU324" s="247"/>
      <c r="DV324" s="247"/>
      <c r="DW324" s="247"/>
      <c r="DX324" s="247"/>
      <c r="DY324" s="247"/>
      <c r="DZ324" s="247"/>
      <c r="EA324" s="247"/>
      <c r="EB324" s="247"/>
      <c r="EC324" s="247"/>
      <c r="ED324" s="17">
        <f t="shared" si="96"/>
        <v>2621414.0148</v>
      </c>
      <c r="EE324" s="29">
        <f t="shared" si="97"/>
        <v>6</v>
      </c>
      <c r="EF324" s="17">
        <f t="shared" si="98"/>
        <v>436902.3358</v>
      </c>
    </row>
    <row r="325" spans="1:136" ht="38.25" x14ac:dyDescent="0.25">
      <c r="A325" s="25">
        <f>Distribución_Elementos!A325</f>
        <v>323</v>
      </c>
      <c r="B325" s="22" t="str">
        <f>Distribución_Elementos!B325</f>
        <v>Membranas millipore en esteres de celulosa, 0,45 micras de poro absoluto, 47 mm de diámetro, estériles en sobres individuales.</v>
      </c>
      <c r="C325" s="22" t="str">
        <f>Distribución_Elementos!C325</f>
        <v>Millipore HAWG047S6 0 equivalentes</v>
      </c>
      <c r="D325" s="22" t="str">
        <f>Distribución_Elementos!D325</f>
        <v>Caja x 150</v>
      </c>
      <c r="E325" s="224">
        <v>1</v>
      </c>
      <c r="F325" s="221">
        <v>0</v>
      </c>
      <c r="G325" s="221">
        <v>0</v>
      </c>
      <c r="H325" s="221">
        <v>0</v>
      </c>
      <c r="I325" s="221">
        <v>0</v>
      </c>
      <c r="J325" s="221">
        <v>250739.30699999997</v>
      </c>
      <c r="K325" s="221">
        <v>0</v>
      </c>
      <c r="L325" s="247">
        <f>J325</f>
        <v>250739.30699999997</v>
      </c>
      <c r="M325" s="247"/>
      <c r="N325" s="227">
        <v>355000</v>
      </c>
      <c r="O325" s="119">
        <f>+N325*0.19</f>
        <v>67450</v>
      </c>
      <c r="P325" s="119">
        <f>+N325+O325</f>
        <v>422450</v>
      </c>
      <c r="Q325" s="115"/>
      <c r="R325" s="115"/>
      <c r="S325" s="11"/>
      <c r="T325" s="247">
        <v>145200</v>
      </c>
      <c r="U325" s="247">
        <f>+T325*0.19</f>
        <v>27588</v>
      </c>
      <c r="V325" s="247">
        <f>+T325+U325</f>
        <v>172788</v>
      </c>
      <c r="W325" s="17" t="s">
        <v>1061</v>
      </c>
      <c r="X325" s="11" t="s">
        <v>1647</v>
      </c>
      <c r="Y325" s="11"/>
      <c r="Z325" s="247"/>
      <c r="AA325" s="247"/>
      <c r="AB325" s="247"/>
      <c r="AC325" s="5"/>
      <c r="AD325" s="22"/>
      <c r="AE325" s="17"/>
      <c r="AF325" s="247"/>
      <c r="AG325" s="247"/>
      <c r="AH325" s="149"/>
      <c r="AI325" s="22"/>
      <c r="AJ325" s="17"/>
      <c r="AK325" s="17"/>
      <c r="AL325" s="102"/>
      <c r="AM325" s="132"/>
      <c r="AN325" s="132"/>
      <c r="AO325" s="115"/>
      <c r="AP325" s="115"/>
      <c r="AQ325" s="17"/>
      <c r="AR325" s="247"/>
      <c r="AS325" s="247"/>
      <c r="AT325" s="247"/>
      <c r="AU325" s="17"/>
      <c r="AV325" s="17"/>
      <c r="AW325" s="17"/>
      <c r="AX325" s="247"/>
      <c r="AY325" s="247"/>
      <c r="AZ325" s="247"/>
      <c r="BA325" s="17"/>
      <c r="BB325" s="52"/>
      <c r="BC325" s="17"/>
      <c r="BD325" s="247"/>
      <c r="BE325" s="247"/>
      <c r="BF325" s="247"/>
      <c r="BG325" s="17"/>
      <c r="BH325" s="17"/>
      <c r="BI325" s="17"/>
      <c r="BJ325" s="247">
        <f>+(788400/100)*150</f>
        <v>1182600</v>
      </c>
      <c r="BK325" s="247">
        <f t="shared" si="99"/>
        <v>224694</v>
      </c>
      <c r="BL325" s="247">
        <f t="shared" si="100"/>
        <v>1407294</v>
      </c>
      <c r="BM325" s="190" t="s">
        <v>1496</v>
      </c>
      <c r="BN325" s="190" t="s">
        <v>1558</v>
      </c>
      <c r="BO325" s="17"/>
      <c r="BP325" s="247">
        <v>325000</v>
      </c>
      <c r="BQ325" s="247">
        <f>+BP325*19%</f>
        <v>61750</v>
      </c>
      <c r="BR325" s="247">
        <f>+BQ325+BP325</f>
        <v>386750</v>
      </c>
      <c r="BS325" s="17"/>
      <c r="BT325" s="17"/>
      <c r="BU325" s="17"/>
      <c r="BV325" s="195">
        <f>+(886514.8032/100)*150</f>
        <v>1329772.2047999999</v>
      </c>
      <c r="BW325" s="195">
        <f t="shared" ref="BW325:BW349" si="101">+BV325*0.19</f>
        <v>252656.71891199998</v>
      </c>
      <c r="BX325" s="246">
        <f t="shared" ref="BX325:BX349" si="102">+BV325+BW325</f>
        <v>1582428.923712</v>
      </c>
      <c r="BY325" s="190" t="s">
        <v>1496</v>
      </c>
      <c r="BZ325" s="190" t="s">
        <v>1558</v>
      </c>
      <c r="CA325" s="190"/>
      <c r="CB325" s="247"/>
      <c r="CC325" s="247"/>
      <c r="CD325" s="247"/>
      <c r="CE325" s="17"/>
      <c r="CF325" s="17"/>
      <c r="CG325" s="17"/>
      <c r="CH325" s="247">
        <v>670000</v>
      </c>
      <c r="CI325" s="247">
        <f>CH325*19%</f>
        <v>127300</v>
      </c>
      <c r="CJ325" s="247">
        <f>CH325+CI325</f>
        <v>797300</v>
      </c>
      <c r="CK325" s="17"/>
      <c r="CL325" s="17"/>
      <c r="CM325" s="17"/>
      <c r="CN325" s="17"/>
      <c r="CO325" s="17"/>
      <c r="CP325" s="11"/>
      <c r="CQ325" s="11"/>
      <c r="CR325" s="11"/>
      <c r="CS325" s="11"/>
      <c r="CT325" s="247"/>
      <c r="CU325" s="247"/>
      <c r="CV325" s="247"/>
      <c r="CW325" s="11"/>
      <c r="CX325" s="11"/>
      <c r="CY325" s="11"/>
      <c r="CZ325" s="11"/>
      <c r="DA325" s="11"/>
      <c r="DB325" s="11"/>
      <c r="DC325" s="11"/>
      <c r="DD325" s="11"/>
      <c r="DE325" s="11"/>
      <c r="DF325" s="11"/>
      <c r="DG325" s="11"/>
      <c r="DH325" s="11"/>
      <c r="DI325" s="11"/>
      <c r="DJ325" s="11"/>
      <c r="DK325" s="11"/>
      <c r="DL325" s="247"/>
      <c r="DM325" s="247"/>
      <c r="DN325" s="247"/>
      <c r="DO325" s="247"/>
      <c r="DP325" s="247"/>
      <c r="DQ325" s="247"/>
      <c r="DR325" s="247"/>
      <c r="DS325" s="247"/>
      <c r="DT325" s="247"/>
      <c r="DU325" s="247"/>
      <c r="DV325" s="247"/>
      <c r="DW325" s="247"/>
      <c r="DX325" s="247"/>
      <c r="DY325" s="247"/>
      <c r="DZ325" s="247"/>
      <c r="EA325" s="247"/>
      <c r="EB325" s="247"/>
      <c r="EC325" s="247"/>
      <c r="ED325" s="17">
        <f t="shared" si="96"/>
        <v>4769010.9237120003</v>
      </c>
      <c r="EE325" s="29">
        <f t="shared" si="97"/>
        <v>6</v>
      </c>
      <c r="EF325" s="17">
        <f t="shared" si="98"/>
        <v>794835.15395200008</v>
      </c>
    </row>
    <row r="326" spans="1:136" x14ac:dyDescent="0.25">
      <c r="A326" s="25">
        <f>Distribución_Elementos!A326</f>
        <v>324</v>
      </c>
      <c r="B326" s="22" t="str">
        <f>Distribución_Elementos!B326</f>
        <v>Microespatula de metal, con cucharita</v>
      </c>
      <c r="C326" s="22" t="str">
        <f>Distribución_Elementos!C326</f>
        <v>ISOLAB o equivalente</v>
      </c>
      <c r="D326" s="22" t="str">
        <f>Distribución_Elementos!D326</f>
        <v>Unidad</v>
      </c>
      <c r="E326" s="224">
        <v>1</v>
      </c>
      <c r="F326" s="221">
        <v>0</v>
      </c>
      <c r="G326" s="221">
        <v>0</v>
      </c>
      <c r="H326" s="221">
        <v>73224.666666666672</v>
      </c>
      <c r="I326" s="221">
        <v>35700</v>
      </c>
      <c r="J326" s="221">
        <v>67028.484444444432</v>
      </c>
      <c r="K326" s="221">
        <v>66640</v>
      </c>
      <c r="L326" s="247">
        <f>AVERAGE(H326,J326)</f>
        <v>70126.575555555552</v>
      </c>
      <c r="M326" s="247">
        <f>AVERAGE(I326,K326)*E1</f>
        <v>52705.1</v>
      </c>
      <c r="N326" s="227">
        <v>18000</v>
      </c>
      <c r="O326" s="119">
        <f>+N326*0.19</f>
        <v>3420</v>
      </c>
      <c r="P326" s="119">
        <f>+N326+O326</f>
        <v>21420</v>
      </c>
      <c r="Q326" s="115"/>
      <c r="R326" s="115"/>
      <c r="S326" s="11"/>
      <c r="T326" s="247">
        <v>37400</v>
      </c>
      <c r="U326" s="247">
        <f>+T326*0.19</f>
        <v>7106</v>
      </c>
      <c r="V326" s="247">
        <f>+T326+U326</f>
        <v>44506</v>
      </c>
      <c r="W326" s="17" t="s">
        <v>140</v>
      </c>
      <c r="X326" s="11" t="s">
        <v>1648</v>
      </c>
      <c r="Y326" s="11"/>
      <c r="Z326" s="247"/>
      <c r="AA326" s="247"/>
      <c r="AB326" s="247"/>
      <c r="AC326" s="5"/>
      <c r="AD326" s="22"/>
      <c r="AE326" s="17"/>
      <c r="AF326" s="247"/>
      <c r="AG326" s="247"/>
      <c r="AH326" s="149"/>
      <c r="AI326" s="22"/>
      <c r="AJ326" s="17"/>
      <c r="AK326" s="17"/>
      <c r="AL326" s="102"/>
      <c r="AM326" s="132"/>
      <c r="AN326" s="132"/>
      <c r="AO326" s="115"/>
      <c r="AP326" s="115"/>
      <c r="AQ326" s="17"/>
      <c r="AR326" s="247"/>
      <c r="AS326" s="247"/>
      <c r="AT326" s="247"/>
      <c r="AU326" s="17"/>
      <c r="AV326" s="17"/>
      <c r="AW326" s="17"/>
      <c r="AX326" s="247"/>
      <c r="AY326" s="247"/>
      <c r="AZ326" s="247"/>
      <c r="BA326" s="17"/>
      <c r="BB326" s="52"/>
      <c r="BC326" s="17"/>
      <c r="BD326" s="247"/>
      <c r="BE326" s="247"/>
      <c r="BF326" s="247"/>
      <c r="BG326" s="17"/>
      <c r="BH326" s="17"/>
      <c r="BI326" s="17"/>
      <c r="BJ326" s="247">
        <v>12500</v>
      </c>
      <c r="BK326" s="247">
        <f t="shared" si="99"/>
        <v>2375</v>
      </c>
      <c r="BL326" s="247">
        <f t="shared" si="100"/>
        <v>14875</v>
      </c>
      <c r="BM326" s="191" t="s">
        <v>140</v>
      </c>
      <c r="BN326" s="190" t="s">
        <v>1554</v>
      </c>
      <c r="BO326" s="17"/>
      <c r="BP326" s="247">
        <v>16500</v>
      </c>
      <c r="BQ326" s="247">
        <f>+BP326*19%</f>
        <v>3135</v>
      </c>
      <c r="BR326" s="247">
        <f>+BQ326+BP326</f>
        <v>19635</v>
      </c>
      <c r="BS326" s="17"/>
      <c r="BT326" s="17"/>
      <c r="BU326" s="17"/>
      <c r="BV326" s="195">
        <v>13915.35</v>
      </c>
      <c r="BW326" s="195">
        <f t="shared" si="101"/>
        <v>2643.9165000000003</v>
      </c>
      <c r="BX326" s="246">
        <f t="shared" si="102"/>
        <v>16559.266500000002</v>
      </c>
      <c r="BY326" s="191" t="s">
        <v>140</v>
      </c>
      <c r="BZ326" s="190" t="s">
        <v>1554</v>
      </c>
      <c r="CA326" s="190"/>
      <c r="CB326" s="247"/>
      <c r="CC326" s="247"/>
      <c r="CD326" s="247"/>
      <c r="CE326" s="17"/>
      <c r="CF326" s="17"/>
      <c r="CG326" s="17"/>
      <c r="CH326" s="247"/>
      <c r="CI326" s="247"/>
      <c r="CJ326" s="247"/>
      <c r="CK326" s="17"/>
      <c r="CL326" s="17"/>
      <c r="CM326" s="17"/>
      <c r="CN326" s="17"/>
      <c r="CO326" s="17"/>
      <c r="CP326" s="11"/>
      <c r="CQ326" s="11"/>
      <c r="CR326" s="11"/>
      <c r="CS326" s="11"/>
      <c r="CT326" s="247"/>
      <c r="CU326" s="247"/>
      <c r="CV326" s="247"/>
      <c r="CW326" s="11"/>
      <c r="CX326" s="11"/>
      <c r="CY326" s="11"/>
      <c r="CZ326" s="11"/>
      <c r="DA326" s="11"/>
      <c r="DB326" s="11"/>
      <c r="DC326" s="11"/>
      <c r="DD326" s="11"/>
      <c r="DE326" s="11"/>
      <c r="DF326" s="11"/>
      <c r="DG326" s="11"/>
      <c r="DH326" s="11"/>
      <c r="DI326" s="11"/>
      <c r="DJ326" s="11"/>
      <c r="DK326" s="11"/>
      <c r="DL326" s="247"/>
      <c r="DM326" s="247"/>
      <c r="DN326" s="247"/>
      <c r="DO326" s="247"/>
      <c r="DP326" s="247"/>
      <c r="DQ326" s="247"/>
      <c r="DR326" s="247"/>
      <c r="DS326" s="247"/>
      <c r="DT326" s="247"/>
      <c r="DU326" s="247"/>
      <c r="DV326" s="247"/>
      <c r="DW326" s="247"/>
      <c r="DX326" s="247"/>
      <c r="DY326" s="247"/>
      <c r="DZ326" s="247"/>
      <c r="EA326" s="247"/>
      <c r="EB326" s="247"/>
      <c r="EC326" s="247"/>
      <c r="ED326" s="17">
        <f t="shared" si="96"/>
        <v>169700.3665</v>
      </c>
      <c r="EE326" s="29">
        <f t="shared" si="97"/>
        <v>6</v>
      </c>
      <c r="EF326" s="17">
        <f t="shared" si="98"/>
        <v>28283.394416666666</v>
      </c>
    </row>
    <row r="327" spans="1:136" ht="89.25" x14ac:dyDescent="0.25">
      <c r="A327" s="25">
        <f>Distribución_Elementos!A327</f>
        <v>325</v>
      </c>
      <c r="B327" s="22" t="str">
        <f>Distribución_Elementos!B327</f>
        <v>Micropipeta de 1000-10000 ul con certificado de calibración y trazabilidad expedida por laboratorio acreditado ante el ONAC</v>
      </c>
      <c r="C327" s="22" t="str">
        <f>Distribución_Elementos!C327</f>
        <v>Transferpette Brand 7058 84</v>
      </c>
      <c r="D327" s="22" t="str">
        <f>Distribución_Elementos!D327</f>
        <v>Unidad</v>
      </c>
      <c r="E327" s="224">
        <v>1</v>
      </c>
      <c r="F327" s="221">
        <v>0</v>
      </c>
      <c r="G327" s="221">
        <v>0</v>
      </c>
      <c r="H327" s="221">
        <v>1323009.2226399998</v>
      </c>
      <c r="I327" s="221">
        <v>1322923</v>
      </c>
      <c r="J327" s="221">
        <v>1895598.3191388105</v>
      </c>
      <c r="K327" s="221">
        <v>1892100</v>
      </c>
      <c r="L327" s="247">
        <f>AVERAGE(H327,J327)</f>
        <v>1609303.7708894052</v>
      </c>
      <c r="M327" s="247">
        <f>AVERAGE(I327,K327)*E1</f>
        <v>1655736.845</v>
      </c>
      <c r="N327" s="227">
        <v>1350000</v>
      </c>
      <c r="O327" s="119">
        <f>+N327*0.19</f>
        <v>256500</v>
      </c>
      <c r="P327" s="119">
        <f>+N327+O327</f>
        <v>1606500</v>
      </c>
      <c r="Q327" s="115"/>
      <c r="R327" s="115"/>
      <c r="S327" s="11"/>
      <c r="T327" s="247"/>
      <c r="U327" s="247"/>
      <c r="V327" s="247"/>
      <c r="W327" s="17"/>
      <c r="X327" s="11"/>
      <c r="Y327" s="11"/>
      <c r="Z327" s="247">
        <v>1570000</v>
      </c>
      <c r="AA327" s="247">
        <f t="shared" ref="AA327:AA334" si="103">+Z327*0.19</f>
        <v>298300</v>
      </c>
      <c r="AB327" s="247">
        <f t="shared" ref="AB327:AB333" si="104">+Z327+AA327</f>
        <v>1868300</v>
      </c>
      <c r="AC327" s="5" t="s">
        <v>140</v>
      </c>
      <c r="AD327" s="22" t="s">
        <v>1579</v>
      </c>
      <c r="AE327" s="17"/>
      <c r="AF327" s="247"/>
      <c r="AG327" s="247"/>
      <c r="AH327" s="149"/>
      <c r="AI327" s="4"/>
      <c r="AJ327" s="17"/>
      <c r="AK327" s="17"/>
      <c r="AL327" s="102"/>
      <c r="AM327" s="132"/>
      <c r="AN327" s="132"/>
      <c r="AO327" s="115"/>
      <c r="AP327" s="115"/>
      <c r="AQ327" s="17"/>
      <c r="AR327" s="247"/>
      <c r="AS327" s="247"/>
      <c r="AT327" s="247"/>
      <c r="AU327" s="17"/>
      <c r="AV327" s="17"/>
      <c r="AW327" s="17"/>
      <c r="AX327" s="247"/>
      <c r="AY327" s="247"/>
      <c r="AZ327" s="247"/>
      <c r="BA327" s="17"/>
      <c r="BB327" s="52"/>
      <c r="BC327" s="17"/>
      <c r="BD327" s="102">
        <v>1337648</v>
      </c>
      <c r="BE327" s="247">
        <f t="shared" ref="BE327:BE334" si="105">+BD327*0.19</f>
        <v>254153.12</v>
      </c>
      <c r="BF327" s="247">
        <f t="shared" ref="BF327:BF334" si="106">+BD327+BE327</f>
        <v>1591801.12</v>
      </c>
      <c r="BG327" s="25" t="s">
        <v>140</v>
      </c>
      <c r="BH327" s="5" t="s">
        <v>1649</v>
      </c>
      <c r="BI327" s="5" t="s">
        <v>1650</v>
      </c>
      <c r="BJ327" s="247">
        <v>2037800</v>
      </c>
      <c r="BK327" s="247">
        <f t="shared" si="99"/>
        <v>387182</v>
      </c>
      <c r="BL327" s="247">
        <f t="shared" si="100"/>
        <v>2424982</v>
      </c>
      <c r="BM327" s="191" t="s">
        <v>140</v>
      </c>
      <c r="BN327" s="190" t="s">
        <v>1565</v>
      </c>
      <c r="BO327" s="17"/>
      <c r="BP327" s="247"/>
      <c r="BQ327" s="247"/>
      <c r="BR327" s="247"/>
      <c r="BS327" s="17"/>
      <c r="BT327" s="17"/>
      <c r="BU327" s="17"/>
      <c r="BV327" s="195">
        <v>2226549.1872</v>
      </c>
      <c r="BW327" s="195">
        <f t="shared" si="101"/>
        <v>423044.34556799999</v>
      </c>
      <c r="BX327" s="246">
        <f t="shared" si="102"/>
        <v>2649593.5327679999</v>
      </c>
      <c r="BY327" s="191" t="s">
        <v>140</v>
      </c>
      <c r="BZ327" s="190" t="s">
        <v>1565</v>
      </c>
      <c r="CA327" s="190"/>
      <c r="CB327" s="247"/>
      <c r="CC327" s="247"/>
      <c r="CD327" s="247"/>
      <c r="CE327" s="17"/>
      <c r="CF327" s="17"/>
      <c r="CG327" s="17"/>
      <c r="CH327" s="206">
        <v>1844000</v>
      </c>
      <c r="CI327" s="206">
        <f t="shared" ref="CI327:CI333" si="107">CH327*19%</f>
        <v>350360</v>
      </c>
      <c r="CJ327" s="206">
        <f t="shared" ref="CJ327:CJ333" si="108">CH327+CI327</f>
        <v>2194360</v>
      </c>
      <c r="CK327" s="17"/>
      <c r="CL327" s="17"/>
      <c r="CM327" s="17"/>
      <c r="CN327" s="17"/>
      <c r="CO327" s="17"/>
      <c r="CP327" s="11"/>
      <c r="CQ327" s="11"/>
      <c r="CR327" s="11"/>
      <c r="CS327" s="11"/>
      <c r="CT327" s="247"/>
      <c r="CU327" s="247"/>
      <c r="CV327" s="247"/>
      <c r="CW327" s="11"/>
      <c r="CX327" s="11"/>
      <c r="CY327" s="11"/>
      <c r="CZ327" s="11"/>
      <c r="DA327" s="11"/>
      <c r="DB327" s="11"/>
      <c r="DC327" s="11"/>
      <c r="DD327" s="11"/>
      <c r="DE327" s="11"/>
      <c r="DF327" s="11"/>
      <c r="DG327" s="11"/>
      <c r="DH327" s="11"/>
      <c r="DI327" s="11"/>
      <c r="DJ327" s="11"/>
      <c r="DK327" s="11"/>
      <c r="DL327" s="247"/>
      <c r="DM327" s="247"/>
      <c r="DN327" s="247"/>
      <c r="DO327" s="247"/>
      <c r="DP327" s="247"/>
      <c r="DQ327" s="247"/>
      <c r="DR327" s="247"/>
      <c r="DS327" s="247"/>
      <c r="DT327" s="247"/>
      <c r="DU327" s="247"/>
      <c r="DV327" s="247"/>
      <c r="DW327" s="247"/>
      <c r="DX327" s="247"/>
      <c r="DY327" s="247"/>
      <c r="DZ327" s="247"/>
      <c r="EA327" s="247"/>
      <c r="EB327" s="247"/>
      <c r="EC327" s="247"/>
      <c r="ED327" s="17">
        <f t="shared" si="96"/>
        <v>13991273.497768</v>
      </c>
      <c r="EE327" s="29">
        <f t="shared" si="97"/>
        <v>7</v>
      </c>
      <c r="EF327" s="17">
        <f t="shared" si="98"/>
        <v>1998753.3568239999</v>
      </c>
    </row>
    <row r="328" spans="1:136" ht="76.5" x14ac:dyDescent="0.25">
      <c r="A328" s="25">
        <f>Distribución_Elementos!A328</f>
        <v>326</v>
      </c>
      <c r="B328" s="22" t="str">
        <f>Distribución_Elementos!B328</f>
        <v>Micropipeta de 100-1000 µL autoclavable Finnpipette™ F2  con certificado de calibración y trazabilidad expedida por laboratorio acreditado ante el ONAC</v>
      </c>
      <c r="C328" s="22" t="str">
        <f>Distribución_Elementos!C328</f>
        <v>Fisherbrand 14-386-320</v>
      </c>
      <c r="D328" s="22" t="str">
        <f>Distribución_Elementos!D328</f>
        <v>Unidad</v>
      </c>
      <c r="E328" s="224">
        <v>1</v>
      </c>
      <c r="F328" s="221">
        <v>1294244</v>
      </c>
      <c r="G328" s="221">
        <v>0</v>
      </c>
      <c r="H328" s="221">
        <v>0</v>
      </c>
      <c r="I328" s="221">
        <v>0</v>
      </c>
      <c r="J328" s="221">
        <v>1857952.8177777778</v>
      </c>
      <c r="K328" s="221">
        <v>1856400</v>
      </c>
      <c r="L328" s="247">
        <f>AVERAGE(F328,J328)</f>
        <v>1576098.408888889</v>
      </c>
      <c r="M328" s="247">
        <f>K328*E1</f>
        <v>1912092</v>
      </c>
      <c r="N328" s="227"/>
      <c r="O328" s="121"/>
      <c r="P328" s="119"/>
      <c r="Q328" s="115"/>
      <c r="R328" s="115"/>
      <c r="S328" s="11"/>
      <c r="T328" s="247"/>
      <c r="U328" s="247"/>
      <c r="V328" s="247"/>
      <c r="W328" s="17"/>
      <c r="X328" s="11"/>
      <c r="Y328" s="11"/>
      <c r="Z328" s="247">
        <v>1570000</v>
      </c>
      <c r="AA328" s="247">
        <f t="shared" si="103"/>
        <v>298300</v>
      </c>
      <c r="AB328" s="247">
        <f t="shared" si="104"/>
        <v>1868300</v>
      </c>
      <c r="AC328" s="5" t="s">
        <v>140</v>
      </c>
      <c r="AD328" s="22" t="s">
        <v>1579</v>
      </c>
      <c r="AE328" s="17"/>
      <c r="AF328" s="247"/>
      <c r="AG328" s="247"/>
      <c r="AH328" s="149"/>
      <c r="AI328" s="4"/>
      <c r="AJ328" s="17"/>
      <c r="AK328" s="17"/>
      <c r="AL328" s="102"/>
      <c r="AM328" s="132"/>
      <c r="AN328" s="132"/>
      <c r="AO328" s="115"/>
      <c r="AP328" s="115"/>
      <c r="AQ328" s="17"/>
      <c r="AR328" s="247"/>
      <c r="AS328" s="247"/>
      <c r="AT328" s="247"/>
      <c r="AU328" s="17"/>
      <c r="AV328" s="17"/>
      <c r="AW328" s="17"/>
      <c r="AX328" s="247"/>
      <c r="AY328" s="247"/>
      <c r="AZ328" s="247"/>
      <c r="BA328" s="17"/>
      <c r="BB328" s="52"/>
      <c r="BC328" s="17"/>
      <c r="BD328" s="102">
        <v>1277000</v>
      </c>
      <c r="BE328" s="247">
        <f t="shared" si="105"/>
        <v>242630</v>
      </c>
      <c r="BF328" s="247">
        <f t="shared" si="106"/>
        <v>1519630</v>
      </c>
      <c r="BG328" s="25" t="s">
        <v>140</v>
      </c>
      <c r="BH328" s="5" t="s">
        <v>1651</v>
      </c>
      <c r="BI328" s="5" t="s">
        <v>1652</v>
      </c>
      <c r="BJ328" s="247">
        <v>1944600</v>
      </c>
      <c r="BK328" s="247">
        <f t="shared" si="99"/>
        <v>369474</v>
      </c>
      <c r="BL328" s="247">
        <f t="shared" si="100"/>
        <v>2314074</v>
      </c>
      <c r="BM328" s="191" t="s">
        <v>140</v>
      </c>
      <c r="BN328" s="190" t="s">
        <v>1565</v>
      </c>
      <c r="BO328" s="17"/>
      <c r="BP328" s="247"/>
      <c r="BQ328" s="247"/>
      <c r="BR328" s="247"/>
      <c r="BS328" s="17"/>
      <c r="BT328" s="17"/>
      <c r="BU328" s="17"/>
      <c r="BV328" s="195">
        <v>2250300.8430000008</v>
      </c>
      <c r="BW328" s="195">
        <f t="shared" si="101"/>
        <v>427557.16017000016</v>
      </c>
      <c r="BX328" s="246">
        <f t="shared" si="102"/>
        <v>2677858.0031700009</v>
      </c>
      <c r="BY328" s="191" t="s">
        <v>140</v>
      </c>
      <c r="BZ328" s="190" t="s">
        <v>1565</v>
      </c>
      <c r="CA328" s="190"/>
      <c r="CB328" s="247"/>
      <c r="CC328" s="247"/>
      <c r="CD328" s="247"/>
      <c r="CE328" s="17"/>
      <c r="CF328" s="17"/>
      <c r="CG328" s="17"/>
      <c r="CH328" s="206">
        <v>1147000</v>
      </c>
      <c r="CI328" s="206">
        <f t="shared" si="107"/>
        <v>217930</v>
      </c>
      <c r="CJ328" s="206">
        <f t="shared" si="108"/>
        <v>1364930</v>
      </c>
      <c r="CK328" s="17"/>
      <c r="CL328" s="17"/>
      <c r="CM328" s="17"/>
      <c r="CN328" s="17"/>
      <c r="CO328" s="17"/>
      <c r="CP328" s="11"/>
      <c r="CQ328" s="11"/>
      <c r="CR328" s="11"/>
      <c r="CS328" s="11"/>
      <c r="CT328" s="247"/>
      <c r="CU328" s="247"/>
      <c r="CV328" s="247"/>
      <c r="CW328" s="11"/>
      <c r="CX328" s="11"/>
      <c r="CY328" s="11"/>
      <c r="CZ328" s="11"/>
      <c r="DA328" s="11"/>
      <c r="DB328" s="11"/>
      <c r="DC328" s="11"/>
      <c r="DD328" s="11"/>
      <c r="DE328" s="11"/>
      <c r="DF328" s="11"/>
      <c r="DG328" s="11"/>
      <c r="DH328" s="11"/>
      <c r="DI328" s="11"/>
      <c r="DJ328" s="11"/>
      <c r="DK328" s="11"/>
      <c r="DL328" s="247"/>
      <c r="DM328" s="247"/>
      <c r="DN328" s="247"/>
      <c r="DO328" s="247"/>
      <c r="DP328" s="247"/>
      <c r="DQ328" s="247"/>
      <c r="DR328" s="247"/>
      <c r="DS328" s="247"/>
      <c r="DT328" s="247"/>
      <c r="DU328" s="247"/>
      <c r="DV328" s="247"/>
      <c r="DW328" s="247"/>
      <c r="DX328" s="247"/>
      <c r="DY328" s="247"/>
      <c r="DZ328" s="247"/>
      <c r="EA328" s="247"/>
      <c r="EB328" s="247"/>
      <c r="EC328" s="247"/>
      <c r="ED328" s="17">
        <f t="shared" si="96"/>
        <v>11656884.00317</v>
      </c>
      <c r="EE328" s="29">
        <f t="shared" si="97"/>
        <v>6</v>
      </c>
      <c r="EF328" s="17">
        <f t="shared" si="98"/>
        <v>1942814.0005283335</v>
      </c>
    </row>
    <row r="329" spans="1:136" ht="76.5" x14ac:dyDescent="0.25">
      <c r="A329" s="25">
        <f>Distribución_Elementos!A329</f>
        <v>327</v>
      </c>
      <c r="B329" s="22" t="str">
        <f>Distribución_Elementos!B329</f>
        <v>Micropipeta de 10-100 µl autoclavable  con certificado de calibración y trazabilidad expedida por laboratorio acreditado ante el ONAC</v>
      </c>
      <c r="C329" s="22" t="str">
        <f>Distribución_Elementos!C329</f>
        <v>Finnpipette</v>
      </c>
      <c r="D329" s="22" t="str">
        <f>Distribución_Elementos!D329</f>
        <v>Unidad</v>
      </c>
      <c r="E329" s="224">
        <v>1</v>
      </c>
      <c r="F329" s="221">
        <v>1294244</v>
      </c>
      <c r="G329" s="221">
        <v>0</v>
      </c>
      <c r="H329" s="221">
        <v>1264690.9740785083</v>
      </c>
      <c r="I329" s="221">
        <v>1264613</v>
      </c>
      <c r="J329" s="221">
        <v>1864195.52</v>
      </c>
      <c r="K329" s="221">
        <v>1856400</v>
      </c>
      <c r="L329" s="247">
        <f>AVERAGE(F329,H329,J329)</f>
        <v>1474376.8313595026</v>
      </c>
      <c r="M329" s="247">
        <f>AVERAGE(I329,K329)*E1</f>
        <v>1607321.6950000001</v>
      </c>
      <c r="N329" s="227"/>
      <c r="O329" s="121"/>
      <c r="P329" s="119"/>
      <c r="Q329" s="115"/>
      <c r="R329" s="115"/>
      <c r="S329" s="11"/>
      <c r="T329" s="247"/>
      <c r="U329" s="247"/>
      <c r="V329" s="247"/>
      <c r="W329" s="17"/>
      <c r="X329" s="11"/>
      <c r="Y329" s="11"/>
      <c r="Z329" s="247">
        <v>1570000</v>
      </c>
      <c r="AA329" s="247">
        <f t="shared" si="103"/>
        <v>298300</v>
      </c>
      <c r="AB329" s="247">
        <f t="shared" si="104"/>
        <v>1868300</v>
      </c>
      <c r="AC329" s="5" t="s">
        <v>140</v>
      </c>
      <c r="AD329" s="22" t="s">
        <v>1579</v>
      </c>
      <c r="AE329" s="17"/>
      <c r="AF329" s="247"/>
      <c r="AG329" s="247"/>
      <c r="AH329" s="149"/>
      <c r="AI329" s="4"/>
      <c r="AJ329" s="17"/>
      <c r="AK329" s="17"/>
      <c r="AL329" s="102"/>
      <c r="AM329" s="132"/>
      <c r="AN329" s="132"/>
      <c r="AO329" s="115"/>
      <c r="AP329" s="115"/>
      <c r="AQ329" s="17"/>
      <c r="AR329" s="247"/>
      <c r="AS329" s="247"/>
      <c r="AT329" s="247"/>
      <c r="AU329" s="17"/>
      <c r="AV329" s="17"/>
      <c r="AW329" s="17"/>
      <c r="AX329" s="247"/>
      <c r="AY329" s="247"/>
      <c r="AZ329" s="247"/>
      <c r="BA329" s="17"/>
      <c r="BB329" s="52"/>
      <c r="BC329" s="17"/>
      <c r="BD329" s="102">
        <v>1277000</v>
      </c>
      <c r="BE329" s="247">
        <f t="shared" si="105"/>
        <v>242630</v>
      </c>
      <c r="BF329" s="247">
        <f t="shared" si="106"/>
        <v>1519630</v>
      </c>
      <c r="BG329" s="25" t="s">
        <v>140</v>
      </c>
      <c r="BH329" s="5" t="s">
        <v>1653</v>
      </c>
      <c r="BI329" s="5" t="s">
        <v>1654</v>
      </c>
      <c r="BJ329" s="247">
        <v>1944600</v>
      </c>
      <c r="BK329" s="247">
        <f t="shared" si="99"/>
        <v>369474</v>
      </c>
      <c r="BL329" s="247">
        <f t="shared" si="100"/>
        <v>2314074</v>
      </c>
      <c r="BM329" s="191" t="s">
        <v>140</v>
      </c>
      <c r="BN329" s="190" t="s">
        <v>1565</v>
      </c>
      <c r="BO329" s="17"/>
      <c r="BP329" s="247"/>
      <c r="BQ329" s="247"/>
      <c r="BR329" s="247"/>
      <c r="BS329" s="17"/>
      <c r="BT329" s="17"/>
      <c r="BU329" s="17"/>
      <c r="BV329" s="195">
        <v>2229476.1216000002</v>
      </c>
      <c r="BW329" s="195">
        <f t="shared" si="101"/>
        <v>423600.46310400002</v>
      </c>
      <c r="BX329" s="246">
        <f t="shared" si="102"/>
        <v>2653076.584704</v>
      </c>
      <c r="BY329" s="191" t="s">
        <v>140</v>
      </c>
      <c r="BZ329" s="190" t="s">
        <v>1565</v>
      </c>
      <c r="CA329" s="190"/>
      <c r="CB329" s="247"/>
      <c r="CC329" s="247"/>
      <c r="CD329" s="247"/>
      <c r="CE329" s="17"/>
      <c r="CF329" s="17"/>
      <c r="CG329" s="17"/>
      <c r="CH329" s="206">
        <v>1147000</v>
      </c>
      <c r="CI329" s="206">
        <f t="shared" si="107"/>
        <v>217930</v>
      </c>
      <c r="CJ329" s="206">
        <f t="shared" si="108"/>
        <v>1364930</v>
      </c>
      <c r="CK329" s="17"/>
      <c r="CL329" s="17"/>
      <c r="CM329" s="17"/>
      <c r="CN329" s="17"/>
      <c r="CO329" s="17"/>
      <c r="CP329" s="11"/>
      <c r="CQ329" s="11"/>
      <c r="CR329" s="11"/>
      <c r="CS329" s="11"/>
      <c r="CT329" s="247"/>
      <c r="CU329" s="247"/>
      <c r="CV329" s="247"/>
      <c r="CW329" s="11"/>
      <c r="CX329" s="11"/>
      <c r="CY329" s="11"/>
      <c r="CZ329" s="11"/>
      <c r="DA329" s="11"/>
      <c r="DB329" s="11"/>
      <c r="DC329" s="11"/>
      <c r="DD329" s="11"/>
      <c r="DE329" s="11"/>
      <c r="DF329" s="11"/>
      <c r="DG329" s="11"/>
      <c r="DH329" s="11"/>
      <c r="DI329" s="11"/>
      <c r="DJ329" s="11"/>
      <c r="DK329" s="11"/>
      <c r="DL329" s="247"/>
      <c r="DM329" s="247"/>
      <c r="DN329" s="247"/>
      <c r="DO329" s="247"/>
      <c r="DP329" s="247"/>
      <c r="DQ329" s="247"/>
      <c r="DR329" s="247"/>
      <c r="DS329" s="247"/>
      <c r="DT329" s="247"/>
      <c r="DU329" s="247"/>
      <c r="DV329" s="247"/>
      <c r="DW329" s="247"/>
      <c r="DX329" s="247"/>
      <c r="DY329" s="247"/>
      <c r="DZ329" s="247"/>
      <c r="EA329" s="247"/>
      <c r="EB329" s="247"/>
      <c r="EC329" s="247"/>
      <c r="ED329" s="17">
        <f t="shared" si="96"/>
        <v>11327332.279704001</v>
      </c>
      <c r="EE329" s="29">
        <f t="shared" si="97"/>
        <v>6</v>
      </c>
      <c r="EF329" s="17">
        <f t="shared" si="98"/>
        <v>1887888.7132840001</v>
      </c>
    </row>
    <row r="330" spans="1:136" ht="76.5" x14ac:dyDescent="0.25">
      <c r="A330" s="25">
        <f>Distribución_Elementos!A330</f>
        <v>328</v>
      </c>
      <c r="B330" s="22" t="str">
        <f>Distribución_Elementos!B330</f>
        <v>Micropipeta de 1-10 µl autoclavable con certificado de calibración y trazabilidad expedida por laboratorio acreditado ante el ONAC</v>
      </c>
      <c r="C330" s="22" t="str">
        <f>Distribución_Elementos!C330</f>
        <v>Finnpipette</v>
      </c>
      <c r="D330" s="22" t="str">
        <f>Distribución_Elementos!D330</f>
        <v>Unidad</v>
      </c>
      <c r="E330" s="224">
        <v>1</v>
      </c>
      <c r="F330" s="221">
        <v>1389444</v>
      </c>
      <c r="G330" s="221">
        <v>0</v>
      </c>
      <c r="H330" s="221">
        <v>1264690.9740785083</v>
      </c>
      <c r="I330" s="221">
        <v>1264613</v>
      </c>
      <c r="J330" s="221">
        <v>1875985.3599999999</v>
      </c>
      <c r="K330" s="221">
        <v>1868300</v>
      </c>
      <c r="L330" s="247">
        <f>AVERAGE(F330,H330,J330)</f>
        <v>1510040.1113595024</v>
      </c>
      <c r="M330" s="247">
        <f>AVERAGE(I330,K330)*E1</f>
        <v>1613450.1950000001</v>
      </c>
      <c r="N330" s="227"/>
      <c r="O330" s="119"/>
      <c r="P330" s="119"/>
      <c r="Q330" s="115"/>
      <c r="R330" s="115"/>
      <c r="S330" s="11"/>
      <c r="T330" s="247"/>
      <c r="U330" s="247"/>
      <c r="V330" s="247"/>
      <c r="W330" s="17"/>
      <c r="X330" s="11"/>
      <c r="Y330" s="11"/>
      <c r="Z330" s="247">
        <v>1570000</v>
      </c>
      <c r="AA330" s="247">
        <f t="shared" si="103"/>
        <v>298300</v>
      </c>
      <c r="AB330" s="247">
        <f t="shared" si="104"/>
        <v>1868300</v>
      </c>
      <c r="AC330" s="5" t="s">
        <v>140</v>
      </c>
      <c r="AD330" s="22" t="s">
        <v>1579</v>
      </c>
      <c r="AE330" s="17"/>
      <c r="AF330" s="247"/>
      <c r="AG330" s="247"/>
      <c r="AH330" s="151"/>
      <c r="AI330" s="4"/>
      <c r="AJ330" s="17"/>
      <c r="AK330" s="17"/>
      <c r="AL330" s="102"/>
      <c r="AM330" s="132"/>
      <c r="AN330" s="161"/>
      <c r="AO330" s="115"/>
      <c r="AP330" s="115"/>
      <c r="AQ330" s="17"/>
      <c r="AR330" s="247"/>
      <c r="AS330" s="247"/>
      <c r="AT330" s="247"/>
      <c r="AU330" s="17"/>
      <c r="AV330" s="17"/>
      <c r="AW330" s="17"/>
      <c r="AX330" s="247"/>
      <c r="AY330" s="247"/>
      <c r="AZ330" s="247"/>
      <c r="BA330" s="17"/>
      <c r="BB330" s="52"/>
      <c r="BC330" s="17"/>
      <c r="BD330" s="102">
        <v>1277000</v>
      </c>
      <c r="BE330" s="247">
        <f t="shared" si="105"/>
        <v>242630</v>
      </c>
      <c r="BF330" s="247">
        <f t="shared" si="106"/>
        <v>1519630</v>
      </c>
      <c r="BG330" s="25" t="s">
        <v>140</v>
      </c>
      <c r="BH330" s="5" t="s">
        <v>1655</v>
      </c>
      <c r="BI330" s="5" t="s">
        <v>1656</v>
      </c>
      <c r="BJ330" s="247">
        <v>2136700</v>
      </c>
      <c r="BK330" s="247">
        <f t="shared" si="99"/>
        <v>405973</v>
      </c>
      <c r="BL330" s="247">
        <f t="shared" si="100"/>
        <v>2542673</v>
      </c>
      <c r="BM330" s="191" t="s">
        <v>140</v>
      </c>
      <c r="BN330" s="190" t="s">
        <v>1565</v>
      </c>
      <c r="BO330" s="17"/>
      <c r="BP330" s="247"/>
      <c r="BQ330" s="247"/>
      <c r="BR330" s="247"/>
      <c r="BS330" s="17"/>
      <c r="BT330" s="17"/>
      <c r="BU330" s="17"/>
      <c r="BV330" s="195">
        <v>2471914.0428000004</v>
      </c>
      <c r="BW330" s="195">
        <f t="shared" si="101"/>
        <v>469663.66813200008</v>
      </c>
      <c r="BX330" s="246">
        <f t="shared" si="102"/>
        <v>2941577.7109320005</v>
      </c>
      <c r="BY330" s="191" t="s">
        <v>140</v>
      </c>
      <c r="BZ330" s="190" t="s">
        <v>1565</v>
      </c>
      <c r="CA330" s="190"/>
      <c r="CB330" s="247"/>
      <c r="CC330" s="247"/>
      <c r="CD330" s="247"/>
      <c r="CE330" s="17"/>
      <c r="CF330" s="17"/>
      <c r="CG330" s="17"/>
      <c r="CH330" s="206">
        <v>1147000</v>
      </c>
      <c r="CI330" s="206">
        <f t="shared" si="107"/>
        <v>217930</v>
      </c>
      <c r="CJ330" s="206">
        <f t="shared" si="108"/>
        <v>1364930</v>
      </c>
      <c r="CK330" s="17"/>
      <c r="CL330" s="17"/>
      <c r="CM330" s="17"/>
      <c r="CN330" s="17"/>
      <c r="CO330" s="17"/>
      <c r="CP330" s="11"/>
      <c r="CQ330" s="11"/>
      <c r="CR330" s="11"/>
      <c r="CS330" s="11"/>
      <c r="CT330" s="247"/>
      <c r="CU330" s="247"/>
      <c r="CV330" s="247"/>
      <c r="CW330" s="11"/>
      <c r="CX330" s="11"/>
      <c r="CY330" s="11"/>
      <c r="CZ330" s="11"/>
      <c r="DA330" s="11"/>
      <c r="DB330" s="11"/>
      <c r="DC330" s="11"/>
      <c r="DD330" s="11"/>
      <c r="DE330" s="11"/>
      <c r="DF330" s="11"/>
      <c r="DG330" s="11"/>
      <c r="DH330" s="11"/>
      <c r="DI330" s="11"/>
      <c r="DJ330" s="11"/>
      <c r="DK330" s="11"/>
      <c r="DL330" s="247"/>
      <c r="DM330" s="247"/>
      <c r="DN330" s="247"/>
      <c r="DO330" s="247"/>
      <c r="DP330" s="247"/>
      <c r="DQ330" s="247"/>
      <c r="DR330" s="247"/>
      <c r="DS330" s="247"/>
      <c r="DT330" s="247"/>
      <c r="DU330" s="247"/>
      <c r="DV330" s="247"/>
      <c r="DW330" s="247"/>
      <c r="DX330" s="247"/>
      <c r="DY330" s="247"/>
      <c r="DZ330" s="247"/>
      <c r="EA330" s="247"/>
      <c r="EB330" s="247"/>
      <c r="EC330" s="247"/>
      <c r="ED330" s="17">
        <f t="shared" si="96"/>
        <v>11850560.905932002</v>
      </c>
      <c r="EE330" s="29">
        <f t="shared" si="97"/>
        <v>6</v>
      </c>
      <c r="EF330" s="17">
        <f t="shared" si="98"/>
        <v>1975093.4843220003</v>
      </c>
    </row>
    <row r="331" spans="1:136" ht="76.5" x14ac:dyDescent="0.25">
      <c r="A331" s="25">
        <f>Distribución_Elementos!A331</f>
        <v>329</v>
      </c>
      <c r="B331" s="22" t="str">
        <f>Distribución_Elementos!B331</f>
        <v>Micropipeta de 1-5 ml con certificado de calibración y trazabilidad expedida por laboratorio acreditado ante el ONAC</v>
      </c>
      <c r="C331" s="22" t="str">
        <f>Distribución_Elementos!C331</f>
        <v>Finnpipette Labsystems 4642100</v>
      </c>
      <c r="D331" s="22" t="str">
        <f>Distribución_Elementos!D331</f>
        <v>Unidad</v>
      </c>
      <c r="E331" s="224">
        <v>1</v>
      </c>
      <c r="F331" s="221">
        <v>1294334.7375</v>
      </c>
      <c r="G331" s="221">
        <v>0</v>
      </c>
      <c r="H331" s="221">
        <v>1557675.49</v>
      </c>
      <c r="I331" s="221">
        <v>1557591</v>
      </c>
      <c r="J331" s="221">
        <v>1792021</v>
      </c>
      <c r="K331" s="221">
        <v>1785000</v>
      </c>
      <c r="L331" s="247">
        <f>AVERAGE(F331,H331,J331)</f>
        <v>1548010.4091666667</v>
      </c>
      <c r="M331" s="247">
        <f>AVERAGE(I331,K331)*E1</f>
        <v>1721434.365</v>
      </c>
      <c r="N331" s="227"/>
      <c r="O331" s="121"/>
      <c r="P331" s="119"/>
      <c r="Q331" s="115"/>
      <c r="R331" s="115"/>
      <c r="S331" s="11"/>
      <c r="T331" s="247"/>
      <c r="U331" s="247"/>
      <c r="V331" s="247"/>
      <c r="W331" s="17"/>
      <c r="X331" s="11"/>
      <c r="Y331" s="11"/>
      <c r="Z331" s="247">
        <v>1570000</v>
      </c>
      <c r="AA331" s="247">
        <f t="shared" si="103"/>
        <v>298300</v>
      </c>
      <c r="AB331" s="247">
        <f t="shared" si="104"/>
        <v>1868300</v>
      </c>
      <c r="AC331" s="5" t="s">
        <v>140</v>
      </c>
      <c r="AD331" s="22" t="s">
        <v>1579</v>
      </c>
      <c r="AE331" s="17"/>
      <c r="AF331" s="247"/>
      <c r="AG331" s="247"/>
      <c r="AH331" s="152"/>
      <c r="AI331" s="24"/>
      <c r="AJ331" s="17"/>
      <c r="AK331" s="17"/>
      <c r="AL331" s="102"/>
      <c r="AM331" s="132"/>
      <c r="AN331" s="132"/>
      <c r="AO331" s="115"/>
      <c r="AP331" s="115"/>
      <c r="AQ331" s="17"/>
      <c r="AR331" s="247"/>
      <c r="AS331" s="247"/>
      <c r="AT331" s="247"/>
      <c r="AU331" s="17"/>
      <c r="AV331" s="17"/>
      <c r="AW331" s="17"/>
      <c r="AX331" s="247"/>
      <c r="AY331" s="247"/>
      <c r="AZ331" s="247"/>
      <c r="BA331" s="17"/>
      <c r="BB331" s="52"/>
      <c r="BC331" s="17"/>
      <c r="BD331" s="102">
        <v>1337648</v>
      </c>
      <c r="BE331" s="247">
        <f t="shared" si="105"/>
        <v>254153.12</v>
      </c>
      <c r="BF331" s="247">
        <f t="shared" si="106"/>
        <v>1591801.12</v>
      </c>
      <c r="BG331" s="25" t="s">
        <v>140</v>
      </c>
      <c r="BH331" s="5" t="s">
        <v>1657</v>
      </c>
      <c r="BI331" s="5" t="s">
        <v>1658</v>
      </c>
      <c r="BJ331" s="247">
        <v>2136700</v>
      </c>
      <c r="BK331" s="247">
        <f t="shared" si="99"/>
        <v>405973</v>
      </c>
      <c r="BL331" s="247">
        <f t="shared" si="100"/>
        <v>2542673</v>
      </c>
      <c r="BM331" s="191" t="s">
        <v>140</v>
      </c>
      <c r="BN331" s="190" t="s">
        <v>1565</v>
      </c>
      <c r="BO331" s="17"/>
      <c r="BP331" s="247"/>
      <c r="BQ331" s="247"/>
      <c r="BR331" s="247"/>
      <c r="BS331" s="17"/>
      <c r="BT331" s="17"/>
      <c r="BU331" s="17"/>
      <c r="BV331" s="195">
        <v>2426383.1025</v>
      </c>
      <c r="BW331" s="195">
        <f t="shared" si="101"/>
        <v>461012.789475</v>
      </c>
      <c r="BX331" s="246">
        <f t="shared" si="102"/>
        <v>2887395.891975</v>
      </c>
      <c r="BY331" s="191" t="s">
        <v>140</v>
      </c>
      <c r="BZ331" s="190" t="s">
        <v>1565</v>
      </c>
      <c r="CA331" s="190"/>
      <c r="CB331" s="247"/>
      <c r="CC331" s="247"/>
      <c r="CD331" s="247"/>
      <c r="CE331" s="17"/>
      <c r="CF331" s="17"/>
      <c r="CG331" s="17"/>
      <c r="CH331" s="206">
        <v>1471000</v>
      </c>
      <c r="CI331" s="206">
        <f t="shared" si="107"/>
        <v>279490</v>
      </c>
      <c r="CJ331" s="206">
        <f t="shared" si="108"/>
        <v>1750490</v>
      </c>
      <c r="CK331" s="17"/>
      <c r="CL331" s="17"/>
      <c r="CM331" s="17"/>
      <c r="CN331" s="17"/>
      <c r="CO331" s="17"/>
      <c r="CP331" s="11"/>
      <c r="CQ331" s="11"/>
      <c r="CR331" s="11"/>
      <c r="CS331" s="11"/>
      <c r="CT331" s="247"/>
      <c r="CU331" s="247"/>
      <c r="CV331" s="247"/>
      <c r="CW331" s="11"/>
      <c r="CX331" s="11"/>
      <c r="CY331" s="11"/>
      <c r="CZ331" s="11"/>
      <c r="DA331" s="11"/>
      <c r="DB331" s="11"/>
      <c r="DC331" s="11"/>
      <c r="DD331" s="11"/>
      <c r="DE331" s="11"/>
      <c r="DF331" s="11"/>
      <c r="DG331" s="11"/>
      <c r="DH331" s="11"/>
      <c r="DI331" s="11"/>
      <c r="DJ331" s="11"/>
      <c r="DK331" s="11"/>
      <c r="DL331" s="247"/>
      <c r="DM331" s="247"/>
      <c r="DN331" s="247"/>
      <c r="DO331" s="247"/>
      <c r="DP331" s="247"/>
      <c r="DQ331" s="247"/>
      <c r="DR331" s="247"/>
      <c r="DS331" s="247"/>
      <c r="DT331" s="247"/>
      <c r="DU331" s="247"/>
      <c r="DV331" s="247"/>
      <c r="DW331" s="247"/>
      <c r="DX331" s="247"/>
      <c r="DY331" s="247"/>
      <c r="DZ331" s="247"/>
      <c r="EA331" s="247"/>
      <c r="EB331" s="247"/>
      <c r="EC331" s="247"/>
      <c r="ED331" s="17">
        <f t="shared" si="96"/>
        <v>12362094.376975</v>
      </c>
      <c r="EE331" s="29">
        <f t="shared" si="97"/>
        <v>6</v>
      </c>
      <c r="EF331" s="17">
        <f t="shared" si="98"/>
        <v>2060349.0628291667</v>
      </c>
    </row>
    <row r="332" spans="1:136" ht="76.5" x14ac:dyDescent="0.25">
      <c r="A332" s="25">
        <f>Distribución_Elementos!A332</f>
        <v>330</v>
      </c>
      <c r="B332" s="22" t="str">
        <f>Distribución_Elementos!B332</f>
        <v>Micropipeta de 2- 20 µl  autoclavable con certificado de calibración y trazabilidad expedida por laboratorio acreditado ante el ONAC</v>
      </c>
      <c r="C332" s="22" t="str">
        <f>Distribución_Elementos!C332</f>
        <v>Finnpipette</v>
      </c>
      <c r="D332" s="22" t="str">
        <f>Distribución_Elementos!D332</f>
        <v>Unidad</v>
      </c>
      <c r="E332" s="224">
        <v>1</v>
      </c>
      <c r="F332" s="221">
        <v>1294244</v>
      </c>
      <c r="G332" s="221">
        <v>0</v>
      </c>
      <c r="H332" s="221">
        <v>1279322.7190385084</v>
      </c>
      <c r="I332" s="221">
        <v>1279250</v>
      </c>
      <c r="J332" s="221">
        <v>1839885.52</v>
      </c>
      <c r="K332" s="221">
        <v>1832600</v>
      </c>
      <c r="L332" s="247">
        <f>AVERAGE(F332,H332,J332)</f>
        <v>1471150.7463461694</v>
      </c>
      <c r="M332" s="247">
        <f>AVERAGE(I332,K332)*E1</f>
        <v>1602602.75</v>
      </c>
      <c r="N332" s="227"/>
      <c r="O332" s="121"/>
      <c r="P332" s="119"/>
      <c r="Q332" s="115"/>
      <c r="R332" s="115"/>
      <c r="S332" s="11"/>
      <c r="T332" s="247"/>
      <c r="U332" s="247"/>
      <c r="V332" s="247"/>
      <c r="W332" s="17"/>
      <c r="X332" s="11"/>
      <c r="Y332" s="11"/>
      <c r="Z332" s="247">
        <v>1570000</v>
      </c>
      <c r="AA332" s="247">
        <f t="shared" si="103"/>
        <v>298300</v>
      </c>
      <c r="AB332" s="247">
        <f t="shared" si="104"/>
        <v>1868300</v>
      </c>
      <c r="AC332" s="5" t="s">
        <v>140</v>
      </c>
      <c r="AD332" s="22" t="s">
        <v>1579</v>
      </c>
      <c r="AE332" s="17"/>
      <c r="AF332" s="247"/>
      <c r="AG332" s="247"/>
      <c r="AH332" s="152"/>
      <c r="AI332" s="24"/>
      <c r="AJ332" s="17"/>
      <c r="AK332" s="17"/>
      <c r="AL332" s="102"/>
      <c r="AM332" s="132"/>
      <c r="AN332" s="132"/>
      <c r="AO332" s="115"/>
      <c r="AP332" s="115"/>
      <c r="AQ332" s="17"/>
      <c r="AR332" s="247"/>
      <c r="AS332" s="247"/>
      <c r="AT332" s="247"/>
      <c r="AU332" s="17"/>
      <c r="AV332" s="17"/>
      <c r="AW332" s="17"/>
      <c r="AX332" s="247"/>
      <c r="AY332" s="247"/>
      <c r="AZ332" s="247"/>
      <c r="BA332" s="17"/>
      <c r="BB332" s="52"/>
      <c r="BC332" s="17"/>
      <c r="BD332" s="102">
        <v>1277000</v>
      </c>
      <c r="BE332" s="247">
        <f t="shared" si="105"/>
        <v>242630</v>
      </c>
      <c r="BF332" s="247">
        <f t="shared" si="106"/>
        <v>1519630</v>
      </c>
      <c r="BG332" s="25" t="s">
        <v>140</v>
      </c>
      <c r="BH332" s="5" t="s">
        <v>1659</v>
      </c>
      <c r="BI332" s="5" t="s">
        <v>1660</v>
      </c>
      <c r="BJ332" s="247">
        <v>1944600</v>
      </c>
      <c r="BK332" s="247">
        <f t="shared" si="99"/>
        <v>369474</v>
      </c>
      <c r="BL332" s="247">
        <f t="shared" si="100"/>
        <v>2314074</v>
      </c>
      <c r="BM332" s="191" t="s">
        <v>140</v>
      </c>
      <c r="BN332" s="190" t="s">
        <v>1565</v>
      </c>
      <c r="BO332" s="17"/>
      <c r="BP332" s="247"/>
      <c r="BQ332" s="247"/>
      <c r="BR332" s="247"/>
      <c r="BS332" s="17"/>
      <c r="BT332" s="17"/>
      <c r="BU332" s="17"/>
      <c r="BV332" s="195">
        <v>2185983.1980000003</v>
      </c>
      <c r="BW332" s="195">
        <f t="shared" si="101"/>
        <v>415336.80762000009</v>
      </c>
      <c r="BX332" s="246">
        <f t="shared" si="102"/>
        <v>2601320.0056200004</v>
      </c>
      <c r="BY332" s="191" t="s">
        <v>140</v>
      </c>
      <c r="BZ332" s="190" t="s">
        <v>1565</v>
      </c>
      <c r="CA332" s="190"/>
      <c r="CB332" s="247"/>
      <c r="CC332" s="247"/>
      <c r="CD332" s="247"/>
      <c r="CE332" s="17"/>
      <c r="CF332" s="17"/>
      <c r="CG332" s="17"/>
      <c r="CH332" s="206">
        <v>1147000</v>
      </c>
      <c r="CI332" s="206">
        <f t="shared" si="107"/>
        <v>217930</v>
      </c>
      <c r="CJ332" s="206">
        <f t="shared" si="108"/>
        <v>1364930</v>
      </c>
      <c r="CK332" s="17"/>
      <c r="CL332" s="17"/>
      <c r="CM332" s="17"/>
      <c r="CN332" s="17"/>
      <c r="CO332" s="17"/>
      <c r="CP332" s="11"/>
      <c r="CQ332" s="11"/>
      <c r="CR332" s="11"/>
      <c r="CS332" s="11"/>
      <c r="CT332" s="247"/>
      <c r="CU332" s="247"/>
      <c r="CV332" s="247"/>
      <c r="CW332" s="11"/>
      <c r="CX332" s="11"/>
      <c r="CY332" s="11"/>
      <c r="CZ332" s="11"/>
      <c r="DA332" s="11"/>
      <c r="DB332" s="11"/>
      <c r="DC332" s="11"/>
      <c r="DD332" s="11"/>
      <c r="DE332" s="11"/>
      <c r="DF332" s="11"/>
      <c r="DG332" s="11"/>
      <c r="DH332" s="11"/>
      <c r="DI332" s="11"/>
      <c r="DJ332" s="11"/>
      <c r="DK332" s="11"/>
      <c r="DL332" s="247"/>
      <c r="DM332" s="247"/>
      <c r="DN332" s="247"/>
      <c r="DO332" s="247"/>
      <c r="DP332" s="247"/>
      <c r="DQ332" s="247"/>
      <c r="DR332" s="247"/>
      <c r="DS332" s="247"/>
      <c r="DT332" s="247"/>
      <c r="DU332" s="247"/>
      <c r="DV332" s="247"/>
      <c r="DW332" s="247"/>
      <c r="DX332" s="247"/>
      <c r="DY332" s="247"/>
      <c r="DZ332" s="247"/>
      <c r="EA332" s="247"/>
      <c r="EB332" s="247"/>
      <c r="EC332" s="247"/>
      <c r="ED332" s="17">
        <f t="shared" si="96"/>
        <v>11270856.755620001</v>
      </c>
      <c r="EE332" s="29">
        <f t="shared" si="97"/>
        <v>6</v>
      </c>
      <c r="EF332" s="17">
        <f t="shared" si="98"/>
        <v>1878476.1259366667</v>
      </c>
    </row>
    <row r="333" spans="1:136" ht="76.5" x14ac:dyDescent="0.25">
      <c r="A333" s="25">
        <f>Distribución_Elementos!A333</f>
        <v>331</v>
      </c>
      <c r="B333" s="22" t="str">
        <f>Distribución_Elementos!B333</f>
        <v>Micropipeta de 20-200 µl Finnpipette con certificado de calibración y trazabilidad expedida por laboratorio acreditado ante el ONAC</v>
      </c>
      <c r="C333" s="22" t="str">
        <f>Distribución_Elementos!C333</f>
        <v>Finnpipette Labsystems</v>
      </c>
      <c r="D333" s="22" t="str">
        <f>Distribución_Elementos!D333</f>
        <v>Unidad</v>
      </c>
      <c r="E333" s="224">
        <v>1</v>
      </c>
      <c r="F333" s="221">
        <v>1294244</v>
      </c>
      <c r="G333" s="221">
        <v>0</v>
      </c>
      <c r="H333" s="221">
        <v>1279322.7190385084</v>
      </c>
      <c r="I333" s="221">
        <v>1279250</v>
      </c>
      <c r="J333" s="221">
        <v>1849033.1066666667</v>
      </c>
      <c r="K333" s="221">
        <v>1826650</v>
      </c>
      <c r="L333" s="247">
        <f>AVERAGE(F333,H333,J333)</f>
        <v>1474199.941901725</v>
      </c>
      <c r="M333" s="247">
        <f>AVERAGE(I333,K333)*E1</f>
        <v>1599538.5</v>
      </c>
      <c r="N333" s="227"/>
      <c r="O333" s="121"/>
      <c r="P333" s="119"/>
      <c r="Q333" s="115"/>
      <c r="R333" s="115"/>
      <c r="S333" s="11"/>
      <c r="T333" s="247"/>
      <c r="U333" s="247"/>
      <c r="V333" s="247"/>
      <c r="W333" s="17"/>
      <c r="X333" s="11"/>
      <c r="Y333" s="11"/>
      <c r="Z333" s="247">
        <v>1570000</v>
      </c>
      <c r="AA333" s="247">
        <f t="shared" si="103"/>
        <v>298300</v>
      </c>
      <c r="AB333" s="247">
        <f t="shared" si="104"/>
        <v>1868300</v>
      </c>
      <c r="AC333" s="5" t="s">
        <v>140</v>
      </c>
      <c r="AD333" s="22" t="s">
        <v>1579</v>
      </c>
      <c r="AE333" s="17"/>
      <c r="AF333" s="247"/>
      <c r="AG333" s="247"/>
      <c r="AH333" s="152"/>
      <c r="AI333" s="23"/>
      <c r="AJ333" s="17"/>
      <c r="AK333" s="17"/>
      <c r="AL333" s="102"/>
      <c r="AM333" s="132"/>
      <c r="AN333" s="132"/>
      <c r="AO333" s="115"/>
      <c r="AP333" s="115"/>
      <c r="AQ333" s="17"/>
      <c r="AR333" s="247"/>
      <c r="AS333" s="247"/>
      <c r="AT333" s="247"/>
      <c r="AU333" s="17"/>
      <c r="AV333" s="17"/>
      <c r="AW333" s="17"/>
      <c r="AX333" s="247"/>
      <c r="AY333" s="247"/>
      <c r="AZ333" s="247"/>
      <c r="BA333" s="17"/>
      <c r="BB333" s="52"/>
      <c r="BC333" s="17"/>
      <c r="BD333" s="102">
        <v>1277000</v>
      </c>
      <c r="BE333" s="247">
        <f t="shared" si="105"/>
        <v>242630</v>
      </c>
      <c r="BF333" s="247">
        <f t="shared" si="106"/>
        <v>1519630</v>
      </c>
      <c r="BG333" s="25" t="s">
        <v>140</v>
      </c>
      <c r="BH333" s="5" t="s">
        <v>1661</v>
      </c>
      <c r="BI333" s="5" t="s">
        <v>1662</v>
      </c>
      <c r="BJ333" s="247">
        <v>1944600</v>
      </c>
      <c r="BK333" s="247">
        <f t="shared" si="99"/>
        <v>369474</v>
      </c>
      <c r="BL333" s="247">
        <f t="shared" si="100"/>
        <v>2314074</v>
      </c>
      <c r="BM333" s="191" t="s">
        <v>140</v>
      </c>
      <c r="BN333" s="190" t="s">
        <v>1565</v>
      </c>
      <c r="BO333" s="17"/>
      <c r="BP333" s="247"/>
      <c r="BQ333" s="247"/>
      <c r="BR333" s="247"/>
      <c r="BS333" s="17"/>
      <c r="BT333" s="17"/>
      <c r="BU333" s="17"/>
      <c r="BV333" s="195">
        <v>2043393.4584000001</v>
      </c>
      <c r="BW333" s="195">
        <f t="shared" si="101"/>
        <v>388244.75709600002</v>
      </c>
      <c r="BX333" s="246">
        <f t="shared" si="102"/>
        <v>2431638.2154959999</v>
      </c>
      <c r="BY333" s="191" t="s">
        <v>140</v>
      </c>
      <c r="BZ333" s="190" t="s">
        <v>1565</v>
      </c>
      <c r="CA333" s="190"/>
      <c r="CB333" s="252"/>
      <c r="CC333" s="247"/>
      <c r="CD333" s="247"/>
      <c r="CE333" s="17"/>
      <c r="CF333" s="17"/>
      <c r="CG333" s="17"/>
      <c r="CH333" s="206">
        <v>1147000</v>
      </c>
      <c r="CI333" s="206">
        <f t="shared" si="107"/>
        <v>217930</v>
      </c>
      <c r="CJ333" s="206">
        <f t="shared" si="108"/>
        <v>1364930</v>
      </c>
      <c r="CK333" s="17"/>
      <c r="CL333" s="17"/>
      <c r="CM333" s="17"/>
      <c r="CN333" s="17"/>
      <c r="CO333" s="17"/>
      <c r="CP333" s="11"/>
      <c r="CQ333" s="11"/>
      <c r="CR333" s="11"/>
      <c r="CS333" s="11"/>
      <c r="CT333" s="247"/>
      <c r="CU333" s="247"/>
      <c r="CV333" s="247"/>
      <c r="CW333" s="11"/>
      <c r="CX333" s="11"/>
      <c r="CY333" s="11"/>
      <c r="CZ333" s="11"/>
      <c r="DA333" s="11"/>
      <c r="DB333" s="11"/>
      <c r="DC333" s="11"/>
      <c r="DD333" s="11"/>
      <c r="DE333" s="11"/>
      <c r="DF333" s="11"/>
      <c r="DG333" s="11"/>
      <c r="DH333" s="11"/>
      <c r="DI333" s="11"/>
      <c r="DJ333" s="11"/>
      <c r="DK333" s="11"/>
      <c r="DL333" s="247"/>
      <c r="DM333" s="247"/>
      <c r="DN333" s="247"/>
      <c r="DO333" s="247"/>
      <c r="DP333" s="247"/>
      <c r="DQ333" s="247"/>
      <c r="DR333" s="247"/>
      <c r="DS333" s="247"/>
      <c r="DT333" s="247"/>
      <c r="DU333" s="247"/>
      <c r="DV333" s="247"/>
      <c r="DW333" s="247"/>
      <c r="DX333" s="247"/>
      <c r="DY333" s="247"/>
      <c r="DZ333" s="247"/>
      <c r="EA333" s="247"/>
      <c r="EB333" s="247"/>
      <c r="EC333" s="247"/>
      <c r="ED333" s="17">
        <f t="shared" si="96"/>
        <v>11098110.715496</v>
      </c>
      <c r="EE333" s="29">
        <f t="shared" si="97"/>
        <v>6</v>
      </c>
      <c r="EF333" s="17">
        <f t="shared" si="98"/>
        <v>1849685.1192493334</v>
      </c>
    </row>
    <row r="334" spans="1:136" ht="89.25" x14ac:dyDescent="0.25">
      <c r="A334" s="25">
        <f>Distribución_Elementos!A334</f>
        <v>332</v>
      </c>
      <c r="B334" s="22" t="str">
        <f>Distribución_Elementos!B334</f>
        <v xml:space="preserve">Micropipeta Monocanal 
Capacidad: 1 µl - 10 µl
Con puntas de la misma marca de las pipetas, incluir bolsa de 1000 puntas.                                                                                                                                                                                Con certificado de calibración y trazabilidad expedida por laboratorio acreditado ante el ONAC                                                                                                                      </v>
      </c>
      <c r="C334" s="22" t="str">
        <f>Distribución_Elementos!C334</f>
        <v>Finnpipette, brand, o equivalente</v>
      </c>
      <c r="D334" s="22" t="str">
        <f>Distribución_Elementos!D334</f>
        <v>Unidad</v>
      </c>
      <c r="E334" s="224">
        <v>1</v>
      </c>
      <c r="F334" s="221">
        <v>0</v>
      </c>
      <c r="G334" s="221">
        <v>0</v>
      </c>
      <c r="H334" s="221">
        <v>0</v>
      </c>
      <c r="I334" s="221">
        <v>0</v>
      </c>
      <c r="J334" s="221">
        <v>0</v>
      </c>
      <c r="K334" s="221">
        <v>0</v>
      </c>
      <c r="L334" s="247"/>
      <c r="M334" s="247"/>
      <c r="N334" s="228"/>
      <c r="O334" s="121"/>
      <c r="P334" s="119"/>
      <c r="Q334" s="115"/>
      <c r="R334" s="115"/>
      <c r="S334" s="11"/>
      <c r="T334" s="247"/>
      <c r="U334" s="247"/>
      <c r="V334" s="247"/>
      <c r="W334" s="17"/>
      <c r="X334" s="11"/>
      <c r="Y334" s="11"/>
      <c r="Z334" s="247">
        <v>1570000</v>
      </c>
      <c r="AA334" s="247">
        <f t="shared" si="103"/>
        <v>298300</v>
      </c>
      <c r="AB334" s="247">
        <f>+Z334+AA334</f>
        <v>1868300</v>
      </c>
      <c r="AC334" s="5" t="s">
        <v>140</v>
      </c>
      <c r="AD334" s="22" t="s">
        <v>1579</v>
      </c>
      <c r="AE334" s="17"/>
      <c r="AF334" s="247"/>
      <c r="AG334" s="247"/>
      <c r="AH334" s="152"/>
      <c r="AI334" s="24"/>
      <c r="AJ334" s="17"/>
      <c r="AK334" s="17"/>
      <c r="AL334" s="102"/>
      <c r="AM334" s="132"/>
      <c r="AN334" s="161"/>
      <c r="AO334" s="115"/>
      <c r="AP334" s="115"/>
      <c r="AQ334" s="17"/>
      <c r="AR334" s="247"/>
      <c r="AS334" s="247"/>
      <c r="AT334" s="247"/>
      <c r="AU334" s="17"/>
      <c r="AV334" s="17"/>
      <c r="AW334" s="17"/>
      <c r="AX334" s="252"/>
      <c r="AY334" s="247"/>
      <c r="AZ334" s="247"/>
      <c r="BA334" s="17"/>
      <c r="BB334" s="52"/>
      <c r="BC334" s="17"/>
      <c r="BD334" s="97">
        <v>1357000</v>
      </c>
      <c r="BE334" s="247">
        <f t="shared" si="105"/>
        <v>257830</v>
      </c>
      <c r="BF334" s="247">
        <f t="shared" si="106"/>
        <v>1614830</v>
      </c>
      <c r="BG334" s="25" t="s">
        <v>140</v>
      </c>
      <c r="BH334" s="5" t="s">
        <v>1655</v>
      </c>
      <c r="BI334" s="5" t="s">
        <v>1663</v>
      </c>
      <c r="BJ334" s="247">
        <v>2463900</v>
      </c>
      <c r="BK334" s="247">
        <f t="shared" si="99"/>
        <v>468141</v>
      </c>
      <c r="BL334" s="247">
        <f t="shared" si="100"/>
        <v>2932041</v>
      </c>
      <c r="BM334" s="191" t="s">
        <v>140</v>
      </c>
      <c r="BN334" s="190" t="s">
        <v>1565</v>
      </c>
      <c r="BO334" s="17"/>
      <c r="BP334" s="247"/>
      <c r="BQ334" s="247"/>
      <c r="BR334" s="247"/>
      <c r="BS334" s="17"/>
      <c r="BT334" s="17"/>
      <c r="BU334" s="17"/>
      <c r="BV334" s="189">
        <v>2588827.1217</v>
      </c>
      <c r="BW334" s="195">
        <f t="shared" si="101"/>
        <v>491877.153123</v>
      </c>
      <c r="BX334" s="246">
        <f t="shared" si="102"/>
        <v>3080704.2748230002</v>
      </c>
      <c r="BY334" s="191" t="s">
        <v>140</v>
      </c>
      <c r="BZ334" s="190" t="s">
        <v>1565</v>
      </c>
      <c r="CA334" s="190"/>
      <c r="CB334" s="247"/>
      <c r="CC334" s="247"/>
      <c r="CD334" s="247"/>
      <c r="CE334" s="17"/>
      <c r="CF334" s="17"/>
      <c r="CG334" s="17"/>
      <c r="CH334" s="206">
        <v>1891000</v>
      </c>
      <c r="CI334" s="206">
        <f>CH334*19%</f>
        <v>359290</v>
      </c>
      <c r="CJ334" s="206">
        <f>CH334+CI334</f>
        <v>2250290</v>
      </c>
      <c r="CK334" s="17"/>
      <c r="CL334" s="17"/>
      <c r="CM334" s="17"/>
      <c r="CN334" s="17"/>
      <c r="CO334" s="17"/>
      <c r="CP334" s="11"/>
      <c r="CQ334" s="11"/>
      <c r="CR334" s="11"/>
      <c r="CS334" s="11"/>
      <c r="CT334" s="247"/>
      <c r="CU334" s="247"/>
      <c r="CV334" s="247"/>
      <c r="CW334" s="11"/>
      <c r="CX334" s="11"/>
      <c r="CY334" s="11"/>
      <c r="CZ334" s="11"/>
      <c r="DA334" s="11"/>
      <c r="DB334" s="11"/>
      <c r="DC334" s="11"/>
      <c r="DD334" s="11"/>
      <c r="DE334" s="11"/>
      <c r="DF334" s="11"/>
      <c r="DG334" s="11"/>
      <c r="DH334" s="11"/>
      <c r="DI334" s="11"/>
      <c r="DJ334" s="11"/>
      <c r="DK334" s="11"/>
      <c r="DL334" s="247"/>
      <c r="DM334" s="247"/>
      <c r="DN334" s="247"/>
      <c r="DO334" s="247"/>
      <c r="DP334" s="247"/>
      <c r="DQ334" s="247"/>
      <c r="DR334" s="247"/>
      <c r="DS334" s="247"/>
      <c r="DT334" s="247"/>
      <c r="DU334" s="247"/>
      <c r="DV334" s="247"/>
      <c r="DW334" s="247"/>
      <c r="DX334" s="247"/>
      <c r="DY334" s="247"/>
      <c r="DZ334" s="247"/>
      <c r="EA334" s="247"/>
      <c r="EB334" s="247"/>
      <c r="EC334" s="247"/>
      <c r="ED334" s="17">
        <f t="shared" si="96"/>
        <v>11746165.274823001</v>
      </c>
      <c r="EE334" s="29">
        <f t="shared" si="97"/>
        <v>5</v>
      </c>
      <c r="EF334" s="17">
        <f t="shared" si="98"/>
        <v>2349233.0549646001</v>
      </c>
    </row>
    <row r="335" spans="1:136" ht="76.5" x14ac:dyDescent="0.25">
      <c r="A335" s="25">
        <f>Distribución_Elementos!A335</f>
        <v>333</v>
      </c>
      <c r="B335" s="22" t="str">
        <f>Distribución_Elementos!B335</f>
        <v>Micropipeta multicanal 12 canales de 5-50µl con certificado de calibración y trazabilidad expedida por laboratorio acreditado ante el ONAC</v>
      </c>
      <c r="C335" s="22" t="str">
        <f>Distribución_Elementos!C335</f>
        <v>Eppendorf, Neogen, Finnpipette, Brand</v>
      </c>
      <c r="D335" s="22" t="str">
        <f>Distribución_Elementos!D335</f>
        <v>Unidad</v>
      </c>
      <c r="E335" s="224">
        <v>1</v>
      </c>
      <c r="F335" s="221">
        <v>3896139.333333333</v>
      </c>
      <c r="G335" s="221">
        <v>3837631</v>
      </c>
      <c r="H335" s="221">
        <v>4197923.333333333</v>
      </c>
      <c r="I335" s="221">
        <v>4197844</v>
      </c>
      <c r="J335" s="221">
        <v>4470887.5166666666</v>
      </c>
      <c r="K335" s="221">
        <v>4470830</v>
      </c>
      <c r="L335" s="247">
        <f>AVERAGE(F335,H335,J335)</f>
        <v>4188316.7277777777</v>
      </c>
      <c r="M335" s="247">
        <f>AVERAGE(G335,I335,K335)*E1</f>
        <v>4293831.3833333338</v>
      </c>
      <c r="N335" s="227"/>
      <c r="O335" s="121"/>
      <c r="P335" s="119"/>
      <c r="Q335" s="115"/>
      <c r="R335" s="115"/>
      <c r="S335" s="11"/>
      <c r="T335" s="247"/>
      <c r="U335" s="247"/>
      <c r="V335" s="247"/>
      <c r="W335" s="17"/>
      <c r="X335" s="11"/>
      <c r="Y335" s="11"/>
      <c r="Z335" s="247"/>
      <c r="AA335" s="247"/>
      <c r="AB335" s="247"/>
      <c r="AC335" s="44"/>
      <c r="AD335" s="22"/>
      <c r="AE335" s="17"/>
      <c r="AF335" s="247"/>
      <c r="AG335" s="247"/>
      <c r="AH335" s="97"/>
      <c r="AI335" s="4"/>
      <c r="AJ335" s="17"/>
      <c r="AK335" s="17"/>
      <c r="AL335" s="102"/>
      <c r="AM335" s="132"/>
      <c r="AN335" s="161"/>
      <c r="AO335" s="115"/>
      <c r="AP335" s="115"/>
      <c r="AQ335" s="17"/>
      <c r="AR335" s="247"/>
      <c r="AS335" s="247"/>
      <c r="AT335" s="247"/>
      <c r="AU335" s="17"/>
      <c r="AV335" s="17"/>
      <c r="AW335" s="17"/>
      <c r="AX335" s="247"/>
      <c r="AY335" s="247"/>
      <c r="AZ335" s="247"/>
      <c r="BA335" s="17"/>
      <c r="BB335" s="52"/>
      <c r="BC335" s="17"/>
      <c r="BD335" s="102">
        <v>3284972</v>
      </c>
      <c r="BE335" s="247">
        <f>+BD335*0.19</f>
        <v>624144.68000000005</v>
      </c>
      <c r="BF335" s="247">
        <f>+BD335+BE335</f>
        <v>3909116.68</v>
      </c>
      <c r="BG335" s="25" t="s">
        <v>140</v>
      </c>
      <c r="BH335" s="5" t="s">
        <v>1664</v>
      </c>
      <c r="BI335" s="5" t="s">
        <v>1665</v>
      </c>
      <c r="BJ335" s="247">
        <v>6909900</v>
      </c>
      <c r="BK335" s="247">
        <f t="shared" si="99"/>
        <v>1312881</v>
      </c>
      <c r="BL335" s="247">
        <f t="shared" si="100"/>
        <v>8222781</v>
      </c>
      <c r="BM335" s="191" t="s">
        <v>140</v>
      </c>
      <c r="BN335" s="190" t="s">
        <v>1565</v>
      </c>
      <c r="BO335" s="17"/>
      <c r="BP335" s="247"/>
      <c r="BQ335" s="247"/>
      <c r="BR335" s="247"/>
      <c r="BS335" s="17"/>
      <c r="BT335" s="17"/>
      <c r="BU335" s="17"/>
      <c r="BV335" s="195">
        <v>7692294.1572000002</v>
      </c>
      <c r="BW335" s="195">
        <f t="shared" si="101"/>
        <v>1461535.8898680001</v>
      </c>
      <c r="BX335" s="246">
        <f t="shared" si="102"/>
        <v>9153830.0470679998</v>
      </c>
      <c r="BY335" s="191" t="s">
        <v>140</v>
      </c>
      <c r="BZ335" s="190" t="s">
        <v>1565</v>
      </c>
      <c r="CA335" s="190"/>
      <c r="CB335" s="247"/>
      <c r="CC335" s="247"/>
      <c r="CD335" s="247"/>
      <c r="CE335" s="17"/>
      <c r="CF335" s="17"/>
      <c r="CG335" s="17"/>
      <c r="CH335" s="247"/>
      <c r="CI335" s="247"/>
      <c r="CJ335" s="247"/>
      <c r="CK335" s="17"/>
      <c r="CL335" s="17"/>
      <c r="CM335" s="17"/>
      <c r="CN335" s="17"/>
      <c r="CO335" s="17"/>
      <c r="CP335" s="11"/>
      <c r="CQ335" s="11"/>
      <c r="CR335" s="11"/>
      <c r="CS335" s="11"/>
      <c r="CT335" s="247"/>
      <c r="CU335" s="247"/>
      <c r="CV335" s="247"/>
      <c r="CW335" s="11"/>
      <c r="CX335" s="11"/>
      <c r="CY335" s="11"/>
      <c r="CZ335" s="11"/>
      <c r="DA335" s="11"/>
      <c r="DB335" s="11"/>
      <c r="DC335" s="11"/>
      <c r="DD335" s="11"/>
      <c r="DE335" s="11"/>
      <c r="DF335" s="11"/>
      <c r="DG335" s="11"/>
      <c r="DH335" s="11"/>
      <c r="DI335" s="11"/>
      <c r="DJ335" s="11"/>
      <c r="DK335" s="11"/>
      <c r="DL335" s="247"/>
      <c r="DM335" s="247"/>
      <c r="DN335" s="247"/>
      <c r="DO335" s="247"/>
      <c r="DP335" s="247"/>
      <c r="DQ335" s="247"/>
      <c r="DR335" s="247"/>
      <c r="DS335" s="247"/>
      <c r="DT335" s="247"/>
      <c r="DU335" s="247"/>
      <c r="DV335" s="247"/>
      <c r="DW335" s="247"/>
      <c r="DX335" s="247"/>
      <c r="DY335" s="247"/>
      <c r="DZ335" s="247"/>
      <c r="EA335" s="247"/>
      <c r="EB335" s="247"/>
      <c r="EC335" s="247"/>
      <c r="ED335" s="17">
        <f t="shared" si="96"/>
        <v>25579559.110401332</v>
      </c>
      <c r="EE335" s="29">
        <f t="shared" si="97"/>
        <v>4</v>
      </c>
      <c r="EF335" s="17">
        <f t="shared" si="98"/>
        <v>6394889.7776003331</v>
      </c>
    </row>
    <row r="336" spans="1:136" x14ac:dyDescent="0.25">
      <c r="A336" s="25">
        <f>Distribución_Elementos!A336</f>
        <v>334</v>
      </c>
      <c r="B336" s="22" t="str">
        <f>Distribución_Elementos!B336</f>
        <v>Microplaca Couster negra plana para Fluorescencia Polarizada</v>
      </c>
      <c r="C336" s="22" t="str">
        <f>Distribución_Elementos!C336</f>
        <v xml:space="preserve">Costar, brand, thermo </v>
      </c>
      <c r="D336" s="22" t="str">
        <f>Distribución_Elementos!D336</f>
        <v>Caja x 50</v>
      </c>
      <c r="E336" s="224">
        <v>1</v>
      </c>
      <c r="F336" s="221">
        <v>3193484</v>
      </c>
      <c r="G336" s="221">
        <v>3094000</v>
      </c>
      <c r="H336" s="221">
        <v>2135562.1000000006</v>
      </c>
      <c r="I336" s="221">
        <v>2135455</v>
      </c>
      <c r="J336" s="221">
        <v>3011394.1666666665</v>
      </c>
      <c r="K336" s="221">
        <v>1320781</v>
      </c>
      <c r="L336" s="247">
        <f>AVERAGE(F336,H336,J336)</f>
        <v>2780146.7555555557</v>
      </c>
      <c r="M336" s="247">
        <f>AVERAGE(G336,I336,K336)*E1</f>
        <v>2248914.36</v>
      </c>
      <c r="N336" s="227"/>
      <c r="O336" s="119"/>
      <c r="P336" s="119"/>
      <c r="Q336" s="115"/>
      <c r="R336" s="115"/>
      <c r="S336" s="11"/>
      <c r="T336" s="247"/>
      <c r="U336" s="247"/>
      <c r="V336" s="247"/>
      <c r="W336" s="17"/>
      <c r="X336" s="11"/>
      <c r="Y336" s="11"/>
      <c r="Z336" s="247"/>
      <c r="AA336" s="247"/>
      <c r="AB336" s="247"/>
      <c r="AC336" s="47"/>
      <c r="AD336" s="22"/>
      <c r="AE336" s="17"/>
      <c r="AF336" s="247"/>
      <c r="AG336" s="247"/>
      <c r="AH336" s="153"/>
      <c r="AI336" s="4"/>
      <c r="AJ336" s="17"/>
      <c r="AK336" s="17"/>
      <c r="AL336" s="102"/>
      <c r="AM336" s="132"/>
      <c r="AN336" s="161"/>
      <c r="AO336" s="115"/>
      <c r="AP336" s="115"/>
      <c r="AQ336" s="17"/>
      <c r="AR336" s="247"/>
      <c r="AS336" s="247"/>
      <c r="AT336" s="247"/>
      <c r="AU336" s="17"/>
      <c r="AV336" s="17"/>
      <c r="AW336" s="17"/>
      <c r="AX336" s="247"/>
      <c r="AY336" s="247"/>
      <c r="AZ336" s="247"/>
      <c r="BA336" s="17"/>
      <c r="BB336" s="52"/>
      <c r="BC336" s="17"/>
      <c r="BD336" s="247"/>
      <c r="BE336" s="247"/>
      <c r="BF336" s="247"/>
      <c r="BG336" s="17"/>
      <c r="BH336" s="17"/>
      <c r="BI336" s="17"/>
      <c r="BJ336" s="247">
        <f>1807400/2</f>
        <v>903700</v>
      </c>
      <c r="BK336" s="247">
        <f t="shared" si="99"/>
        <v>171703</v>
      </c>
      <c r="BL336" s="247">
        <f t="shared" si="100"/>
        <v>1075403</v>
      </c>
      <c r="BM336" s="191" t="s">
        <v>1498</v>
      </c>
      <c r="BN336" s="190" t="s">
        <v>1565</v>
      </c>
      <c r="BO336" s="17"/>
      <c r="BP336" s="247"/>
      <c r="BQ336" s="247"/>
      <c r="BR336" s="247"/>
      <c r="BS336" s="17"/>
      <c r="BT336" s="17"/>
      <c r="BU336" s="17"/>
      <c r="BV336" s="189">
        <f>2089254.993/2</f>
        <v>1044627.4965</v>
      </c>
      <c r="BW336" s="195">
        <f t="shared" si="101"/>
        <v>198479.22433500001</v>
      </c>
      <c r="BX336" s="246">
        <f t="shared" si="102"/>
        <v>1243106.720835</v>
      </c>
      <c r="BY336" s="191" t="s">
        <v>1498</v>
      </c>
      <c r="BZ336" s="190" t="s">
        <v>1565</v>
      </c>
      <c r="CA336" s="190"/>
      <c r="CB336" s="247"/>
      <c r="CC336" s="247"/>
      <c r="CD336" s="247"/>
      <c r="CE336" s="17"/>
      <c r="CF336" s="17"/>
      <c r="CG336" s="17"/>
      <c r="CH336" s="247"/>
      <c r="CI336" s="247"/>
      <c r="CJ336" s="247"/>
      <c r="CK336" s="17"/>
      <c r="CL336" s="17"/>
      <c r="CM336" s="17"/>
      <c r="CN336" s="17"/>
      <c r="CO336" s="17"/>
      <c r="CP336" s="11"/>
      <c r="CQ336" s="11"/>
      <c r="CR336" s="11"/>
      <c r="CS336" s="11"/>
      <c r="CT336" s="247"/>
      <c r="CU336" s="247"/>
      <c r="CV336" s="247"/>
      <c r="CW336" s="11"/>
      <c r="CX336" s="11"/>
      <c r="CY336" s="11"/>
      <c r="CZ336" s="11"/>
      <c r="DA336" s="11"/>
      <c r="DB336" s="11"/>
      <c r="DC336" s="11"/>
      <c r="DD336" s="11"/>
      <c r="DE336" s="11"/>
      <c r="DF336" s="11"/>
      <c r="DG336" s="11"/>
      <c r="DH336" s="11"/>
      <c r="DI336" s="11"/>
      <c r="DJ336" s="11"/>
      <c r="DK336" s="11"/>
      <c r="DL336" s="247"/>
      <c r="DM336" s="247"/>
      <c r="DN336" s="247"/>
      <c r="DO336" s="247"/>
      <c r="DP336" s="247"/>
      <c r="DQ336" s="247"/>
      <c r="DR336" s="247"/>
      <c r="DS336" s="247"/>
      <c r="DT336" s="247"/>
      <c r="DU336" s="247"/>
      <c r="DV336" s="247"/>
      <c r="DW336" s="247"/>
      <c r="DX336" s="247"/>
      <c r="DY336" s="247"/>
      <c r="DZ336" s="247"/>
      <c r="EA336" s="247"/>
      <c r="EB336" s="247"/>
      <c r="EC336" s="247"/>
      <c r="ED336" s="17">
        <f t="shared" si="96"/>
        <v>4567424.0808349997</v>
      </c>
      <c r="EE336" s="29">
        <f t="shared" si="97"/>
        <v>3</v>
      </c>
      <c r="EF336" s="17">
        <f t="shared" si="98"/>
        <v>1522474.6936116666</v>
      </c>
    </row>
    <row r="337" spans="1:136" x14ac:dyDescent="0.25">
      <c r="A337" s="25">
        <f>Distribución_Elementos!A337</f>
        <v>335</v>
      </c>
      <c r="B337" s="22" t="str">
        <f>Distribución_Elementos!B337</f>
        <v>Microplaca de 6 pozos para cultivo celular</v>
      </c>
      <c r="C337" s="22" t="str">
        <f>Distribución_Elementos!C337</f>
        <v>VWR o equivalente</v>
      </c>
      <c r="D337" s="22" t="str">
        <f>Distribución_Elementos!D337</f>
        <v>Caja x 100</v>
      </c>
      <c r="E337" s="224">
        <v>1</v>
      </c>
      <c r="F337" s="221">
        <v>0</v>
      </c>
      <c r="G337" s="221">
        <v>0</v>
      </c>
      <c r="H337" s="221">
        <v>0</v>
      </c>
      <c r="I337" s="221">
        <v>0</v>
      </c>
      <c r="J337" s="221">
        <v>4577020.1231439998</v>
      </c>
      <c r="K337" s="221">
        <v>3332000</v>
      </c>
      <c r="L337" s="247">
        <f>J337</f>
        <v>4577020.1231439998</v>
      </c>
      <c r="M337" s="247">
        <f>K337*E1</f>
        <v>3431960</v>
      </c>
      <c r="N337" s="227"/>
      <c r="O337" s="119"/>
      <c r="P337" s="119"/>
      <c r="Q337" s="115"/>
      <c r="R337" s="115"/>
      <c r="S337" s="11"/>
      <c r="T337" s="247"/>
      <c r="U337" s="247"/>
      <c r="V337" s="247"/>
      <c r="W337" s="17"/>
      <c r="X337" s="11"/>
      <c r="Y337" s="11"/>
      <c r="Z337" s="247"/>
      <c r="AA337" s="247"/>
      <c r="AB337" s="247"/>
      <c r="AC337" s="44"/>
      <c r="AD337" s="22"/>
      <c r="AE337" s="17"/>
      <c r="AF337" s="247"/>
      <c r="AG337" s="247"/>
      <c r="AH337" s="151"/>
      <c r="AI337" s="4"/>
      <c r="AJ337" s="17"/>
      <c r="AK337" s="17"/>
      <c r="AL337" s="102"/>
      <c r="AM337" s="132"/>
      <c r="AN337" s="161"/>
      <c r="AO337" s="115"/>
      <c r="AP337" s="115"/>
      <c r="AQ337" s="17"/>
      <c r="AR337" s="247"/>
      <c r="AS337" s="247"/>
      <c r="AT337" s="247"/>
      <c r="AU337" s="17"/>
      <c r="AV337" s="17"/>
      <c r="AW337" s="17"/>
      <c r="AX337" s="247"/>
      <c r="AY337" s="247"/>
      <c r="AZ337" s="247"/>
      <c r="BA337" s="17"/>
      <c r="BB337" s="52"/>
      <c r="BC337" s="17"/>
      <c r="BD337" s="247"/>
      <c r="BE337" s="247"/>
      <c r="BF337" s="247"/>
      <c r="BG337" s="17"/>
      <c r="BH337" s="17"/>
      <c r="BI337" s="17"/>
      <c r="BJ337" s="247">
        <v>1787400</v>
      </c>
      <c r="BK337" s="247">
        <f t="shared" si="99"/>
        <v>339606</v>
      </c>
      <c r="BL337" s="247">
        <f t="shared" si="100"/>
        <v>2127006</v>
      </c>
      <c r="BM337" s="191" t="s">
        <v>1498</v>
      </c>
      <c r="BN337" s="190" t="s">
        <v>1609</v>
      </c>
      <c r="BO337" s="17"/>
      <c r="BP337" s="247">
        <v>1850000</v>
      </c>
      <c r="BQ337" s="247">
        <f>+BP337*19%</f>
        <v>351500</v>
      </c>
      <c r="BR337" s="247">
        <f>+BQ337+BP337</f>
        <v>2201500</v>
      </c>
      <c r="BS337" s="17"/>
      <c r="BT337" s="17"/>
      <c r="BU337" s="17"/>
      <c r="BV337" s="189">
        <v>1969192.8792000001</v>
      </c>
      <c r="BW337" s="195">
        <f t="shared" si="101"/>
        <v>374146.64704800001</v>
      </c>
      <c r="BX337" s="246">
        <f t="shared" si="102"/>
        <v>2343339.5262480001</v>
      </c>
      <c r="BY337" s="191" t="s">
        <v>1498</v>
      </c>
      <c r="BZ337" s="190" t="s">
        <v>1609</v>
      </c>
      <c r="CA337" s="190"/>
      <c r="CB337" s="247"/>
      <c r="CC337" s="247"/>
      <c r="CD337" s="247"/>
      <c r="CE337" s="17"/>
      <c r="CF337" s="17"/>
      <c r="CG337" s="17"/>
      <c r="CH337" s="247"/>
      <c r="CI337" s="247"/>
      <c r="CJ337" s="247"/>
      <c r="CK337" s="17"/>
      <c r="CL337" s="17"/>
      <c r="CM337" s="17"/>
      <c r="CN337" s="17"/>
      <c r="CO337" s="17"/>
      <c r="CP337" s="11"/>
      <c r="CQ337" s="11"/>
      <c r="CR337" s="11"/>
      <c r="CS337" s="11"/>
      <c r="CT337" s="247"/>
      <c r="CU337" s="247"/>
      <c r="CV337" s="247"/>
      <c r="CW337" s="11"/>
      <c r="CX337" s="11"/>
      <c r="CY337" s="11"/>
      <c r="CZ337" s="11"/>
      <c r="DA337" s="11"/>
      <c r="DB337" s="11"/>
      <c r="DC337" s="11"/>
      <c r="DD337" s="11"/>
      <c r="DE337" s="11"/>
      <c r="DF337" s="11"/>
      <c r="DG337" s="11"/>
      <c r="DH337" s="11"/>
      <c r="DI337" s="11"/>
      <c r="DJ337" s="11"/>
      <c r="DK337" s="11"/>
      <c r="DL337" s="247"/>
      <c r="DM337" s="247"/>
      <c r="DN337" s="247"/>
      <c r="DO337" s="247"/>
      <c r="DP337" s="247"/>
      <c r="DQ337" s="247"/>
      <c r="DR337" s="247"/>
      <c r="DS337" s="247"/>
      <c r="DT337" s="247"/>
      <c r="DU337" s="247"/>
      <c r="DV337" s="247"/>
      <c r="DW337" s="247"/>
      <c r="DX337" s="247"/>
      <c r="DY337" s="247"/>
      <c r="DZ337" s="247"/>
      <c r="EA337" s="247"/>
      <c r="EB337" s="247"/>
      <c r="EC337" s="247"/>
      <c r="ED337" s="17">
        <f t="shared" si="96"/>
        <v>10103805.526248001</v>
      </c>
      <c r="EE337" s="29">
        <f t="shared" si="97"/>
        <v>4</v>
      </c>
      <c r="EF337" s="17">
        <f t="shared" si="98"/>
        <v>2525951.3815620001</v>
      </c>
    </row>
    <row r="338" spans="1:136" x14ac:dyDescent="0.25">
      <c r="A338" s="25">
        <f>Distribución_Elementos!A338</f>
        <v>336</v>
      </c>
      <c r="B338" s="22" t="str">
        <f>Distribución_Elementos!B338</f>
        <v>Microplaca de predilución fondo plano de 96 pozos estéril</v>
      </c>
      <c r="C338" s="22" t="str">
        <f>Distribución_Elementos!C338</f>
        <v xml:space="preserve">Costar, brand, thermo </v>
      </c>
      <c r="D338" s="22" t="str">
        <f>Distribución_Elementos!D338</f>
        <v>Cajax 50</v>
      </c>
      <c r="E338" s="224">
        <v>1</v>
      </c>
      <c r="F338" s="221">
        <v>821040.5</v>
      </c>
      <c r="G338" s="221">
        <v>808724</v>
      </c>
      <c r="H338" s="221">
        <v>539827.74440000008</v>
      </c>
      <c r="I338" s="221">
        <v>386750</v>
      </c>
      <c r="J338" s="221">
        <v>960080.10000000009</v>
      </c>
      <c r="K338" s="221">
        <v>773500</v>
      </c>
      <c r="L338" s="247">
        <f>AVERAGE(F338,H338,J338)</f>
        <v>773649.44813333347</v>
      </c>
      <c r="M338" s="247">
        <f>AVERAGE(G338,I338,K338)*E1</f>
        <v>676014.40666666662</v>
      </c>
      <c r="N338" s="227">
        <v>900000</v>
      </c>
      <c r="O338" s="119">
        <f>+N338*0.19</f>
        <v>171000</v>
      </c>
      <c r="P338" s="119">
        <f>+N338+O338</f>
        <v>1071000</v>
      </c>
      <c r="Q338" s="115"/>
      <c r="R338" s="115"/>
      <c r="S338" s="11"/>
      <c r="T338" s="247"/>
      <c r="U338" s="247"/>
      <c r="V338" s="247"/>
      <c r="W338" s="17"/>
      <c r="X338" s="11"/>
      <c r="Y338" s="11"/>
      <c r="Z338" s="247"/>
      <c r="AA338" s="247"/>
      <c r="AB338" s="247"/>
      <c r="AC338" s="46"/>
      <c r="AD338" s="23"/>
      <c r="AE338" s="17"/>
      <c r="AF338" s="247"/>
      <c r="AG338" s="247"/>
      <c r="AH338" s="152"/>
      <c r="AI338" s="24"/>
      <c r="AJ338" s="17"/>
      <c r="AK338" s="17"/>
      <c r="AL338" s="102"/>
      <c r="AM338" s="132"/>
      <c r="AN338" s="132"/>
      <c r="AO338" s="115"/>
      <c r="AP338" s="115"/>
      <c r="AQ338" s="17"/>
      <c r="AR338" s="247"/>
      <c r="AS338" s="247"/>
      <c r="AT338" s="247"/>
      <c r="AU338" s="17"/>
      <c r="AV338" s="17"/>
      <c r="AW338" s="17"/>
      <c r="AX338" s="247"/>
      <c r="AY338" s="247"/>
      <c r="AZ338" s="247"/>
      <c r="BA338" s="17"/>
      <c r="BB338" s="52"/>
      <c r="BC338" s="17"/>
      <c r="BD338" s="247"/>
      <c r="BE338" s="247"/>
      <c r="BF338" s="247"/>
      <c r="BG338" s="17"/>
      <c r="BH338" s="17"/>
      <c r="BI338" s="17"/>
      <c r="BJ338" s="247">
        <f>1262000/2</f>
        <v>631000</v>
      </c>
      <c r="BK338" s="247">
        <f t="shared" ref="BK338:BK386" si="109">+BJ338*0.19</f>
        <v>119890</v>
      </c>
      <c r="BL338" s="247">
        <f t="shared" ref="BL338:BL386" si="110">+BJ338+BK338</f>
        <v>750890</v>
      </c>
      <c r="BM338" s="190" t="s">
        <v>1496</v>
      </c>
      <c r="BN338" s="190" t="s">
        <v>1609</v>
      </c>
      <c r="BO338" s="17"/>
      <c r="BP338" s="247">
        <v>1750000</v>
      </c>
      <c r="BQ338" s="247">
        <f>+BP338*19%</f>
        <v>332500</v>
      </c>
      <c r="BR338" s="247">
        <f>+BQ338+BP338</f>
        <v>2082500</v>
      </c>
      <c r="BS338" s="17"/>
      <c r="BT338" s="17"/>
      <c r="BU338" s="17"/>
      <c r="BV338" s="195">
        <v>1446877.952</v>
      </c>
      <c r="BW338" s="195">
        <f t="shared" si="101"/>
        <v>274906.81088</v>
      </c>
      <c r="BX338" s="246">
        <f t="shared" si="102"/>
        <v>1721784.7628800001</v>
      </c>
      <c r="BY338" s="190" t="s">
        <v>1496</v>
      </c>
      <c r="BZ338" s="190" t="s">
        <v>1609</v>
      </c>
      <c r="CA338" s="190"/>
      <c r="CB338" s="247"/>
      <c r="CC338" s="247"/>
      <c r="CD338" s="247"/>
      <c r="CE338" s="17"/>
      <c r="CF338" s="17"/>
      <c r="CG338" s="17"/>
      <c r="CH338" s="247"/>
      <c r="CI338" s="247"/>
      <c r="CJ338" s="247"/>
      <c r="CK338" s="17"/>
      <c r="CL338" s="17"/>
      <c r="CM338" s="17"/>
      <c r="CN338" s="17"/>
      <c r="CO338" s="17"/>
      <c r="CP338" s="11"/>
      <c r="CQ338" s="11"/>
      <c r="CR338" s="11"/>
      <c r="CS338" s="11"/>
      <c r="CT338" s="247"/>
      <c r="CU338" s="247"/>
      <c r="CV338" s="247"/>
      <c r="CW338" s="11"/>
      <c r="CX338" s="11"/>
      <c r="CY338" s="11"/>
      <c r="CZ338" s="11"/>
      <c r="DA338" s="11"/>
      <c r="DB338" s="11"/>
      <c r="DC338" s="11"/>
      <c r="DD338" s="11"/>
      <c r="DE338" s="11"/>
      <c r="DF338" s="11"/>
      <c r="DG338" s="11"/>
      <c r="DH338" s="11"/>
      <c r="DI338" s="11"/>
      <c r="DJ338" s="11"/>
      <c r="DK338" s="11"/>
      <c r="DL338" s="247"/>
      <c r="DM338" s="247"/>
      <c r="DN338" s="247"/>
      <c r="DO338" s="247"/>
      <c r="DP338" s="247"/>
      <c r="DQ338" s="247"/>
      <c r="DR338" s="247"/>
      <c r="DS338" s="247"/>
      <c r="DT338" s="247"/>
      <c r="DU338" s="247"/>
      <c r="DV338" s="247"/>
      <c r="DW338" s="247"/>
      <c r="DX338" s="247"/>
      <c r="DY338" s="247"/>
      <c r="DZ338" s="247"/>
      <c r="EA338" s="247"/>
      <c r="EB338" s="247"/>
      <c r="EC338" s="247"/>
      <c r="ED338" s="17">
        <f t="shared" si="96"/>
        <v>6302189.1695466666</v>
      </c>
      <c r="EE338" s="29">
        <f t="shared" si="97"/>
        <v>5</v>
      </c>
      <c r="EF338" s="17">
        <f t="shared" ref="EF338:EF386" si="111">IFERROR(ED338/EE338," ")</f>
        <v>1260437.8339093332</v>
      </c>
    </row>
    <row r="339" spans="1:136" ht="25.5" x14ac:dyDescent="0.25">
      <c r="A339" s="25">
        <f>Distribución_Elementos!A339</f>
        <v>337</v>
      </c>
      <c r="B339" s="22" t="str">
        <f>Distribución_Elementos!B339</f>
        <v>Microplaca flexible de 96 pozos, fondo en U sin tapa no estériles, 250 ul. Sin tapa. (No son para cultivo celular)</v>
      </c>
      <c r="C339" s="22" t="str">
        <f>Distribución_Elementos!C339</f>
        <v>Falcon 353911, Costar 2797</v>
      </c>
      <c r="D339" s="22" t="str">
        <f>Distribución_Elementos!D339</f>
        <v xml:space="preserve">Caja x 100 </v>
      </c>
      <c r="E339" s="224">
        <v>1</v>
      </c>
      <c r="F339" s="221">
        <v>1296743</v>
      </c>
      <c r="G339" s="221">
        <v>1264256</v>
      </c>
      <c r="H339" s="221">
        <v>1671965.9935999999</v>
      </c>
      <c r="I339" s="221">
        <v>1671831</v>
      </c>
      <c r="J339" s="221">
        <v>1414322.9333333333</v>
      </c>
      <c r="K339" s="221">
        <v>1190000</v>
      </c>
      <c r="L339" s="247">
        <f>AVERAGE(F339,H339,J339)</f>
        <v>1461010.6423111111</v>
      </c>
      <c r="M339" s="247">
        <f>AVERAGE(G339,I339,K339)*E1</f>
        <v>1416623.2033333334</v>
      </c>
      <c r="N339" s="227">
        <v>1550000</v>
      </c>
      <c r="O339" s="119">
        <f>+N339*0.19</f>
        <v>294500</v>
      </c>
      <c r="P339" s="119">
        <f>+N339+O339</f>
        <v>1844500</v>
      </c>
      <c r="Q339" s="115"/>
      <c r="R339" s="115"/>
      <c r="S339" s="11"/>
      <c r="T339" s="247">
        <f>253000*2</f>
        <v>506000</v>
      </c>
      <c r="U339" s="247">
        <f>+T339*0.19</f>
        <v>96140</v>
      </c>
      <c r="V339" s="247">
        <f>+T339+U339</f>
        <v>602140</v>
      </c>
      <c r="W339" s="17" t="s">
        <v>1666</v>
      </c>
      <c r="X339" s="11" t="s">
        <v>1626</v>
      </c>
      <c r="Y339" s="11" t="s">
        <v>1667</v>
      </c>
      <c r="Z339" s="247"/>
      <c r="AA339" s="247"/>
      <c r="AB339" s="247"/>
      <c r="AC339" s="46"/>
      <c r="AD339" s="22"/>
      <c r="AE339" s="17"/>
      <c r="AF339" s="247"/>
      <c r="AG339" s="247"/>
      <c r="AH339" s="157"/>
      <c r="AI339" s="4"/>
      <c r="AJ339" s="17"/>
      <c r="AK339" s="17"/>
      <c r="AL339" s="102"/>
      <c r="AM339" s="132"/>
      <c r="AN339" s="132"/>
      <c r="AO339" s="115"/>
      <c r="AP339" s="115"/>
      <c r="AQ339" s="17"/>
      <c r="AR339" s="247"/>
      <c r="AS339" s="247"/>
      <c r="AT339" s="247"/>
      <c r="AU339" s="17"/>
      <c r="AV339" s="17"/>
      <c r="AW339" s="17"/>
      <c r="AX339" s="247"/>
      <c r="AY339" s="247"/>
      <c r="AZ339" s="247"/>
      <c r="BA339" s="17"/>
      <c r="BB339" s="52"/>
      <c r="BC339" s="17"/>
      <c r="BD339" s="247"/>
      <c r="BE339" s="247"/>
      <c r="BF339" s="247"/>
      <c r="BG339" s="17"/>
      <c r="BH339" s="17"/>
      <c r="BI339" s="17"/>
      <c r="BJ339" s="247">
        <v>2553200</v>
      </c>
      <c r="BK339" s="247">
        <f t="shared" si="109"/>
        <v>485108</v>
      </c>
      <c r="BL339" s="247">
        <f t="shared" si="110"/>
        <v>3038308</v>
      </c>
      <c r="BM339" s="190" t="s">
        <v>1496</v>
      </c>
      <c r="BN339" s="190" t="s">
        <v>1609</v>
      </c>
      <c r="BO339" s="17"/>
      <c r="BP339" s="247">
        <v>1450000</v>
      </c>
      <c r="BQ339" s="247">
        <f t="shared" ref="BQ339:BQ387" si="112">+BP339*19%</f>
        <v>275500</v>
      </c>
      <c r="BR339" s="247">
        <f>+BQ339+BP339</f>
        <v>1725500</v>
      </c>
      <c r="BS339" s="17"/>
      <c r="BT339" s="17"/>
      <c r="BU339" s="17"/>
      <c r="BV339" s="195">
        <v>2897205.4020000002</v>
      </c>
      <c r="BW339" s="195">
        <f t="shared" si="101"/>
        <v>550469.02638000005</v>
      </c>
      <c r="BX339" s="246">
        <f t="shared" si="102"/>
        <v>3447674.4283800004</v>
      </c>
      <c r="BY339" s="190" t="s">
        <v>1496</v>
      </c>
      <c r="BZ339" s="190" t="s">
        <v>1609</v>
      </c>
      <c r="CA339" s="190"/>
      <c r="CB339" s="252"/>
      <c r="CC339" s="247"/>
      <c r="CD339" s="247"/>
      <c r="CE339" s="17"/>
      <c r="CF339" s="17"/>
      <c r="CG339" s="17"/>
      <c r="CH339" s="247"/>
      <c r="CI339" s="247"/>
      <c r="CJ339" s="247"/>
      <c r="CK339" s="17"/>
      <c r="CL339" s="17"/>
      <c r="CM339" s="17"/>
      <c r="CN339" s="17"/>
      <c r="CO339" s="17"/>
      <c r="CP339" s="11"/>
      <c r="CQ339" s="11"/>
      <c r="CR339" s="11"/>
      <c r="CS339" s="11"/>
      <c r="CT339" s="247"/>
      <c r="CU339" s="247"/>
      <c r="CV339" s="247"/>
      <c r="CW339" s="11"/>
      <c r="CX339" s="11"/>
      <c r="CY339" s="11"/>
      <c r="CZ339" s="11"/>
      <c r="DA339" s="11"/>
      <c r="DB339" s="11"/>
      <c r="DC339" s="11"/>
      <c r="DD339" s="11"/>
      <c r="DE339" s="11"/>
      <c r="DF339" s="11"/>
      <c r="DG339" s="11"/>
      <c r="DH339" s="11"/>
      <c r="DI339" s="11"/>
      <c r="DJ339" s="11"/>
      <c r="DK339" s="11"/>
      <c r="DL339" s="247"/>
      <c r="DM339" s="247"/>
      <c r="DN339" s="247"/>
      <c r="DO339" s="247"/>
      <c r="DP339" s="247"/>
      <c r="DQ339" s="247"/>
      <c r="DR339" s="247"/>
      <c r="DS339" s="247"/>
      <c r="DT339" s="247"/>
      <c r="DU339" s="247"/>
      <c r="DV339" s="247"/>
      <c r="DW339" s="247"/>
      <c r="DX339" s="247"/>
      <c r="DY339" s="247"/>
      <c r="DZ339" s="247"/>
      <c r="EA339" s="247"/>
      <c r="EB339" s="247"/>
      <c r="EC339" s="247"/>
      <c r="ED339" s="17">
        <f t="shared" ref="ED339:ED387" si="113">SUM(M339,P339,V339,AB339,AH339,AN339,AT339,AZ339,BF339,BL339,BR339,BX339,CD339,CJ339,CP339,CV339,DB339,DH339,DN339,DT339,DZ339)</f>
        <v>12074745.631713334</v>
      </c>
      <c r="EE339" s="29">
        <f t="shared" ref="EE339:EE387" si="114">COUNTA(M339,N339,T339,Z339,AF339,AL339,AR339,AX339,BD339,BJ339,BP339,BV339,CB339,CH339,CN339,CT339,CZ339,DF339,DL339,DR339,DX339)</f>
        <v>6</v>
      </c>
      <c r="EF339" s="17">
        <f t="shared" si="111"/>
        <v>2012457.6052855558</v>
      </c>
    </row>
    <row r="340" spans="1:136" ht="25.5" x14ac:dyDescent="0.25">
      <c r="A340" s="25">
        <f>Distribución_Elementos!A340</f>
        <v>338</v>
      </c>
      <c r="B340" s="22" t="str">
        <f>Distribución_Elementos!B340</f>
        <v>Microplaca fondo en V sin tapa, poliestireno, claro; no tratada; no estériles (No son para cultivo celular)</v>
      </c>
      <c r="C340" s="22" t="str">
        <f>Distribución_Elementos!C340</f>
        <v>Corning, Costar, Falcon</v>
      </c>
      <c r="D340" s="22" t="str">
        <f>Distribución_Elementos!D340</f>
        <v xml:space="preserve">Caja x 50 </v>
      </c>
      <c r="E340" s="224">
        <v>1</v>
      </c>
      <c r="F340" s="221">
        <v>920762.5</v>
      </c>
      <c r="G340" s="221">
        <v>883932</v>
      </c>
      <c r="H340" s="221">
        <v>561957.66666666663</v>
      </c>
      <c r="I340" s="221">
        <v>561799</v>
      </c>
      <c r="J340" s="221">
        <v>0</v>
      </c>
      <c r="K340" s="221">
        <v>0</v>
      </c>
      <c r="L340" s="247">
        <f>AVERAGE(F340,H340)</f>
        <v>741360.08333333326</v>
      </c>
      <c r="M340" s="247">
        <f>AVERAGE(G340,I340)*E1</f>
        <v>744551.46499999997</v>
      </c>
      <c r="N340" s="228"/>
      <c r="O340" s="119"/>
      <c r="P340" s="119"/>
      <c r="Q340" s="115"/>
      <c r="R340" s="115"/>
      <c r="S340" s="11"/>
      <c r="T340" s="247"/>
      <c r="U340" s="247"/>
      <c r="V340" s="247"/>
      <c r="W340" s="17"/>
      <c r="X340" s="11"/>
      <c r="Y340" s="11"/>
      <c r="Z340" s="247"/>
      <c r="AA340" s="247"/>
      <c r="AB340" s="247"/>
      <c r="AC340" s="41"/>
      <c r="AD340" s="42"/>
      <c r="AE340" s="17"/>
      <c r="AF340" s="247"/>
      <c r="AG340" s="247"/>
      <c r="AH340" s="155"/>
      <c r="AI340" s="11"/>
      <c r="AJ340" s="17"/>
      <c r="AK340" s="17"/>
      <c r="AL340" s="102"/>
      <c r="AM340" s="132"/>
      <c r="AN340" s="161"/>
      <c r="AO340" s="115"/>
      <c r="AP340" s="115"/>
      <c r="AQ340" s="17"/>
      <c r="AR340" s="247"/>
      <c r="AS340" s="247"/>
      <c r="AT340" s="247"/>
      <c r="AU340" s="17"/>
      <c r="AV340" s="17"/>
      <c r="AW340" s="17"/>
      <c r="AX340" s="252"/>
      <c r="AY340" s="247"/>
      <c r="AZ340" s="247"/>
      <c r="BA340" s="17"/>
      <c r="BB340" s="52"/>
      <c r="BC340" s="17"/>
      <c r="BD340" s="247"/>
      <c r="BE340" s="247"/>
      <c r="BF340" s="247"/>
      <c r="BG340" s="17"/>
      <c r="BH340" s="17"/>
      <c r="BI340" s="17"/>
      <c r="BJ340" s="247">
        <f>673600/2</f>
        <v>336800</v>
      </c>
      <c r="BK340" s="247">
        <f t="shared" si="109"/>
        <v>63992</v>
      </c>
      <c r="BL340" s="247">
        <f t="shared" si="110"/>
        <v>400792</v>
      </c>
      <c r="BM340" s="190" t="s">
        <v>1496</v>
      </c>
      <c r="BN340" s="190" t="s">
        <v>1565</v>
      </c>
      <c r="BO340" s="17"/>
      <c r="BP340" s="247">
        <v>1650000</v>
      </c>
      <c r="BQ340" s="247">
        <f t="shared" si="112"/>
        <v>313500</v>
      </c>
      <c r="BR340" s="247">
        <f>+BQ340+BP340</f>
        <v>1963500</v>
      </c>
      <c r="BS340" s="17"/>
      <c r="BT340" s="17"/>
      <c r="BU340" s="17"/>
      <c r="BV340" s="189">
        <v>728775.92319999996</v>
      </c>
      <c r="BW340" s="195">
        <f t="shared" si="101"/>
        <v>138467.42540799998</v>
      </c>
      <c r="BX340" s="246">
        <f t="shared" si="102"/>
        <v>867243.34860799997</v>
      </c>
      <c r="BY340" s="190" t="s">
        <v>1496</v>
      </c>
      <c r="BZ340" s="190" t="s">
        <v>1565</v>
      </c>
      <c r="CA340" s="190"/>
      <c r="CB340" s="247"/>
      <c r="CC340" s="247"/>
      <c r="CD340" s="247"/>
      <c r="CE340" s="17"/>
      <c r="CF340" s="17"/>
      <c r="CG340" s="17"/>
      <c r="CH340" s="252"/>
      <c r="CI340" s="252"/>
      <c r="CJ340" s="252"/>
      <c r="CK340" s="17"/>
      <c r="CL340" s="17"/>
      <c r="CM340" s="17"/>
      <c r="CN340" s="17"/>
      <c r="CO340" s="17"/>
      <c r="CP340" s="11"/>
      <c r="CQ340" s="11"/>
      <c r="CR340" s="11"/>
      <c r="CS340" s="11"/>
      <c r="CT340" s="247"/>
      <c r="CU340" s="247"/>
      <c r="CV340" s="247"/>
      <c r="CW340" s="11"/>
      <c r="CX340" s="11"/>
      <c r="CY340" s="11"/>
      <c r="CZ340" s="11"/>
      <c r="DA340" s="11"/>
      <c r="DB340" s="11"/>
      <c r="DC340" s="11"/>
      <c r="DD340" s="11"/>
      <c r="DE340" s="11"/>
      <c r="DF340" s="11"/>
      <c r="DG340" s="11"/>
      <c r="DH340" s="11"/>
      <c r="DI340" s="11"/>
      <c r="DJ340" s="11"/>
      <c r="DK340" s="11"/>
      <c r="DL340" s="247"/>
      <c r="DM340" s="247"/>
      <c r="DN340" s="247"/>
      <c r="DO340" s="247"/>
      <c r="DP340" s="247"/>
      <c r="DQ340" s="247"/>
      <c r="DR340" s="247"/>
      <c r="DS340" s="247"/>
      <c r="DT340" s="247"/>
      <c r="DU340" s="247"/>
      <c r="DV340" s="247"/>
      <c r="DW340" s="247"/>
      <c r="DX340" s="247"/>
      <c r="DY340" s="247"/>
      <c r="DZ340" s="247"/>
      <c r="EA340" s="247"/>
      <c r="EB340" s="247"/>
      <c r="EC340" s="247"/>
      <c r="ED340" s="17">
        <f t="shared" si="113"/>
        <v>3976086.8136080001</v>
      </c>
      <c r="EE340" s="29">
        <f t="shared" si="114"/>
        <v>4</v>
      </c>
      <c r="EF340" s="17">
        <f t="shared" si="111"/>
        <v>994021.70340200001</v>
      </c>
    </row>
    <row r="341" spans="1:136" ht="25.5" x14ac:dyDescent="0.25">
      <c r="A341" s="25">
        <f>Distribución_Elementos!A341</f>
        <v>339</v>
      </c>
      <c r="B341" s="22" t="str">
        <f>Distribución_Elementos!B341</f>
        <v>Microplaca maxisorp (Certificada)</v>
      </c>
      <c r="C341" s="22" t="str">
        <f>Distribución_Elementos!C341</f>
        <v>Nunc 439454, Fisher 12-565-135</v>
      </c>
      <c r="D341" s="22" t="str">
        <f>Distribución_Elementos!D341</f>
        <v>Caja x 60</v>
      </c>
      <c r="E341" s="224">
        <v>1</v>
      </c>
      <c r="F341" s="221">
        <v>2048823</v>
      </c>
      <c r="G341" s="221">
        <v>1997534</v>
      </c>
      <c r="H341" s="221">
        <v>1311053.1387333334</v>
      </c>
      <c r="I341" s="221">
        <v>1310904</v>
      </c>
      <c r="J341" s="221">
        <v>2097410.7000000002</v>
      </c>
      <c r="K341" s="221">
        <v>2096780</v>
      </c>
      <c r="L341" s="247">
        <f>AVERAGE(F341,H341,J341)</f>
        <v>1819095.6129111114</v>
      </c>
      <c r="M341" s="247">
        <f>AVERAGE(G341,I341,K341)*E1</f>
        <v>1855791.5133333332</v>
      </c>
      <c r="N341" s="227"/>
      <c r="O341" s="119"/>
      <c r="P341" s="119"/>
      <c r="Q341" s="115"/>
      <c r="R341" s="115"/>
      <c r="S341" s="11"/>
      <c r="T341" s="247"/>
      <c r="U341" s="247"/>
      <c r="V341" s="247"/>
      <c r="W341" s="17"/>
      <c r="X341" s="11"/>
      <c r="Y341" s="11"/>
      <c r="Z341" s="247"/>
      <c r="AA341" s="247"/>
      <c r="AB341" s="247"/>
      <c r="AC341" s="44"/>
      <c r="AD341" s="22"/>
      <c r="AE341" s="17"/>
      <c r="AF341" s="247"/>
      <c r="AG341" s="247"/>
      <c r="AH341" s="97"/>
      <c r="AI341" s="4"/>
      <c r="AJ341" s="17"/>
      <c r="AK341" s="17"/>
      <c r="AL341" s="102"/>
      <c r="AM341" s="132"/>
      <c r="AN341" s="161"/>
      <c r="AO341" s="115"/>
      <c r="AP341" s="115"/>
      <c r="AQ341" s="17"/>
      <c r="AR341" s="247"/>
      <c r="AS341" s="247"/>
      <c r="AT341" s="247"/>
      <c r="AU341" s="17"/>
      <c r="AV341" s="17"/>
      <c r="AW341" s="17"/>
      <c r="AX341" s="247"/>
      <c r="AY341" s="247"/>
      <c r="AZ341" s="247"/>
      <c r="BA341" s="17"/>
      <c r="BB341" s="52"/>
      <c r="BC341" s="17"/>
      <c r="BD341" s="247"/>
      <c r="BE341" s="247"/>
      <c r="BF341" s="247"/>
      <c r="BG341" s="17"/>
      <c r="BH341" s="17"/>
      <c r="BI341" s="17"/>
      <c r="BJ341" s="247">
        <v>3819300</v>
      </c>
      <c r="BK341" s="247">
        <f t="shared" si="109"/>
        <v>725667</v>
      </c>
      <c r="BL341" s="247">
        <f t="shared" si="110"/>
        <v>4544967</v>
      </c>
      <c r="BM341" s="190" t="s">
        <v>1668</v>
      </c>
      <c r="BN341" s="190" t="s">
        <v>1669</v>
      </c>
      <c r="BO341" s="17"/>
      <c r="BP341" s="247">
        <v>1850000</v>
      </c>
      <c r="BQ341" s="247">
        <f t="shared" si="112"/>
        <v>351500</v>
      </c>
      <c r="BR341" s="247">
        <f t="shared" ref="BR341:BR388" si="115">+BQ341+BP341</f>
        <v>2201500</v>
      </c>
      <c r="BS341" s="17"/>
      <c r="BT341" s="17"/>
      <c r="BU341" s="17"/>
      <c r="BV341" s="195"/>
      <c r="BW341" s="195"/>
      <c r="BX341" s="246"/>
      <c r="BY341" s="190"/>
      <c r="BZ341" s="190"/>
      <c r="CA341" s="190"/>
      <c r="CB341" s="252"/>
      <c r="CC341" s="247"/>
      <c r="CD341" s="247"/>
      <c r="CE341" s="17"/>
      <c r="CF341" s="17"/>
      <c r="CG341" s="17"/>
      <c r="CH341" s="247"/>
      <c r="CI341" s="247"/>
      <c r="CJ341" s="247"/>
      <c r="CK341" s="17"/>
      <c r="CL341" s="17"/>
      <c r="CM341" s="17"/>
      <c r="CN341" s="17"/>
      <c r="CO341" s="17"/>
      <c r="CP341" s="11"/>
      <c r="CQ341" s="11"/>
      <c r="CR341" s="11"/>
      <c r="CS341" s="11"/>
      <c r="CT341" s="247"/>
      <c r="CU341" s="247"/>
      <c r="CV341" s="247"/>
      <c r="CW341" s="11"/>
      <c r="CX341" s="11"/>
      <c r="CY341" s="11"/>
      <c r="CZ341" s="11"/>
      <c r="DA341" s="11"/>
      <c r="DB341" s="11"/>
      <c r="DC341" s="11"/>
      <c r="DD341" s="11"/>
      <c r="DE341" s="11"/>
      <c r="DF341" s="11"/>
      <c r="DG341" s="11"/>
      <c r="DH341" s="11"/>
      <c r="DI341" s="11"/>
      <c r="DJ341" s="11"/>
      <c r="DK341" s="11"/>
      <c r="DL341" s="247"/>
      <c r="DM341" s="247"/>
      <c r="DN341" s="247"/>
      <c r="DO341" s="247"/>
      <c r="DP341" s="247"/>
      <c r="DQ341" s="247"/>
      <c r="DR341" s="247"/>
      <c r="DS341" s="247"/>
      <c r="DT341" s="247"/>
      <c r="DU341" s="247"/>
      <c r="DV341" s="247"/>
      <c r="DW341" s="247"/>
      <c r="DX341" s="247"/>
      <c r="DY341" s="247"/>
      <c r="DZ341" s="247"/>
      <c r="EA341" s="247"/>
      <c r="EB341" s="247"/>
      <c r="EC341" s="247"/>
      <c r="ED341" s="17">
        <f t="shared" si="113"/>
        <v>8602258.5133333337</v>
      </c>
      <c r="EE341" s="29">
        <f t="shared" si="114"/>
        <v>3</v>
      </c>
      <c r="EF341" s="17">
        <f t="shared" si="111"/>
        <v>2867419.5044444446</v>
      </c>
    </row>
    <row r="342" spans="1:136" ht="38.25" x14ac:dyDescent="0.25">
      <c r="A342" s="25">
        <f>Distribución_Elementos!A342</f>
        <v>340</v>
      </c>
      <c r="B342" s="22" t="str">
        <f>Distribución_Elementos!B342</f>
        <v>Microplaca para cultivo celular de 96 pozos fondo plano, esteril con tapa. En empaque individual, transparente , en poliestireno. Area de cultivo 0,32  cm2.</v>
      </c>
      <c r="C342" s="22" t="str">
        <f>Distribución_Elementos!C342</f>
        <v>Corning  3595</v>
      </c>
      <c r="D342" s="22" t="str">
        <f>Distribución_Elementos!D342</f>
        <v>caja x 50</v>
      </c>
      <c r="E342" s="224">
        <v>1</v>
      </c>
      <c r="F342" s="221">
        <v>0</v>
      </c>
      <c r="G342" s="221">
        <v>0</v>
      </c>
      <c r="H342" s="221">
        <v>612879.75</v>
      </c>
      <c r="I342" s="221">
        <v>0</v>
      </c>
      <c r="J342" s="221">
        <v>755650</v>
      </c>
      <c r="K342" s="221">
        <v>749700</v>
      </c>
      <c r="L342" s="247">
        <f>AVERAGE(H342,J342)</f>
        <v>684264.875</v>
      </c>
      <c r="M342" s="247">
        <f>K342*E1</f>
        <v>772191</v>
      </c>
      <c r="N342" s="228">
        <v>600000</v>
      </c>
      <c r="O342" s="119">
        <f>+N342*0.19</f>
        <v>114000</v>
      </c>
      <c r="P342" s="119">
        <f>+N342+O342</f>
        <v>714000</v>
      </c>
      <c r="Q342" s="115"/>
      <c r="R342" s="115"/>
      <c r="S342" s="11"/>
      <c r="T342" s="247"/>
      <c r="U342" s="247"/>
      <c r="V342" s="247"/>
      <c r="W342" s="17"/>
      <c r="X342" s="11"/>
      <c r="Y342" s="11"/>
      <c r="Z342" s="247">
        <v>820000</v>
      </c>
      <c r="AA342" s="247">
        <f>+Z342*0.19</f>
        <v>155800</v>
      </c>
      <c r="AB342" s="247">
        <f>+Z342+AA342</f>
        <v>975800</v>
      </c>
      <c r="AC342" s="44" t="s">
        <v>1666</v>
      </c>
      <c r="AD342" s="22" t="s">
        <v>1579</v>
      </c>
      <c r="AE342" s="17"/>
      <c r="AF342" s="247"/>
      <c r="AG342" s="247"/>
      <c r="AH342" s="151"/>
      <c r="AI342" s="22"/>
      <c r="AJ342" s="17"/>
      <c r="AK342" s="17"/>
      <c r="AL342" s="102"/>
      <c r="AM342" s="132"/>
      <c r="AN342" s="161"/>
      <c r="AO342" s="115"/>
      <c r="AP342" s="115"/>
      <c r="AQ342" s="17"/>
      <c r="AR342" s="247"/>
      <c r="AS342" s="247"/>
      <c r="AT342" s="247"/>
      <c r="AU342" s="17"/>
      <c r="AV342" s="17"/>
      <c r="AW342" s="17"/>
      <c r="AX342" s="252"/>
      <c r="AY342" s="247"/>
      <c r="AZ342" s="247"/>
      <c r="BA342" s="17"/>
      <c r="BB342" s="52"/>
      <c r="BC342" s="17"/>
      <c r="BD342" s="247"/>
      <c r="BE342" s="247"/>
      <c r="BF342" s="247"/>
      <c r="BG342" s="17"/>
      <c r="BH342" s="17"/>
      <c r="BI342" s="17"/>
      <c r="BJ342" s="247">
        <v>3139000</v>
      </c>
      <c r="BK342" s="247">
        <f t="shared" si="109"/>
        <v>596410</v>
      </c>
      <c r="BL342" s="247">
        <f t="shared" si="110"/>
        <v>3735410</v>
      </c>
      <c r="BM342" s="190" t="s">
        <v>1613</v>
      </c>
      <c r="BN342" s="190" t="s">
        <v>1609</v>
      </c>
      <c r="BO342" s="17"/>
      <c r="BP342" s="247">
        <v>1800000</v>
      </c>
      <c r="BQ342" s="247">
        <f t="shared" si="112"/>
        <v>342000</v>
      </c>
      <c r="BR342" s="247">
        <f t="shared" si="115"/>
        <v>2142000</v>
      </c>
      <c r="BS342" s="17"/>
      <c r="BT342" s="17"/>
      <c r="BU342" s="17"/>
      <c r="BV342" s="189">
        <v>3632802.3680000002</v>
      </c>
      <c r="BW342" s="195">
        <f t="shared" si="101"/>
        <v>690232.44992000004</v>
      </c>
      <c r="BX342" s="246">
        <f t="shared" si="102"/>
        <v>4323034.8179200003</v>
      </c>
      <c r="BY342" s="190" t="s">
        <v>1613</v>
      </c>
      <c r="BZ342" s="190" t="s">
        <v>1609</v>
      </c>
      <c r="CA342" s="190"/>
      <c r="CB342" s="247"/>
      <c r="CC342" s="247"/>
      <c r="CD342" s="247"/>
      <c r="CE342" s="17"/>
      <c r="CF342" s="17"/>
      <c r="CG342" s="17"/>
      <c r="CH342" s="252"/>
      <c r="CI342" s="252"/>
      <c r="CJ342" s="252"/>
      <c r="CK342" s="17"/>
      <c r="CL342" s="17"/>
      <c r="CM342" s="17"/>
      <c r="CN342" s="17"/>
      <c r="CO342" s="17"/>
      <c r="CP342" s="11"/>
      <c r="CQ342" s="11"/>
      <c r="CR342" s="11"/>
      <c r="CS342" s="11"/>
      <c r="CT342" s="247"/>
      <c r="CU342" s="247"/>
      <c r="CV342" s="247"/>
      <c r="CW342" s="11"/>
      <c r="CX342" s="11"/>
      <c r="CY342" s="11"/>
      <c r="CZ342" s="11"/>
      <c r="DA342" s="11"/>
      <c r="DB342" s="11"/>
      <c r="DC342" s="11"/>
      <c r="DD342" s="11"/>
      <c r="DE342" s="11"/>
      <c r="DF342" s="11"/>
      <c r="DG342" s="11"/>
      <c r="DH342" s="11"/>
      <c r="DI342" s="11"/>
      <c r="DJ342" s="11"/>
      <c r="DK342" s="11"/>
      <c r="DL342" s="247"/>
      <c r="DM342" s="247"/>
      <c r="DN342" s="247"/>
      <c r="DO342" s="247"/>
      <c r="DP342" s="247"/>
      <c r="DQ342" s="247"/>
      <c r="DR342" s="247"/>
      <c r="DS342" s="247"/>
      <c r="DT342" s="247"/>
      <c r="DU342" s="247"/>
      <c r="DV342" s="247"/>
      <c r="DW342" s="247"/>
      <c r="DX342" s="247"/>
      <c r="DY342" s="247"/>
      <c r="DZ342" s="247"/>
      <c r="EA342" s="247"/>
      <c r="EB342" s="247"/>
      <c r="EC342" s="247"/>
      <c r="ED342" s="17">
        <f t="shared" si="113"/>
        <v>12662435.817919999</v>
      </c>
      <c r="EE342" s="29">
        <f t="shared" si="114"/>
        <v>6</v>
      </c>
      <c r="EF342" s="17">
        <f t="shared" si="111"/>
        <v>2110405.9696533331</v>
      </c>
    </row>
    <row r="343" spans="1:136" x14ac:dyDescent="0.25">
      <c r="A343" s="25">
        <f>Distribución_Elementos!A343</f>
        <v>341</v>
      </c>
      <c r="B343" s="22" t="str">
        <f>Distribución_Elementos!B343</f>
        <v>Microseal 'B' PCR Plate Sealing Film, adhesive, optical tape</v>
      </c>
      <c r="C343" s="22" t="str">
        <f>Distribución_Elementos!C343</f>
        <v>BioRad o equivalente</v>
      </c>
      <c r="D343" s="22" t="str">
        <f>Distribución_Elementos!D343</f>
        <v>Paquete</v>
      </c>
      <c r="E343" s="224">
        <v>1</v>
      </c>
      <c r="F343" s="221">
        <v>0</v>
      </c>
      <c r="G343" s="221">
        <v>0</v>
      </c>
      <c r="H343" s="221">
        <v>0</v>
      </c>
      <c r="I343" s="221">
        <v>0</v>
      </c>
      <c r="J343" s="221">
        <v>0</v>
      </c>
      <c r="K343" s="221">
        <v>0</v>
      </c>
      <c r="L343" s="247"/>
      <c r="M343" s="247"/>
      <c r="N343" s="227"/>
      <c r="O343" s="119"/>
      <c r="P343" s="119"/>
      <c r="Q343" s="115"/>
      <c r="R343" s="115"/>
      <c r="S343" s="11"/>
      <c r="T343" s="247"/>
      <c r="U343" s="247"/>
      <c r="V343" s="247"/>
      <c r="W343" s="17"/>
      <c r="X343" s="11"/>
      <c r="Y343" s="11"/>
      <c r="Z343" s="247"/>
      <c r="AA343" s="247"/>
      <c r="AB343" s="247"/>
      <c r="AC343" s="46"/>
      <c r="AD343" s="23"/>
      <c r="AE343" s="17"/>
      <c r="AF343" s="247"/>
      <c r="AG343" s="247"/>
      <c r="AH343" s="152"/>
      <c r="AI343" s="24"/>
      <c r="AJ343" s="17"/>
      <c r="AK343" s="17"/>
      <c r="AL343" s="102"/>
      <c r="AM343" s="132"/>
      <c r="AN343" s="161"/>
      <c r="AO343" s="115"/>
      <c r="AP343" s="115"/>
      <c r="AQ343" s="17"/>
      <c r="AR343" s="247"/>
      <c r="AS343" s="247"/>
      <c r="AT343" s="247"/>
      <c r="AU343" s="17"/>
      <c r="AV343" s="17"/>
      <c r="AW343" s="17"/>
      <c r="AX343" s="247"/>
      <c r="AY343" s="247"/>
      <c r="AZ343" s="247"/>
      <c r="BA343" s="17"/>
      <c r="BB343" s="52"/>
      <c r="BC343" s="17"/>
      <c r="BD343" s="247"/>
      <c r="BE343" s="247"/>
      <c r="BF343" s="247"/>
      <c r="BG343" s="17"/>
      <c r="BH343" s="17"/>
      <c r="BI343" s="17"/>
      <c r="BJ343" s="247">
        <v>2216000</v>
      </c>
      <c r="BK343" s="247">
        <f t="shared" si="109"/>
        <v>421040</v>
      </c>
      <c r="BL343" s="247">
        <f t="shared" si="110"/>
        <v>2637040</v>
      </c>
      <c r="BM343" s="190" t="s">
        <v>1496</v>
      </c>
      <c r="BN343" s="190" t="s">
        <v>1670</v>
      </c>
      <c r="BO343" s="17"/>
      <c r="BP343" s="247"/>
      <c r="BQ343" s="247"/>
      <c r="BR343" s="247"/>
      <c r="BS343" s="17"/>
      <c r="BT343" s="17"/>
      <c r="BU343" s="17"/>
      <c r="BV343" s="195">
        <v>2374240.1280000005</v>
      </c>
      <c r="BW343" s="195">
        <f t="shared" si="101"/>
        <v>451105.62432000012</v>
      </c>
      <c r="BX343" s="246">
        <f t="shared" si="102"/>
        <v>2825345.7523200004</v>
      </c>
      <c r="BY343" s="190" t="s">
        <v>1496</v>
      </c>
      <c r="BZ343" s="190" t="s">
        <v>1670</v>
      </c>
      <c r="CA343" s="190"/>
      <c r="CB343" s="247"/>
      <c r="CC343" s="247"/>
      <c r="CD343" s="247"/>
      <c r="CE343" s="17"/>
      <c r="CF343" s="17"/>
      <c r="CG343" s="17"/>
      <c r="CH343" s="247"/>
      <c r="CI343" s="247"/>
      <c r="CJ343" s="247"/>
      <c r="CK343" s="17"/>
      <c r="CL343" s="17"/>
      <c r="CM343" s="17"/>
      <c r="CN343" s="17"/>
      <c r="CO343" s="17"/>
      <c r="CP343" s="11"/>
      <c r="CQ343" s="11"/>
      <c r="CR343" s="11"/>
      <c r="CS343" s="11"/>
      <c r="CT343" s="247"/>
      <c r="CU343" s="247"/>
      <c r="CV343" s="247"/>
      <c r="CW343" s="11"/>
      <c r="CX343" s="11"/>
      <c r="CY343" s="11"/>
      <c r="CZ343" s="11"/>
      <c r="DA343" s="11"/>
      <c r="DB343" s="11"/>
      <c r="DC343" s="11"/>
      <c r="DD343" s="11"/>
      <c r="DE343" s="11"/>
      <c r="DF343" s="11"/>
      <c r="DG343" s="11"/>
      <c r="DH343" s="11"/>
      <c r="DI343" s="11"/>
      <c r="DJ343" s="11"/>
      <c r="DK343" s="11"/>
      <c r="DL343" s="247"/>
      <c r="DM343" s="247"/>
      <c r="DN343" s="247"/>
      <c r="DO343" s="247"/>
      <c r="DP343" s="247"/>
      <c r="DQ343" s="247"/>
      <c r="DR343" s="247"/>
      <c r="DS343" s="247"/>
      <c r="DT343" s="247"/>
      <c r="DU343" s="247"/>
      <c r="DV343" s="247"/>
      <c r="DW343" s="247"/>
      <c r="DX343" s="247"/>
      <c r="DY343" s="247"/>
      <c r="DZ343" s="247"/>
      <c r="EA343" s="247"/>
      <c r="EB343" s="247"/>
      <c r="EC343" s="247"/>
      <c r="ED343" s="17">
        <f t="shared" si="113"/>
        <v>5462385.7523200009</v>
      </c>
      <c r="EE343" s="29">
        <f t="shared" si="114"/>
        <v>2</v>
      </c>
      <c r="EF343" s="17">
        <f t="shared" si="111"/>
        <v>2731192.8761600005</v>
      </c>
    </row>
    <row r="344" spans="1:136" x14ac:dyDescent="0.25">
      <c r="A344" s="25">
        <f>Distribución_Elementos!A344</f>
        <v>342</v>
      </c>
      <c r="B344" s="22" t="str">
        <f>Distribución_Elementos!B344</f>
        <v>Minuten Entomológico en Acero Inoxidable 0,15mm x 12 mm</v>
      </c>
      <c r="C344" s="22" t="str">
        <f>Distribución_Elementos!C344</f>
        <v>Cualquier marca</v>
      </c>
      <c r="D344" s="22" t="str">
        <f>Distribución_Elementos!D344</f>
        <v>Caja x 500</v>
      </c>
      <c r="E344" s="224">
        <v>1</v>
      </c>
      <c r="F344" s="221">
        <v>0</v>
      </c>
      <c r="G344" s="221">
        <v>0</v>
      </c>
      <c r="H344" s="221">
        <v>214200</v>
      </c>
      <c r="I344" s="221">
        <v>214081</v>
      </c>
      <c r="J344" s="221">
        <v>192017.66111111114</v>
      </c>
      <c r="K344" s="221">
        <v>0</v>
      </c>
      <c r="L344" s="247">
        <f>AVERAGE(H344,J344)</f>
        <v>203108.83055555559</v>
      </c>
      <c r="M344" s="247">
        <f>I344*E1</f>
        <v>220503.43</v>
      </c>
      <c r="N344" s="227">
        <v>80000</v>
      </c>
      <c r="O344" s="119">
        <f>+N344*0.19</f>
        <v>15200</v>
      </c>
      <c r="P344" s="119">
        <f>+N344+O344</f>
        <v>95200</v>
      </c>
      <c r="Q344" s="115"/>
      <c r="R344" s="115"/>
      <c r="S344" s="11"/>
      <c r="T344" s="247"/>
      <c r="U344" s="247"/>
      <c r="V344" s="247"/>
      <c r="W344" s="17"/>
      <c r="X344" s="11"/>
      <c r="Y344" s="11"/>
      <c r="Z344" s="247"/>
      <c r="AA344" s="247"/>
      <c r="AB344" s="247"/>
      <c r="AC344" s="46"/>
      <c r="AD344" s="23"/>
      <c r="AE344" s="17"/>
      <c r="AF344" s="247"/>
      <c r="AG344" s="247"/>
      <c r="AH344" s="152"/>
      <c r="AI344" s="24"/>
      <c r="AJ344" s="17"/>
      <c r="AK344" s="17"/>
      <c r="AL344" s="102"/>
      <c r="AM344" s="132"/>
      <c r="AN344" s="161"/>
      <c r="AO344" s="115"/>
      <c r="AP344" s="115"/>
      <c r="AQ344" s="17"/>
      <c r="AR344" s="247"/>
      <c r="AS344" s="247"/>
      <c r="AT344" s="247"/>
      <c r="AU344" s="17"/>
      <c r="AV344" s="17"/>
      <c r="AW344" s="17"/>
      <c r="AX344" s="247"/>
      <c r="AY344" s="247"/>
      <c r="AZ344" s="247"/>
      <c r="BA344" s="17"/>
      <c r="BB344" s="52"/>
      <c r="BC344" s="17"/>
      <c r="BD344" s="247"/>
      <c r="BE344" s="247"/>
      <c r="BF344" s="247"/>
      <c r="BG344" s="17"/>
      <c r="BH344" s="17"/>
      <c r="BI344" s="17"/>
      <c r="BJ344" s="247">
        <v>289700</v>
      </c>
      <c r="BK344" s="247">
        <f t="shared" si="109"/>
        <v>55043</v>
      </c>
      <c r="BL344" s="247">
        <f t="shared" si="110"/>
        <v>344743</v>
      </c>
      <c r="BM344" s="190" t="s">
        <v>1520</v>
      </c>
      <c r="BN344" s="190" t="s">
        <v>1671</v>
      </c>
      <c r="BO344" s="17"/>
      <c r="BP344" s="247"/>
      <c r="BQ344" s="247"/>
      <c r="BR344" s="247"/>
      <c r="BS344" s="17"/>
      <c r="BT344" s="17"/>
      <c r="BU344" s="17"/>
      <c r="BV344" s="195">
        <v>328644.95040000003</v>
      </c>
      <c r="BW344" s="195">
        <f t="shared" si="101"/>
        <v>62442.540576000007</v>
      </c>
      <c r="BX344" s="246">
        <f t="shared" si="102"/>
        <v>391087.49097600003</v>
      </c>
      <c r="BY344" s="190" t="s">
        <v>1520</v>
      </c>
      <c r="BZ344" s="190" t="s">
        <v>1671</v>
      </c>
      <c r="CA344" s="190"/>
      <c r="CB344" s="247"/>
      <c r="CC344" s="247"/>
      <c r="CD344" s="247"/>
      <c r="CE344" s="17"/>
      <c r="CF344" s="17"/>
      <c r="CG344" s="17"/>
      <c r="CH344" s="247"/>
      <c r="CI344" s="247"/>
      <c r="CJ344" s="247"/>
      <c r="CK344" s="17"/>
      <c r="CL344" s="17"/>
      <c r="CM344" s="17"/>
      <c r="CN344" s="17"/>
      <c r="CO344" s="17"/>
      <c r="CP344" s="11"/>
      <c r="CQ344" s="11"/>
      <c r="CR344" s="11"/>
      <c r="CS344" s="11"/>
      <c r="CT344" s="247"/>
      <c r="CU344" s="247"/>
      <c r="CV344" s="247"/>
      <c r="CW344" s="11"/>
      <c r="CX344" s="11"/>
      <c r="CY344" s="11"/>
      <c r="CZ344" s="11"/>
      <c r="DA344" s="11"/>
      <c r="DB344" s="11"/>
      <c r="DC344" s="11"/>
      <c r="DD344" s="11"/>
      <c r="DE344" s="11"/>
      <c r="DF344" s="11"/>
      <c r="DG344" s="11"/>
      <c r="DH344" s="11"/>
      <c r="DI344" s="11"/>
      <c r="DJ344" s="11"/>
      <c r="DK344" s="11"/>
      <c r="DL344" s="247"/>
      <c r="DM344" s="247"/>
      <c r="DN344" s="247"/>
      <c r="DO344" s="247"/>
      <c r="DP344" s="247"/>
      <c r="DQ344" s="247"/>
      <c r="DR344" s="247"/>
      <c r="DS344" s="247"/>
      <c r="DT344" s="247"/>
      <c r="DU344" s="247"/>
      <c r="DV344" s="247"/>
      <c r="DW344" s="247"/>
      <c r="DX344" s="247"/>
      <c r="DY344" s="247"/>
      <c r="DZ344" s="247"/>
      <c r="EA344" s="247"/>
      <c r="EB344" s="247"/>
      <c r="EC344" s="247"/>
      <c r="ED344" s="17">
        <f t="shared" si="113"/>
        <v>1051533.9209759999</v>
      </c>
      <c r="EE344" s="29">
        <f t="shared" si="114"/>
        <v>4</v>
      </c>
      <c r="EF344" s="17">
        <f t="shared" si="111"/>
        <v>262883.48024399998</v>
      </c>
    </row>
    <row r="345" spans="1:136" ht="38.25" x14ac:dyDescent="0.25">
      <c r="A345" s="25">
        <f>Distribución_Elementos!A345</f>
        <v>343</v>
      </c>
      <c r="B345" s="22" t="str">
        <f>Distribución_Elementos!B345</f>
        <v>Mortero 50 - 65 ml  de porcelana  con pistilo autoclavable para el macerado de tejido vegetal, barnizado Ø=80 mm y 41 mm de alto (aprox.)</v>
      </c>
      <c r="C345" s="22" t="str">
        <f>Distribución_Elementos!C345</f>
        <v>Cualquier marca</v>
      </c>
      <c r="D345" s="22" t="str">
        <f>Distribución_Elementos!D345</f>
        <v>Unidad</v>
      </c>
      <c r="E345" s="224">
        <v>1</v>
      </c>
      <c r="F345" s="221">
        <v>0</v>
      </c>
      <c r="G345" s="221">
        <v>0</v>
      </c>
      <c r="H345" s="221">
        <v>0</v>
      </c>
      <c r="I345" s="221">
        <v>0</v>
      </c>
      <c r="J345" s="221">
        <v>0</v>
      </c>
      <c r="K345" s="221">
        <v>0</v>
      </c>
      <c r="L345" s="247"/>
      <c r="M345" s="247"/>
      <c r="N345" s="227">
        <v>55000</v>
      </c>
      <c r="O345" s="119">
        <f>+N345*0.19</f>
        <v>10450</v>
      </c>
      <c r="P345" s="119">
        <f>+N345+O345</f>
        <v>65450</v>
      </c>
      <c r="Q345" s="115"/>
      <c r="R345" s="115"/>
      <c r="S345" s="11"/>
      <c r="T345" s="247"/>
      <c r="U345" s="247"/>
      <c r="V345" s="247"/>
      <c r="W345" s="17"/>
      <c r="X345" s="11"/>
      <c r="Y345" s="11"/>
      <c r="Z345" s="247"/>
      <c r="AA345" s="247"/>
      <c r="AB345" s="247"/>
      <c r="AC345" s="44"/>
      <c r="AD345" s="22"/>
      <c r="AE345" s="17"/>
      <c r="AF345" s="247"/>
      <c r="AG345" s="247"/>
      <c r="AH345" s="151"/>
      <c r="AI345" s="4"/>
      <c r="AJ345" s="17"/>
      <c r="AK345" s="17"/>
      <c r="AL345" s="102"/>
      <c r="AM345" s="132"/>
      <c r="AN345" s="161"/>
      <c r="AO345" s="115"/>
      <c r="AP345" s="115"/>
      <c r="AQ345" s="17"/>
      <c r="AR345" s="247"/>
      <c r="AS345" s="247"/>
      <c r="AT345" s="247"/>
      <c r="AU345" s="17"/>
      <c r="AV345" s="17"/>
      <c r="AW345" s="17"/>
      <c r="AX345" s="247"/>
      <c r="AY345" s="247"/>
      <c r="AZ345" s="247"/>
      <c r="BA345" s="17"/>
      <c r="BB345" s="52"/>
      <c r="BC345" s="17"/>
      <c r="BD345" s="247"/>
      <c r="BE345" s="247"/>
      <c r="BF345" s="247"/>
      <c r="BG345" s="17"/>
      <c r="BH345" s="17"/>
      <c r="BI345" s="17"/>
      <c r="BJ345" s="247">
        <v>183500</v>
      </c>
      <c r="BK345" s="247">
        <f t="shared" si="109"/>
        <v>34865</v>
      </c>
      <c r="BL345" s="247">
        <f t="shared" si="110"/>
        <v>218365</v>
      </c>
      <c r="BM345" s="191" t="s">
        <v>140</v>
      </c>
      <c r="BN345" s="190" t="s">
        <v>316</v>
      </c>
      <c r="BO345" s="17"/>
      <c r="BP345" s="247">
        <v>35200</v>
      </c>
      <c r="BQ345" s="247">
        <f t="shared" si="112"/>
        <v>6688</v>
      </c>
      <c r="BR345" s="247">
        <f t="shared" si="115"/>
        <v>41888</v>
      </c>
      <c r="BS345" s="17"/>
      <c r="BT345" s="17"/>
      <c r="BU345" s="17"/>
      <c r="BV345" s="195">
        <v>216256.21800000005</v>
      </c>
      <c r="BW345" s="195">
        <f t="shared" si="101"/>
        <v>41088.681420000008</v>
      </c>
      <c r="BX345" s="246">
        <f t="shared" si="102"/>
        <v>257344.89942000006</v>
      </c>
      <c r="BY345" s="191" t="s">
        <v>140</v>
      </c>
      <c r="BZ345" s="190" t="s">
        <v>316</v>
      </c>
      <c r="CA345" s="190"/>
      <c r="CB345" s="247"/>
      <c r="CC345" s="247"/>
      <c r="CD345" s="247"/>
      <c r="CE345" s="17"/>
      <c r="CF345" s="17"/>
      <c r="CG345" s="17"/>
      <c r="CH345" s="247"/>
      <c r="CI345" s="247"/>
      <c r="CJ345" s="247"/>
      <c r="CK345" s="17"/>
      <c r="CL345" s="17"/>
      <c r="CM345" s="17"/>
      <c r="CN345" s="17"/>
      <c r="CO345" s="17"/>
      <c r="CP345" s="11"/>
      <c r="CQ345" s="11"/>
      <c r="CR345" s="11"/>
      <c r="CS345" s="11"/>
      <c r="CT345" s="247"/>
      <c r="CU345" s="247"/>
      <c r="CV345" s="247"/>
      <c r="CW345" s="11"/>
      <c r="CX345" s="11"/>
      <c r="CY345" s="11"/>
      <c r="CZ345" s="11"/>
      <c r="DA345" s="11"/>
      <c r="DB345" s="11"/>
      <c r="DC345" s="11"/>
      <c r="DD345" s="11"/>
      <c r="DE345" s="11"/>
      <c r="DF345" s="11"/>
      <c r="DG345" s="11"/>
      <c r="DH345" s="11"/>
      <c r="DI345" s="11"/>
      <c r="DJ345" s="11"/>
      <c r="DK345" s="11"/>
      <c r="DL345" s="247"/>
      <c r="DM345" s="247"/>
      <c r="DN345" s="247"/>
      <c r="DO345" s="247"/>
      <c r="DP345" s="247"/>
      <c r="DQ345" s="247"/>
      <c r="DR345" s="247"/>
      <c r="DS345" s="247"/>
      <c r="DT345" s="247"/>
      <c r="DU345" s="247"/>
      <c r="DV345" s="247"/>
      <c r="DW345" s="247"/>
      <c r="DX345" s="247"/>
      <c r="DY345" s="247"/>
      <c r="DZ345" s="247"/>
      <c r="EA345" s="247"/>
      <c r="EB345" s="247"/>
      <c r="EC345" s="247"/>
      <c r="ED345" s="17">
        <f t="shared" si="113"/>
        <v>583047.89942000003</v>
      </c>
      <c r="EE345" s="29">
        <f t="shared" si="114"/>
        <v>4</v>
      </c>
      <c r="EF345" s="17">
        <f t="shared" si="111"/>
        <v>145761.97485500001</v>
      </c>
    </row>
    <row r="346" spans="1:136" ht="25.5" x14ac:dyDescent="0.25">
      <c r="A346" s="25">
        <f>Distribución_Elementos!A346</f>
        <v>344</v>
      </c>
      <c r="B346" s="22" t="str">
        <f>Distribución_Elementos!B346</f>
        <v>Mortero de cerámica con pistilo. De buena calidad y sin rugocidades</v>
      </c>
      <c r="C346" s="22" t="str">
        <f>Distribución_Elementos!C346</f>
        <v xml:space="preserve">Cualquier marca. </v>
      </c>
      <c r="D346" s="22" t="str">
        <f>Distribución_Elementos!D346</f>
        <v>Unidad</v>
      </c>
      <c r="E346" s="224">
        <v>1</v>
      </c>
      <c r="F346" s="221">
        <v>0</v>
      </c>
      <c r="G346" s="221">
        <v>0</v>
      </c>
      <c r="H346" s="221">
        <v>0</v>
      </c>
      <c r="I346" s="221">
        <v>0</v>
      </c>
      <c r="J346" s="221">
        <v>74910.5</v>
      </c>
      <c r="K346" s="221">
        <v>74851</v>
      </c>
      <c r="L346" s="247">
        <f>J346</f>
        <v>74910.5</v>
      </c>
      <c r="M346" s="247">
        <f>K346*E1</f>
        <v>77096.53</v>
      </c>
      <c r="N346" s="227"/>
      <c r="O346" s="119"/>
      <c r="P346" s="119"/>
      <c r="Q346" s="115"/>
      <c r="R346" s="115"/>
      <c r="S346" s="11"/>
      <c r="T346" s="247">
        <v>143000</v>
      </c>
      <c r="U346" s="247">
        <f>+T346*0.19</f>
        <v>27170</v>
      </c>
      <c r="V346" s="247">
        <f>+T346+U346</f>
        <v>170170</v>
      </c>
      <c r="W346" s="17" t="s">
        <v>140</v>
      </c>
      <c r="X346" s="11" t="s">
        <v>1582</v>
      </c>
      <c r="Y346" s="11"/>
      <c r="Z346" s="247"/>
      <c r="AA346" s="247"/>
      <c r="AB346" s="247"/>
      <c r="AC346" s="47"/>
      <c r="AD346" s="45"/>
      <c r="AE346" s="17"/>
      <c r="AF346" s="247"/>
      <c r="AG346" s="247"/>
      <c r="AH346" s="153"/>
      <c r="AI346" s="45"/>
      <c r="AJ346" s="17"/>
      <c r="AK346" s="17"/>
      <c r="AL346" s="102"/>
      <c r="AM346" s="132"/>
      <c r="AN346" s="161"/>
      <c r="AO346" s="115"/>
      <c r="AP346" s="115"/>
      <c r="AQ346" s="17"/>
      <c r="AR346" s="247"/>
      <c r="AS346" s="247"/>
      <c r="AT346" s="247"/>
      <c r="AU346" s="17"/>
      <c r="AV346" s="17"/>
      <c r="AW346" s="17"/>
      <c r="AX346" s="247"/>
      <c r="AY346" s="247"/>
      <c r="AZ346" s="247"/>
      <c r="BA346" s="17"/>
      <c r="BB346" s="52"/>
      <c r="BC346" s="17"/>
      <c r="BD346" s="247"/>
      <c r="BE346" s="247"/>
      <c r="BF346" s="247"/>
      <c r="BG346" s="17"/>
      <c r="BH346" s="17"/>
      <c r="BI346" s="17"/>
      <c r="BJ346" s="247">
        <v>464300</v>
      </c>
      <c r="BK346" s="247">
        <f t="shared" si="109"/>
        <v>88217</v>
      </c>
      <c r="BL346" s="247">
        <f t="shared" si="110"/>
        <v>552517</v>
      </c>
      <c r="BM346" s="191" t="s">
        <v>140</v>
      </c>
      <c r="BN346" s="190" t="s">
        <v>1672</v>
      </c>
      <c r="BO346" s="17"/>
      <c r="BP346" s="247">
        <v>135000</v>
      </c>
      <c r="BQ346" s="247">
        <f t="shared" si="112"/>
        <v>25650</v>
      </c>
      <c r="BR346" s="247">
        <f t="shared" si="115"/>
        <v>160650</v>
      </c>
      <c r="BS346" s="17"/>
      <c r="BT346" s="17"/>
      <c r="BU346" s="17"/>
      <c r="BV346" s="195">
        <v>532073.87100000004</v>
      </c>
      <c r="BW346" s="195">
        <f t="shared" si="101"/>
        <v>101094.03549000001</v>
      </c>
      <c r="BX346" s="246">
        <f t="shared" si="102"/>
        <v>633167.90649000008</v>
      </c>
      <c r="BY346" s="191" t="s">
        <v>140</v>
      </c>
      <c r="BZ346" s="190" t="s">
        <v>1672</v>
      </c>
      <c r="CA346" s="190"/>
      <c r="CB346" s="247"/>
      <c r="CC346" s="247"/>
      <c r="CD346" s="247"/>
      <c r="CE346" s="17"/>
      <c r="CF346" s="17"/>
      <c r="CG346" s="17"/>
      <c r="CH346" s="247"/>
      <c r="CI346" s="247"/>
      <c r="CJ346" s="247"/>
      <c r="CK346" s="17"/>
      <c r="CL346" s="17"/>
      <c r="CM346" s="17"/>
      <c r="CN346" s="17"/>
      <c r="CO346" s="17"/>
      <c r="CP346" s="11"/>
      <c r="CQ346" s="11"/>
      <c r="CR346" s="11"/>
      <c r="CS346" s="11"/>
      <c r="CT346" s="247"/>
      <c r="CU346" s="247"/>
      <c r="CV346" s="247"/>
      <c r="CW346" s="11"/>
      <c r="CX346" s="11"/>
      <c r="CY346" s="11"/>
      <c r="CZ346" s="11"/>
      <c r="DA346" s="11"/>
      <c r="DB346" s="11"/>
      <c r="DC346" s="11"/>
      <c r="DD346" s="11"/>
      <c r="DE346" s="11"/>
      <c r="DF346" s="11"/>
      <c r="DG346" s="11"/>
      <c r="DH346" s="11"/>
      <c r="DI346" s="11"/>
      <c r="DJ346" s="11"/>
      <c r="DK346" s="11"/>
      <c r="DL346" s="247"/>
      <c r="DM346" s="247"/>
      <c r="DN346" s="247"/>
      <c r="DO346" s="247"/>
      <c r="DP346" s="247"/>
      <c r="DQ346" s="247"/>
      <c r="DR346" s="247"/>
      <c r="DS346" s="247"/>
      <c r="DT346" s="247"/>
      <c r="DU346" s="247"/>
      <c r="DV346" s="247"/>
      <c r="DW346" s="247"/>
      <c r="DX346" s="247"/>
      <c r="DY346" s="247"/>
      <c r="DZ346" s="247"/>
      <c r="EA346" s="247"/>
      <c r="EB346" s="247"/>
      <c r="EC346" s="247"/>
      <c r="ED346" s="17">
        <f t="shared" si="113"/>
        <v>1593601.4364900002</v>
      </c>
      <c r="EE346" s="29">
        <f t="shared" si="114"/>
        <v>5</v>
      </c>
      <c r="EF346" s="17">
        <f t="shared" si="111"/>
        <v>318720.28729800007</v>
      </c>
    </row>
    <row r="347" spans="1:136" ht="25.5" x14ac:dyDescent="0.25">
      <c r="A347" s="25">
        <f>Distribución_Elementos!A347</f>
        <v>345</v>
      </c>
      <c r="B347" s="22" t="str">
        <f>Distribución_Elementos!B347</f>
        <v xml:space="preserve">optical ultraclear flat 8-cap Strip for 0.2 ml tube Strips/plates cat #TCS0803 </v>
      </c>
      <c r="C347" s="22" t="str">
        <f>Distribución_Elementos!C347</f>
        <v>BioRad o equivalente</v>
      </c>
      <c r="D347" s="22" t="str">
        <f>Distribución_Elementos!D347</f>
        <v>Presentación</v>
      </c>
      <c r="E347" s="224">
        <v>1</v>
      </c>
      <c r="F347" s="221">
        <v>0</v>
      </c>
      <c r="G347" s="221">
        <v>0</v>
      </c>
      <c r="H347" s="221">
        <v>0</v>
      </c>
      <c r="I347" s="221">
        <v>0</v>
      </c>
      <c r="J347" s="221">
        <v>0</v>
      </c>
      <c r="K347" s="221">
        <v>0</v>
      </c>
      <c r="L347" s="247"/>
      <c r="M347" s="247"/>
      <c r="N347" s="227">
        <v>200000</v>
      </c>
      <c r="O347" s="119">
        <f>+N347*0.19</f>
        <v>38000</v>
      </c>
      <c r="P347" s="119">
        <f>+N347+O347</f>
        <v>238000</v>
      </c>
      <c r="Q347" s="115"/>
      <c r="R347" s="115"/>
      <c r="S347" s="11"/>
      <c r="T347" s="247"/>
      <c r="U347" s="247"/>
      <c r="V347" s="247"/>
      <c r="W347" s="17"/>
      <c r="X347" s="11"/>
      <c r="Y347" s="11"/>
      <c r="Z347" s="247"/>
      <c r="AA347" s="247"/>
      <c r="AB347" s="247"/>
      <c r="AC347" s="47"/>
      <c r="AD347" s="45"/>
      <c r="AE347" s="17"/>
      <c r="AF347" s="247"/>
      <c r="AG347" s="247"/>
      <c r="AH347" s="153"/>
      <c r="AI347" s="45"/>
      <c r="AJ347" s="17"/>
      <c r="AK347" s="17"/>
      <c r="AL347" s="102"/>
      <c r="AM347" s="132"/>
      <c r="AN347" s="161"/>
      <c r="AO347" s="115"/>
      <c r="AP347" s="115"/>
      <c r="AQ347" s="17"/>
      <c r="AR347" s="247"/>
      <c r="AS347" s="247"/>
      <c r="AT347" s="247"/>
      <c r="AU347" s="17"/>
      <c r="AV347" s="17"/>
      <c r="AW347" s="17"/>
      <c r="AX347" s="247"/>
      <c r="AY347" s="247"/>
      <c r="AZ347" s="247"/>
      <c r="BA347" s="17"/>
      <c r="BB347" s="52"/>
      <c r="BC347" s="17"/>
      <c r="BD347" s="247"/>
      <c r="BE347" s="247"/>
      <c r="BF347" s="247"/>
      <c r="BG347" s="17"/>
      <c r="BH347" s="17"/>
      <c r="BI347" s="17"/>
      <c r="BJ347" s="247">
        <v>756000</v>
      </c>
      <c r="BK347" s="247">
        <f t="shared" si="109"/>
        <v>143640</v>
      </c>
      <c r="BL347" s="247">
        <f t="shared" si="110"/>
        <v>899640</v>
      </c>
      <c r="BM347" s="190" t="s">
        <v>1673</v>
      </c>
      <c r="BN347" s="190" t="s">
        <v>1670</v>
      </c>
      <c r="BO347" s="17"/>
      <c r="BP347" s="247"/>
      <c r="BQ347" s="247"/>
      <c r="BR347" s="247"/>
      <c r="BS347" s="17"/>
      <c r="BT347" s="17"/>
      <c r="BU347" s="17"/>
      <c r="BV347" s="195">
        <v>794331.46800000011</v>
      </c>
      <c r="BW347" s="195">
        <f t="shared" si="101"/>
        <v>150922.97892000002</v>
      </c>
      <c r="BX347" s="246">
        <f t="shared" si="102"/>
        <v>945254.44692000013</v>
      </c>
      <c r="BY347" s="190" t="s">
        <v>1673</v>
      </c>
      <c r="BZ347" s="190" t="s">
        <v>1670</v>
      </c>
      <c r="CA347" s="190"/>
      <c r="CB347" s="252"/>
      <c r="CC347" s="247"/>
      <c r="CD347" s="247"/>
      <c r="CE347" s="17"/>
      <c r="CF347" s="17"/>
      <c r="CG347" s="17"/>
      <c r="CH347" s="247"/>
      <c r="CI347" s="247"/>
      <c r="CJ347" s="247"/>
      <c r="CK347" s="17"/>
      <c r="CL347" s="17"/>
      <c r="CM347" s="17"/>
      <c r="CN347" s="17"/>
      <c r="CO347" s="17"/>
      <c r="CP347" s="11"/>
      <c r="CQ347" s="11"/>
      <c r="CR347" s="11"/>
      <c r="CS347" s="11"/>
      <c r="CT347" s="247"/>
      <c r="CU347" s="247"/>
      <c r="CV347" s="247"/>
      <c r="CW347" s="11"/>
      <c r="CX347" s="11"/>
      <c r="CY347" s="11"/>
      <c r="CZ347" s="11"/>
      <c r="DA347" s="11"/>
      <c r="DB347" s="11"/>
      <c r="DC347" s="11"/>
      <c r="DD347" s="11"/>
      <c r="DE347" s="11"/>
      <c r="DF347" s="11"/>
      <c r="DG347" s="11"/>
      <c r="DH347" s="11"/>
      <c r="DI347" s="11"/>
      <c r="DJ347" s="11"/>
      <c r="DK347" s="11"/>
      <c r="DL347" s="247"/>
      <c r="DM347" s="247"/>
      <c r="DN347" s="247"/>
      <c r="DO347" s="247"/>
      <c r="DP347" s="247"/>
      <c r="DQ347" s="247"/>
      <c r="DR347" s="247"/>
      <c r="DS347" s="247"/>
      <c r="DT347" s="247"/>
      <c r="DU347" s="247"/>
      <c r="DV347" s="247"/>
      <c r="DW347" s="247"/>
      <c r="DX347" s="247"/>
      <c r="DY347" s="247"/>
      <c r="DZ347" s="247"/>
      <c r="EA347" s="247"/>
      <c r="EB347" s="247"/>
      <c r="EC347" s="247"/>
      <c r="ED347" s="17">
        <f t="shared" si="113"/>
        <v>2082894.44692</v>
      </c>
      <c r="EE347" s="29">
        <f t="shared" si="114"/>
        <v>3</v>
      </c>
      <c r="EF347" s="17">
        <f t="shared" si="111"/>
        <v>694298.1489733333</v>
      </c>
    </row>
    <row r="348" spans="1:136" ht="25.5" x14ac:dyDescent="0.25">
      <c r="A348" s="25">
        <f>Distribución_Elementos!A348</f>
        <v>346</v>
      </c>
      <c r="B348" s="22" t="str">
        <f>Distribución_Elementos!B348</f>
        <v>Organizador de Herramientas alto 260 ml x ancho 248 ml x largo 489 ml</v>
      </c>
      <c r="C348" s="22" t="str">
        <f>Distribución_Elementos!C348</f>
        <v>Cualquier marca</v>
      </c>
      <c r="D348" s="22" t="str">
        <f>Distribución_Elementos!D348</f>
        <v>Unidad</v>
      </c>
      <c r="E348" s="224">
        <v>1</v>
      </c>
      <c r="F348" s="221">
        <v>0</v>
      </c>
      <c r="G348" s="221">
        <v>0</v>
      </c>
      <c r="H348" s="221">
        <v>178500</v>
      </c>
      <c r="I348" s="221">
        <v>178381</v>
      </c>
      <c r="J348" s="221">
        <v>214182.5</v>
      </c>
      <c r="K348" s="221">
        <v>0</v>
      </c>
      <c r="L348" s="247">
        <f>AVERAGE(H348,J348)</f>
        <v>196341.25</v>
      </c>
      <c r="M348" s="247">
        <f>I348*E1</f>
        <v>183732.43</v>
      </c>
      <c r="N348" s="228">
        <v>150000</v>
      </c>
      <c r="O348" s="119">
        <f>+N348*0.19</f>
        <v>28500</v>
      </c>
      <c r="P348" s="119">
        <f>+N348+O348</f>
        <v>178500</v>
      </c>
      <c r="Q348" s="115"/>
      <c r="R348" s="115"/>
      <c r="S348" s="11"/>
      <c r="T348" s="247"/>
      <c r="U348" s="247"/>
      <c r="V348" s="247"/>
      <c r="W348" s="17"/>
      <c r="X348" s="11"/>
      <c r="Y348" s="11"/>
      <c r="Z348" s="247"/>
      <c r="AA348" s="247"/>
      <c r="AB348" s="247"/>
      <c r="AC348" s="4"/>
      <c r="AD348" s="22"/>
      <c r="AE348" s="17"/>
      <c r="AF348" s="247"/>
      <c r="AG348" s="247"/>
      <c r="AH348" s="105"/>
      <c r="AI348" s="4"/>
      <c r="AJ348" s="17"/>
      <c r="AK348" s="17"/>
      <c r="AL348" s="102"/>
      <c r="AM348" s="132"/>
      <c r="AN348" s="161"/>
      <c r="AO348" s="115"/>
      <c r="AP348" s="115"/>
      <c r="AQ348" s="17"/>
      <c r="AR348" s="247"/>
      <c r="AS348" s="247"/>
      <c r="AT348" s="247"/>
      <c r="AU348" s="17"/>
      <c r="AV348" s="17"/>
      <c r="AW348" s="17"/>
      <c r="AX348" s="247"/>
      <c r="AY348" s="247"/>
      <c r="AZ348" s="247"/>
      <c r="BA348" s="17"/>
      <c r="BB348" s="52"/>
      <c r="BC348" s="17"/>
      <c r="BD348" s="247"/>
      <c r="BE348" s="247"/>
      <c r="BF348" s="247"/>
      <c r="BG348" s="17"/>
      <c r="BH348" s="17"/>
      <c r="BI348" s="17"/>
      <c r="BJ348" s="247">
        <v>432500</v>
      </c>
      <c r="BK348" s="247">
        <f t="shared" si="109"/>
        <v>82175</v>
      </c>
      <c r="BL348" s="247">
        <f t="shared" si="110"/>
        <v>514675</v>
      </c>
      <c r="BM348" s="191" t="s">
        <v>140</v>
      </c>
      <c r="BN348" s="190" t="s">
        <v>1674</v>
      </c>
      <c r="BO348" s="17"/>
      <c r="BP348" s="247"/>
      <c r="BQ348" s="247"/>
      <c r="BR348" s="247"/>
      <c r="BS348" s="17"/>
      <c r="BT348" s="17"/>
      <c r="BU348" s="17"/>
      <c r="BV348" s="189">
        <v>481555.88</v>
      </c>
      <c r="BW348" s="195">
        <f t="shared" si="101"/>
        <v>91495.617200000008</v>
      </c>
      <c r="BX348" s="246">
        <f t="shared" si="102"/>
        <v>573051.49719999998</v>
      </c>
      <c r="BY348" s="191" t="s">
        <v>140</v>
      </c>
      <c r="BZ348" s="190" t="s">
        <v>1674</v>
      </c>
      <c r="CA348" s="190"/>
      <c r="CB348" s="247"/>
      <c r="CC348" s="247"/>
      <c r="CD348" s="247"/>
      <c r="CE348" s="17"/>
      <c r="CF348" s="17"/>
      <c r="CG348" s="17"/>
      <c r="CH348" s="252"/>
      <c r="CI348" s="252"/>
      <c r="CJ348" s="252"/>
      <c r="CK348" s="17"/>
      <c r="CL348" s="17"/>
      <c r="CM348" s="17"/>
      <c r="CN348" s="17"/>
      <c r="CO348" s="17"/>
      <c r="CP348" s="11"/>
      <c r="CQ348" s="11"/>
      <c r="CR348" s="11"/>
      <c r="CS348" s="11"/>
      <c r="CT348" s="247"/>
      <c r="CU348" s="247"/>
      <c r="CV348" s="247"/>
      <c r="CW348" s="11"/>
      <c r="CX348" s="11"/>
      <c r="CY348" s="11"/>
      <c r="CZ348" s="11"/>
      <c r="DA348" s="11"/>
      <c r="DB348" s="11"/>
      <c r="DC348" s="11"/>
      <c r="DD348" s="11"/>
      <c r="DE348" s="11"/>
      <c r="DF348" s="11"/>
      <c r="DG348" s="11"/>
      <c r="DH348" s="11"/>
      <c r="DI348" s="11"/>
      <c r="DJ348" s="11"/>
      <c r="DK348" s="11"/>
      <c r="DL348" s="247"/>
      <c r="DM348" s="247"/>
      <c r="DN348" s="247"/>
      <c r="DO348" s="247"/>
      <c r="DP348" s="247"/>
      <c r="DQ348" s="247"/>
      <c r="DR348" s="247"/>
      <c r="DS348" s="247"/>
      <c r="DT348" s="247"/>
      <c r="DU348" s="247"/>
      <c r="DV348" s="247"/>
      <c r="DW348" s="247"/>
      <c r="DX348" s="247"/>
      <c r="DY348" s="247"/>
      <c r="DZ348" s="247"/>
      <c r="EA348" s="247"/>
      <c r="EB348" s="247"/>
      <c r="EC348" s="247"/>
      <c r="ED348" s="17">
        <f t="shared" si="113"/>
        <v>1449958.9271999998</v>
      </c>
      <c r="EE348" s="29">
        <f t="shared" si="114"/>
        <v>4</v>
      </c>
      <c r="EF348" s="17">
        <f t="shared" si="111"/>
        <v>362489.73179999995</v>
      </c>
    </row>
    <row r="349" spans="1:136" ht="24" x14ac:dyDescent="0.25">
      <c r="A349" s="25">
        <f>Distribución_Elementos!A349</f>
        <v>347</v>
      </c>
      <c r="B349" s="22" t="str">
        <f>Distribución_Elementos!B349</f>
        <v>Ovoscopio</v>
      </c>
      <c r="C349" s="22" t="str">
        <f>Distribución_Elementos!C349</f>
        <v>Tech</v>
      </c>
      <c r="D349" s="22" t="str">
        <f>Distribución_Elementos!D349</f>
        <v>Unidad</v>
      </c>
      <c r="E349" s="224">
        <v>1</v>
      </c>
      <c r="F349" s="221">
        <v>0</v>
      </c>
      <c r="G349" s="221">
        <v>0</v>
      </c>
      <c r="H349" s="221">
        <v>565000</v>
      </c>
      <c r="I349" s="221">
        <v>0</v>
      </c>
      <c r="J349" s="221">
        <v>0</v>
      </c>
      <c r="K349" s="221">
        <v>0</v>
      </c>
      <c r="L349" s="247">
        <f>H349</f>
        <v>565000</v>
      </c>
      <c r="M349" s="247"/>
      <c r="N349" s="227"/>
      <c r="O349" s="119"/>
      <c r="P349" s="119"/>
      <c r="Q349" s="115"/>
      <c r="R349" s="115"/>
      <c r="S349" s="11"/>
      <c r="T349" s="247"/>
      <c r="U349" s="247"/>
      <c r="V349" s="247"/>
      <c r="W349" s="17"/>
      <c r="X349" s="11"/>
      <c r="Y349" s="11"/>
      <c r="Z349" s="247"/>
      <c r="AA349" s="247"/>
      <c r="AB349" s="247"/>
      <c r="AC349" s="44"/>
      <c r="AD349" s="22"/>
      <c r="AE349" s="17"/>
      <c r="AF349" s="247"/>
      <c r="AG349" s="247"/>
      <c r="AH349" s="151"/>
      <c r="AI349" s="4"/>
      <c r="AJ349" s="17"/>
      <c r="AK349" s="17"/>
      <c r="AL349" s="102"/>
      <c r="AM349" s="132"/>
      <c r="AN349" s="161"/>
      <c r="AO349" s="115"/>
      <c r="AP349" s="115"/>
      <c r="AQ349" s="17"/>
      <c r="AR349" s="247"/>
      <c r="AS349" s="247"/>
      <c r="AT349" s="247"/>
      <c r="AU349" s="17"/>
      <c r="AV349" s="17"/>
      <c r="AW349" s="17"/>
      <c r="AX349" s="247"/>
      <c r="AY349" s="247"/>
      <c r="AZ349" s="247"/>
      <c r="BA349" s="17"/>
      <c r="BB349" s="52"/>
      <c r="BC349" s="17"/>
      <c r="BD349" s="247"/>
      <c r="BE349" s="247"/>
      <c r="BF349" s="247"/>
      <c r="BG349" s="17"/>
      <c r="BH349" s="17"/>
      <c r="BI349" s="17"/>
      <c r="BJ349" s="247">
        <v>395000</v>
      </c>
      <c r="BK349" s="247">
        <f t="shared" si="109"/>
        <v>75050</v>
      </c>
      <c r="BL349" s="247">
        <f t="shared" si="110"/>
        <v>470050</v>
      </c>
      <c r="BM349" s="191" t="s">
        <v>140</v>
      </c>
      <c r="BN349" s="190" t="s">
        <v>1675</v>
      </c>
      <c r="BO349" s="17"/>
      <c r="BP349" s="247"/>
      <c r="BQ349" s="247"/>
      <c r="BR349" s="247"/>
      <c r="BS349" s="17"/>
      <c r="BT349" s="17"/>
      <c r="BU349" s="17"/>
      <c r="BV349" s="195">
        <v>448389.38500000001</v>
      </c>
      <c r="BW349" s="195">
        <f t="shared" si="101"/>
        <v>85193.98315</v>
      </c>
      <c r="BX349" s="246">
        <f t="shared" si="102"/>
        <v>533583.36814999999</v>
      </c>
      <c r="BY349" s="191" t="s">
        <v>140</v>
      </c>
      <c r="BZ349" s="190" t="s">
        <v>1675</v>
      </c>
      <c r="CA349" s="190"/>
      <c r="CB349" s="247"/>
      <c r="CC349" s="247"/>
      <c r="CD349" s="247"/>
      <c r="CE349" s="17"/>
      <c r="CF349" s="17"/>
      <c r="CG349" s="17"/>
      <c r="CH349" s="247"/>
      <c r="CI349" s="247"/>
      <c r="CJ349" s="247"/>
      <c r="CK349" s="17"/>
      <c r="CL349" s="17"/>
      <c r="CM349" s="17"/>
      <c r="CN349" s="17"/>
      <c r="CO349" s="17"/>
      <c r="CP349" s="11"/>
      <c r="CQ349" s="11"/>
      <c r="CR349" s="11"/>
      <c r="CS349" s="11"/>
      <c r="CT349" s="247"/>
      <c r="CU349" s="247"/>
      <c r="CV349" s="247"/>
      <c r="CW349" s="11"/>
      <c r="CX349" s="11"/>
      <c r="CY349" s="11"/>
      <c r="CZ349" s="11"/>
      <c r="DA349" s="11"/>
      <c r="DB349" s="11"/>
      <c r="DC349" s="11"/>
      <c r="DD349" s="11"/>
      <c r="DE349" s="11"/>
      <c r="DF349" s="11"/>
      <c r="DG349" s="11"/>
      <c r="DH349" s="11"/>
      <c r="DI349" s="11"/>
      <c r="DJ349" s="11"/>
      <c r="DK349" s="11"/>
      <c r="DL349" s="247"/>
      <c r="DM349" s="247"/>
      <c r="DN349" s="247"/>
      <c r="DO349" s="247"/>
      <c r="DP349" s="247"/>
      <c r="DQ349" s="247"/>
      <c r="DR349" s="247"/>
      <c r="DS349" s="247"/>
      <c r="DT349" s="247"/>
      <c r="DU349" s="247"/>
      <c r="DV349" s="247"/>
      <c r="DW349" s="247"/>
      <c r="DX349" s="247"/>
      <c r="DY349" s="247"/>
      <c r="DZ349" s="247"/>
      <c r="EA349" s="247"/>
      <c r="EB349" s="247"/>
      <c r="EC349" s="247"/>
      <c r="ED349" s="17">
        <f t="shared" si="113"/>
        <v>1003633.36815</v>
      </c>
      <c r="EE349" s="29">
        <f t="shared" si="114"/>
        <v>2</v>
      </c>
      <c r="EF349" s="17">
        <f t="shared" si="111"/>
        <v>501816.684075</v>
      </c>
    </row>
    <row r="350" spans="1:136" x14ac:dyDescent="0.25">
      <c r="A350" s="25">
        <f>Distribución_Elementos!A350</f>
        <v>348</v>
      </c>
      <c r="B350" s="22" t="str">
        <f>Distribución_Elementos!B350</f>
        <v>Palillos plásticos</v>
      </c>
      <c r="C350" s="22" t="str">
        <f>Distribución_Elementos!C350</f>
        <v>Cualquier marca</v>
      </c>
      <c r="D350" s="22" t="str">
        <f>Distribución_Elementos!D350</f>
        <v>Caja x 250</v>
      </c>
      <c r="E350" s="224">
        <v>1</v>
      </c>
      <c r="F350" s="221">
        <v>5950</v>
      </c>
      <c r="G350" s="221">
        <v>0</v>
      </c>
      <c r="H350" s="221">
        <v>10115</v>
      </c>
      <c r="I350" s="221">
        <v>0</v>
      </c>
      <c r="J350" s="221">
        <v>13923</v>
      </c>
      <c r="K350" s="221">
        <v>0</v>
      </c>
      <c r="L350" s="247">
        <f>AVERAGE(F350,H350,J350)</f>
        <v>9996</v>
      </c>
      <c r="M350" s="247"/>
      <c r="N350" s="227">
        <v>25000</v>
      </c>
      <c r="O350" s="119">
        <f>+N350*0.19</f>
        <v>4750</v>
      </c>
      <c r="P350" s="119">
        <f>+N350+O350</f>
        <v>29750</v>
      </c>
      <c r="Q350" s="115"/>
      <c r="R350" s="115"/>
      <c r="S350" s="11"/>
      <c r="T350" s="247"/>
      <c r="U350" s="247"/>
      <c r="V350" s="247"/>
      <c r="W350" s="17"/>
      <c r="X350" s="11"/>
      <c r="Y350" s="11"/>
      <c r="Z350" s="247"/>
      <c r="AA350" s="247"/>
      <c r="AB350" s="247"/>
      <c r="AC350" s="44"/>
      <c r="AD350" s="22"/>
      <c r="AE350" s="17"/>
      <c r="AF350" s="247"/>
      <c r="AG350" s="247"/>
      <c r="AH350" s="151"/>
      <c r="AI350" s="22"/>
      <c r="AJ350" s="17"/>
      <c r="AK350" s="17"/>
      <c r="AL350" s="102"/>
      <c r="AM350" s="132"/>
      <c r="AN350" s="161"/>
      <c r="AO350" s="115"/>
      <c r="AP350" s="115"/>
      <c r="AQ350" s="17"/>
      <c r="AR350" s="247"/>
      <c r="AS350" s="247"/>
      <c r="AT350" s="247"/>
      <c r="AU350" s="17"/>
      <c r="AV350" s="17"/>
      <c r="AW350" s="17"/>
      <c r="AX350" s="247"/>
      <c r="AY350" s="247"/>
      <c r="AZ350" s="247"/>
      <c r="BA350" s="17"/>
      <c r="BB350" s="52"/>
      <c r="BC350" s="17"/>
      <c r="BD350" s="247"/>
      <c r="BE350" s="247"/>
      <c r="BF350" s="247"/>
      <c r="BG350" s="17"/>
      <c r="BH350" s="17"/>
      <c r="BI350" s="17"/>
      <c r="BJ350" s="247"/>
      <c r="BK350" s="247"/>
      <c r="BL350" s="247"/>
      <c r="BM350" s="190"/>
      <c r="BN350" s="190"/>
      <c r="BO350" s="17"/>
      <c r="BP350" s="247">
        <v>12000</v>
      </c>
      <c r="BQ350" s="247">
        <f t="shared" si="112"/>
        <v>2280</v>
      </c>
      <c r="BR350" s="247">
        <f t="shared" si="115"/>
        <v>14280</v>
      </c>
      <c r="BS350" s="17"/>
      <c r="BT350" s="17"/>
      <c r="BU350" s="17"/>
      <c r="BV350" s="189"/>
      <c r="BW350" s="196"/>
      <c r="BX350" s="246"/>
      <c r="BY350" s="190"/>
      <c r="BZ350" s="190"/>
      <c r="CA350" s="190"/>
      <c r="CB350" s="252"/>
      <c r="CC350" s="247"/>
      <c r="CD350" s="247"/>
      <c r="CE350" s="17"/>
      <c r="CF350" s="17"/>
      <c r="CG350" s="17"/>
      <c r="CH350" s="247"/>
      <c r="CI350" s="247"/>
      <c r="CJ350" s="247"/>
      <c r="CK350" s="17"/>
      <c r="CL350" s="17"/>
      <c r="CM350" s="17"/>
      <c r="CN350" s="17"/>
      <c r="CO350" s="17"/>
      <c r="CP350" s="11"/>
      <c r="CQ350" s="11"/>
      <c r="CR350" s="11"/>
      <c r="CS350" s="11"/>
      <c r="CT350" s="247"/>
      <c r="CU350" s="247"/>
      <c r="CV350" s="247"/>
      <c r="CW350" s="11"/>
      <c r="CX350" s="11"/>
      <c r="CY350" s="11"/>
      <c r="CZ350" s="11"/>
      <c r="DA350" s="11"/>
      <c r="DB350" s="11"/>
      <c r="DC350" s="11"/>
      <c r="DD350" s="11"/>
      <c r="DE350" s="11"/>
      <c r="DF350" s="11"/>
      <c r="DG350" s="11"/>
      <c r="DH350" s="11"/>
      <c r="DI350" s="11"/>
      <c r="DJ350" s="11"/>
      <c r="DK350" s="11"/>
      <c r="DL350" s="247"/>
      <c r="DM350" s="247"/>
      <c r="DN350" s="247"/>
      <c r="DO350" s="247"/>
      <c r="DP350" s="247"/>
      <c r="DQ350" s="247"/>
      <c r="DR350" s="247"/>
      <c r="DS350" s="247"/>
      <c r="DT350" s="247"/>
      <c r="DU350" s="247"/>
      <c r="DV350" s="247"/>
      <c r="DW350" s="247"/>
      <c r="DX350" s="247"/>
      <c r="DY350" s="247"/>
      <c r="DZ350" s="247"/>
      <c r="EA350" s="247"/>
      <c r="EB350" s="247"/>
      <c r="EC350" s="247"/>
      <c r="ED350" s="17">
        <f t="shared" si="113"/>
        <v>44030</v>
      </c>
      <c r="EE350" s="29">
        <f t="shared" si="114"/>
        <v>2</v>
      </c>
      <c r="EF350" s="17">
        <f t="shared" si="111"/>
        <v>22015</v>
      </c>
    </row>
    <row r="351" spans="1:136" x14ac:dyDescent="0.25">
      <c r="A351" s="25">
        <f>Distribución_Elementos!A351</f>
        <v>349</v>
      </c>
      <c r="B351" s="22" t="str">
        <f>Distribución_Elementos!B351</f>
        <v>Paño absorbente Fisher 74050</v>
      </c>
      <c r="C351" s="22" t="str">
        <f>Distribución_Elementos!C351</f>
        <v>Fisher 74050 Versi dry</v>
      </c>
      <c r="D351" s="22" t="str">
        <f>Distribución_Elementos!D351</f>
        <v>Caja x 4 rollos</v>
      </c>
      <c r="E351" s="224">
        <v>1</v>
      </c>
      <c r="F351" s="221">
        <v>0</v>
      </c>
      <c r="G351" s="221">
        <v>0</v>
      </c>
      <c r="H351" s="221">
        <v>0</v>
      </c>
      <c r="I351" s="221">
        <v>0</v>
      </c>
      <c r="J351" s="221">
        <v>0</v>
      </c>
      <c r="K351" s="221">
        <v>0</v>
      </c>
      <c r="L351" s="247"/>
      <c r="M351" s="247"/>
      <c r="N351" s="228"/>
      <c r="O351" s="119"/>
      <c r="P351" s="119"/>
      <c r="Q351" s="115"/>
      <c r="R351" s="115"/>
      <c r="S351" s="11"/>
      <c r="T351" s="247"/>
      <c r="U351" s="247"/>
      <c r="V351" s="247"/>
      <c r="W351" s="17"/>
      <c r="X351" s="11"/>
      <c r="Y351" s="11"/>
      <c r="Z351" s="247"/>
      <c r="AA351" s="247"/>
      <c r="AB351" s="247"/>
      <c r="AC351" s="44"/>
      <c r="AD351" s="22"/>
      <c r="AE351" s="17"/>
      <c r="AF351" s="247"/>
      <c r="AG351" s="247"/>
      <c r="AH351" s="151"/>
      <c r="AI351" s="4"/>
      <c r="AJ351" s="17"/>
      <c r="AK351" s="17"/>
      <c r="AL351" s="102"/>
      <c r="AM351" s="132"/>
      <c r="AN351" s="161"/>
      <c r="AO351" s="115"/>
      <c r="AP351" s="115"/>
      <c r="AQ351" s="17"/>
      <c r="AR351" s="247"/>
      <c r="AS351" s="247"/>
      <c r="AT351" s="247"/>
      <c r="AU351" s="17"/>
      <c r="AV351" s="17"/>
      <c r="AW351" s="17"/>
      <c r="AX351" s="247"/>
      <c r="AY351" s="247"/>
      <c r="AZ351" s="247"/>
      <c r="BA351" s="17"/>
      <c r="BB351" s="52"/>
      <c r="BC351" s="17"/>
      <c r="BD351" s="247"/>
      <c r="BE351" s="247"/>
      <c r="BF351" s="247"/>
      <c r="BG351" s="17"/>
      <c r="BH351" s="17"/>
      <c r="BI351" s="17"/>
      <c r="BJ351" s="247">
        <v>3260600</v>
      </c>
      <c r="BK351" s="247">
        <f t="shared" si="109"/>
        <v>619514</v>
      </c>
      <c r="BL351" s="247">
        <f t="shared" si="110"/>
        <v>3880114</v>
      </c>
      <c r="BM351" s="190" t="s">
        <v>1676</v>
      </c>
      <c r="BN351" s="190" t="s">
        <v>1677</v>
      </c>
      <c r="BO351" s="17"/>
      <c r="BP351" s="247">
        <v>3850000</v>
      </c>
      <c r="BQ351" s="247">
        <f t="shared" si="112"/>
        <v>731500</v>
      </c>
      <c r="BR351" s="247">
        <f t="shared" si="115"/>
        <v>4581500</v>
      </c>
      <c r="BS351" s="17"/>
      <c r="BT351" s="17"/>
      <c r="BU351" s="17"/>
      <c r="BV351" s="189">
        <v>3702998.2080000001</v>
      </c>
      <c r="BW351" s="195">
        <f>+BV351*0.19</f>
        <v>703569.65951999999</v>
      </c>
      <c r="BX351" s="246">
        <f>+BV351+BW351</f>
        <v>4406567.8675199999</v>
      </c>
      <c r="BY351" s="190" t="s">
        <v>1676</v>
      </c>
      <c r="BZ351" s="190" t="s">
        <v>1677</v>
      </c>
      <c r="CA351" s="190"/>
      <c r="CB351" s="247"/>
      <c r="CC351" s="247"/>
      <c r="CD351" s="247"/>
      <c r="CE351" s="17"/>
      <c r="CF351" s="17"/>
      <c r="CG351" s="17"/>
      <c r="CH351" s="252"/>
      <c r="CI351" s="252"/>
      <c r="CJ351" s="252"/>
      <c r="CK351" s="17"/>
      <c r="CL351" s="17"/>
      <c r="CM351" s="17"/>
      <c r="CN351" s="17"/>
      <c r="CO351" s="17"/>
      <c r="CP351" s="11"/>
      <c r="CQ351" s="11"/>
      <c r="CR351" s="11"/>
      <c r="CS351" s="11"/>
      <c r="CT351" s="247"/>
      <c r="CU351" s="247"/>
      <c r="CV351" s="247"/>
      <c r="CW351" s="11"/>
      <c r="CX351" s="11"/>
      <c r="CY351" s="11"/>
      <c r="CZ351" s="11"/>
      <c r="DA351" s="11"/>
      <c r="DB351" s="11"/>
      <c r="DC351" s="11"/>
      <c r="DD351" s="11"/>
      <c r="DE351" s="11"/>
      <c r="DF351" s="11"/>
      <c r="DG351" s="11"/>
      <c r="DH351" s="11"/>
      <c r="DI351" s="11"/>
      <c r="DJ351" s="11"/>
      <c r="DK351" s="11"/>
      <c r="DL351" s="247"/>
      <c r="DM351" s="247"/>
      <c r="DN351" s="247"/>
      <c r="DO351" s="247"/>
      <c r="DP351" s="247"/>
      <c r="DQ351" s="247"/>
      <c r="DR351" s="247"/>
      <c r="DS351" s="247"/>
      <c r="DT351" s="247"/>
      <c r="DU351" s="247"/>
      <c r="DV351" s="247"/>
      <c r="DW351" s="247"/>
      <c r="DX351" s="247"/>
      <c r="DY351" s="247"/>
      <c r="DZ351" s="247"/>
      <c r="EA351" s="247"/>
      <c r="EB351" s="247"/>
      <c r="EC351" s="247"/>
      <c r="ED351" s="17">
        <f t="shared" si="113"/>
        <v>12868181.867520001</v>
      </c>
      <c r="EE351" s="29">
        <f t="shared" si="114"/>
        <v>3</v>
      </c>
      <c r="EF351" s="17">
        <f t="shared" si="111"/>
        <v>4289393.95584</v>
      </c>
    </row>
    <row r="352" spans="1:136" ht="51" x14ac:dyDescent="0.25">
      <c r="A352" s="25">
        <f>Distribución_Elementos!A352</f>
        <v>350</v>
      </c>
      <c r="B352" s="22" t="str">
        <f>Distribución_Elementos!B352</f>
        <v>Paño absorbente para control de derrames. Dimensiones mínimas  18" o 23 " x 20 " o 24"   sin embargo, se prefieren dimensiones mayores si las hubiere . Capacidad de absorción mínima 570 ml</v>
      </c>
      <c r="C352" s="22" t="str">
        <f>Distribución_Elementos!C352</f>
        <v>Versi dry o equivalente</v>
      </c>
      <c r="D352" s="22" t="str">
        <f>Distribución_Elementos!D352</f>
        <v xml:space="preserve">Paquete x 200 </v>
      </c>
      <c r="E352" s="224">
        <v>1</v>
      </c>
      <c r="F352" s="221">
        <v>1172054.8</v>
      </c>
      <c r="G352" s="221">
        <v>1166200</v>
      </c>
      <c r="H352" s="221">
        <v>1206200.6599999999</v>
      </c>
      <c r="I352" s="221">
        <v>0</v>
      </c>
      <c r="J352" s="221">
        <v>749796.25777777785</v>
      </c>
      <c r="K352" s="221">
        <v>0</v>
      </c>
      <c r="L352" s="247">
        <f>AVERAGE(F352,H352,J352)</f>
        <v>1042683.9059259259</v>
      </c>
      <c r="M352" s="247">
        <f>G352*E1</f>
        <v>1201186</v>
      </c>
      <c r="N352" s="227">
        <v>850000</v>
      </c>
      <c r="O352" s="119">
        <f>+N352*0.19</f>
        <v>161500</v>
      </c>
      <c r="P352" s="119">
        <f>+N352+O352</f>
        <v>1011500</v>
      </c>
      <c r="Q352" s="115"/>
      <c r="R352" s="115"/>
      <c r="S352" s="11"/>
      <c r="T352" s="247"/>
      <c r="U352" s="247"/>
      <c r="V352" s="247"/>
      <c r="W352" s="17"/>
      <c r="X352" s="11"/>
      <c r="Y352" s="11"/>
      <c r="Z352" s="247"/>
      <c r="AA352" s="247"/>
      <c r="AB352" s="247"/>
      <c r="AC352" s="44"/>
      <c r="AD352" s="22"/>
      <c r="AE352" s="17"/>
      <c r="AF352" s="247"/>
      <c r="AG352" s="247"/>
      <c r="AH352" s="151"/>
      <c r="AI352" s="4"/>
      <c r="AJ352" s="17"/>
      <c r="AK352" s="17"/>
      <c r="AL352" s="102"/>
      <c r="AM352" s="132"/>
      <c r="AN352" s="161"/>
      <c r="AO352" s="115"/>
      <c r="AP352" s="115"/>
      <c r="AQ352" s="17"/>
      <c r="AR352" s="247"/>
      <c r="AS352" s="247"/>
      <c r="AT352" s="247"/>
      <c r="AU352" s="17"/>
      <c r="AV352" s="17"/>
      <c r="AW352" s="17"/>
      <c r="AX352" s="247"/>
      <c r="AY352" s="247"/>
      <c r="AZ352" s="247"/>
      <c r="BA352" s="17"/>
      <c r="BB352" s="52"/>
      <c r="BC352" s="17"/>
      <c r="BD352" s="247"/>
      <c r="BE352" s="247"/>
      <c r="BF352" s="247"/>
      <c r="BG352" s="17"/>
      <c r="BH352" s="17"/>
      <c r="BI352" s="17"/>
      <c r="BJ352" s="252">
        <v>1507600</v>
      </c>
      <c r="BK352" s="247">
        <f t="shared" si="109"/>
        <v>286444</v>
      </c>
      <c r="BL352" s="247">
        <f t="shared" si="110"/>
        <v>1794044</v>
      </c>
      <c r="BM352" s="190" t="s">
        <v>1678</v>
      </c>
      <c r="BN352" s="190" t="s">
        <v>1677</v>
      </c>
      <c r="BO352" s="17"/>
      <c r="BP352" s="247"/>
      <c r="BQ352" s="247"/>
      <c r="BR352" s="247"/>
      <c r="BS352" s="17"/>
      <c r="BT352" s="17"/>
      <c r="BU352" s="17"/>
      <c r="BV352" s="200"/>
      <c r="BW352" s="195"/>
      <c r="BX352" s="246"/>
      <c r="BY352" s="190"/>
      <c r="BZ352" s="190"/>
      <c r="CA352" s="190"/>
      <c r="CB352" s="247"/>
      <c r="CC352" s="247"/>
      <c r="CD352" s="247"/>
      <c r="CE352" s="17"/>
      <c r="CF352" s="17"/>
      <c r="CG352" s="17"/>
      <c r="CH352" s="247"/>
      <c r="CI352" s="247"/>
      <c r="CJ352" s="247"/>
      <c r="CK352" s="17"/>
      <c r="CL352" s="17"/>
      <c r="CM352" s="17"/>
      <c r="CN352" s="17"/>
      <c r="CO352" s="17"/>
      <c r="CP352" s="11"/>
      <c r="CQ352" s="11"/>
      <c r="CR352" s="11"/>
      <c r="CS352" s="11"/>
      <c r="CT352" s="247"/>
      <c r="CU352" s="247"/>
      <c r="CV352" s="247"/>
      <c r="CW352" s="11"/>
      <c r="CX352" s="11"/>
      <c r="CY352" s="11"/>
      <c r="CZ352" s="11"/>
      <c r="DA352" s="11"/>
      <c r="DB352" s="11"/>
      <c r="DC352" s="11"/>
      <c r="DD352" s="11"/>
      <c r="DE352" s="11"/>
      <c r="DF352" s="11"/>
      <c r="DG352" s="11"/>
      <c r="DH352" s="11"/>
      <c r="DI352" s="11"/>
      <c r="DJ352" s="11"/>
      <c r="DK352" s="11"/>
      <c r="DL352" s="247"/>
      <c r="DM352" s="247"/>
      <c r="DN352" s="247"/>
      <c r="DO352" s="247"/>
      <c r="DP352" s="247"/>
      <c r="DQ352" s="247"/>
      <c r="DR352" s="247"/>
      <c r="DS352" s="247"/>
      <c r="DT352" s="247"/>
      <c r="DU352" s="247"/>
      <c r="DV352" s="247"/>
      <c r="DW352" s="247"/>
      <c r="DX352" s="247"/>
      <c r="DY352" s="247"/>
      <c r="DZ352" s="247"/>
      <c r="EA352" s="247"/>
      <c r="EB352" s="247"/>
      <c r="EC352" s="247"/>
      <c r="ED352" s="17">
        <f t="shared" si="113"/>
        <v>4006730</v>
      </c>
      <c r="EE352" s="29">
        <f t="shared" si="114"/>
        <v>3</v>
      </c>
      <c r="EF352" s="17">
        <f t="shared" si="111"/>
        <v>1335576.6666666667</v>
      </c>
    </row>
    <row r="353" spans="1:136" ht="24" x14ac:dyDescent="0.25">
      <c r="A353" s="25">
        <f>Distribución_Elementos!A353</f>
        <v>351</v>
      </c>
      <c r="B353" s="22" t="str">
        <f>Distribución_Elementos!B353</f>
        <v xml:space="preserve">Paño para limpieza de superficies delicadas antiestatico </v>
      </c>
      <c r="C353" s="22" t="str">
        <f>Distribución_Elementos!C353</f>
        <v>Kimwipes</v>
      </c>
      <c r="D353" s="22" t="str">
        <f>Distribución_Elementos!D353</f>
        <v>Caja X 280</v>
      </c>
      <c r="E353" s="224">
        <v>1</v>
      </c>
      <c r="F353" s="221">
        <v>95489.17</v>
      </c>
      <c r="G353" s="221">
        <v>94010</v>
      </c>
      <c r="H353" s="221">
        <v>85085</v>
      </c>
      <c r="I353" s="221">
        <v>84966</v>
      </c>
      <c r="J353" s="221">
        <v>155209.05555555556</v>
      </c>
      <c r="K353" s="221">
        <v>0</v>
      </c>
      <c r="L353" s="247">
        <f>AVERAGE(F353,H353,J353)</f>
        <v>111927.74185185185</v>
      </c>
      <c r="M353" s="247">
        <f>AVERAGE(G353,I353)*E1</f>
        <v>92172.64</v>
      </c>
      <c r="N353" s="227">
        <v>70000</v>
      </c>
      <c r="O353" s="119">
        <f>+N353*0.19</f>
        <v>13300</v>
      </c>
      <c r="P353" s="119">
        <f>+N353+O353</f>
        <v>83300</v>
      </c>
      <c r="Q353" s="115"/>
      <c r="R353" s="115"/>
      <c r="S353" s="11"/>
      <c r="T353" s="247"/>
      <c r="U353" s="247"/>
      <c r="V353" s="247"/>
      <c r="W353" s="17"/>
      <c r="X353" s="11"/>
      <c r="Y353" s="11"/>
      <c r="Z353" s="247"/>
      <c r="AA353" s="247"/>
      <c r="AB353" s="247"/>
      <c r="AC353" s="44"/>
      <c r="AD353" s="22"/>
      <c r="AE353" s="17"/>
      <c r="AF353" s="247"/>
      <c r="AG353" s="247"/>
      <c r="AH353" s="151"/>
      <c r="AI353" s="4"/>
      <c r="AJ353" s="17"/>
      <c r="AK353" s="17"/>
      <c r="AL353" s="203">
        <v>2470350</v>
      </c>
      <c r="AM353" s="132">
        <f>+AL353*0.19</f>
        <v>469366.5</v>
      </c>
      <c r="AN353" s="132">
        <f>+AL353+AM353</f>
        <v>2939716.5</v>
      </c>
      <c r="AO353" s="115" t="s">
        <v>172</v>
      </c>
      <c r="AP353" s="115" t="s">
        <v>1559</v>
      </c>
      <c r="AQ353" s="17"/>
      <c r="AR353" s="247"/>
      <c r="AS353" s="247"/>
      <c r="AT353" s="247"/>
      <c r="AU353" s="17"/>
      <c r="AV353" s="17"/>
      <c r="AW353" s="17"/>
      <c r="AX353" s="247"/>
      <c r="AY353" s="247"/>
      <c r="AZ353" s="247"/>
      <c r="BA353" s="17"/>
      <c r="BB353" s="52"/>
      <c r="BC353" s="17"/>
      <c r="BD353" s="247"/>
      <c r="BE353" s="247"/>
      <c r="BF353" s="247"/>
      <c r="BG353" s="17"/>
      <c r="BH353" s="17"/>
      <c r="BI353" s="17"/>
      <c r="BJ353" s="247">
        <v>81500</v>
      </c>
      <c r="BK353" s="247">
        <f t="shared" si="109"/>
        <v>15485</v>
      </c>
      <c r="BL353" s="247">
        <f t="shared" si="110"/>
        <v>96985</v>
      </c>
      <c r="BM353" s="190" t="s">
        <v>1679</v>
      </c>
      <c r="BN353" s="190" t="s">
        <v>1680</v>
      </c>
      <c r="BO353" s="17"/>
      <c r="BP353" s="247">
        <v>125000</v>
      </c>
      <c r="BQ353" s="247">
        <f t="shared" si="112"/>
        <v>23750</v>
      </c>
      <c r="BR353" s="247">
        <f t="shared" si="115"/>
        <v>148750</v>
      </c>
      <c r="BS353" s="17"/>
      <c r="BT353" s="17"/>
      <c r="BU353" s="17"/>
      <c r="BV353" s="195">
        <v>88998.978000000003</v>
      </c>
      <c r="BW353" s="195">
        <f>+BV353*0.19</f>
        <v>16909.805820000001</v>
      </c>
      <c r="BX353" s="246">
        <f>+BV353+BW353</f>
        <v>105908.78382000001</v>
      </c>
      <c r="BY353" s="190" t="s">
        <v>1679</v>
      </c>
      <c r="BZ353" s="190" t="s">
        <v>1680</v>
      </c>
      <c r="CA353" s="190"/>
      <c r="CB353" s="247"/>
      <c r="CC353" s="247"/>
      <c r="CD353" s="247"/>
      <c r="CE353" s="17"/>
      <c r="CF353" s="17"/>
      <c r="CG353" s="17"/>
      <c r="CH353" s="247"/>
      <c r="CI353" s="247"/>
      <c r="CJ353" s="247"/>
      <c r="CK353" s="17"/>
      <c r="CL353" s="17"/>
      <c r="CM353" s="17"/>
      <c r="CN353" s="17"/>
      <c r="CO353" s="17"/>
      <c r="CP353" s="11"/>
      <c r="CQ353" s="11"/>
      <c r="CR353" s="11"/>
      <c r="CS353" s="11"/>
      <c r="CT353" s="247"/>
      <c r="CU353" s="247"/>
      <c r="CV353" s="247"/>
      <c r="CW353" s="11"/>
      <c r="CX353" s="11"/>
      <c r="CY353" s="11"/>
      <c r="CZ353" s="11"/>
      <c r="DA353" s="11"/>
      <c r="DB353" s="11"/>
      <c r="DC353" s="11"/>
      <c r="DD353" s="11"/>
      <c r="DE353" s="11"/>
      <c r="DF353" s="11"/>
      <c r="DG353" s="11"/>
      <c r="DH353" s="11"/>
      <c r="DI353" s="11"/>
      <c r="DJ353" s="11"/>
      <c r="DK353" s="11"/>
      <c r="DL353" s="247"/>
      <c r="DM353" s="247"/>
      <c r="DN353" s="247"/>
      <c r="DO353" s="247"/>
      <c r="DP353" s="247"/>
      <c r="DQ353" s="247"/>
      <c r="DR353" s="247"/>
      <c r="DS353" s="247"/>
      <c r="DT353" s="247"/>
      <c r="DU353" s="247"/>
      <c r="DV353" s="247"/>
      <c r="DW353" s="247"/>
      <c r="DX353" s="247"/>
      <c r="DY353" s="247"/>
      <c r="DZ353" s="247"/>
      <c r="EA353" s="247"/>
      <c r="EB353" s="247"/>
      <c r="EC353" s="247"/>
      <c r="ED353" s="17">
        <f t="shared" si="113"/>
        <v>3466832.9238200001</v>
      </c>
      <c r="EE353" s="29">
        <f t="shared" si="114"/>
        <v>6</v>
      </c>
      <c r="EF353" s="17">
        <f t="shared" si="111"/>
        <v>577805.48730333336</v>
      </c>
    </row>
    <row r="354" spans="1:136" x14ac:dyDescent="0.25">
      <c r="A354" s="25">
        <f>Distribución_Elementos!A354</f>
        <v>352</v>
      </c>
      <c r="B354" s="22" t="str">
        <f>Distribución_Elementos!B354</f>
        <v xml:space="preserve">Papel adhesivo para etiquetar </v>
      </c>
      <c r="C354" s="22">
        <f>Distribución_Elementos!C354</f>
        <v>3021</v>
      </c>
      <c r="D354" s="22" t="str">
        <f>Distribución_Elementos!D354</f>
        <v>Paquete x 2000</v>
      </c>
      <c r="E354" s="224">
        <v>1</v>
      </c>
      <c r="F354" s="221">
        <v>0</v>
      </c>
      <c r="G354" s="221">
        <v>0</v>
      </c>
      <c r="H354" s="221">
        <v>0</v>
      </c>
      <c r="I354" s="221">
        <v>0</v>
      </c>
      <c r="J354" s="221">
        <v>0</v>
      </c>
      <c r="K354" s="221">
        <v>0</v>
      </c>
      <c r="L354" s="247"/>
      <c r="M354" s="247"/>
      <c r="N354" s="227"/>
      <c r="O354" s="119"/>
      <c r="P354" s="119"/>
      <c r="Q354" s="115"/>
      <c r="R354" s="115"/>
      <c r="S354" s="11"/>
      <c r="T354" s="247"/>
      <c r="U354" s="247"/>
      <c r="V354" s="247"/>
      <c r="W354" s="17"/>
      <c r="X354" s="11"/>
      <c r="Y354" s="11"/>
      <c r="Z354" s="247"/>
      <c r="AA354" s="247"/>
      <c r="AB354" s="247"/>
      <c r="AC354" s="44"/>
      <c r="AD354" s="22"/>
      <c r="AE354" s="17"/>
      <c r="AF354" s="247"/>
      <c r="AG354" s="247"/>
      <c r="AH354" s="151"/>
      <c r="AI354" s="22"/>
      <c r="AJ354" s="17"/>
      <c r="AK354" s="17"/>
      <c r="AL354" s="203">
        <v>883650</v>
      </c>
      <c r="AM354" s="132">
        <f>+AL354*0.19</f>
        <v>167893.5</v>
      </c>
      <c r="AN354" s="132">
        <f>+AL354+AM354</f>
        <v>1051543.5</v>
      </c>
      <c r="AO354" s="115" t="s">
        <v>1681</v>
      </c>
      <c r="AP354" s="115" t="s">
        <v>1559</v>
      </c>
      <c r="AQ354" s="17"/>
      <c r="AR354" s="247"/>
      <c r="AS354" s="247"/>
      <c r="AT354" s="247"/>
      <c r="AU354" s="17"/>
      <c r="AV354" s="17"/>
      <c r="AW354" s="17"/>
      <c r="AX354" s="247"/>
      <c r="AY354" s="247"/>
      <c r="AZ354" s="247"/>
      <c r="BA354" s="17"/>
      <c r="BB354" s="52"/>
      <c r="BC354" s="17"/>
      <c r="BD354" s="247"/>
      <c r="BE354" s="247"/>
      <c r="BF354" s="247"/>
      <c r="BG354" s="17"/>
      <c r="BH354" s="17"/>
      <c r="BI354" s="17"/>
      <c r="BJ354" s="247"/>
      <c r="BK354" s="247"/>
      <c r="BL354" s="247"/>
      <c r="BM354" s="190"/>
      <c r="BN354" s="190"/>
      <c r="BO354" s="17"/>
      <c r="BP354" s="247"/>
      <c r="BQ354" s="247"/>
      <c r="BR354" s="247"/>
      <c r="BS354" s="17"/>
      <c r="BT354" s="17"/>
      <c r="BU354" s="17"/>
      <c r="BV354" s="189"/>
      <c r="BW354" s="196"/>
      <c r="BX354" s="246"/>
      <c r="BY354" s="190"/>
      <c r="BZ354" s="190"/>
      <c r="CA354" s="190"/>
      <c r="CB354" s="247"/>
      <c r="CC354" s="247"/>
      <c r="CD354" s="247"/>
      <c r="CE354" s="17"/>
      <c r="CF354" s="17"/>
      <c r="CG354" s="17"/>
      <c r="CH354" s="247"/>
      <c r="CI354" s="247"/>
      <c r="CJ354" s="247"/>
      <c r="CK354" s="17"/>
      <c r="CL354" s="17"/>
      <c r="CM354" s="17"/>
      <c r="CN354" s="17"/>
      <c r="CO354" s="17"/>
      <c r="CP354" s="11"/>
      <c r="CQ354" s="11"/>
      <c r="CR354" s="11"/>
      <c r="CS354" s="11"/>
      <c r="CT354" s="247"/>
      <c r="CU354" s="247"/>
      <c r="CV354" s="247"/>
      <c r="CW354" s="11"/>
      <c r="CX354" s="11"/>
      <c r="CY354" s="11"/>
      <c r="CZ354" s="11"/>
      <c r="DA354" s="11"/>
      <c r="DB354" s="11"/>
      <c r="DC354" s="11"/>
      <c r="DD354" s="11"/>
      <c r="DE354" s="11"/>
      <c r="DF354" s="11"/>
      <c r="DG354" s="11"/>
      <c r="DH354" s="11"/>
      <c r="DI354" s="11"/>
      <c r="DJ354" s="11"/>
      <c r="DK354" s="11"/>
      <c r="DL354" s="247"/>
      <c r="DM354" s="247"/>
      <c r="DN354" s="247"/>
      <c r="DO354" s="247"/>
      <c r="DP354" s="247"/>
      <c r="DQ354" s="247"/>
      <c r="DR354" s="247"/>
      <c r="DS354" s="247"/>
      <c r="DT354" s="247"/>
      <c r="DU354" s="247"/>
      <c r="DV354" s="247"/>
      <c r="DW354" s="247"/>
      <c r="DX354" s="247"/>
      <c r="DY354" s="247"/>
      <c r="DZ354" s="247"/>
      <c r="EA354" s="247"/>
      <c r="EB354" s="247"/>
      <c r="EC354" s="247"/>
      <c r="ED354" s="17">
        <f t="shared" si="113"/>
        <v>1051543.5</v>
      </c>
      <c r="EE354" s="29">
        <f t="shared" si="114"/>
        <v>1</v>
      </c>
      <c r="EF354" s="17">
        <f t="shared" si="111"/>
        <v>1051543.5</v>
      </c>
    </row>
    <row r="355" spans="1:136" x14ac:dyDescent="0.25">
      <c r="A355" s="25">
        <f>Distribución_Elementos!A355</f>
        <v>353</v>
      </c>
      <c r="B355" s="22" t="str">
        <f>Distribución_Elementos!B355</f>
        <v>Papel aluminio</v>
      </c>
      <c r="C355" s="22" t="str">
        <f>Distribución_Elementos!C355</f>
        <v>Cualquier marca</v>
      </c>
      <c r="D355" s="22" t="str">
        <f>Distribución_Elementos!D355</f>
        <v>Rollo x 40 m</v>
      </c>
      <c r="E355" s="224">
        <v>1</v>
      </c>
      <c r="F355" s="221">
        <v>23926.14</v>
      </c>
      <c r="G355" s="221">
        <v>23562</v>
      </c>
      <c r="H355" s="221">
        <v>53502.058866666666</v>
      </c>
      <c r="I355" s="221">
        <v>53431</v>
      </c>
      <c r="J355" s="221">
        <v>41632.811111111114</v>
      </c>
      <c r="K355" s="221">
        <v>23800</v>
      </c>
      <c r="L355" s="247">
        <f t="shared" ref="L355:L361" si="116">AVERAGE(F355,H355,J355)</f>
        <v>39687.003325925929</v>
      </c>
      <c r="M355" s="247">
        <f>AVERAGE(G355,I355,K355)*E1</f>
        <v>34605.596666666665</v>
      </c>
      <c r="N355" s="227">
        <v>17500</v>
      </c>
      <c r="O355" s="119">
        <f t="shared" ref="O355:O362" si="117">+N355*0.19</f>
        <v>3325</v>
      </c>
      <c r="P355" s="119">
        <f t="shared" ref="P355:P362" si="118">+N355+O355</f>
        <v>20825</v>
      </c>
      <c r="Q355" s="115"/>
      <c r="R355" s="115"/>
      <c r="S355" s="11"/>
      <c r="T355" s="247"/>
      <c r="U355" s="247"/>
      <c r="V355" s="247"/>
      <c r="W355" s="17"/>
      <c r="X355" s="11"/>
      <c r="Y355" s="11"/>
      <c r="Z355" s="247"/>
      <c r="AA355" s="247"/>
      <c r="AB355" s="247"/>
      <c r="AC355" s="44"/>
      <c r="AD355" s="22"/>
      <c r="AE355" s="17"/>
      <c r="AF355" s="247"/>
      <c r="AG355" s="247"/>
      <c r="AH355" s="151"/>
      <c r="AI355" s="4"/>
      <c r="AJ355" s="17"/>
      <c r="AK355" s="17"/>
      <c r="AL355" s="203">
        <f>664350/25</f>
        <v>26574</v>
      </c>
      <c r="AM355" s="132">
        <f>+AL355*0.19</f>
        <v>5049.0600000000004</v>
      </c>
      <c r="AN355" s="132">
        <f>+AL355+AM355</f>
        <v>31623.06</v>
      </c>
      <c r="AO355" s="115" t="s">
        <v>1681</v>
      </c>
      <c r="AP355" s="115" t="s">
        <v>1559</v>
      </c>
      <c r="AQ355" s="17"/>
      <c r="AR355" s="247"/>
      <c r="AS355" s="247"/>
      <c r="AT355" s="247"/>
      <c r="AU355" s="17"/>
      <c r="AV355" s="17"/>
      <c r="AW355" s="17"/>
      <c r="AX355" s="247"/>
      <c r="AY355" s="247"/>
      <c r="AZ355" s="247"/>
      <c r="BA355" s="17"/>
      <c r="BB355" s="52"/>
      <c r="BC355" s="17"/>
      <c r="BD355" s="247"/>
      <c r="BE355" s="247"/>
      <c r="BF355" s="247"/>
      <c r="BG355" s="17"/>
      <c r="BH355" s="17"/>
      <c r="BI355" s="17"/>
      <c r="BJ355" s="247">
        <v>38800</v>
      </c>
      <c r="BK355" s="247">
        <f t="shared" si="109"/>
        <v>7372</v>
      </c>
      <c r="BL355" s="247">
        <f t="shared" si="110"/>
        <v>46172</v>
      </c>
      <c r="BM355" s="190" t="s">
        <v>1678</v>
      </c>
      <c r="BN355" s="190" t="s">
        <v>153</v>
      </c>
      <c r="BO355" s="17"/>
      <c r="BP355" s="247">
        <v>28500</v>
      </c>
      <c r="BQ355" s="247">
        <f t="shared" si="112"/>
        <v>5415</v>
      </c>
      <c r="BR355" s="247">
        <f t="shared" si="115"/>
        <v>33915</v>
      </c>
      <c r="BS355" s="17"/>
      <c r="BT355" s="17"/>
      <c r="BU355" s="17"/>
      <c r="BV355" s="195">
        <v>43189.094799999999</v>
      </c>
      <c r="BW355" s="195">
        <f t="shared" ref="BW355:BW362" si="119">+BV355*0.19</f>
        <v>8205.9280120000003</v>
      </c>
      <c r="BX355" s="246">
        <f t="shared" ref="BX355:BX362" si="120">+BV355+BW355</f>
        <v>51395.022811999996</v>
      </c>
      <c r="BY355" s="190" t="s">
        <v>1678</v>
      </c>
      <c r="BZ355" s="190" t="s">
        <v>153</v>
      </c>
      <c r="CA355" s="190"/>
      <c r="CB355" s="247"/>
      <c r="CC355" s="247"/>
      <c r="CD355" s="247"/>
      <c r="CE355" s="17"/>
      <c r="CF355" s="17"/>
      <c r="CG355" s="17"/>
      <c r="CH355" s="247"/>
      <c r="CI355" s="247"/>
      <c r="CJ355" s="247"/>
      <c r="CK355" s="17"/>
      <c r="CL355" s="17"/>
      <c r="CM355" s="17"/>
      <c r="CN355" s="17"/>
      <c r="CO355" s="17"/>
      <c r="CP355" s="11"/>
      <c r="CQ355" s="11"/>
      <c r="CR355" s="11"/>
      <c r="CS355" s="11"/>
      <c r="CT355" s="247"/>
      <c r="CU355" s="247"/>
      <c r="CV355" s="247"/>
      <c r="CW355" s="11"/>
      <c r="CX355" s="11"/>
      <c r="CY355" s="11"/>
      <c r="CZ355" s="11"/>
      <c r="DA355" s="11"/>
      <c r="DB355" s="11"/>
      <c r="DC355" s="11"/>
      <c r="DD355" s="11"/>
      <c r="DE355" s="11"/>
      <c r="DF355" s="11"/>
      <c r="DG355" s="11"/>
      <c r="DH355" s="11"/>
      <c r="DI355" s="11"/>
      <c r="DJ355" s="11"/>
      <c r="DK355" s="11"/>
      <c r="DL355" s="247"/>
      <c r="DM355" s="247"/>
      <c r="DN355" s="247"/>
      <c r="DO355" s="247"/>
      <c r="DP355" s="247"/>
      <c r="DQ355" s="247"/>
      <c r="DR355" s="247"/>
      <c r="DS355" s="247"/>
      <c r="DT355" s="247"/>
      <c r="DU355" s="247"/>
      <c r="DV355" s="247"/>
      <c r="DW355" s="247"/>
      <c r="DX355" s="247"/>
      <c r="DY355" s="247"/>
      <c r="DZ355" s="247"/>
      <c r="EA355" s="247"/>
      <c r="EB355" s="247"/>
      <c r="EC355" s="247"/>
      <c r="ED355" s="17">
        <f t="shared" si="113"/>
        <v>218535.67947866669</v>
      </c>
      <c r="EE355" s="29">
        <f t="shared" si="114"/>
        <v>6</v>
      </c>
      <c r="EF355" s="17">
        <f t="shared" si="111"/>
        <v>36422.613246444445</v>
      </c>
    </row>
    <row r="356" spans="1:136" x14ac:dyDescent="0.25">
      <c r="A356" s="25">
        <f>Distribución_Elementos!A356</f>
        <v>354</v>
      </c>
      <c r="B356" s="22" t="str">
        <f>Distribución_Elementos!B356</f>
        <v>Papel crepado</v>
      </c>
      <c r="C356" s="22" t="str">
        <f>Distribución_Elementos!C356</f>
        <v>Cualquier marca</v>
      </c>
      <c r="D356" s="22" t="str">
        <f>Distribución_Elementos!D356</f>
        <v>Rollo x 100 metros</v>
      </c>
      <c r="E356" s="224">
        <v>1</v>
      </c>
      <c r="F356" s="221">
        <v>137960.66666666666</v>
      </c>
      <c r="G356" s="221">
        <v>133042</v>
      </c>
      <c r="H356" s="221">
        <v>146344.11353333332</v>
      </c>
      <c r="I356" s="221">
        <v>0</v>
      </c>
      <c r="J356" s="221">
        <v>192118.88888888891</v>
      </c>
      <c r="K356" s="221">
        <v>178500</v>
      </c>
      <c r="L356" s="247">
        <f t="shared" si="116"/>
        <v>158807.8896962963</v>
      </c>
      <c r="M356" s="247">
        <f>AVERAGE(G356,K356)*E1</f>
        <v>160444.13</v>
      </c>
      <c r="N356" s="227">
        <v>125000</v>
      </c>
      <c r="O356" s="119">
        <f t="shared" si="117"/>
        <v>23750</v>
      </c>
      <c r="P356" s="119">
        <f t="shared" si="118"/>
        <v>148750</v>
      </c>
      <c r="Q356" s="115"/>
      <c r="R356" s="115"/>
      <c r="S356" s="11"/>
      <c r="T356" s="247"/>
      <c r="U356" s="247"/>
      <c r="V356" s="247"/>
      <c r="W356" s="17"/>
      <c r="X356" s="11"/>
      <c r="Y356" s="11"/>
      <c r="Z356" s="247"/>
      <c r="AA356" s="247"/>
      <c r="AB356" s="247"/>
      <c r="AC356" s="44"/>
      <c r="AD356" s="22"/>
      <c r="AE356" s="17"/>
      <c r="AF356" s="247"/>
      <c r="AG356" s="247"/>
      <c r="AH356" s="151"/>
      <c r="AI356" s="4"/>
      <c r="AJ356" s="17"/>
      <c r="AK356" s="17"/>
      <c r="AL356" s="102"/>
      <c r="AM356" s="132"/>
      <c r="AN356" s="161"/>
      <c r="AO356" s="115"/>
      <c r="AP356" s="115"/>
      <c r="AQ356" s="17"/>
      <c r="AR356" s="247"/>
      <c r="AS356" s="247"/>
      <c r="AT356" s="247"/>
      <c r="AU356" s="17"/>
      <c r="AV356" s="17"/>
      <c r="AW356" s="17"/>
      <c r="AX356" s="247"/>
      <c r="AY356" s="247"/>
      <c r="AZ356" s="247"/>
      <c r="BA356" s="17"/>
      <c r="BB356" s="52"/>
      <c r="BC356" s="17"/>
      <c r="BD356" s="247"/>
      <c r="BE356" s="247"/>
      <c r="BF356" s="247"/>
      <c r="BG356" s="17"/>
      <c r="BH356" s="17"/>
      <c r="BI356" s="17"/>
      <c r="BJ356" s="247">
        <v>254400</v>
      </c>
      <c r="BK356" s="247">
        <f t="shared" si="109"/>
        <v>48336</v>
      </c>
      <c r="BL356" s="247">
        <f t="shared" si="110"/>
        <v>302736</v>
      </c>
      <c r="BM356" s="190" t="s">
        <v>1678</v>
      </c>
      <c r="BN356" s="190" t="s">
        <v>1682</v>
      </c>
      <c r="BO356" s="17"/>
      <c r="BP356" s="247">
        <v>135000</v>
      </c>
      <c r="BQ356" s="247">
        <f t="shared" si="112"/>
        <v>25650</v>
      </c>
      <c r="BR356" s="247">
        <f t="shared" si="115"/>
        <v>160650</v>
      </c>
      <c r="BS356" s="17"/>
      <c r="BT356" s="17"/>
      <c r="BU356" s="17"/>
      <c r="BV356" s="195">
        <v>294420.1728</v>
      </c>
      <c r="BW356" s="195">
        <f t="shared" si="119"/>
        <v>55939.832832</v>
      </c>
      <c r="BX356" s="246">
        <f t="shared" si="120"/>
        <v>350360.00563199999</v>
      </c>
      <c r="BY356" s="190" t="s">
        <v>1678</v>
      </c>
      <c r="BZ356" s="190" t="s">
        <v>1682</v>
      </c>
      <c r="CA356" s="190"/>
      <c r="CB356" s="247"/>
      <c r="CC356" s="247"/>
      <c r="CD356" s="247"/>
      <c r="CE356" s="17"/>
      <c r="CF356" s="17"/>
      <c r="CG356" s="17"/>
      <c r="CH356" s="247"/>
      <c r="CI356" s="247"/>
      <c r="CJ356" s="247"/>
      <c r="CK356" s="17"/>
      <c r="CL356" s="17"/>
      <c r="CM356" s="17"/>
      <c r="CN356" s="17"/>
      <c r="CO356" s="17"/>
      <c r="CP356" s="11"/>
      <c r="CQ356" s="11"/>
      <c r="CR356" s="11"/>
      <c r="CS356" s="11"/>
      <c r="CT356" s="247"/>
      <c r="CU356" s="247"/>
      <c r="CV356" s="247"/>
      <c r="CW356" s="11"/>
      <c r="CX356" s="11"/>
      <c r="CY356" s="11"/>
      <c r="CZ356" s="11"/>
      <c r="DA356" s="11"/>
      <c r="DB356" s="11"/>
      <c r="DC356" s="11"/>
      <c r="DD356" s="11"/>
      <c r="DE356" s="11"/>
      <c r="DF356" s="11"/>
      <c r="DG356" s="11"/>
      <c r="DH356" s="11"/>
      <c r="DI356" s="11"/>
      <c r="DJ356" s="11"/>
      <c r="DK356" s="11"/>
      <c r="DL356" s="247"/>
      <c r="DM356" s="247"/>
      <c r="DN356" s="247"/>
      <c r="DO356" s="247"/>
      <c r="DP356" s="247"/>
      <c r="DQ356" s="247"/>
      <c r="DR356" s="247"/>
      <c r="DS356" s="247"/>
      <c r="DT356" s="247"/>
      <c r="DU356" s="247"/>
      <c r="DV356" s="247"/>
      <c r="DW356" s="247"/>
      <c r="DX356" s="247"/>
      <c r="DY356" s="247"/>
      <c r="DZ356" s="247"/>
      <c r="EA356" s="247"/>
      <c r="EB356" s="247"/>
      <c r="EC356" s="247"/>
      <c r="ED356" s="17">
        <f t="shared" si="113"/>
        <v>1122940.1356319999</v>
      </c>
      <c r="EE356" s="29">
        <f t="shared" si="114"/>
        <v>5</v>
      </c>
      <c r="EF356" s="17">
        <f t="shared" si="111"/>
        <v>224588.02712639997</v>
      </c>
    </row>
    <row r="357" spans="1:136" ht="36" x14ac:dyDescent="0.25">
      <c r="A357" s="25">
        <f>Distribución_Elementos!A357</f>
        <v>355</v>
      </c>
      <c r="B357" s="22" t="str">
        <f>Distribución_Elementos!B357</f>
        <v xml:space="preserve">Papel de arroz para limpiar lentes </v>
      </c>
      <c r="C357" s="22" t="str">
        <f>Distribución_Elementos!C357</f>
        <v>Kimwipes o equivalente</v>
      </c>
      <c r="D357" s="22" t="str">
        <f>Distribución_Elementos!D357</f>
        <v>Paquete x 12 libros x 50 hojas</v>
      </c>
      <c r="E357" s="224">
        <v>1</v>
      </c>
      <c r="F357" s="221">
        <v>106357.7375</v>
      </c>
      <c r="G357" s="221">
        <v>106267</v>
      </c>
      <c r="H357" s="221">
        <v>99234.989524999997</v>
      </c>
      <c r="I357" s="221">
        <v>0</v>
      </c>
      <c r="J357" s="221">
        <v>125802.83333333333</v>
      </c>
      <c r="K357" s="221">
        <v>124950</v>
      </c>
      <c r="L357" s="247">
        <f t="shared" si="116"/>
        <v>110465.18678611111</v>
      </c>
      <c r="M357" s="247">
        <f>AVERAGE(G357,K357)*E1</f>
        <v>119076.755</v>
      </c>
      <c r="N357" s="227">
        <v>120000</v>
      </c>
      <c r="O357" s="119">
        <f t="shared" si="117"/>
        <v>22800</v>
      </c>
      <c r="P357" s="119">
        <f t="shared" si="118"/>
        <v>142800</v>
      </c>
      <c r="Q357" s="115"/>
      <c r="R357" s="115"/>
      <c r="S357" s="11"/>
      <c r="T357" s="247"/>
      <c r="U357" s="247"/>
      <c r="V357" s="247"/>
      <c r="W357" s="17"/>
      <c r="X357" s="11"/>
      <c r="Y357" s="11"/>
      <c r="Z357" s="247"/>
      <c r="AA357" s="247"/>
      <c r="AB357" s="247"/>
      <c r="AC357" s="44"/>
      <c r="AD357" s="22"/>
      <c r="AE357" s="17"/>
      <c r="AF357" s="247"/>
      <c r="AG357" s="247"/>
      <c r="AH357" s="151"/>
      <c r="AI357" s="4"/>
      <c r="AJ357" s="17"/>
      <c r="AK357" s="17"/>
      <c r="AL357" s="203">
        <v>2470350</v>
      </c>
      <c r="AM357" s="132">
        <f>+AL357*0.19</f>
        <v>469366.5</v>
      </c>
      <c r="AN357" s="132">
        <f>+AL357+AM357</f>
        <v>2939716.5</v>
      </c>
      <c r="AO357" s="115" t="s">
        <v>172</v>
      </c>
      <c r="AP357" s="115" t="s">
        <v>1559</v>
      </c>
      <c r="AQ357" s="17"/>
      <c r="AR357" s="247"/>
      <c r="AS357" s="247"/>
      <c r="AT357" s="247"/>
      <c r="AU357" s="17"/>
      <c r="AV357" s="17"/>
      <c r="AW357" s="17"/>
      <c r="AX357" s="247"/>
      <c r="AY357" s="247"/>
      <c r="AZ357" s="247"/>
      <c r="BA357" s="17"/>
      <c r="BB357" s="52"/>
      <c r="BC357" s="17"/>
      <c r="BD357" s="247"/>
      <c r="BE357" s="247"/>
      <c r="BF357" s="247"/>
      <c r="BG357" s="17"/>
      <c r="BH357" s="17"/>
      <c r="BI357" s="17"/>
      <c r="BJ357" s="247">
        <v>252900</v>
      </c>
      <c r="BK357" s="247">
        <f t="shared" si="109"/>
        <v>48051</v>
      </c>
      <c r="BL357" s="247">
        <f t="shared" si="110"/>
        <v>300951</v>
      </c>
      <c r="BM357" s="191" t="s">
        <v>1683</v>
      </c>
      <c r="BN357" s="190" t="s">
        <v>316</v>
      </c>
      <c r="BO357" s="17"/>
      <c r="BP357" s="247">
        <f>6800*12</f>
        <v>81600</v>
      </c>
      <c r="BQ357" s="247">
        <f t="shared" si="112"/>
        <v>15504</v>
      </c>
      <c r="BR357" s="247">
        <f t="shared" si="115"/>
        <v>97104</v>
      </c>
      <c r="BS357" s="17"/>
      <c r="BT357" s="17"/>
      <c r="BU357" s="17"/>
      <c r="BV357" s="195">
        <v>273615.54479999997</v>
      </c>
      <c r="BW357" s="195">
        <f t="shared" si="119"/>
        <v>51986.953511999993</v>
      </c>
      <c r="BX357" s="246">
        <f t="shared" si="120"/>
        <v>325602.49831199995</v>
      </c>
      <c r="BY357" s="191" t="s">
        <v>1683</v>
      </c>
      <c r="BZ357" s="190" t="s">
        <v>316</v>
      </c>
      <c r="CA357" s="190"/>
      <c r="CB357" s="247"/>
      <c r="CC357" s="247"/>
      <c r="CD357" s="247"/>
      <c r="CE357" s="17"/>
      <c r="CF357" s="17"/>
      <c r="CG357" s="17"/>
      <c r="CH357" s="247"/>
      <c r="CI357" s="247"/>
      <c r="CJ357" s="247"/>
      <c r="CK357" s="17"/>
      <c r="CL357" s="17"/>
      <c r="CM357" s="17"/>
      <c r="CN357" s="17"/>
      <c r="CO357" s="17"/>
      <c r="CP357" s="11"/>
      <c r="CQ357" s="11"/>
      <c r="CR357" s="11"/>
      <c r="CS357" s="11"/>
      <c r="CT357" s="247"/>
      <c r="CU357" s="247"/>
      <c r="CV357" s="247"/>
      <c r="CW357" s="11"/>
      <c r="CX357" s="11"/>
      <c r="CY357" s="11"/>
      <c r="CZ357" s="11"/>
      <c r="DA357" s="11"/>
      <c r="DB357" s="11"/>
      <c r="DC357" s="11"/>
      <c r="DD357" s="11"/>
      <c r="DE357" s="11"/>
      <c r="DF357" s="11"/>
      <c r="DG357" s="11"/>
      <c r="DH357" s="11"/>
      <c r="DI357" s="11"/>
      <c r="DJ357" s="11"/>
      <c r="DK357" s="11"/>
      <c r="DL357" s="247"/>
      <c r="DM357" s="247"/>
      <c r="DN357" s="247"/>
      <c r="DO357" s="247"/>
      <c r="DP357" s="247"/>
      <c r="DQ357" s="247"/>
      <c r="DR357" s="247"/>
      <c r="DS357" s="247"/>
      <c r="DT357" s="247"/>
      <c r="DU357" s="247"/>
      <c r="DV357" s="247"/>
      <c r="DW357" s="247"/>
      <c r="DX357" s="247"/>
      <c r="DY357" s="247"/>
      <c r="DZ357" s="247"/>
      <c r="EA357" s="247"/>
      <c r="EB357" s="247"/>
      <c r="EC357" s="247"/>
      <c r="ED357" s="17">
        <f t="shared" si="113"/>
        <v>3925250.7533120001</v>
      </c>
      <c r="EE357" s="29">
        <f t="shared" si="114"/>
        <v>6</v>
      </c>
      <c r="EF357" s="17">
        <f t="shared" si="111"/>
        <v>654208.45888533338</v>
      </c>
    </row>
    <row r="358" spans="1:136" ht="38.25" x14ac:dyDescent="0.25">
      <c r="A358" s="25">
        <f>Distribución_Elementos!A358</f>
        <v>356</v>
      </c>
      <c r="B358" s="22" t="str">
        <f>Distribución_Elementos!B358</f>
        <v>Papel de filtro No. 1. Ø = 185 mm</v>
      </c>
      <c r="C358" s="22" t="str">
        <f>Distribución_Elementos!C358</f>
        <v xml:space="preserve">Whatman </v>
      </c>
      <c r="D358" s="22" t="str">
        <f>Distribución_Elementos!D358</f>
        <v xml:space="preserve">Caja x 100 </v>
      </c>
      <c r="E358" s="224">
        <v>1</v>
      </c>
      <c r="F358" s="221">
        <v>146735.92499999999</v>
      </c>
      <c r="G358" s="221">
        <v>142324</v>
      </c>
      <c r="H358" s="221">
        <v>148109.05115322213</v>
      </c>
      <c r="I358" s="221">
        <v>148036</v>
      </c>
      <c r="J358" s="221">
        <v>193818.47333333333</v>
      </c>
      <c r="K358" s="221">
        <v>192780</v>
      </c>
      <c r="L358" s="247">
        <f t="shared" si="116"/>
        <v>162887.81649551849</v>
      </c>
      <c r="M358" s="247">
        <f>AVERAGE(G358,I358,K358)*E1</f>
        <v>165878.06666666665</v>
      </c>
      <c r="N358" s="227">
        <v>165000</v>
      </c>
      <c r="O358" s="119">
        <f t="shared" si="117"/>
        <v>31350</v>
      </c>
      <c r="P358" s="119">
        <f t="shared" si="118"/>
        <v>196350</v>
      </c>
      <c r="Q358" s="115"/>
      <c r="R358" s="115"/>
      <c r="S358" s="11"/>
      <c r="T358" s="247">
        <v>39600</v>
      </c>
      <c r="U358" s="247">
        <f>+T358*0.19</f>
        <v>7524</v>
      </c>
      <c r="V358" s="247">
        <f>+T358+U358</f>
        <v>47124</v>
      </c>
      <c r="W358" s="17" t="s">
        <v>1061</v>
      </c>
      <c r="X358" s="11" t="s">
        <v>1648</v>
      </c>
      <c r="Y358" s="11"/>
      <c r="Z358" s="247"/>
      <c r="AA358" s="247"/>
      <c r="AB358" s="247"/>
      <c r="AC358" s="44"/>
      <c r="AD358" s="22"/>
      <c r="AE358" s="17"/>
      <c r="AF358" s="247"/>
      <c r="AG358" s="247"/>
      <c r="AH358" s="151"/>
      <c r="AI358" s="4"/>
      <c r="AJ358" s="17"/>
      <c r="AK358" s="17"/>
      <c r="AL358" s="203">
        <v>2470350</v>
      </c>
      <c r="AM358" s="132">
        <f>+AL358*0.19</f>
        <v>469366.5</v>
      </c>
      <c r="AN358" s="132">
        <f>+AL358+AM358</f>
        <v>2939716.5</v>
      </c>
      <c r="AO358" s="133" t="s">
        <v>172</v>
      </c>
      <c r="AP358" s="44" t="s">
        <v>1559</v>
      </c>
      <c r="AQ358" s="17"/>
      <c r="AR358" s="247"/>
      <c r="AS358" s="247"/>
      <c r="AT358" s="247"/>
      <c r="AU358" s="17"/>
      <c r="AV358" s="17"/>
      <c r="AW358" s="17"/>
      <c r="AX358" s="247"/>
      <c r="AY358" s="247"/>
      <c r="AZ358" s="247"/>
      <c r="BA358" s="17"/>
      <c r="BB358" s="52"/>
      <c r="BC358" s="17"/>
      <c r="BD358" s="102">
        <v>170595</v>
      </c>
      <c r="BE358" s="247">
        <f t="shared" ref="BE358:BE364" si="121">+BD358*0.19</f>
        <v>32413.05</v>
      </c>
      <c r="BF358" s="247">
        <f t="shared" ref="BF358:BF364" si="122">+BD358+BE358</f>
        <v>203008.05</v>
      </c>
      <c r="BG358" s="25" t="s">
        <v>1061</v>
      </c>
      <c r="BH358" s="5" t="s">
        <v>1684</v>
      </c>
      <c r="BI358" s="5" t="s">
        <v>1685</v>
      </c>
      <c r="BJ358" s="247">
        <v>145900</v>
      </c>
      <c r="BK358" s="247">
        <f t="shared" si="109"/>
        <v>27721</v>
      </c>
      <c r="BL358" s="247">
        <f t="shared" si="110"/>
        <v>173621</v>
      </c>
      <c r="BM358" s="190" t="s">
        <v>1496</v>
      </c>
      <c r="BN358" s="190" t="s">
        <v>1558</v>
      </c>
      <c r="BO358" s="17"/>
      <c r="BP358" s="247">
        <v>135200</v>
      </c>
      <c r="BQ358" s="247">
        <f t="shared" si="112"/>
        <v>25688</v>
      </c>
      <c r="BR358" s="247">
        <f t="shared" si="115"/>
        <v>160888</v>
      </c>
      <c r="BS358" s="17"/>
      <c r="BT358" s="17"/>
      <c r="BU358" s="17"/>
      <c r="BV358" s="195">
        <v>154785.89360000001</v>
      </c>
      <c r="BW358" s="195">
        <f t="shared" si="119"/>
        <v>29409.319784000003</v>
      </c>
      <c r="BX358" s="246">
        <f t="shared" si="120"/>
        <v>184195.213384</v>
      </c>
      <c r="BY358" s="190" t="s">
        <v>1496</v>
      </c>
      <c r="BZ358" s="190" t="s">
        <v>1558</v>
      </c>
      <c r="CA358" s="190"/>
      <c r="CB358" s="247"/>
      <c r="CC358" s="247"/>
      <c r="CD358" s="247"/>
      <c r="CE358" s="17"/>
      <c r="CF358" s="17"/>
      <c r="CG358" s="17"/>
      <c r="CH358" s="247">
        <v>241000</v>
      </c>
      <c r="CI358" s="247">
        <f>CH358*19%</f>
        <v>45790</v>
      </c>
      <c r="CJ358" s="247">
        <f>CH358+CI358</f>
        <v>286790</v>
      </c>
      <c r="CK358" s="17"/>
      <c r="CL358" s="17"/>
      <c r="CM358" s="17"/>
      <c r="CN358" s="17"/>
      <c r="CO358" s="17"/>
      <c r="CP358" s="11"/>
      <c r="CQ358" s="11"/>
      <c r="CR358" s="11"/>
      <c r="CS358" s="11"/>
      <c r="CT358" s="247"/>
      <c r="CU358" s="247"/>
      <c r="CV358" s="247"/>
      <c r="CW358" s="11"/>
      <c r="CX358" s="11"/>
      <c r="CY358" s="11"/>
      <c r="CZ358" s="11"/>
      <c r="DA358" s="11"/>
      <c r="DB358" s="11"/>
      <c r="DC358" s="11"/>
      <c r="DD358" s="11"/>
      <c r="DE358" s="11"/>
      <c r="DF358" s="11"/>
      <c r="DG358" s="11"/>
      <c r="DH358" s="11"/>
      <c r="DI358" s="11"/>
      <c r="DJ358" s="11"/>
      <c r="DK358" s="11"/>
      <c r="DL358" s="247"/>
      <c r="DM358" s="247"/>
      <c r="DN358" s="247"/>
      <c r="DO358" s="247"/>
      <c r="DP358" s="247"/>
      <c r="DQ358" s="247"/>
      <c r="DR358" s="247"/>
      <c r="DS358" s="247"/>
      <c r="DT358" s="247"/>
      <c r="DU358" s="247"/>
      <c r="DV358" s="247"/>
      <c r="DW358" s="247"/>
      <c r="DX358" s="247"/>
      <c r="DY358" s="247"/>
      <c r="DZ358" s="247"/>
      <c r="EA358" s="247"/>
      <c r="EB358" s="247"/>
      <c r="EC358" s="247"/>
      <c r="ED358" s="17">
        <f t="shared" si="113"/>
        <v>4357570.8300506659</v>
      </c>
      <c r="EE358" s="29">
        <f t="shared" si="114"/>
        <v>9</v>
      </c>
      <c r="EF358" s="17">
        <f t="shared" si="111"/>
        <v>484174.53667229624</v>
      </c>
    </row>
    <row r="359" spans="1:136" ht="38.25" x14ac:dyDescent="0.25">
      <c r="A359" s="25">
        <f>Distribución_Elementos!A359</f>
        <v>357</v>
      </c>
      <c r="B359" s="22" t="str">
        <f>Distribución_Elementos!B359</f>
        <v>Papel de filtro No. 1. Ø = 90 mm</v>
      </c>
      <c r="C359" s="22" t="str">
        <f>Distribución_Elementos!C359</f>
        <v>Whatman</v>
      </c>
      <c r="D359" s="22" t="str">
        <f>Distribución_Elementos!D359</f>
        <v>Caja x 100</v>
      </c>
      <c r="E359" s="224">
        <v>1</v>
      </c>
      <c r="F359" s="221">
        <v>62922.202000000005</v>
      </c>
      <c r="G359" s="221">
        <v>61285</v>
      </c>
      <c r="H359" s="221">
        <v>51441.07242394505</v>
      </c>
      <c r="I359" s="221">
        <v>51289</v>
      </c>
      <c r="J359" s="221">
        <v>77754.304810494083</v>
      </c>
      <c r="K359" s="221">
        <v>77350</v>
      </c>
      <c r="L359" s="247">
        <f t="shared" si="116"/>
        <v>64039.193078146374</v>
      </c>
      <c r="M359" s="247">
        <f>AVERAGE(G359,I359,K359)*E1</f>
        <v>65207.240000000005</v>
      </c>
      <c r="N359" s="227">
        <v>60000</v>
      </c>
      <c r="O359" s="119">
        <f t="shared" si="117"/>
        <v>11400</v>
      </c>
      <c r="P359" s="119">
        <f t="shared" si="118"/>
        <v>71400</v>
      </c>
      <c r="Q359" s="115"/>
      <c r="R359" s="115"/>
      <c r="S359" s="11"/>
      <c r="T359" s="247">
        <v>15510.000000000002</v>
      </c>
      <c r="U359" s="247">
        <f>+T359*0.19</f>
        <v>2946.9000000000005</v>
      </c>
      <c r="V359" s="247">
        <f>+T359+U359</f>
        <v>18456.900000000001</v>
      </c>
      <c r="W359" s="17" t="s">
        <v>1061</v>
      </c>
      <c r="X359" s="11" t="s">
        <v>1648</v>
      </c>
      <c r="Y359" s="11"/>
      <c r="Z359" s="247"/>
      <c r="AA359" s="247"/>
      <c r="AB359" s="247"/>
      <c r="AC359" s="44"/>
      <c r="AD359" s="22"/>
      <c r="AE359" s="17"/>
      <c r="AF359" s="247"/>
      <c r="AG359" s="247"/>
      <c r="AH359" s="151"/>
      <c r="AI359" s="22"/>
      <c r="AJ359" s="17"/>
      <c r="AK359" s="17"/>
      <c r="AL359" s="203">
        <v>883650</v>
      </c>
      <c r="AM359" s="132">
        <f>+AL359*0.19</f>
        <v>167893.5</v>
      </c>
      <c r="AN359" s="132">
        <f>+AL359+AM359</f>
        <v>1051543.5</v>
      </c>
      <c r="AO359" s="133" t="s">
        <v>1681</v>
      </c>
      <c r="AP359" s="44" t="s">
        <v>1559</v>
      </c>
      <c r="AQ359" s="17"/>
      <c r="AR359" s="247"/>
      <c r="AS359" s="247"/>
      <c r="AT359" s="247"/>
      <c r="AU359" s="17"/>
      <c r="AV359" s="17"/>
      <c r="AW359" s="17"/>
      <c r="AX359" s="247"/>
      <c r="AY359" s="247"/>
      <c r="AZ359" s="247"/>
      <c r="BA359" s="17"/>
      <c r="BB359" s="52"/>
      <c r="BC359" s="17"/>
      <c r="BD359" s="102">
        <v>68496</v>
      </c>
      <c r="BE359" s="247">
        <f t="shared" si="121"/>
        <v>13014.24</v>
      </c>
      <c r="BF359" s="247">
        <f t="shared" si="122"/>
        <v>81510.240000000005</v>
      </c>
      <c r="BG359" s="25" t="s">
        <v>1061</v>
      </c>
      <c r="BH359" s="5" t="s">
        <v>1686</v>
      </c>
      <c r="BI359" s="5" t="s">
        <v>1687</v>
      </c>
      <c r="BJ359" s="247">
        <v>58700</v>
      </c>
      <c r="BK359" s="247">
        <f t="shared" si="109"/>
        <v>11153</v>
      </c>
      <c r="BL359" s="247">
        <f t="shared" si="110"/>
        <v>69853</v>
      </c>
      <c r="BM359" s="190" t="s">
        <v>1496</v>
      </c>
      <c r="BN359" s="190" t="s">
        <v>1558</v>
      </c>
      <c r="BO359" s="17"/>
      <c r="BP359" s="247">
        <v>155000</v>
      </c>
      <c r="BQ359" s="247">
        <f t="shared" si="112"/>
        <v>29450</v>
      </c>
      <c r="BR359" s="247">
        <f t="shared" si="115"/>
        <v>184450</v>
      </c>
      <c r="BS359" s="17"/>
      <c r="BT359" s="17"/>
      <c r="BU359" s="17"/>
      <c r="BV359" s="195">
        <v>64101.104400000004</v>
      </c>
      <c r="BW359" s="195">
        <f t="shared" si="119"/>
        <v>12179.209836</v>
      </c>
      <c r="BX359" s="246">
        <f t="shared" si="120"/>
        <v>76280.314236000006</v>
      </c>
      <c r="BY359" s="190" t="s">
        <v>1496</v>
      </c>
      <c r="BZ359" s="190" t="s">
        <v>1558</v>
      </c>
      <c r="CA359" s="190"/>
      <c r="CB359" s="247"/>
      <c r="CC359" s="247"/>
      <c r="CD359" s="247"/>
      <c r="CE359" s="17"/>
      <c r="CF359" s="17"/>
      <c r="CG359" s="17"/>
      <c r="CH359" s="247">
        <v>175000</v>
      </c>
      <c r="CI359" s="247">
        <f t="shared" ref="CI359:CI364" si="123">CH359*19%</f>
        <v>33250</v>
      </c>
      <c r="CJ359" s="247">
        <f t="shared" ref="CJ359:CJ364" si="124">CH359+CI359</f>
        <v>208250</v>
      </c>
      <c r="CK359" s="17"/>
      <c r="CL359" s="17"/>
      <c r="CM359" s="17"/>
      <c r="CN359" s="17"/>
      <c r="CO359" s="17"/>
      <c r="CP359" s="11"/>
      <c r="CQ359" s="11"/>
      <c r="CR359" s="11"/>
      <c r="CS359" s="11"/>
      <c r="CT359" s="247"/>
      <c r="CU359" s="247"/>
      <c r="CV359" s="247"/>
      <c r="CW359" s="11"/>
      <c r="CX359" s="11"/>
      <c r="CY359" s="11"/>
      <c r="CZ359" s="11"/>
      <c r="DA359" s="11"/>
      <c r="DB359" s="11"/>
      <c r="DC359" s="11"/>
      <c r="DD359" s="11"/>
      <c r="DE359" s="11"/>
      <c r="DF359" s="11"/>
      <c r="DG359" s="11"/>
      <c r="DH359" s="11"/>
      <c r="DI359" s="11"/>
      <c r="DJ359" s="11"/>
      <c r="DK359" s="11"/>
      <c r="DL359" s="247"/>
      <c r="DM359" s="247"/>
      <c r="DN359" s="247"/>
      <c r="DO359" s="247"/>
      <c r="DP359" s="247"/>
      <c r="DQ359" s="247"/>
      <c r="DR359" s="247"/>
      <c r="DS359" s="247"/>
      <c r="DT359" s="247"/>
      <c r="DU359" s="247"/>
      <c r="DV359" s="247"/>
      <c r="DW359" s="247"/>
      <c r="DX359" s="247"/>
      <c r="DY359" s="247"/>
      <c r="DZ359" s="247"/>
      <c r="EA359" s="247"/>
      <c r="EB359" s="247"/>
      <c r="EC359" s="247"/>
      <c r="ED359" s="17">
        <f t="shared" si="113"/>
        <v>1826951.1942359998</v>
      </c>
      <c r="EE359" s="29">
        <f t="shared" si="114"/>
        <v>9</v>
      </c>
      <c r="EF359" s="17">
        <f t="shared" si="111"/>
        <v>202994.57713733331</v>
      </c>
    </row>
    <row r="360" spans="1:136" ht="38.25" x14ac:dyDescent="0.25">
      <c r="A360" s="25">
        <f>Distribución_Elementos!A360</f>
        <v>358</v>
      </c>
      <c r="B360" s="22" t="str">
        <f>Distribución_Elementos!B360</f>
        <v>Papel de filtro No. 2 Ø = 110 mm</v>
      </c>
      <c r="C360" s="22" t="str">
        <f>Distribución_Elementos!C360</f>
        <v>Whatman</v>
      </c>
      <c r="D360" s="22" t="str">
        <f>Distribución_Elementos!D360</f>
        <v xml:space="preserve">Caja x 100 </v>
      </c>
      <c r="E360" s="224">
        <v>1</v>
      </c>
      <c r="F360" s="221">
        <v>83281.673999999999</v>
      </c>
      <c r="G360" s="221">
        <v>80682</v>
      </c>
      <c r="H360" s="221">
        <v>63256.359371933271</v>
      </c>
      <c r="I360" s="221">
        <v>63189</v>
      </c>
      <c r="J360" s="221">
        <v>94762.243919951405</v>
      </c>
      <c r="K360" s="221">
        <v>94010</v>
      </c>
      <c r="L360" s="247">
        <f t="shared" si="116"/>
        <v>80433.425763961553</v>
      </c>
      <c r="M360" s="247">
        <f>AVERAGE(G360,I360,K360)*E1</f>
        <v>81672.476666666669</v>
      </c>
      <c r="N360" s="227">
        <v>75000</v>
      </c>
      <c r="O360" s="119">
        <f t="shared" si="117"/>
        <v>14250</v>
      </c>
      <c r="P360" s="119">
        <f t="shared" si="118"/>
        <v>89250</v>
      </c>
      <c r="Q360" s="115"/>
      <c r="R360" s="115"/>
      <c r="S360" s="11"/>
      <c r="T360" s="247"/>
      <c r="U360" s="247"/>
      <c r="V360" s="247"/>
      <c r="W360" s="17"/>
      <c r="X360" s="11"/>
      <c r="Y360" s="11"/>
      <c r="Z360" s="247"/>
      <c r="AA360" s="247"/>
      <c r="AB360" s="247"/>
      <c r="AC360" s="44"/>
      <c r="AD360" s="22"/>
      <c r="AE360" s="17"/>
      <c r="AF360" s="247"/>
      <c r="AG360" s="247"/>
      <c r="AH360" s="151"/>
      <c r="AI360" s="4"/>
      <c r="AJ360" s="17"/>
      <c r="AK360" s="17"/>
      <c r="AL360" s="203">
        <v>664350</v>
      </c>
      <c r="AM360" s="132">
        <f>+AL360*0.19</f>
        <v>126226.5</v>
      </c>
      <c r="AN360" s="132">
        <f>+AL360+AM360</f>
        <v>790576.5</v>
      </c>
      <c r="AO360" s="133" t="s">
        <v>1681</v>
      </c>
      <c r="AP360" s="44" t="s">
        <v>1559</v>
      </c>
      <c r="AQ360" s="17"/>
      <c r="AR360" s="247"/>
      <c r="AS360" s="247"/>
      <c r="AT360" s="247"/>
      <c r="AU360" s="17"/>
      <c r="AV360" s="17"/>
      <c r="AW360" s="17"/>
      <c r="AX360" s="247"/>
      <c r="AY360" s="247"/>
      <c r="AZ360" s="247"/>
      <c r="BA360" s="17"/>
      <c r="BB360" s="52"/>
      <c r="BC360" s="17"/>
      <c r="BD360" s="102">
        <v>89174</v>
      </c>
      <c r="BE360" s="247">
        <f t="shared" si="121"/>
        <v>16943.060000000001</v>
      </c>
      <c r="BF360" s="247">
        <f t="shared" si="122"/>
        <v>106117.06</v>
      </c>
      <c r="BG360" s="25" t="s">
        <v>1061</v>
      </c>
      <c r="BH360" s="5" t="s">
        <v>1688</v>
      </c>
      <c r="BI360" s="5" t="s">
        <v>1689</v>
      </c>
      <c r="BJ360" s="247">
        <v>61400</v>
      </c>
      <c r="BK360" s="247">
        <f t="shared" si="109"/>
        <v>11666</v>
      </c>
      <c r="BL360" s="247">
        <f t="shared" si="110"/>
        <v>73066</v>
      </c>
      <c r="BM360" s="190" t="s">
        <v>1496</v>
      </c>
      <c r="BN360" s="190" t="s">
        <v>1558</v>
      </c>
      <c r="BO360" s="17"/>
      <c r="BP360" s="247">
        <v>185600</v>
      </c>
      <c r="BQ360" s="247">
        <f t="shared" si="112"/>
        <v>35264</v>
      </c>
      <c r="BR360" s="247">
        <f t="shared" si="115"/>
        <v>220864</v>
      </c>
      <c r="BS360" s="17"/>
      <c r="BT360" s="17"/>
      <c r="BU360" s="17"/>
      <c r="BV360" s="195">
        <v>73805.256000000008</v>
      </c>
      <c r="BW360" s="195">
        <f t="shared" si="119"/>
        <v>14022.998640000002</v>
      </c>
      <c r="BX360" s="246">
        <f t="shared" si="120"/>
        <v>87828.254640000014</v>
      </c>
      <c r="BY360" s="190" t="s">
        <v>1496</v>
      </c>
      <c r="BZ360" s="190" t="s">
        <v>1558</v>
      </c>
      <c r="CA360" s="190"/>
      <c r="CB360" s="247"/>
      <c r="CC360" s="247"/>
      <c r="CD360" s="247"/>
      <c r="CE360" s="17"/>
      <c r="CF360" s="17"/>
      <c r="CG360" s="17"/>
      <c r="CH360" s="247">
        <v>186000</v>
      </c>
      <c r="CI360" s="247">
        <f t="shared" si="123"/>
        <v>35340</v>
      </c>
      <c r="CJ360" s="247">
        <f t="shared" si="124"/>
        <v>221340</v>
      </c>
      <c r="CK360" s="17"/>
      <c r="CL360" s="17"/>
      <c r="CM360" s="17"/>
      <c r="CN360" s="17"/>
      <c r="CO360" s="17"/>
      <c r="CP360" s="11"/>
      <c r="CQ360" s="11"/>
      <c r="CR360" s="11"/>
      <c r="CS360" s="11"/>
      <c r="CT360" s="247"/>
      <c r="CU360" s="247"/>
      <c r="CV360" s="247"/>
      <c r="CW360" s="11"/>
      <c r="CX360" s="11"/>
      <c r="CY360" s="11"/>
      <c r="CZ360" s="11"/>
      <c r="DA360" s="11"/>
      <c r="DB360" s="11"/>
      <c r="DC360" s="11"/>
      <c r="DD360" s="11"/>
      <c r="DE360" s="11"/>
      <c r="DF360" s="11"/>
      <c r="DG360" s="11"/>
      <c r="DH360" s="11"/>
      <c r="DI360" s="11"/>
      <c r="DJ360" s="11"/>
      <c r="DK360" s="11"/>
      <c r="DL360" s="247"/>
      <c r="DM360" s="247"/>
      <c r="DN360" s="247"/>
      <c r="DO360" s="247"/>
      <c r="DP360" s="247"/>
      <c r="DQ360" s="247"/>
      <c r="DR360" s="247"/>
      <c r="DS360" s="247"/>
      <c r="DT360" s="247"/>
      <c r="DU360" s="247"/>
      <c r="DV360" s="247"/>
      <c r="DW360" s="247"/>
      <c r="DX360" s="247"/>
      <c r="DY360" s="247"/>
      <c r="DZ360" s="247"/>
      <c r="EA360" s="247"/>
      <c r="EB360" s="247"/>
      <c r="EC360" s="247"/>
      <c r="ED360" s="17">
        <f t="shared" si="113"/>
        <v>1670714.2913066666</v>
      </c>
      <c r="EE360" s="29">
        <f t="shared" si="114"/>
        <v>8</v>
      </c>
      <c r="EF360" s="17">
        <f t="shared" si="111"/>
        <v>208839.28641333332</v>
      </c>
    </row>
    <row r="361" spans="1:136" ht="38.25" x14ac:dyDescent="0.25">
      <c r="A361" s="25">
        <f>Distribución_Elementos!A361</f>
        <v>359</v>
      </c>
      <c r="B361" s="22" t="str">
        <f>Distribución_Elementos!B361</f>
        <v>Papel de filtro No. 42 Ø = 110 mm</v>
      </c>
      <c r="C361" s="22" t="str">
        <f>Distribución_Elementos!C361</f>
        <v>Whatman</v>
      </c>
      <c r="D361" s="22" t="str">
        <f>Distribución_Elementos!D361</f>
        <v xml:space="preserve">Caja x 100 </v>
      </c>
      <c r="E361" s="224">
        <v>1</v>
      </c>
      <c r="F361" s="221">
        <v>334619.67</v>
      </c>
      <c r="G361" s="221">
        <v>322847</v>
      </c>
      <c r="H361" s="221">
        <v>191685.19999999998</v>
      </c>
      <c r="I361" s="221">
        <v>191590</v>
      </c>
      <c r="J361" s="221">
        <v>310366.34542218572</v>
      </c>
      <c r="K361" s="221">
        <v>309400</v>
      </c>
      <c r="L361" s="247">
        <f t="shared" si="116"/>
        <v>278890.40514072857</v>
      </c>
      <c r="M361" s="247">
        <f>AVERAGE(G361,I361,K361)*E1</f>
        <v>282850.70333333331</v>
      </c>
      <c r="N361" s="227">
        <v>285000</v>
      </c>
      <c r="O361" s="119">
        <f t="shared" si="117"/>
        <v>54150</v>
      </c>
      <c r="P361" s="119">
        <f t="shared" si="118"/>
        <v>339150</v>
      </c>
      <c r="Q361" s="115"/>
      <c r="R361" s="115"/>
      <c r="S361" s="11"/>
      <c r="T361" s="247"/>
      <c r="U361" s="247"/>
      <c r="V361" s="247"/>
      <c r="W361" s="17"/>
      <c r="X361" s="11"/>
      <c r="Y361" s="11"/>
      <c r="Z361" s="247"/>
      <c r="AA361" s="247"/>
      <c r="AB361" s="247"/>
      <c r="AC361" s="44"/>
      <c r="AD361" s="22"/>
      <c r="AE361" s="17"/>
      <c r="AF361" s="247"/>
      <c r="AG361" s="247"/>
      <c r="AH361" s="97"/>
      <c r="AI361" s="4"/>
      <c r="AJ361" s="17"/>
      <c r="AK361" s="17"/>
      <c r="AL361" s="203">
        <v>2470350</v>
      </c>
      <c r="AM361" s="132">
        <f>+AL361*0.19</f>
        <v>469366.5</v>
      </c>
      <c r="AN361" s="132">
        <f>+AL361+AM361</f>
        <v>2939716.5</v>
      </c>
      <c r="AO361" s="133" t="s">
        <v>172</v>
      </c>
      <c r="AP361" s="44" t="s">
        <v>1559</v>
      </c>
      <c r="AQ361" s="17"/>
      <c r="AR361" s="247"/>
      <c r="AS361" s="247"/>
      <c r="AT361" s="247"/>
      <c r="AU361" s="17"/>
      <c r="AV361" s="17"/>
      <c r="AW361" s="17"/>
      <c r="AX361" s="247"/>
      <c r="AY361" s="247"/>
      <c r="AZ361" s="247"/>
      <c r="BA361" s="17"/>
      <c r="BB361" s="52"/>
      <c r="BC361" s="17"/>
      <c r="BD361" s="102">
        <v>261062</v>
      </c>
      <c r="BE361" s="247">
        <f t="shared" si="121"/>
        <v>49601.78</v>
      </c>
      <c r="BF361" s="247">
        <f t="shared" si="122"/>
        <v>310663.78000000003</v>
      </c>
      <c r="BG361" s="25" t="s">
        <v>1061</v>
      </c>
      <c r="BH361" s="5" t="s">
        <v>1690</v>
      </c>
      <c r="BI361" s="5" t="s">
        <v>1691</v>
      </c>
      <c r="BJ361" s="247">
        <v>163600</v>
      </c>
      <c r="BK361" s="247">
        <f t="shared" si="109"/>
        <v>31084</v>
      </c>
      <c r="BL361" s="247">
        <f t="shared" si="110"/>
        <v>194684</v>
      </c>
      <c r="BM361" s="190" t="s">
        <v>1496</v>
      </c>
      <c r="BN361" s="190" t="s">
        <v>1558</v>
      </c>
      <c r="BO361" s="17"/>
      <c r="BP361" s="247">
        <v>385000</v>
      </c>
      <c r="BQ361" s="247">
        <f t="shared" si="112"/>
        <v>73150</v>
      </c>
      <c r="BR361" s="247">
        <f t="shared" si="115"/>
        <v>458150</v>
      </c>
      <c r="BS361" s="17"/>
      <c r="BT361" s="17"/>
      <c r="BU361" s="17"/>
      <c r="BV361" s="195">
        <v>189166.09920000003</v>
      </c>
      <c r="BW361" s="195">
        <f t="shared" si="119"/>
        <v>35941.558848000008</v>
      </c>
      <c r="BX361" s="246">
        <f t="shared" si="120"/>
        <v>225107.65804800004</v>
      </c>
      <c r="BY361" s="190" t="s">
        <v>1496</v>
      </c>
      <c r="BZ361" s="190" t="s">
        <v>1558</v>
      </c>
      <c r="CA361" s="190"/>
      <c r="CB361" s="247"/>
      <c r="CC361" s="247"/>
      <c r="CD361" s="247"/>
      <c r="CE361" s="17"/>
      <c r="CF361" s="17"/>
      <c r="CG361" s="17"/>
      <c r="CH361" s="247">
        <v>252000</v>
      </c>
      <c r="CI361" s="247">
        <f t="shared" si="123"/>
        <v>47880</v>
      </c>
      <c r="CJ361" s="247">
        <f t="shared" si="124"/>
        <v>299880</v>
      </c>
      <c r="CK361" s="17"/>
      <c r="CL361" s="17"/>
      <c r="CM361" s="17"/>
      <c r="CN361" s="17"/>
      <c r="CO361" s="17"/>
      <c r="CP361" s="11"/>
      <c r="CQ361" s="11"/>
      <c r="CR361" s="11"/>
      <c r="CS361" s="11"/>
      <c r="CT361" s="247"/>
      <c r="CU361" s="247"/>
      <c r="CV361" s="247"/>
      <c r="CW361" s="11"/>
      <c r="CX361" s="11"/>
      <c r="CY361" s="11"/>
      <c r="CZ361" s="11"/>
      <c r="DA361" s="11"/>
      <c r="DB361" s="11"/>
      <c r="DC361" s="11"/>
      <c r="DD361" s="11"/>
      <c r="DE361" s="11"/>
      <c r="DF361" s="11"/>
      <c r="DG361" s="11"/>
      <c r="DH361" s="11"/>
      <c r="DI361" s="11"/>
      <c r="DJ361" s="11"/>
      <c r="DK361" s="11"/>
      <c r="DL361" s="247"/>
      <c r="DM361" s="247"/>
      <c r="DN361" s="247"/>
      <c r="DO361" s="247"/>
      <c r="DP361" s="247"/>
      <c r="DQ361" s="247"/>
      <c r="DR361" s="247"/>
      <c r="DS361" s="247"/>
      <c r="DT361" s="247"/>
      <c r="DU361" s="247"/>
      <c r="DV361" s="247"/>
      <c r="DW361" s="247"/>
      <c r="DX361" s="247"/>
      <c r="DY361" s="247"/>
      <c r="DZ361" s="247"/>
      <c r="EA361" s="247"/>
      <c r="EB361" s="247"/>
      <c r="EC361" s="247"/>
      <c r="ED361" s="17">
        <f t="shared" si="113"/>
        <v>5050202.6413813336</v>
      </c>
      <c r="EE361" s="29">
        <f t="shared" si="114"/>
        <v>8</v>
      </c>
      <c r="EF361" s="17">
        <f t="shared" si="111"/>
        <v>631275.3301726667</v>
      </c>
    </row>
    <row r="362" spans="1:136" ht="51" x14ac:dyDescent="0.25">
      <c r="A362" s="25">
        <f>Distribución_Elementos!A362</f>
        <v>360</v>
      </c>
      <c r="B362" s="22" t="str">
        <f>Distribución_Elementos!B362</f>
        <v>Papel de filtro Whatman No. 1 qualitative. Ø = 150 mm</v>
      </c>
      <c r="C362" s="22" t="str">
        <f>Distribución_Elementos!C362</f>
        <v>Whatman</v>
      </c>
      <c r="D362" s="22" t="str">
        <f>Distribución_Elementos!D362</f>
        <v xml:space="preserve">Caja x 100 </v>
      </c>
      <c r="E362" s="224">
        <v>1</v>
      </c>
      <c r="F362" s="221">
        <v>0</v>
      </c>
      <c r="G362" s="221">
        <v>0</v>
      </c>
      <c r="H362" s="221">
        <v>101745</v>
      </c>
      <c r="I362" s="221">
        <v>101626</v>
      </c>
      <c r="J362" s="221">
        <v>144220.271769315</v>
      </c>
      <c r="K362" s="221">
        <v>142800</v>
      </c>
      <c r="L362" s="247">
        <f>AVERAGE(H362,J362)</f>
        <v>122982.6358846575</v>
      </c>
      <c r="M362" s="247">
        <f>AVERAGE(I362,K362)*E1</f>
        <v>125879.39</v>
      </c>
      <c r="N362" s="227">
        <v>95000</v>
      </c>
      <c r="O362" s="119">
        <f t="shared" si="117"/>
        <v>18050</v>
      </c>
      <c r="P362" s="119">
        <f t="shared" si="118"/>
        <v>113050</v>
      </c>
      <c r="Q362" s="115"/>
      <c r="R362" s="115"/>
      <c r="S362" s="11"/>
      <c r="T362" s="247"/>
      <c r="U362" s="247"/>
      <c r="V362" s="247"/>
      <c r="W362" s="17"/>
      <c r="X362" s="11"/>
      <c r="Y362" s="11"/>
      <c r="Z362" s="247"/>
      <c r="AA362" s="247"/>
      <c r="AB362" s="247"/>
      <c r="AC362" s="44"/>
      <c r="AD362" s="22"/>
      <c r="AE362" s="17"/>
      <c r="AF362" s="247"/>
      <c r="AG362" s="247"/>
      <c r="AH362" s="97"/>
      <c r="AI362" s="4"/>
      <c r="AJ362" s="17"/>
      <c r="AK362" s="17"/>
      <c r="AL362" s="102"/>
      <c r="AM362" s="132"/>
      <c r="AN362" s="161"/>
      <c r="AO362" s="115"/>
      <c r="AP362" s="115"/>
      <c r="AQ362" s="17"/>
      <c r="AR362" s="247"/>
      <c r="AS362" s="247"/>
      <c r="AT362" s="247"/>
      <c r="AU362" s="17"/>
      <c r="AV362" s="17"/>
      <c r="AW362" s="17"/>
      <c r="AX362" s="247"/>
      <c r="AY362" s="247"/>
      <c r="AZ362" s="247"/>
      <c r="BA362" s="17"/>
      <c r="BB362" s="52"/>
      <c r="BC362" s="17"/>
      <c r="BD362" s="102">
        <v>122592</v>
      </c>
      <c r="BE362" s="247">
        <f t="shared" si="121"/>
        <v>23292.48</v>
      </c>
      <c r="BF362" s="247">
        <f t="shared" si="122"/>
        <v>145884.48000000001</v>
      </c>
      <c r="BG362" s="25" t="s">
        <v>1061</v>
      </c>
      <c r="BH362" s="5" t="s">
        <v>1692</v>
      </c>
      <c r="BI362" s="5" t="s">
        <v>1693</v>
      </c>
      <c r="BJ362" s="247">
        <v>107000</v>
      </c>
      <c r="BK362" s="247">
        <f t="shared" si="109"/>
        <v>20330</v>
      </c>
      <c r="BL362" s="247">
        <f t="shared" si="110"/>
        <v>127330</v>
      </c>
      <c r="BM362" s="190" t="s">
        <v>1496</v>
      </c>
      <c r="BN362" s="190" t="s">
        <v>1558</v>
      </c>
      <c r="BO362" s="17"/>
      <c r="BP362" s="247">
        <v>135200</v>
      </c>
      <c r="BQ362" s="247">
        <f t="shared" si="112"/>
        <v>25688</v>
      </c>
      <c r="BR362" s="247">
        <f t="shared" si="115"/>
        <v>160888</v>
      </c>
      <c r="BS362" s="17"/>
      <c r="BT362" s="17"/>
      <c r="BU362" s="17"/>
      <c r="BV362" s="195">
        <v>115764.58400000002</v>
      </c>
      <c r="BW362" s="195">
        <f t="shared" si="119"/>
        <v>21995.270960000005</v>
      </c>
      <c r="BX362" s="246">
        <f t="shared" si="120"/>
        <v>137759.85496000003</v>
      </c>
      <c r="BY362" s="190" t="s">
        <v>1496</v>
      </c>
      <c r="BZ362" s="190" t="s">
        <v>1558</v>
      </c>
      <c r="CA362" s="190"/>
      <c r="CB362" s="247"/>
      <c r="CC362" s="247"/>
      <c r="CD362" s="247"/>
      <c r="CE362" s="17"/>
      <c r="CF362" s="17"/>
      <c r="CG362" s="17"/>
      <c r="CH362" s="247">
        <v>208000</v>
      </c>
      <c r="CI362" s="247">
        <f t="shared" si="123"/>
        <v>39520</v>
      </c>
      <c r="CJ362" s="247">
        <f t="shared" si="124"/>
        <v>247520</v>
      </c>
      <c r="CK362" s="17"/>
      <c r="CL362" s="17"/>
      <c r="CM362" s="17"/>
      <c r="CN362" s="17"/>
      <c r="CO362" s="17"/>
      <c r="CP362" s="11"/>
      <c r="CQ362" s="11"/>
      <c r="CR362" s="11"/>
      <c r="CS362" s="11"/>
      <c r="CT362" s="247"/>
      <c r="CU362" s="247"/>
      <c r="CV362" s="247"/>
      <c r="CW362" s="11"/>
      <c r="CX362" s="11"/>
      <c r="CY362" s="11"/>
      <c r="CZ362" s="11"/>
      <c r="DA362" s="11"/>
      <c r="DB362" s="11"/>
      <c r="DC362" s="11"/>
      <c r="DD362" s="11"/>
      <c r="DE362" s="11"/>
      <c r="DF362" s="11"/>
      <c r="DG362" s="11"/>
      <c r="DH362" s="11"/>
      <c r="DI362" s="11"/>
      <c r="DJ362" s="11"/>
      <c r="DK362" s="11"/>
      <c r="DL362" s="247"/>
      <c r="DM362" s="247"/>
      <c r="DN362" s="247"/>
      <c r="DO362" s="247"/>
      <c r="DP362" s="247"/>
      <c r="DQ362" s="247"/>
      <c r="DR362" s="247"/>
      <c r="DS362" s="247"/>
      <c r="DT362" s="247"/>
      <c r="DU362" s="247"/>
      <c r="DV362" s="247"/>
      <c r="DW362" s="247"/>
      <c r="DX362" s="247"/>
      <c r="DY362" s="247"/>
      <c r="DZ362" s="247"/>
      <c r="EA362" s="247"/>
      <c r="EB362" s="247"/>
      <c r="EC362" s="247"/>
      <c r="ED362" s="17">
        <f t="shared" si="113"/>
        <v>1058311.72496</v>
      </c>
      <c r="EE362" s="29">
        <f t="shared" si="114"/>
        <v>7</v>
      </c>
      <c r="EF362" s="17">
        <f t="shared" si="111"/>
        <v>151187.38928</v>
      </c>
    </row>
    <row r="363" spans="1:136" ht="51" x14ac:dyDescent="0.25">
      <c r="A363" s="25">
        <f>Distribución_Elementos!A363</f>
        <v>361</v>
      </c>
      <c r="B363" s="22" t="str">
        <f>Distribución_Elementos!B363</f>
        <v>Papel de germinación de semillas No. 76 (12" x 18")</v>
      </c>
      <c r="C363" s="22" t="str">
        <f>Distribución_Elementos!C363</f>
        <v>Anchor o equivalente</v>
      </c>
      <c r="D363" s="22" t="str">
        <f>Distribución_Elementos!D363</f>
        <v>Caja x 1000</v>
      </c>
      <c r="E363" s="224">
        <v>1</v>
      </c>
      <c r="F363" s="221">
        <v>952000</v>
      </c>
      <c r="G363" s="221">
        <v>923440</v>
      </c>
      <c r="H363" s="221">
        <v>953556.99600000004</v>
      </c>
      <c r="I363" s="221">
        <v>0</v>
      </c>
      <c r="J363" s="221">
        <v>820763.24678197503</v>
      </c>
      <c r="K363" s="221">
        <v>0</v>
      </c>
      <c r="L363" s="247">
        <f>AVERAGE(F363,H363,J363)</f>
        <v>908773.41426065844</v>
      </c>
      <c r="M363" s="247">
        <f>G363*E1</f>
        <v>951143.20000000007</v>
      </c>
      <c r="N363" s="227">
        <v>0</v>
      </c>
      <c r="O363" s="119"/>
      <c r="P363" s="119"/>
      <c r="Q363" s="115"/>
      <c r="R363" s="115"/>
      <c r="S363" s="11"/>
      <c r="T363" s="247"/>
      <c r="U363" s="247"/>
      <c r="V363" s="247"/>
      <c r="W363" s="17"/>
      <c r="X363" s="11"/>
      <c r="Y363" s="11"/>
      <c r="Z363" s="247"/>
      <c r="AA363" s="247"/>
      <c r="AB363" s="247"/>
      <c r="AC363" s="44"/>
      <c r="AD363" s="22"/>
      <c r="AE363" s="17"/>
      <c r="AF363" s="247"/>
      <c r="AG363" s="247"/>
      <c r="AH363" s="151"/>
      <c r="AI363" s="22"/>
      <c r="AJ363" s="17"/>
      <c r="AK363" s="17"/>
      <c r="AL363" s="102"/>
      <c r="AM363" s="132"/>
      <c r="AN363" s="161"/>
      <c r="AO363" s="115"/>
      <c r="AP363" s="115"/>
      <c r="AQ363" s="17"/>
      <c r="AR363" s="247"/>
      <c r="AS363" s="247"/>
      <c r="AT363" s="247"/>
      <c r="AU363" s="17"/>
      <c r="AV363" s="17"/>
      <c r="AW363" s="17"/>
      <c r="AX363" s="247"/>
      <c r="AY363" s="247"/>
      <c r="AZ363" s="247"/>
      <c r="BA363" s="17"/>
      <c r="BB363" s="52"/>
      <c r="BC363" s="17"/>
      <c r="BD363" s="102">
        <f>581573*10</f>
        <v>5815730</v>
      </c>
      <c r="BE363" s="247">
        <f t="shared" si="121"/>
        <v>1104988.7</v>
      </c>
      <c r="BF363" s="247">
        <f t="shared" si="122"/>
        <v>6920718.7000000002</v>
      </c>
      <c r="BG363" s="25" t="s">
        <v>1061</v>
      </c>
      <c r="BH363" s="5" t="s">
        <v>1694</v>
      </c>
      <c r="BI363" s="5" t="s">
        <v>1695</v>
      </c>
      <c r="BJ363" s="252">
        <v>1500000</v>
      </c>
      <c r="BK363" s="247">
        <f t="shared" si="109"/>
        <v>285000</v>
      </c>
      <c r="BL363" s="252">
        <f>+BJ363+BK363</f>
        <v>1785000</v>
      </c>
      <c r="BM363" s="190" t="s">
        <v>1696</v>
      </c>
      <c r="BN363" s="190" t="s">
        <v>1697</v>
      </c>
      <c r="BO363" s="17"/>
      <c r="BP363" s="252"/>
      <c r="BQ363" s="252"/>
      <c r="BR363" s="252"/>
      <c r="BS363" s="17"/>
      <c r="BT363" s="17"/>
      <c r="BU363" s="17"/>
      <c r="BV363" s="189"/>
      <c r="BW363" s="189"/>
      <c r="BX363" s="246"/>
      <c r="BY363" s="190"/>
      <c r="BZ363" s="190"/>
      <c r="CA363" s="190"/>
      <c r="CB363" s="247"/>
      <c r="CC363" s="247"/>
      <c r="CD363" s="247"/>
      <c r="CE363" s="17"/>
      <c r="CF363" s="17"/>
      <c r="CG363" s="17"/>
      <c r="CH363" s="247"/>
      <c r="CI363" s="247">
        <f t="shared" si="123"/>
        <v>0</v>
      </c>
      <c r="CJ363" s="247">
        <f t="shared" si="124"/>
        <v>0</v>
      </c>
      <c r="CK363" s="17"/>
      <c r="CL363" s="17"/>
      <c r="CM363" s="17"/>
      <c r="CN363" s="17">
        <v>956000</v>
      </c>
      <c r="CO363" s="17">
        <f>+CN363*0.19</f>
        <v>181640</v>
      </c>
      <c r="CP363" s="17">
        <f>+CN363+CO363</f>
        <v>1137640</v>
      </c>
      <c r="CQ363" s="11" t="s">
        <v>1576</v>
      </c>
      <c r="CR363" s="11"/>
      <c r="CS363" s="11"/>
      <c r="CT363" s="247"/>
      <c r="CU363" s="247"/>
      <c r="CV363" s="247"/>
      <c r="CW363" s="11"/>
      <c r="CX363" s="11"/>
      <c r="CY363" s="11"/>
      <c r="CZ363" s="11"/>
      <c r="DA363" s="11"/>
      <c r="DB363" s="11"/>
      <c r="DC363" s="11"/>
      <c r="DD363" s="11"/>
      <c r="DE363" s="11"/>
      <c r="DF363" s="11"/>
      <c r="DG363" s="11"/>
      <c r="DH363" s="11"/>
      <c r="DI363" s="11"/>
      <c r="DJ363" s="11"/>
      <c r="DK363" s="11"/>
      <c r="DL363" s="247"/>
      <c r="DM363" s="247"/>
      <c r="DN363" s="247"/>
      <c r="DO363" s="247"/>
      <c r="DP363" s="247"/>
      <c r="DQ363" s="247"/>
      <c r="DR363" s="247"/>
      <c r="DS363" s="247"/>
      <c r="DT363" s="247"/>
      <c r="DU363" s="247"/>
      <c r="DV363" s="247"/>
      <c r="DW363" s="247"/>
      <c r="DX363" s="247"/>
      <c r="DY363" s="247"/>
      <c r="DZ363" s="247"/>
      <c r="EA363" s="247"/>
      <c r="EB363" s="247"/>
      <c r="EC363" s="247"/>
      <c r="ED363" s="17">
        <f t="shared" si="113"/>
        <v>10794501.9</v>
      </c>
      <c r="EE363" s="29">
        <f t="shared" si="114"/>
        <v>5</v>
      </c>
      <c r="EF363" s="17">
        <f t="shared" si="111"/>
        <v>2158900.38</v>
      </c>
    </row>
    <row r="364" spans="1:136" ht="38.25" x14ac:dyDescent="0.25">
      <c r="A364" s="25">
        <f>Distribución_Elementos!A364</f>
        <v>362</v>
      </c>
      <c r="B364" s="22" t="str">
        <f>Distribución_Elementos!B364</f>
        <v>Papel Filtro blanco de 110 a 120 mm cualitativo</v>
      </c>
      <c r="C364" s="22" t="str">
        <f>Distribución_Elementos!C364</f>
        <v xml:space="preserve"> Whatman, Grado 1</v>
      </c>
      <c r="D364" s="22" t="str">
        <f>Distribución_Elementos!D364</f>
        <v>CAJA X 100</v>
      </c>
      <c r="E364" s="224">
        <v>1</v>
      </c>
      <c r="F364" s="221">
        <v>0</v>
      </c>
      <c r="G364" s="221">
        <v>0</v>
      </c>
      <c r="H364" s="221">
        <v>72907.333333333328</v>
      </c>
      <c r="I364" s="221">
        <v>0</v>
      </c>
      <c r="J364" s="221">
        <v>0</v>
      </c>
      <c r="K364" s="221">
        <v>0</v>
      </c>
      <c r="L364" s="247">
        <f>H364</f>
        <v>72907.333333333328</v>
      </c>
      <c r="M364" s="247"/>
      <c r="N364" s="227">
        <v>65000</v>
      </c>
      <c r="O364" s="119">
        <f>+N364*0.19</f>
        <v>12350</v>
      </c>
      <c r="P364" s="119">
        <f>+N364+O364</f>
        <v>77350</v>
      </c>
      <c r="Q364" s="115"/>
      <c r="R364" s="115"/>
      <c r="S364" s="11"/>
      <c r="T364" s="247"/>
      <c r="U364" s="247"/>
      <c r="V364" s="247"/>
      <c r="W364" s="17"/>
      <c r="X364" s="11"/>
      <c r="Y364" s="11"/>
      <c r="Z364" s="247"/>
      <c r="AA364" s="247"/>
      <c r="AB364" s="247"/>
      <c r="AC364" s="44"/>
      <c r="AD364" s="22"/>
      <c r="AE364" s="17"/>
      <c r="AF364" s="247"/>
      <c r="AG364" s="247"/>
      <c r="AH364" s="151"/>
      <c r="AI364" s="4"/>
      <c r="AJ364" s="17"/>
      <c r="AK364" s="17"/>
      <c r="AL364" s="102"/>
      <c r="AM364" s="132"/>
      <c r="AN364" s="161"/>
      <c r="AO364" s="115"/>
      <c r="AP364" s="115"/>
      <c r="AQ364" s="17"/>
      <c r="AR364" s="247"/>
      <c r="AS364" s="247"/>
      <c r="AT364" s="247"/>
      <c r="AU364" s="17"/>
      <c r="AV364" s="17"/>
      <c r="AW364" s="17"/>
      <c r="AX364" s="247"/>
      <c r="AY364" s="247"/>
      <c r="AZ364" s="247"/>
      <c r="BA364" s="17"/>
      <c r="BB364" s="52"/>
      <c r="BC364" s="17"/>
      <c r="BD364" s="102">
        <v>38771</v>
      </c>
      <c r="BE364" s="247">
        <f t="shared" si="121"/>
        <v>7366.49</v>
      </c>
      <c r="BF364" s="247">
        <f t="shared" si="122"/>
        <v>46137.49</v>
      </c>
      <c r="BG364" s="25" t="s">
        <v>1061</v>
      </c>
      <c r="BH364" s="5" t="s">
        <v>1698</v>
      </c>
      <c r="BI364" s="5" t="s">
        <v>1699</v>
      </c>
      <c r="BJ364" s="247"/>
      <c r="BK364" s="247"/>
      <c r="BL364" s="247"/>
      <c r="BM364" s="190"/>
      <c r="BN364" s="190"/>
      <c r="BO364" s="17"/>
      <c r="BP364" s="247"/>
      <c r="BQ364" s="247"/>
      <c r="BR364" s="247"/>
      <c r="BS364" s="17"/>
      <c r="BT364" s="17"/>
      <c r="BU364" s="17"/>
      <c r="BV364" s="189"/>
      <c r="BW364" s="196"/>
      <c r="BX364" s="246"/>
      <c r="BY364" s="190"/>
      <c r="BZ364" s="190"/>
      <c r="CA364" s="190"/>
      <c r="CB364" s="252"/>
      <c r="CC364" s="247"/>
      <c r="CD364" s="247"/>
      <c r="CE364" s="17"/>
      <c r="CF364" s="17"/>
      <c r="CG364" s="17"/>
      <c r="CH364" s="247">
        <v>197000</v>
      </c>
      <c r="CI364" s="247">
        <f t="shared" si="123"/>
        <v>37430</v>
      </c>
      <c r="CJ364" s="247">
        <f t="shared" si="124"/>
        <v>234430</v>
      </c>
      <c r="CK364" s="17"/>
      <c r="CL364" s="17"/>
      <c r="CM364" s="17"/>
      <c r="CN364" s="17"/>
      <c r="CO364" s="17"/>
      <c r="CP364" s="11"/>
      <c r="CQ364" s="11"/>
      <c r="CR364" s="11"/>
      <c r="CS364" s="11"/>
      <c r="CT364" s="247"/>
      <c r="CU364" s="247"/>
      <c r="CV364" s="247"/>
      <c r="CW364" s="11"/>
      <c r="CX364" s="11"/>
      <c r="CY364" s="11"/>
      <c r="CZ364" s="11"/>
      <c r="DA364" s="11"/>
      <c r="DB364" s="11"/>
      <c r="DC364" s="11"/>
      <c r="DD364" s="11"/>
      <c r="DE364" s="11"/>
      <c r="DF364" s="11"/>
      <c r="DG364" s="11"/>
      <c r="DH364" s="11"/>
      <c r="DI364" s="11"/>
      <c r="DJ364" s="11"/>
      <c r="DK364" s="11"/>
      <c r="DL364" s="247"/>
      <c r="DM364" s="247"/>
      <c r="DN364" s="247"/>
      <c r="DO364" s="247"/>
      <c r="DP364" s="247"/>
      <c r="DQ364" s="247"/>
      <c r="DR364" s="247"/>
      <c r="DS364" s="247"/>
      <c r="DT364" s="247"/>
      <c r="DU364" s="247"/>
      <c r="DV364" s="247"/>
      <c r="DW364" s="247"/>
      <c r="DX364" s="247"/>
      <c r="DY364" s="247"/>
      <c r="DZ364" s="247"/>
      <c r="EA364" s="247"/>
      <c r="EB364" s="247"/>
      <c r="EC364" s="247"/>
      <c r="ED364" s="17">
        <f t="shared" si="113"/>
        <v>357917.49</v>
      </c>
      <c r="EE364" s="29">
        <f t="shared" si="114"/>
        <v>3</v>
      </c>
      <c r="EF364" s="17">
        <f t="shared" si="111"/>
        <v>119305.83</v>
      </c>
    </row>
    <row r="365" spans="1:136" ht="60" x14ac:dyDescent="0.25">
      <c r="A365" s="25">
        <f>Distribución_Elementos!A365</f>
        <v>363</v>
      </c>
      <c r="B365" s="22" t="str">
        <f>Distribución_Elementos!B365</f>
        <v xml:space="preserve">Papel Kraft </v>
      </c>
      <c r="C365" s="22" t="str">
        <f>Distribución_Elementos!C365</f>
        <v>Cualquier marca</v>
      </c>
      <c r="D365" s="22" t="str">
        <f>Distribución_Elementos!D365</f>
        <v>Rollox 50 cm de ancho x 200 M largo</v>
      </c>
      <c r="E365" s="224">
        <v>1</v>
      </c>
      <c r="F365" s="221">
        <v>59500</v>
      </c>
      <c r="G365" s="221">
        <v>57120</v>
      </c>
      <c r="H365" s="221">
        <v>99026.405333333343</v>
      </c>
      <c r="I365" s="221">
        <v>98889</v>
      </c>
      <c r="J365" s="221">
        <v>66878</v>
      </c>
      <c r="K365" s="221">
        <v>54740</v>
      </c>
      <c r="L365" s="247">
        <f>AVERAGE(F365,H365,J365)</f>
        <v>75134.801777777786</v>
      </c>
      <c r="M365" s="247">
        <f>AVERAGE(G365,I365,K365)*E1</f>
        <v>72357.156666666677</v>
      </c>
      <c r="N365" s="227">
        <v>65000</v>
      </c>
      <c r="O365" s="119">
        <f>+N365*0.19</f>
        <v>12350</v>
      </c>
      <c r="P365" s="119">
        <f>+N365+O365</f>
        <v>77350</v>
      </c>
      <c r="Q365" s="115"/>
      <c r="R365" s="115"/>
      <c r="S365" s="11"/>
      <c r="T365" s="247"/>
      <c r="U365" s="247"/>
      <c r="V365" s="247"/>
      <c r="W365" s="17"/>
      <c r="X365" s="11"/>
      <c r="Y365" s="11"/>
      <c r="Z365" s="247"/>
      <c r="AA365" s="247"/>
      <c r="AB365" s="247"/>
      <c r="AC365" s="44"/>
      <c r="AD365" s="22"/>
      <c r="AE365" s="17"/>
      <c r="AF365" s="247"/>
      <c r="AG365" s="247"/>
      <c r="AH365" s="97"/>
      <c r="AI365" s="4"/>
      <c r="AJ365" s="17"/>
      <c r="AK365" s="17"/>
      <c r="AL365" s="102"/>
      <c r="AM365" s="132"/>
      <c r="AN365" s="161"/>
      <c r="AO365" s="115"/>
      <c r="AP365" s="115"/>
      <c r="AQ365" s="17"/>
      <c r="AR365" s="247"/>
      <c r="AS365" s="247"/>
      <c r="AT365" s="247"/>
      <c r="AU365" s="17"/>
      <c r="AV365" s="17"/>
      <c r="AW365" s="17"/>
      <c r="AX365" s="247"/>
      <c r="AY365" s="247"/>
      <c r="AZ365" s="247"/>
      <c r="BA365" s="17"/>
      <c r="BB365" s="52"/>
      <c r="BC365" s="17"/>
      <c r="BD365" s="247"/>
      <c r="BE365" s="247"/>
      <c r="BF365" s="247"/>
      <c r="BG365" s="17"/>
      <c r="BH365" s="17"/>
      <c r="BI365" s="17"/>
      <c r="BJ365" s="247">
        <v>96000</v>
      </c>
      <c r="BK365" s="247">
        <f t="shared" si="109"/>
        <v>18240</v>
      </c>
      <c r="BL365" s="247">
        <f t="shared" si="110"/>
        <v>114240</v>
      </c>
      <c r="BM365" s="191" t="s">
        <v>1700</v>
      </c>
      <c r="BN365" s="190" t="s">
        <v>153</v>
      </c>
      <c r="BO365" s="17"/>
      <c r="BP365" s="247">
        <v>45600</v>
      </c>
      <c r="BQ365" s="247">
        <f t="shared" si="112"/>
        <v>8664</v>
      </c>
      <c r="BR365" s="247">
        <f t="shared" si="115"/>
        <v>54264</v>
      </c>
      <c r="BS365" s="17"/>
      <c r="BT365" s="17"/>
      <c r="BU365" s="17"/>
      <c r="BV365" s="195">
        <v>116484.48000000001</v>
      </c>
      <c r="BW365" s="195">
        <f t="shared" ref="BW365:BW374" si="125">+BV365*0.19</f>
        <v>22132.051200000002</v>
      </c>
      <c r="BX365" s="246">
        <f t="shared" ref="BX365:BX374" si="126">+BV365+BW365</f>
        <v>138616.53120000003</v>
      </c>
      <c r="BY365" s="191" t="s">
        <v>1700</v>
      </c>
      <c r="BZ365" s="190" t="s">
        <v>153</v>
      </c>
      <c r="CA365" s="190"/>
      <c r="CB365" s="247"/>
      <c r="CC365" s="247"/>
      <c r="CD365" s="247"/>
      <c r="CE365" s="17"/>
      <c r="CF365" s="17"/>
      <c r="CG365" s="17"/>
      <c r="CH365" s="247"/>
      <c r="CI365" s="247"/>
      <c r="CJ365" s="247"/>
      <c r="CK365" s="17"/>
      <c r="CL365" s="17"/>
      <c r="CM365" s="17"/>
      <c r="CN365" s="17"/>
      <c r="CO365" s="17"/>
      <c r="CP365" s="11"/>
      <c r="CQ365" s="11"/>
      <c r="CR365" s="11"/>
      <c r="CS365" s="11"/>
      <c r="CT365" s="247"/>
      <c r="CU365" s="247"/>
      <c r="CV365" s="247"/>
      <c r="CW365" s="11"/>
      <c r="CX365" s="11"/>
      <c r="CY365" s="11"/>
      <c r="CZ365" s="11"/>
      <c r="DA365" s="11"/>
      <c r="DB365" s="11"/>
      <c r="DC365" s="11"/>
      <c r="DD365" s="11"/>
      <c r="DE365" s="11"/>
      <c r="DF365" s="11"/>
      <c r="DG365" s="11"/>
      <c r="DH365" s="11"/>
      <c r="DI365" s="11"/>
      <c r="DJ365" s="11"/>
      <c r="DK365" s="11"/>
      <c r="DL365" s="247"/>
      <c r="DM365" s="247"/>
      <c r="DN365" s="247"/>
      <c r="DO365" s="247"/>
      <c r="DP365" s="247"/>
      <c r="DQ365" s="247"/>
      <c r="DR365" s="247"/>
      <c r="DS365" s="247"/>
      <c r="DT365" s="247"/>
      <c r="DU365" s="247"/>
      <c r="DV365" s="247"/>
      <c r="DW365" s="247"/>
      <c r="DX365" s="247"/>
      <c r="DY365" s="247"/>
      <c r="DZ365" s="247"/>
      <c r="EA365" s="247"/>
      <c r="EB365" s="247"/>
      <c r="EC365" s="247"/>
      <c r="ED365" s="17">
        <f t="shared" si="113"/>
        <v>456827.6878666667</v>
      </c>
      <c r="EE365" s="29">
        <f t="shared" si="114"/>
        <v>5</v>
      </c>
      <c r="EF365" s="17">
        <f t="shared" si="111"/>
        <v>91365.537573333335</v>
      </c>
    </row>
    <row r="366" spans="1:136" x14ac:dyDescent="0.25">
      <c r="A366" s="25">
        <f>Distribución_Elementos!A366</f>
        <v>364</v>
      </c>
      <c r="B366" s="22" t="str">
        <f>Distribución_Elementos!B366</f>
        <v>Papel libre de ácido tamaño carta</v>
      </c>
      <c r="C366" s="22" t="str">
        <f>Distribución_Elementos!C366</f>
        <v>Cualquier marca</v>
      </c>
      <c r="D366" s="22" t="str">
        <f>Distribución_Elementos!D366</f>
        <v>Resma</v>
      </c>
      <c r="E366" s="224">
        <v>1</v>
      </c>
      <c r="F366" s="221">
        <v>0</v>
      </c>
      <c r="G366" s="221">
        <v>0</v>
      </c>
      <c r="H366" s="221">
        <v>0</v>
      </c>
      <c r="I366" s="221">
        <v>0</v>
      </c>
      <c r="J366" s="221">
        <v>0</v>
      </c>
      <c r="K366" s="221">
        <v>0</v>
      </c>
      <c r="L366" s="247"/>
      <c r="M366" s="247"/>
      <c r="N366" s="227"/>
      <c r="O366" s="119"/>
      <c r="P366" s="119"/>
      <c r="Q366" s="115"/>
      <c r="R366" s="115"/>
      <c r="S366" s="11"/>
      <c r="T366" s="247"/>
      <c r="U366" s="247"/>
      <c r="V366" s="247"/>
      <c r="W366" s="17"/>
      <c r="X366" s="11"/>
      <c r="Y366" s="11"/>
      <c r="Z366" s="247"/>
      <c r="AA366" s="247"/>
      <c r="AB366" s="247"/>
      <c r="AC366" s="44"/>
      <c r="AD366" s="22"/>
      <c r="AE366" s="17"/>
      <c r="AF366" s="247"/>
      <c r="AG366" s="247"/>
      <c r="AH366" s="151"/>
      <c r="AI366" s="4"/>
      <c r="AJ366" s="17"/>
      <c r="AK366" s="17"/>
      <c r="AL366" s="102"/>
      <c r="AM366" s="132"/>
      <c r="AN366" s="161"/>
      <c r="AO366" s="115"/>
      <c r="AP366" s="115"/>
      <c r="AQ366" s="17"/>
      <c r="AR366" s="247"/>
      <c r="AS366" s="247"/>
      <c r="AT366" s="247"/>
      <c r="AU366" s="17"/>
      <c r="AV366" s="17"/>
      <c r="AW366" s="17"/>
      <c r="AX366" s="247"/>
      <c r="AY366" s="247"/>
      <c r="AZ366" s="247"/>
      <c r="BA366" s="17"/>
      <c r="BB366" s="52"/>
      <c r="BC366" s="17"/>
      <c r="BD366" s="247"/>
      <c r="BE366" s="247"/>
      <c r="BF366" s="247"/>
      <c r="BG366" s="17"/>
      <c r="BH366" s="17"/>
      <c r="BI366" s="17"/>
      <c r="BJ366" s="247">
        <v>336600</v>
      </c>
      <c r="BK366" s="247">
        <f t="shared" si="109"/>
        <v>63954</v>
      </c>
      <c r="BL366" s="247">
        <f t="shared" si="110"/>
        <v>400554</v>
      </c>
      <c r="BM366" s="190" t="s">
        <v>1613</v>
      </c>
      <c r="BN366" s="190" t="s">
        <v>1671</v>
      </c>
      <c r="BO366" s="17"/>
      <c r="BP366" s="247">
        <v>12500</v>
      </c>
      <c r="BQ366" s="247">
        <f t="shared" si="112"/>
        <v>2375</v>
      </c>
      <c r="BR366" s="247">
        <f t="shared" si="115"/>
        <v>14875</v>
      </c>
      <c r="BS366" s="17"/>
      <c r="BT366" s="17"/>
      <c r="BU366" s="17"/>
      <c r="BV366" s="195">
        <v>367777.23840000003</v>
      </c>
      <c r="BW366" s="195">
        <f t="shared" si="125"/>
        <v>69877.675296000001</v>
      </c>
      <c r="BX366" s="246">
        <f t="shared" si="126"/>
        <v>437654.913696</v>
      </c>
      <c r="BY366" s="190" t="s">
        <v>1613</v>
      </c>
      <c r="BZ366" s="190" t="s">
        <v>1671</v>
      </c>
      <c r="CA366" s="190"/>
      <c r="CB366" s="247"/>
      <c r="CC366" s="247"/>
      <c r="CD366" s="247"/>
      <c r="CE366" s="17"/>
      <c r="CF366" s="17"/>
      <c r="CG366" s="17"/>
      <c r="CH366" s="247"/>
      <c r="CI366" s="247"/>
      <c r="CJ366" s="247"/>
      <c r="CK366" s="17"/>
      <c r="CL366" s="17"/>
      <c r="CM366" s="17"/>
      <c r="CN366" s="17"/>
      <c r="CO366" s="17"/>
      <c r="CP366" s="11"/>
      <c r="CQ366" s="11"/>
      <c r="CR366" s="11"/>
      <c r="CS366" s="11"/>
      <c r="CT366" s="247"/>
      <c r="CU366" s="247"/>
      <c r="CV366" s="247"/>
      <c r="CW366" s="11"/>
      <c r="CX366" s="11"/>
      <c r="CY366" s="11"/>
      <c r="CZ366" s="11"/>
      <c r="DA366" s="11"/>
      <c r="DB366" s="11"/>
      <c r="DC366" s="11"/>
      <c r="DD366" s="11"/>
      <c r="DE366" s="11"/>
      <c r="DF366" s="11"/>
      <c r="DG366" s="11"/>
      <c r="DH366" s="11"/>
      <c r="DI366" s="11"/>
      <c r="DJ366" s="11"/>
      <c r="DK366" s="11"/>
      <c r="DL366" s="247"/>
      <c r="DM366" s="247"/>
      <c r="DN366" s="247"/>
      <c r="DO366" s="247"/>
      <c r="DP366" s="247"/>
      <c r="DQ366" s="247"/>
      <c r="DR366" s="247"/>
      <c r="DS366" s="247"/>
      <c r="DT366" s="247"/>
      <c r="DU366" s="247"/>
      <c r="DV366" s="247"/>
      <c r="DW366" s="247"/>
      <c r="DX366" s="247"/>
      <c r="DY366" s="247"/>
      <c r="DZ366" s="247"/>
      <c r="EA366" s="247"/>
      <c r="EB366" s="247"/>
      <c r="EC366" s="247"/>
      <c r="ED366" s="17">
        <f t="shared" si="113"/>
        <v>853083.913696</v>
      </c>
      <c r="EE366" s="29">
        <f t="shared" si="114"/>
        <v>3</v>
      </c>
      <c r="EF366" s="17">
        <f t="shared" si="111"/>
        <v>284361.30456533335</v>
      </c>
    </row>
    <row r="367" spans="1:136" ht="24" x14ac:dyDescent="0.25">
      <c r="A367" s="25">
        <f>Distribución_Elementos!A367</f>
        <v>365</v>
      </c>
      <c r="B367" s="22" t="str">
        <f>Distribución_Elementos!B367</f>
        <v>Papel parafilm de 2” x 250 pies (38 m x 100 mm)</v>
      </c>
      <c r="C367" s="22" t="str">
        <f>Distribución_Elementos!C367</f>
        <v>Cualquier marca</v>
      </c>
      <c r="D367" s="22" t="str">
        <f>Distribución_Elementos!D367</f>
        <v>Rollo x 38 m</v>
      </c>
      <c r="E367" s="224">
        <v>1</v>
      </c>
      <c r="F367" s="221">
        <v>135957.5</v>
      </c>
      <c r="G367" s="221">
        <v>133875</v>
      </c>
      <c r="H367" s="221">
        <v>157476.66666666666</v>
      </c>
      <c r="I367" s="221">
        <v>157318</v>
      </c>
      <c r="J367" s="221">
        <v>202133.69750000001</v>
      </c>
      <c r="K367" s="221">
        <v>165767</v>
      </c>
      <c r="L367" s="247">
        <f>AVERAGE(F367,H367,J367)</f>
        <v>165189.28805555555</v>
      </c>
      <c r="M367" s="247">
        <f>AVERAGE(G367,I367,K367)*E1</f>
        <v>156889.60000000001</v>
      </c>
      <c r="N367" s="227">
        <v>140000</v>
      </c>
      <c r="O367" s="119">
        <f>+N367*0.19</f>
        <v>26600</v>
      </c>
      <c r="P367" s="119">
        <f>+N367+O367</f>
        <v>166600</v>
      </c>
      <c r="Q367" s="115"/>
      <c r="R367" s="115"/>
      <c r="S367" s="11"/>
      <c r="T367" s="247">
        <v>148500</v>
      </c>
      <c r="U367" s="247">
        <f>+T367*0.19</f>
        <v>28215</v>
      </c>
      <c r="V367" s="247">
        <f>+T367+U367</f>
        <v>176715</v>
      </c>
      <c r="W367" s="17" t="s">
        <v>140</v>
      </c>
      <c r="X367" s="11" t="s">
        <v>338</v>
      </c>
      <c r="Y367" s="11"/>
      <c r="Z367" s="247"/>
      <c r="AA367" s="247"/>
      <c r="AB367" s="247"/>
      <c r="AC367" s="44"/>
      <c r="AD367" s="22"/>
      <c r="AE367" s="17"/>
      <c r="AF367" s="247"/>
      <c r="AG367" s="247"/>
      <c r="AH367" s="151"/>
      <c r="AI367" s="4"/>
      <c r="AJ367" s="17"/>
      <c r="AK367" s="17"/>
      <c r="AL367" s="102"/>
      <c r="AM367" s="132"/>
      <c r="AN367" s="161"/>
      <c r="AO367" s="115"/>
      <c r="AP367" s="115"/>
      <c r="AQ367" s="17"/>
      <c r="AR367" s="247"/>
      <c r="AS367" s="247"/>
      <c r="AT367" s="247"/>
      <c r="AU367" s="17"/>
      <c r="AV367" s="17"/>
      <c r="AW367" s="17"/>
      <c r="AX367" s="247"/>
      <c r="AY367" s="247"/>
      <c r="AZ367" s="247"/>
      <c r="BA367" s="17"/>
      <c r="BB367" s="52"/>
      <c r="BC367" s="17"/>
      <c r="BD367" s="247"/>
      <c r="BE367" s="247"/>
      <c r="BF367" s="247"/>
      <c r="BG367" s="17"/>
      <c r="BH367" s="17"/>
      <c r="BI367" s="17"/>
      <c r="BJ367" s="247">
        <v>226900</v>
      </c>
      <c r="BK367" s="247">
        <f t="shared" si="109"/>
        <v>43111</v>
      </c>
      <c r="BL367" s="247">
        <f t="shared" si="110"/>
        <v>270011</v>
      </c>
      <c r="BM367" s="191" t="s">
        <v>1701</v>
      </c>
      <c r="BN367" s="190" t="s">
        <v>1565</v>
      </c>
      <c r="BO367" s="17"/>
      <c r="BP367" s="247">
        <v>135000</v>
      </c>
      <c r="BQ367" s="247">
        <f t="shared" si="112"/>
        <v>25650</v>
      </c>
      <c r="BR367" s="247">
        <f t="shared" si="115"/>
        <v>160650</v>
      </c>
      <c r="BS367" s="17"/>
      <c r="BT367" s="17"/>
      <c r="BU367" s="17"/>
      <c r="BV367" s="195">
        <v>247662.93830000001</v>
      </c>
      <c r="BW367" s="195">
        <f t="shared" si="125"/>
        <v>47055.958277000005</v>
      </c>
      <c r="BX367" s="246">
        <f t="shared" si="126"/>
        <v>294718.89657700004</v>
      </c>
      <c r="BY367" s="191" t="s">
        <v>1701</v>
      </c>
      <c r="BZ367" s="190" t="s">
        <v>1565</v>
      </c>
      <c r="CA367" s="190"/>
      <c r="CB367" s="252"/>
      <c r="CC367" s="247"/>
      <c r="CD367" s="247"/>
      <c r="CE367" s="17"/>
      <c r="CF367" s="17"/>
      <c r="CG367" s="17"/>
      <c r="CH367" s="247"/>
      <c r="CI367" s="247"/>
      <c r="CJ367" s="247"/>
      <c r="CK367" s="17"/>
      <c r="CL367" s="17"/>
      <c r="CM367" s="17"/>
      <c r="CN367" s="17"/>
      <c r="CO367" s="17"/>
      <c r="CP367" s="11"/>
      <c r="CQ367" s="11"/>
      <c r="CR367" s="11"/>
      <c r="CS367" s="11"/>
      <c r="CT367" s="247"/>
      <c r="CU367" s="247"/>
      <c r="CV367" s="247"/>
      <c r="CW367" s="11"/>
      <c r="CX367" s="11"/>
      <c r="CY367" s="11"/>
      <c r="CZ367" s="11"/>
      <c r="DA367" s="11"/>
      <c r="DB367" s="11"/>
      <c r="DC367" s="11"/>
      <c r="DD367" s="11"/>
      <c r="DE367" s="11"/>
      <c r="DF367" s="11"/>
      <c r="DG367" s="11"/>
      <c r="DH367" s="11"/>
      <c r="DI367" s="11"/>
      <c r="DJ367" s="11"/>
      <c r="DK367" s="11"/>
      <c r="DL367" s="247"/>
      <c r="DM367" s="247"/>
      <c r="DN367" s="247"/>
      <c r="DO367" s="247"/>
      <c r="DP367" s="247"/>
      <c r="DQ367" s="247"/>
      <c r="DR367" s="247"/>
      <c r="DS367" s="247"/>
      <c r="DT367" s="247"/>
      <c r="DU367" s="247"/>
      <c r="DV367" s="247"/>
      <c r="DW367" s="247"/>
      <c r="DX367" s="247"/>
      <c r="DY367" s="247"/>
      <c r="DZ367" s="247"/>
      <c r="EA367" s="247"/>
      <c r="EB367" s="247"/>
      <c r="EC367" s="247"/>
      <c r="ED367" s="17">
        <f t="shared" si="113"/>
        <v>1225584.496577</v>
      </c>
      <c r="EE367" s="29">
        <f t="shared" si="114"/>
        <v>6</v>
      </c>
      <c r="EF367" s="17">
        <f t="shared" si="111"/>
        <v>204264.08276283334</v>
      </c>
    </row>
    <row r="368" spans="1:136" ht="24" x14ac:dyDescent="0.25">
      <c r="A368" s="25">
        <f>Distribución_Elementos!A368</f>
        <v>366</v>
      </c>
      <c r="B368" s="22" t="str">
        <f>Distribución_Elementos!B368</f>
        <v>Perlas metalicas en Acero inoxidable 5mm de diametro</v>
      </c>
      <c r="C368" s="22" t="str">
        <f>Distribución_Elementos!C368</f>
        <v>Cualquier marca</v>
      </c>
      <c r="D368" s="22" t="str">
        <f>Distribución_Elementos!D368</f>
        <v>bolsa x 1000</v>
      </c>
      <c r="E368" s="224">
        <v>1</v>
      </c>
      <c r="F368" s="221">
        <v>0</v>
      </c>
      <c r="G368" s="221">
        <v>0</v>
      </c>
      <c r="H368" s="221">
        <v>2082500</v>
      </c>
      <c r="I368" s="221">
        <v>0</v>
      </c>
      <c r="J368" s="221">
        <v>0</v>
      </c>
      <c r="K368" s="221">
        <v>0</v>
      </c>
      <c r="L368" s="247">
        <f>H368</f>
        <v>2082500</v>
      </c>
      <c r="M368" s="247"/>
      <c r="N368" s="227"/>
      <c r="O368" s="119"/>
      <c r="P368" s="119"/>
      <c r="Q368" s="115"/>
      <c r="R368" s="115"/>
      <c r="S368" s="11"/>
      <c r="T368" s="247"/>
      <c r="U368" s="247"/>
      <c r="V368" s="247"/>
      <c r="W368" s="17"/>
      <c r="X368" s="11"/>
      <c r="Y368" s="11"/>
      <c r="Z368" s="247"/>
      <c r="AA368" s="247"/>
      <c r="AB368" s="247"/>
      <c r="AC368" s="44"/>
      <c r="AD368" s="22"/>
      <c r="AE368" s="17"/>
      <c r="AF368" s="247"/>
      <c r="AG368" s="247"/>
      <c r="AH368" s="97"/>
      <c r="AI368" s="4"/>
      <c r="AJ368" s="17"/>
      <c r="AK368" s="17"/>
      <c r="AL368" s="102"/>
      <c r="AM368" s="132"/>
      <c r="AN368" s="161"/>
      <c r="AO368" s="115"/>
      <c r="AP368" s="115"/>
      <c r="AQ368" s="17"/>
      <c r="AR368" s="247"/>
      <c r="AS368" s="247"/>
      <c r="AT368" s="247"/>
      <c r="AU368" s="17"/>
      <c r="AV368" s="17"/>
      <c r="AW368" s="17"/>
      <c r="AX368" s="247"/>
      <c r="AY368" s="247"/>
      <c r="AZ368" s="247"/>
      <c r="BA368" s="17"/>
      <c r="BB368" s="52"/>
      <c r="BC368" s="17"/>
      <c r="BD368" s="247"/>
      <c r="BE368" s="247"/>
      <c r="BF368" s="247"/>
      <c r="BG368" s="17"/>
      <c r="BH368" s="17"/>
      <c r="BI368" s="17"/>
      <c r="BJ368" s="247">
        <v>485000</v>
      </c>
      <c r="BK368" s="247">
        <f t="shared" si="109"/>
        <v>92150</v>
      </c>
      <c r="BL368" s="247">
        <f t="shared" si="110"/>
        <v>577150</v>
      </c>
      <c r="BM368" s="191" t="s">
        <v>1702</v>
      </c>
      <c r="BN368" s="190" t="s">
        <v>1703</v>
      </c>
      <c r="BO368" s="17"/>
      <c r="BP368" s="247">
        <v>95000</v>
      </c>
      <c r="BQ368" s="247">
        <f t="shared" si="112"/>
        <v>18050</v>
      </c>
      <c r="BR368" s="247">
        <f t="shared" si="115"/>
        <v>113050</v>
      </c>
      <c r="BS368" s="17"/>
      <c r="BT368" s="17"/>
      <c r="BU368" s="17"/>
      <c r="BV368" s="195">
        <v>524629.35</v>
      </c>
      <c r="BW368" s="195">
        <f t="shared" si="125"/>
        <v>99679.576499999996</v>
      </c>
      <c r="BX368" s="246">
        <f t="shared" si="126"/>
        <v>624308.92649999994</v>
      </c>
      <c r="BY368" s="191" t="s">
        <v>1702</v>
      </c>
      <c r="BZ368" s="190" t="s">
        <v>1703</v>
      </c>
      <c r="CA368" s="190"/>
      <c r="CB368" s="247"/>
      <c r="CC368" s="247"/>
      <c r="CD368" s="247"/>
      <c r="CE368" s="17"/>
      <c r="CF368" s="17"/>
      <c r="CG368" s="17"/>
      <c r="CH368" s="247"/>
      <c r="CI368" s="247"/>
      <c r="CJ368" s="247"/>
      <c r="CK368" s="17"/>
      <c r="CL368" s="17"/>
      <c r="CM368" s="17"/>
      <c r="CN368" s="17"/>
      <c r="CO368" s="17"/>
      <c r="CP368" s="11"/>
      <c r="CQ368" s="11"/>
      <c r="CR368" s="11"/>
      <c r="CS368" s="11"/>
      <c r="CT368" s="247"/>
      <c r="CU368" s="247"/>
      <c r="CV368" s="247"/>
      <c r="CW368" s="11"/>
      <c r="CX368" s="11"/>
      <c r="CY368" s="11"/>
      <c r="CZ368" s="11"/>
      <c r="DA368" s="11"/>
      <c r="DB368" s="11"/>
      <c r="DC368" s="11"/>
      <c r="DD368" s="11"/>
      <c r="DE368" s="11"/>
      <c r="DF368" s="11"/>
      <c r="DG368" s="11"/>
      <c r="DH368" s="11"/>
      <c r="DI368" s="11"/>
      <c r="DJ368" s="11"/>
      <c r="DK368" s="11"/>
      <c r="DL368" s="247"/>
      <c r="DM368" s="247"/>
      <c r="DN368" s="247"/>
      <c r="DO368" s="247"/>
      <c r="DP368" s="247"/>
      <c r="DQ368" s="247"/>
      <c r="DR368" s="247"/>
      <c r="DS368" s="247"/>
      <c r="DT368" s="247"/>
      <c r="DU368" s="247"/>
      <c r="DV368" s="247"/>
      <c r="DW368" s="247"/>
      <c r="DX368" s="247"/>
      <c r="DY368" s="247"/>
      <c r="DZ368" s="247"/>
      <c r="EA368" s="247"/>
      <c r="EB368" s="247"/>
      <c r="EC368" s="247"/>
      <c r="ED368" s="17">
        <f t="shared" si="113"/>
        <v>1314508.9265000001</v>
      </c>
      <c r="EE368" s="29">
        <f t="shared" si="114"/>
        <v>3</v>
      </c>
      <c r="EF368" s="17">
        <f t="shared" si="111"/>
        <v>438169.64216666669</v>
      </c>
    </row>
    <row r="369" spans="1:136" x14ac:dyDescent="0.25">
      <c r="A369" s="25">
        <f>Distribución_Elementos!A369</f>
        <v>367</v>
      </c>
      <c r="B369" s="22" t="str">
        <f>Distribución_Elementos!B369</f>
        <v>Peto de PVC para lavado de material Calibre 16. Color negro.</v>
      </c>
      <c r="C369" s="22" t="str">
        <f>Distribución_Elementos!C369</f>
        <v>Cualquier marca</v>
      </c>
      <c r="D369" s="22" t="str">
        <f>Distribución_Elementos!D369</f>
        <v>Unidad</v>
      </c>
      <c r="E369" s="224">
        <v>1</v>
      </c>
      <c r="F369" s="221">
        <v>0</v>
      </c>
      <c r="G369" s="221">
        <v>0</v>
      </c>
      <c r="H369" s="221">
        <v>32725</v>
      </c>
      <c r="I369" s="221">
        <v>0</v>
      </c>
      <c r="J369" s="221">
        <v>34093.5</v>
      </c>
      <c r="K369" s="221">
        <v>0</v>
      </c>
      <c r="L369" s="247">
        <f>AVERAGE(H369,J369)</f>
        <v>33409.25</v>
      </c>
      <c r="M369" s="247"/>
      <c r="N369" s="227">
        <v>25000</v>
      </c>
      <c r="O369" s="119">
        <f>+N369*0.19</f>
        <v>4750</v>
      </c>
      <c r="P369" s="119">
        <f>+N369+O369</f>
        <v>29750</v>
      </c>
      <c r="Q369" s="115"/>
      <c r="R369" s="115"/>
      <c r="S369" s="11"/>
      <c r="T369" s="247"/>
      <c r="U369" s="247"/>
      <c r="V369" s="247"/>
      <c r="W369" s="17"/>
      <c r="X369" s="11"/>
      <c r="Y369" s="11"/>
      <c r="Z369" s="247"/>
      <c r="AA369" s="247"/>
      <c r="AB369" s="247"/>
      <c r="AC369" s="44"/>
      <c r="AD369" s="22"/>
      <c r="AE369" s="17"/>
      <c r="AF369" s="247"/>
      <c r="AG369" s="247"/>
      <c r="AH369" s="97"/>
      <c r="AI369" s="4"/>
      <c r="AJ369" s="17"/>
      <c r="AK369" s="17"/>
      <c r="AL369" s="102"/>
      <c r="AM369" s="132"/>
      <c r="AN369" s="161"/>
      <c r="AO369" s="115"/>
      <c r="AP369" s="115"/>
      <c r="AQ369" s="17"/>
      <c r="AR369" s="247"/>
      <c r="AS369" s="247"/>
      <c r="AT369" s="247"/>
      <c r="AU369" s="17"/>
      <c r="AV369" s="17"/>
      <c r="AW369" s="17"/>
      <c r="AX369" s="247"/>
      <c r="AY369" s="247"/>
      <c r="AZ369" s="247"/>
      <c r="BA369" s="17"/>
      <c r="BB369" s="52"/>
      <c r="BC369" s="17"/>
      <c r="BD369" s="247"/>
      <c r="BE369" s="247"/>
      <c r="BF369" s="247"/>
      <c r="BG369" s="17"/>
      <c r="BH369" s="17"/>
      <c r="BI369" s="17"/>
      <c r="BJ369" s="247">
        <v>40000</v>
      </c>
      <c r="BK369" s="247">
        <f t="shared" si="109"/>
        <v>7600</v>
      </c>
      <c r="BL369" s="247">
        <f t="shared" si="110"/>
        <v>47600</v>
      </c>
      <c r="BM369" s="190" t="s">
        <v>375</v>
      </c>
      <c r="BN369" s="190" t="s">
        <v>153</v>
      </c>
      <c r="BO369" s="17"/>
      <c r="BP369" s="247">
        <v>65800</v>
      </c>
      <c r="BQ369" s="247">
        <f t="shared" si="112"/>
        <v>12502</v>
      </c>
      <c r="BR369" s="247">
        <f t="shared" si="115"/>
        <v>78302</v>
      </c>
      <c r="BS369" s="17"/>
      <c r="BT369" s="17"/>
      <c r="BU369" s="17"/>
      <c r="BV369" s="195">
        <v>46288.200000000004</v>
      </c>
      <c r="BW369" s="195">
        <f t="shared" si="125"/>
        <v>8794.7580000000016</v>
      </c>
      <c r="BX369" s="246">
        <f t="shared" si="126"/>
        <v>55082.958000000006</v>
      </c>
      <c r="BY369" s="190" t="s">
        <v>375</v>
      </c>
      <c r="BZ369" s="190" t="s">
        <v>153</v>
      </c>
      <c r="CA369" s="190"/>
      <c r="CB369" s="247"/>
      <c r="CC369" s="247"/>
      <c r="CD369" s="247"/>
      <c r="CE369" s="17"/>
      <c r="CF369" s="17"/>
      <c r="CG369" s="17"/>
      <c r="CH369" s="247"/>
      <c r="CI369" s="247"/>
      <c r="CJ369" s="247"/>
      <c r="CK369" s="17"/>
      <c r="CL369" s="17"/>
      <c r="CM369" s="17"/>
      <c r="CN369" s="17"/>
      <c r="CO369" s="17"/>
      <c r="CP369" s="11"/>
      <c r="CQ369" s="11"/>
      <c r="CR369" s="11"/>
      <c r="CS369" s="11"/>
      <c r="CT369" s="247"/>
      <c r="CU369" s="247"/>
      <c r="CV369" s="247"/>
      <c r="CW369" s="11"/>
      <c r="CX369" s="11"/>
      <c r="CY369" s="11"/>
      <c r="CZ369" s="11"/>
      <c r="DA369" s="11"/>
      <c r="DB369" s="11"/>
      <c r="DC369" s="11"/>
      <c r="DD369" s="11"/>
      <c r="DE369" s="11"/>
      <c r="DF369" s="11"/>
      <c r="DG369" s="11"/>
      <c r="DH369" s="11"/>
      <c r="DI369" s="11"/>
      <c r="DJ369" s="11"/>
      <c r="DK369" s="11"/>
      <c r="DL369" s="247"/>
      <c r="DM369" s="247"/>
      <c r="DN369" s="247"/>
      <c r="DO369" s="247"/>
      <c r="DP369" s="247"/>
      <c r="DQ369" s="247"/>
      <c r="DR369" s="247"/>
      <c r="DS369" s="247"/>
      <c r="DT369" s="247"/>
      <c r="DU369" s="247"/>
      <c r="DV369" s="247"/>
      <c r="DW369" s="247"/>
      <c r="DX369" s="247"/>
      <c r="DY369" s="247"/>
      <c r="DZ369" s="247"/>
      <c r="EA369" s="247"/>
      <c r="EB369" s="247"/>
      <c r="EC369" s="247"/>
      <c r="ED369" s="17">
        <f t="shared" si="113"/>
        <v>210734.95800000001</v>
      </c>
      <c r="EE369" s="29">
        <f t="shared" si="114"/>
        <v>4</v>
      </c>
      <c r="EF369" s="17">
        <f t="shared" si="111"/>
        <v>52683.739500000003</v>
      </c>
    </row>
    <row r="370" spans="1:136" x14ac:dyDescent="0.25">
      <c r="A370" s="25">
        <f>Distribución_Elementos!A370</f>
        <v>368</v>
      </c>
      <c r="B370" s="22" t="str">
        <f>Distribución_Elementos!B370</f>
        <v>Pila Cuadrada alkalina 9 v</v>
      </c>
      <c r="C370" s="22" t="str">
        <f>Distribución_Elementos!C370</f>
        <v>Cualquier marca</v>
      </c>
      <c r="D370" s="22" t="str">
        <f>Distribución_Elementos!D370</f>
        <v>Unidad</v>
      </c>
      <c r="E370" s="224">
        <v>1</v>
      </c>
      <c r="F370" s="221">
        <v>0</v>
      </c>
      <c r="G370" s="221">
        <v>0</v>
      </c>
      <c r="H370" s="221">
        <v>88893</v>
      </c>
      <c r="I370" s="221">
        <v>88774</v>
      </c>
      <c r="J370" s="221">
        <v>50376.666666666672</v>
      </c>
      <c r="K370" s="221">
        <v>23800</v>
      </c>
      <c r="L370" s="247">
        <f>AVERAGE(H370,J370)</f>
        <v>69634.833333333343</v>
      </c>
      <c r="M370" s="247">
        <f>AVERAGE(I370,K370)*E1</f>
        <v>57975.61</v>
      </c>
      <c r="N370" s="227">
        <v>18000</v>
      </c>
      <c r="O370" s="119">
        <f t="shared" ref="O370:O387" si="127">+N370*0.19</f>
        <v>3420</v>
      </c>
      <c r="P370" s="119">
        <f t="shared" ref="P370:P387" si="128">+N370+O370</f>
        <v>21420</v>
      </c>
      <c r="Q370" s="115"/>
      <c r="R370" s="115"/>
      <c r="S370" s="11"/>
      <c r="T370" s="247"/>
      <c r="U370" s="247"/>
      <c r="V370" s="247"/>
      <c r="W370" s="17"/>
      <c r="X370" s="11"/>
      <c r="Y370" s="11"/>
      <c r="Z370" s="247"/>
      <c r="AA370" s="247"/>
      <c r="AB370" s="247"/>
      <c r="AC370" s="44"/>
      <c r="AD370" s="22"/>
      <c r="AE370" s="17"/>
      <c r="AF370" s="247"/>
      <c r="AG370" s="247"/>
      <c r="AH370" s="151"/>
      <c r="AI370" s="22"/>
      <c r="AJ370" s="17"/>
      <c r="AK370" s="17"/>
      <c r="AL370" s="102"/>
      <c r="AM370" s="132"/>
      <c r="AN370" s="161"/>
      <c r="AO370" s="115"/>
      <c r="AP370" s="115"/>
      <c r="AQ370" s="17"/>
      <c r="AR370" s="247"/>
      <c r="AS370" s="247"/>
      <c r="AT370" s="247"/>
      <c r="AU370" s="17"/>
      <c r="AV370" s="17"/>
      <c r="AW370" s="17"/>
      <c r="AX370" s="247"/>
      <c r="AY370" s="247"/>
      <c r="AZ370" s="247"/>
      <c r="BA370" s="17"/>
      <c r="BB370" s="52"/>
      <c r="BC370" s="17"/>
      <c r="BD370" s="247"/>
      <c r="BE370" s="247"/>
      <c r="BF370" s="247"/>
      <c r="BG370" s="17"/>
      <c r="BH370" s="17"/>
      <c r="BI370" s="17"/>
      <c r="BJ370" s="247">
        <v>57250</v>
      </c>
      <c r="BK370" s="247">
        <f t="shared" si="109"/>
        <v>10877.5</v>
      </c>
      <c r="BL370" s="247">
        <f t="shared" si="110"/>
        <v>68127.5</v>
      </c>
      <c r="BM370" s="190" t="s">
        <v>375</v>
      </c>
      <c r="BN370" s="190" t="s">
        <v>1704</v>
      </c>
      <c r="BO370" s="17"/>
      <c r="BP370" s="247">
        <v>35200</v>
      </c>
      <c r="BQ370" s="247">
        <f t="shared" si="112"/>
        <v>6688</v>
      </c>
      <c r="BR370" s="247">
        <f t="shared" si="115"/>
        <v>41888</v>
      </c>
      <c r="BS370" s="17"/>
      <c r="BT370" s="17"/>
      <c r="BU370" s="17"/>
      <c r="BV370" s="195">
        <v>63755.661000000007</v>
      </c>
      <c r="BW370" s="195">
        <f t="shared" si="125"/>
        <v>12113.575590000002</v>
      </c>
      <c r="BX370" s="246">
        <f t="shared" si="126"/>
        <v>75869.236590000015</v>
      </c>
      <c r="BY370" s="190" t="s">
        <v>375</v>
      </c>
      <c r="BZ370" s="190" t="s">
        <v>1704</v>
      </c>
      <c r="CA370" s="190"/>
      <c r="CB370" s="247"/>
      <c r="CC370" s="247"/>
      <c r="CD370" s="247"/>
      <c r="CE370" s="17"/>
      <c r="CF370" s="17"/>
      <c r="CG370" s="17"/>
      <c r="CH370" s="247"/>
      <c r="CI370" s="247"/>
      <c r="CJ370" s="247"/>
      <c r="CK370" s="17"/>
      <c r="CL370" s="17"/>
      <c r="CM370" s="17"/>
      <c r="CN370" s="17"/>
      <c r="CO370" s="17"/>
      <c r="CP370" s="11"/>
      <c r="CQ370" s="11"/>
      <c r="CR370" s="11"/>
      <c r="CS370" s="11"/>
      <c r="CT370" s="247"/>
      <c r="CU370" s="247"/>
      <c r="CV370" s="247"/>
      <c r="CW370" s="11"/>
      <c r="CX370" s="11"/>
      <c r="CY370" s="11"/>
      <c r="CZ370" s="11"/>
      <c r="DA370" s="11"/>
      <c r="DB370" s="11"/>
      <c r="DC370" s="11"/>
      <c r="DD370" s="11"/>
      <c r="DE370" s="11"/>
      <c r="DF370" s="11"/>
      <c r="DG370" s="11"/>
      <c r="DH370" s="11"/>
      <c r="DI370" s="11"/>
      <c r="DJ370" s="11"/>
      <c r="DK370" s="11"/>
      <c r="DL370" s="247"/>
      <c r="DM370" s="247"/>
      <c r="DN370" s="247"/>
      <c r="DO370" s="247"/>
      <c r="DP370" s="247"/>
      <c r="DQ370" s="247"/>
      <c r="DR370" s="247"/>
      <c r="DS370" s="247"/>
      <c r="DT370" s="247"/>
      <c r="DU370" s="247"/>
      <c r="DV370" s="247"/>
      <c r="DW370" s="247"/>
      <c r="DX370" s="247"/>
      <c r="DY370" s="247"/>
      <c r="DZ370" s="247"/>
      <c r="EA370" s="247"/>
      <c r="EB370" s="247"/>
      <c r="EC370" s="247"/>
      <c r="ED370" s="17">
        <f t="shared" si="113"/>
        <v>265280.34658999997</v>
      </c>
      <c r="EE370" s="29">
        <f t="shared" si="114"/>
        <v>5</v>
      </c>
      <c r="EF370" s="17">
        <f t="shared" si="111"/>
        <v>53056.069317999994</v>
      </c>
    </row>
    <row r="371" spans="1:136" x14ac:dyDescent="0.25">
      <c r="A371" s="25">
        <f>Distribución_Elementos!A371</f>
        <v>369</v>
      </c>
      <c r="B371" s="22" t="str">
        <f>Distribución_Elementos!B371</f>
        <v>Pilas AA recargables</v>
      </c>
      <c r="C371" s="22" t="str">
        <f>Distribución_Elementos!C371</f>
        <v>Cualquier marca</v>
      </c>
      <c r="D371" s="22" t="str">
        <f>Distribución_Elementos!D371</f>
        <v>Par</v>
      </c>
      <c r="E371" s="224">
        <v>1</v>
      </c>
      <c r="F371" s="221">
        <v>0</v>
      </c>
      <c r="G371" s="221">
        <v>0</v>
      </c>
      <c r="H371" s="221">
        <v>84490</v>
      </c>
      <c r="I371" s="221">
        <v>84371</v>
      </c>
      <c r="J371" s="221">
        <v>35184.333333333336</v>
      </c>
      <c r="K371" s="221">
        <v>33082</v>
      </c>
      <c r="L371" s="247">
        <f>AVERAGE(H371,J371)</f>
        <v>59837.166666666672</v>
      </c>
      <c r="M371" s="247">
        <f>AVERAGE(I371,K371)*E1</f>
        <v>60488.294999999998</v>
      </c>
      <c r="N371" s="227">
        <v>25000</v>
      </c>
      <c r="O371" s="119">
        <f t="shared" si="127"/>
        <v>4750</v>
      </c>
      <c r="P371" s="119">
        <f t="shared" si="128"/>
        <v>29750</v>
      </c>
      <c r="Q371" s="115"/>
      <c r="R371" s="115"/>
      <c r="S371" s="11"/>
      <c r="T371" s="247"/>
      <c r="U371" s="247"/>
      <c r="V371" s="247"/>
      <c r="W371" s="17"/>
      <c r="X371" s="11"/>
      <c r="Y371" s="11"/>
      <c r="Z371" s="247"/>
      <c r="AA371" s="247"/>
      <c r="AB371" s="247"/>
      <c r="AC371" s="44"/>
      <c r="AD371" s="22"/>
      <c r="AE371" s="17"/>
      <c r="AF371" s="247"/>
      <c r="AG371" s="247"/>
      <c r="AH371" s="151"/>
      <c r="AI371" s="22"/>
      <c r="AJ371" s="17"/>
      <c r="AK371" s="17"/>
      <c r="AL371" s="102"/>
      <c r="AM371" s="132"/>
      <c r="AN371" s="161"/>
      <c r="AO371" s="115"/>
      <c r="AP371" s="115"/>
      <c r="AQ371" s="17"/>
      <c r="AR371" s="247"/>
      <c r="AS371" s="247"/>
      <c r="AT371" s="247"/>
      <c r="AU371" s="17"/>
      <c r="AV371" s="17"/>
      <c r="AW371" s="17"/>
      <c r="AX371" s="247"/>
      <c r="AY371" s="247"/>
      <c r="AZ371" s="247"/>
      <c r="BA371" s="17"/>
      <c r="BB371" s="52"/>
      <c r="BC371" s="17"/>
      <c r="BD371" s="247"/>
      <c r="BE371" s="247"/>
      <c r="BF371" s="247"/>
      <c r="BG371" s="17"/>
      <c r="BH371" s="17"/>
      <c r="BI371" s="17"/>
      <c r="BJ371" s="247">
        <v>34750</v>
      </c>
      <c r="BK371" s="247">
        <f t="shared" si="109"/>
        <v>6602.5</v>
      </c>
      <c r="BL371" s="247">
        <f t="shared" si="110"/>
        <v>41352.5</v>
      </c>
      <c r="BM371" s="190" t="s">
        <v>1705</v>
      </c>
      <c r="BN371" s="190" t="s">
        <v>1704</v>
      </c>
      <c r="BO371" s="17"/>
      <c r="BP371" s="247">
        <v>26000</v>
      </c>
      <c r="BQ371" s="247">
        <f t="shared" si="112"/>
        <v>4940</v>
      </c>
      <c r="BR371" s="247">
        <f t="shared" si="115"/>
        <v>30940</v>
      </c>
      <c r="BS371" s="17"/>
      <c r="BT371" s="17"/>
      <c r="BU371" s="17"/>
      <c r="BV371" s="195">
        <v>40179.618000000002</v>
      </c>
      <c r="BW371" s="195">
        <f t="shared" si="125"/>
        <v>7634.1274200000007</v>
      </c>
      <c r="BX371" s="246">
        <f t="shared" si="126"/>
        <v>47813.745420000007</v>
      </c>
      <c r="BY371" s="190" t="s">
        <v>1705</v>
      </c>
      <c r="BZ371" s="190" t="s">
        <v>1704</v>
      </c>
      <c r="CA371" s="190"/>
      <c r="CB371" s="247"/>
      <c r="CC371" s="247"/>
      <c r="CD371" s="247"/>
      <c r="CE371" s="17"/>
      <c r="CF371" s="17"/>
      <c r="CG371" s="17"/>
      <c r="CH371" s="247"/>
      <c r="CI371" s="247"/>
      <c r="CJ371" s="247"/>
      <c r="CK371" s="17"/>
      <c r="CL371" s="17"/>
      <c r="CM371" s="17"/>
      <c r="CN371" s="17"/>
      <c r="CO371" s="17"/>
      <c r="CP371" s="11"/>
      <c r="CQ371" s="11"/>
      <c r="CR371" s="11"/>
      <c r="CS371" s="11"/>
      <c r="CT371" s="247"/>
      <c r="CU371" s="247"/>
      <c r="CV371" s="247"/>
      <c r="CW371" s="11"/>
      <c r="CX371" s="11"/>
      <c r="CY371" s="11"/>
      <c r="CZ371" s="11"/>
      <c r="DA371" s="11"/>
      <c r="DB371" s="11"/>
      <c r="DC371" s="11"/>
      <c r="DD371" s="11"/>
      <c r="DE371" s="11"/>
      <c r="DF371" s="11"/>
      <c r="DG371" s="11"/>
      <c r="DH371" s="11"/>
      <c r="DI371" s="11"/>
      <c r="DJ371" s="11"/>
      <c r="DK371" s="11"/>
      <c r="DL371" s="247"/>
      <c r="DM371" s="247"/>
      <c r="DN371" s="247"/>
      <c r="DO371" s="247"/>
      <c r="DP371" s="247"/>
      <c r="DQ371" s="247"/>
      <c r="DR371" s="247"/>
      <c r="DS371" s="247"/>
      <c r="DT371" s="247"/>
      <c r="DU371" s="247"/>
      <c r="DV371" s="247"/>
      <c r="DW371" s="247"/>
      <c r="DX371" s="247"/>
      <c r="DY371" s="247"/>
      <c r="DZ371" s="247"/>
      <c r="EA371" s="247"/>
      <c r="EB371" s="247"/>
      <c r="EC371" s="247"/>
      <c r="ED371" s="17">
        <f t="shared" si="113"/>
        <v>210344.54041999998</v>
      </c>
      <c r="EE371" s="29">
        <f t="shared" si="114"/>
        <v>5</v>
      </c>
      <c r="EF371" s="17">
        <f t="shared" si="111"/>
        <v>42068.908083999995</v>
      </c>
    </row>
    <row r="372" spans="1:136" x14ac:dyDescent="0.25">
      <c r="A372" s="25">
        <f>Distribución_Elementos!A372</f>
        <v>370</v>
      </c>
      <c r="B372" s="22" t="str">
        <f>Distribución_Elementos!B372</f>
        <v>Pilas AAA recargables</v>
      </c>
      <c r="C372" s="22" t="str">
        <f>Distribución_Elementos!C372</f>
        <v>Cualquier marca</v>
      </c>
      <c r="D372" s="22" t="str">
        <f>Distribución_Elementos!D372</f>
        <v>Par</v>
      </c>
      <c r="E372" s="224">
        <v>1</v>
      </c>
      <c r="F372" s="221">
        <v>0</v>
      </c>
      <c r="G372" s="221">
        <v>0</v>
      </c>
      <c r="H372" s="221">
        <v>72193.333333333328</v>
      </c>
      <c r="I372" s="221">
        <v>72114</v>
      </c>
      <c r="J372" s="221">
        <v>28311.42222222222</v>
      </c>
      <c r="K372" s="221">
        <v>19040</v>
      </c>
      <c r="L372" s="247">
        <f>AVERAGE(H372,J372)</f>
        <v>50252.377777777772</v>
      </c>
      <c r="M372" s="247">
        <f>AVERAGE(I372,K372)*E1</f>
        <v>46944.31</v>
      </c>
      <c r="N372" s="227">
        <v>25000</v>
      </c>
      <c r="O372" s="119">
        <f t="shared" si="127"/>
        <v>4750</v>
      </c>
      <c r="P372" s="119">
        <f t="shared" si="128"/>
        <v>29750</v>
      </c>
      <c r="Q372" s="115"/>
      <c r="R372" s="115"/>
      <c r="S372" s="11"/>
      <c r="T372" s="247"/>
      <c r="U372" s="247"/>
      <c r="V372" s="247"/>
      <c r="W372" s="17"/>
      <c r="X372" s="11"/>
      <c r="Y372" s="11"/>
      <c r="Z372" s="247"/>
      <c r="AA372" s="247"/>
      <c r="AB372" s="247"/>
      <c r="AC372" s="44"/>
      <c r="AD372" s="22"/>
      <c r="AE372" s="17"/>
      <c r="AF372" s="247"/>
      <c r="AG372" s="247"/>
      <c r="AH372" s="151"/>
      <c r="AI372" s="22"/>
      <c r="AJ372" s="17"/>
      <c r="AK372" s="17"/>
      <c r="AL372" s="102"/>
      <c r="AM372" s="132"/>
      <c r="AN372" s="161"/>
      <c r="AO372" s="115"/>
      <c r="AP372" s="115"/>
      <c r="AQ372" s="17"/>
      <c r="AR372" s="247"/>
      <c r="AS372" s="247"/>
      <c r="AT372" s="247"/>
      <c r="AU372" s="17"/>
      <c r="AV372" s="17"/>
      <c r="AW372" s="17"/>
      <c r="AX372" s="247"/>
      <c r="AY372" s="247"/>
      <c r="AZ372" s="247"/>
      <c r="BA372" s="17"/>
      <c r="BB372" s="52"/>
      <c r="BC372" s="17"/>
      <c r="BD372" s="247"/>
      <c r="BE372" s="247"/>
      <c r="BF372" s="247"/>
      <c r="BG372" s="17"/>
      <c r="BH372" s="17"/>
      <c r="BI372" s="17"/>
      <c r="BJ372" s="247">
        <v>56750</v>
      </c>
      <c r="BK372" s="247">
        <f t="shared" si="109"/>
        <v>10782.5</v>
      </c>
      <c r="BL372" s="247">
        <f t="shared" si="110"/>
        <v>67532.5</v>
      </c>
      <c r="BM372" s="190" t="s">
        <v>1705</v>
      </c>
      <c r="BN372" s="190" t="s">
        <v>1548</v>
      </c>
      <c r="BO372" s="17"/>
      <c r="BP372" s="247">
        <v>35200</v>
      </c>
      <c r="BQ372" s="247">
        <f t="shared" si="112"/>
        <v>6688</v>
      </c>
      <c r="BR372" s="247">
        <f t="shared" si="115"/>
        <v>41888</v>
      </c>
      <c r="BS372" s="17"/>
      <c r="BT372" s="17"/>
      <c r="BU372" s="17"/>
      <c r="BV372" s="195">
        <v>66940.484000000011</v>
      </c>
      <c r="BW372" s="195">
        <f t="shared" si="125"/>
        <v>12718.691960000002</v>
      </c>
      <c r="BX372" s="246">
        <f t="shared" si="126"/>
        <v>79659.175960000008</v>
      </c>
      <c r="BY372" s="190" t="s">
        <v>1705</v>
      </c>
      <c r="BZ372" s="190" t="s">
        <v>1548</v>
      </c>
      <c r="CA372" s="190"/>
      <c r="CB372" s="247"/>
      <c r="CC372" s="247"/>
      <c r="CD372" s="247"/>
      <c r="CE372" s="17"/>
      <c r="CF372" s="17"/>
      <c r="CG372" s="17"/>
      <c r="CH372" s="247"/>
      <c r="CI372" s="247"/>
      <c r="CJ372" s="247"/>
      <c r="CK372" s="17"/>
      <c r="CL372" s="17"/>
      <c r="CM372" s="17"/>
      <c r="CN372" s="17"/>
      <c r="CO372" s="17"/>
      <c r="CP372" s="11"/>
      <c r="CQ372" s="11"/>
      <c r="CR372" s="11"/>
      <c r="CS372" s="11"/>
      <c r="CT372" s="247"/>
      <c r="CU372" s="247"/>
      <c r="CV372" s="247"/>
      <c r="CW372" s="11"/>
      <c r="CX372" s="11"/>
      <c r="CY372" s="11"/>
      <c r="CZ372" s="11"/>
      <c r="DA372" s="11"/>
      <c r="DB372" s="11"/>
      <c r="DC372" s="11"/>
      <c r="DD372" s="11"/>
      <c r="DE372" s="11"/>
      <c r="DF372" s="11"/>
      <c r="DG372" s="11"/>
      <c r="DH372" s="11"/>
      <c r="DI372" s="11"/>
      <c r="DJ372" s="11"/>
      <c r="DK372" s="11"/>
      <c r="DL372" s="247"/>
      <c r="DM372" s="247"/>
      <c r="DN372" s="247"/>
      <c r="DO372" s="247"/>
      <c r="DP372" s="247"/>
      <c r="DQ372" s="247"/>
      <c r="DR372" s="247"/>
      <c r="DS372" s="247"/>
      <c r="DT372" s="247"/>
      <c r="DU372" s="247"/>
      <c r="DV372" s="247"/>
      <c r="DW372" s="247"/>
      <c r="DX372" s="247"/>
      <c r="DY372" s="247"/>
      <c r="DZ372" s="247"/>
      <c r="EA372" s="247"/>
      <c r="EB372" s="247"/>
      <c r="EC372" s="247"/>
      <c r="ED372" s="17">
        <f t="shared" si="113"/>
        <v>265773.98596000002</v>
      </c>
      <c r="EE372" s="29">
        <f t="shared" si="114"/>
        <v>5</v>
      </c>
      <c r="EF372" s="17">
        <f t="shared" si="111"/>
        <v>53154.797192000005</v>
      </c>
    </row>
    <row r="373" spans="1:136" x14ac:dyDescent="0.25">
      <c r="A373" s="25">
        <f>Distribución_Elementos!A373</f>
        <v>371</v>
      </c>
      <c r="B373" s="22" t="str">
        <f>Distribución_Elementos!B373</f>
        <v>Pilas de reloj para timers</v>
      </c>
      <c r="C373" s="22" t="str">
        <f>Distribución_Elementos!C373</f>
        <v>GPA76</v>
      </c>
      <c r="D373" s="22" t="str">
        <f>Distribución_Elementos!D373</f>
        <v>Par</v>
      </c>
      <c r="E373" s="224">
        <v>1</v>
      </c>
      <c r="F373" s="221">
        <v>11900</v>
      </c>
      <c r="G373" s="221">
        <v>11543</v>
      </c>
      <c r="H373" s="221">
        <v>10722.974966666667</v>
      </c>
      <c r="I373" s="221">
        <v>10591</v>
      </c>
      <c r="J373" s="221">
        <v>12303.938888888888</v>
      </c>
      <c r="K373" s="221">
        <v>9520</v>
      </c>
      <c r="L373" s="247">
        <f>AVERAGE(F373,H373,J373)</f>
        <v>11642.304618518518</v>
      </c>
      <c r="M373" s="247">
        <f>AVERAGE(G373,I373,K373)*E1</f>
        <v>10867.873333333335</v>
      </c>
      <c r="N373" s="227">
        <v>7500</v>
      </c>
      <c r="O373" s="119">
        <f t="shared" si="127"/>
        <v>1425</v>
      </c>
      <c r="P373" s="119">
        <f t="shared" si="128"/>
        <v>8925</v>
      </c>
      <c r="Q373" s="115"/>
      <c r="R373" s="115"/>
      <c r="S373" s="11"/>
      <c r="T373" s="247"/>
      <c r="U373" s="247"/>
      <c r="V373" s="247"/>
      <c r="W373" s="17"/>
      <c r="X373" s="11"/>
      <c r="Y373" s="11"/>
      <c r="Z373" s="247"/>
      <c r="AA373" s="247"/>
      <c r="AB373" s="247"/>
      <c r="AC373" s="44"/>
      <c r="AD373" s="22"/>
      <c r="AE373" s="17"/>
      <c r="AF373" s="247"/>
      <c r="AG373" s="247"/>
      <c r="AH373" s="151"/>
      <c r="AI373" s="22"/>
      <c r="AJ373" s="17"/>
      <c r="AK373" s="17"/>
      <c r="AL373" s="102"/>
      <c r="AM373" s="132"/>
      <c r="AN373" s="161"/>
      <c r="AO373" s="115"/>
      <c r="AP373" s="115"/>
      <c r="AQ373" s="17"/>
      <c r="AR373" s="247"/>
      <c r="AS373" s="247"/>
      <c r="AT373" s="247"/>
      <c r="AU373" s="17"/>
      <c r="AV373" s="17"/>
      <c r="AW373" s="17"/>
      <c r="AX373" s="247"/>
      <c r="AY373" s="247"/>
      <c r="AZ373" s="247"/>
      <c r="BA373" s="17"/>
      <c r="BB373" s="52"/>
      <c r="BC373" s="17"/>
      <c r="BD373" s="247"/>
      <c r="BE373" s="247"/>
      <c r="BF373" s="247"/>
      <c r="BG373" s="17"/>
      <c r="BH373" s="17"/>
      <c r="BI373" s="17"/>
      <c r="BJ373" s="247">
        <v>8200</v>
      </c>
      <c r="BK373" s="247">
        <f t="shared" si="109"/>
        <v>1558</v>
      </c>
      <c r="BL373" s="247">
        <f t="shared" si="110"/>
        <v>9758</v>
      </c>
      <c r="BM373" s="191" t="s">
        <v>1629</v>
      </c>
      <c r="BN373" s="190" t="s">
        <v>1548</v>
      </c>
      <c r="BO373" s="17"/>
      <c r="BP373" s="247">
        <v>12500</v>
      </c>
      <c r="BQ373" s="247">
        <f t="shared" si="112"/>
        <v>2375</v>
      </c>
      <c r="BR373" s="247">
        <f t="shared" si="115"/>
        <v>14875</v>
      </c>
      <c r="BS373" s="17"/>
      <c r="BT373" s="17"/>
      <c r="BU373" s="17"/>
      <c r="BV373" s="195">
        <v>8787.2184000000016</v>
      </c>
      <c r="BW373" s="195">
        <f t="shared" si="125"/>
        <v>1669.5714960000003</v>
      </c>
      <c r="BX373" s="246">
        <f t="shared" si="126"/>
        <v>10456.789896000002</v>
      </c>
      <c r="BY373" s="191" t="s">
        <v>1629</v>
      </c>
      <c r="BZ373" s="190" t="s">
        <v>1548</v>
      </c>
      <c r="CA373" s="190"/>
      <c r="CB373" s="247"/>
      <c r="CC373" s="247"/>
      <c r="CD373" s="247"/>
      <c r="CE373" s="17"/>
      <c r="CF373" s="17"/>
      <c r="CG373" s="17"/>
      <c r="CH373" s="247"/>
      <c r="CI373" s="247"/>
      <c r="CJ373" s="247"/>
      <c r="CK373" s="17"/>
      <c r="CL373" s="17"/>
      <c r="CM373" s="17"/>
      <c r="CN373" s="17"/>
      <c r="CO373" s="17"/>
      <c r="CP373" s="11"/>
      <c r="CQ373" s="11"/>
      <c r="CR373" s="11"/>
      <c r="CS373" s="11"/>
      <c r="CT373" s="247"/>
      <c r="CU373" s="247"/>
      <c r="CV373" s="247"/>
      <c r="CW373" s="11"/>
      <c r="CX373" s="11"/>
      <c r="CY373" s="11"/>
      <c r="CZ373" s="11"/>
      <c r="DA373" s="11"/>
      <c r="DB373" s="11"/>
      <c r="DC373" s="11"/>
      <c r="DD373" s="11"/>
      <c r="DE373" s="11"/>
      <c r="DF373" s="11"/>
      <c r="DG373" s="11"/>
      <c r="DH373" s="11"/>
      <c r="DI373" s="11"/>
      <c r="DJ373" s="11"/>
      <c r="DK373" s="11"/>
      <c r="DL373" s="247"/>
      <c r="DM373" s="247"/>
      <c r="DN373" s="247"/>
      <c r="DO373" s="247"/>
      <c r="DP373" s="247"/>
      <c r="DQ373" s="247"/>
      <c r="DR373" s="247"/>
      <c r="DS373" s="247"/>
      <c r="DT373" s="247"/>
      <c r="DU373" s="247"/>
      <c r="DV373" s="247"/>
      <c r="DW373" s="247"/>
      <c r="DX373" s="247"/>
      <c r="DY373" s="247"/>
      <c r="DZ373" s="247"/>
      <c r="EA373" s="247"/>
      <c r="EB373" s="247"/>
      <c r="EC373" s="247"/>
      <c r="ED373" s="17">
        <f t="shared" si="113"/>
        <v>54882.663229333339</v>
      </c>
      <c r="EE373" s="29">
        <f t="shared" si="114"/>
        <v>5</v>
      </c>
      <c r="EF373" s="17">
        <f t="shared" si="111"/>
        <v>10976.532645866668</v>
      </c>
    </row>
    <row r="374" spans="1:136" x14ac:dyDescent="0.25">
      <c r="A374" s="25">
        <f>Distribución_Elementos!A374</f>
        <v>372</v>
      </c>
      <c r="B374" s="22" t="str">
        <f>Distribución_Elementos!B374</f>
        <v>Pincel No. 000</v>
      </c>
      <c r="C374" s="22" t="str">
        <f>Distribución_Elementos!C374</f>
        <v>Cualquier marca</v>
      </c>
      <c r="D374" s="22" t="str">
        <f>Distribución_Elementos!D374</f>
        <v>Unidad</v>
      </c>
      <c r="E374" s="224">
        <v>1</v>
      </c>
      <c r="F374" s="221">
        <v>7318.5</v>
      </c>
      <c r="G374" s="221">
        <v>7021</v>
      </c>
      <c r="H374" s="221">
        <v>7878.3640599999999</v>
      </c>
      <c r="I374" s="221">
        <v>0</v>
      </c>
      <c r="J374" s="221">
        <v>0</v>
      </c>
      <c r="K374" s="221">
        <v>0</v>
      </c>
      <c r="L374" s="247">
        <f>AVERAGE(F374,H374)</f>
        <v>7598.4320299999999</v>
      </c>
      <c r="M374" s="247">
        <f>G374*E1</f>
        <v>7231.63</v>
      </c>
      <c r="N374" s="227">
        <v>5000</v>
      </c>
      <c r="O374" s="119">
        <f t="shared" si="127"/>
        <v>950</v>
      </c>
      <c r="P374" s="119">
        <f t="shared" si="128"/>
        <v>5950</v>
      </c>
      <c r="Q374" s="115"/>
      <c r="R374" s="115"/>
      <c r="S374" s="11"/>
      <c r="T374" s="247"/>
      <c r="U374" s="247"/>
      <c r="V374" s="247"/>
      <c r="W374" s="17"/>
      <c r="X374" s="11"/>
      <c r="Y374" s="11"/>
      <c r="Z374" s="247"/>
      <c r="AA374" s="247"/>
      <c r="AB374" s="247"/>
      <c r="AC374" s="5"/>
      <c r="AD374" s="5"/>
      <c r="AE374" s="17"/>
      <c r="AF374" s="247"/>
      <c r="AG374" s="247"/>
      <c r="AH374" s="149"/>
      <c r="AI374" s="5"/>
      <c r="AJ374" s="17"/>
      <c r="AK374" s="17"/>
      <c r="AL374" s="102"/>
      <c r="AM374" s="132"/>
      <c r="AN374" s="161"/>
      <c r="AO374" s="115"/>
      <c r="AP374" s="115"/>
      <c r="AQ374" s="17"/>
      <c r="AR374" s="247"/>
      <c r="AS374" s="247"/>
      <c r="AT374" s="247"/>
      <c r="AU374" s="17"/>
      <c r="AV374" s="17"/>
      <c r="AW374" s="17"/>
      <c r="AX374" s="247"/>
      <c r="AY374" s="247"/>
      <c r="AZ374" s="247"/>
      <c r="BA374" s="17"/>
      <c r="BB374" s="52"/>
      <c r="BC374" s="17"/>
      <c r="BD374" s="247"/>
      <c r="BE374" s="247"/>
      <c r="BF374" s="247"/>
      <c r="BG374" s="17"/>
      <c r="BH374" s="17"/>
      <c r="BI374" s="17"/>
      <c r="BJ374" s="247">
        <v>7250</v>
      </c>
      <c r="BK374" s="247">
        <f t="shared" si="109"/>
        <v>1377.5</v>
      </c>
      <c r="BL374" s="247">
        <f t="shared" si="110"/>
        <v>8627.5</v>
      </c>
      <c r="BM374" s="190" t="s">
        <v>375</v>
      </c>
      <c r="BN374" s="190" t="s">
        <v>1706</v>
      </c>
      <c r="BO374" s="17"/>
      <c r="BP374" s="247">
        <v>16000</v>
      </c>
      <c r="BQ374" s="247">
        <f t="shared" si="112"/>
        <v>3040</v>
      </c>
      <c r="BR374" s="247">
        <f t="shared" si="115"/>
        <v>19040</v>
      </c>
      <c r="BS374" s="17"/>
      <c r="BT374" s="17"/>
      <c r="BU374" s="17"/>
      <c r="BV374" s="195">
        <v>8714.7900000000027</v>
      </c>
      <c r="BW374" s="195">
        <f t="shared" si="125"/>
        <v>1655.8101000000006</v>
      </c>
      <c r="BX374" s="246">
        <f t="shared" si="126"/>
        <v>10370.600100000003</v>
      </c>
      <c r="BY374" s="190" t="s">
        <v>375</v>
      </c>
      <c r="BZ374" s="190" t="s">
        <v>1706</v>
      </c>
      <c r="CA374" s="190"/>
      <c r="CB374" s="247"/>
      <c r="CC374" s="247"/>
      <c r="CD374" s="247"/>
      <c r="CE374" s="17"/>
      <c r="CF374" s="17"/>
      <c r="CG374" s="17"/>
      <c r="CH374" s="247"/>
      <c r="CI374" s="247"/>
      <c r="CJ374" s="247"/>
      <c r="CK374" s="17"/>
      <c r="CL374" s="17"/>
      <c r="CM374" s="17"/>
      <c r="CN374" s="17"/>
      <c r="CO374" s="17"/>
      <c r="CP374" s="11"/>
      <c r="CQ374" s="11"/>
      <c r="CR374" s="11"/>
      <c r="CS374" s="11"/>
      <c r="CT374" s="247"/>
      <c r="CU374" s="247"/>
      <c r="CV374" s="247"/>
      <c r="CW374" s="11"/>
      <c r="CX374" s="11"/>
      <c r="CY374" s="11"/>
      <c r="CZ374" s="11"/>
      <c r="DA374" s="11"/>
      <c r="DB374" s="11"/>
      <c r="DC374" s="11"/>
      <c r="DD374" s="11"/>
      <c r="DE374" s="11"/>
      <c r="DF374" s="11"/>
      <c r="DG374" s="11"/>
      <c r="DH374" s="11"/>
      <c r="DI374" s="11"/>
      <c r="DJ374" s="11"/>
      <c r="DK374" s="11"/>
      <c r="DL374" s="247"/>
      <c r="DM374" s="247"/>
      <c r="DN374" s="247"/>
      <c r="DO374" s="247"/>
      <c r="DP374" s="247"/>
      <c r="DQ374" s="247"/>
      <c r="DR374" s="247"/>
      <c r="DS374" s="247"/>
      <c r="DT374" s="247"/>
      <c r="DU374" s="247"/>
      <c r="DV374" s="247"/>
      <c r="DW374" s="247"/>
      <c r="DX374" s="247"/>
      <c r="DY374" s="247"/>
      <c r="DZ374" s="247"/>
      <c r="EA374" s="247"/>
      <c r="EB374" s="247"/>
      <c r="EC374" s="247"/>
      <c r="ED374" s="17">
        <f t="shared" si="113"/>
        <v>51219.730100000008</v>
      </c>
      <c r="EE374" s="29">
        <f t="shared" si="114"/>
        <v>5</v>
      </c>
      <c r="EF374" s="17">
        <f t="shared" si="111"/>
        <v>10243.946020000001</v>
      </c>
    </row>
    <row r="375" spans="1:136" x14ac:dyDescent="0.25">
      <c r="A375" s="25">
        <f>Distribución_Elementos!A375</f>
        <v>373</v>
      </c>
      <c r="B375" s="22" t="str">
        <f>Distribución_Elementos!B375</f>
        <v>Pincel No. 0000</v>
      </c>
      <c r="C375" s="22" t="str">
        <f>Distribución_Elementos!C375</f>
        <v>Cualquier marca</v>
      </c>
      <c r="D375" s="22" t="str">
        <f>Distribución_Elementos!D375</f>
        <v>Unidad</v>
      </c>
      <c r="E375" s="224">
        <v>1</v>
      </c>
      <c r="F375" s="221">
        <v>5355</v>
      </c>
      <c r="G375" s="221">
        <v>0</v>
      </c>
      <c r="H375" s="221">
        <v>9321.6666666666661</v>
      </c>
      <c r="I375" s="221">
        <v>0</v>
      </c>
      <c r="J375" s="221">
        <v>8633.4500000000007</v>
      </c>
      <c r="K375" s="221">
        <v>0</v>
      </c>
      <c r="L375" s="247">
        <f>AVERAGE(F375,H375,J375)</f>
        <v>7770.0388888888892</v>
      </c>
      <c r="M375" s="247"/>
      <c r="N375" s="227">
        <v>5500</v>
      </c>
      <c r="O375" s="119">
        <f t="shared" si="127"/>
        <v>1045</v>
      </c>
      <c r="P375" s="119">
        <f t="shared" si="128"/>
        <v>6545</v>
      </c>
      <c r="Q375" s="115"/>
      <c r="R375" s="115"/>
      <c r="S375" s="11"/>
      <c r="T375" s="247"/>
      <c r="U375" s="247"/>
      <c r="V375" s="247"/>
      <c r="W375" s="17"/>
      <c r="X375" s="11"/>
      <c r="Y375" s="11"/>
      <c r="Z375" s="247"/>
      <c r="AA375" s="247"/>
      <c r="AB375" s="247"/>
      <c r="AC375" s="44"/>
      <c r="AD375" s="22"/>
      <c r="AE375" s="17"/>
      <c r="AF375" s="247"/>
      <c r="AG375" s="247"/>
      <c r="AH375" s="151"/>
      <c r="AI375" s="22"/>
      <c r="AJ375" s="17"/>
      <c r="AK375" s="17"/>
      <c r="AL375" s="102"/>
      <c r="AM375" s="132"/>
      <c r="AN375" s="161"/>
      <c r="AO375" s="115"/>
      <c r="AP375" s="115"/>
      <c r="AQ375" s="17"/>
      <c r="AR375" s="247"/>
      <c r="AS375" s="247"/>
      <c r="AT375" s="247"/>
      <c r="AU375" s="17"/>
      <c r="AV375" s="17"/>
      <c r="AW375" s="17"/>
      <c r="AX375" s="247"/>
      <c r="AY375" s="247"/>
      <c r="AZ375" s="247"/>
      <c r="BA375" s="17"/>
      <c r="BB375" s="52"/>
      <c r="BC375" s="17"/>
      <c r="BD375" s="247"/>
      <c r="BE375" s="247"/>
      <c r="BF375" s="247"/>
      <c r="BG375" s="17"/>
      <c r="BH375" s="17"/>
      <c r="BI375" s="17"/>
      <c r="BJ375" s="247"/>
      <c r="BK375" s="247"/>
      <c r="BL375" s="247"/>
      <c r="BM375" s="190"/>
      <c r="BN375" s="190"/>
      <c r="BO375" s="17"/>
      <c r="BP375" s="247">
        <v>18000</v>
      </c>
      <c r="BQ375" s="247">
        <f t="shared" si="112"/>
        <v>3420</v>
      </c>
      <c r="BR375" s="247">
        <f t="shared" si="115"/>
        <v>21420</v>
      </c>
      <c r="BS375" s="17"/>
      <c r="BT375" s="17"/>
      <c r="BU375" s="17"/>
      <c r="BV375" s="189"/>
      <c r="BW375" s="196"/>
      <c r="BX375" s="246"/>
      <c r="BY375" s="190"/>
      <c r="BZ375" s="190"/>
      <c r="CA375" s="190"/>
      <c r="CB375" s="247"/>
      <c r="CC375" s="247"/>
      <c r="CD375" s="247"/>
      <c r="CE375" s="17"/>
      <c r="CF375" s="17"/>
      <c r="CG375" s="17"/>
      <c r="CH375" s="247"/>
      <c r="CI375" s="247"/>
      <c r="CJ375" s="247"/>
      <c r="CK375" s="17"/>
      <c r="CL375" s="17"/>
      <c r="CM375" s="17"/>
      <c r="CN375" s="17"/>
      <c r="CO375" s="17"/>
      <c r="CP375" s="11"/>
      <c r="CQ375" s="11"/>
      <c r="CR375" s="11"/>
      <c r="CS375" s="11"/>
      <c r="CT375" s="247"/>
      <c r="CU375" s="247"/>
      <c r="CV375" s="247"/>
      <c r="CW375" s="11"/>
      <c r="CX375" s="11"/>
      <c r="CY375" s="11"/>
      <c r="CZ375" s="11"/>
      <c r="DA375" s="11"/>
      <c r="DB375" s="11"/>
      <c r="DC375" s="11"/>
      <c r="DD375" s="11"/>
      <c r="DE375" s="11"/>
      <c r="DF375" s="11"/>
      <c r="DG375" s="11"/>
      <c r="DH375" s="11"/>
      <c r="DI375" s="11"/>
      <c r="DJ375" s="11"/>
      <c r="DK375" s="11"/>
      <c r="DL375" s="247"/>
      <c r="DM375" s="247"/>
      <c r="DN375" s="247"/>
      <c r="DO375" s="247"/>
      <c r="DP375" s="247"/>
      <c r="DQ375" s="247"/>
      <c r="DR375" s="247"/>
      <c r="DS375" s="247"/>
      <c r="DT375" s="247"/>
      <c r="DU375" s="247"/>
      <c r="DV375" s="247"/>
      <c r="DW375" s="247"/>
      <c r="DX375" s="247"/>
      <c r="DY375" s="247"/>
      <c r="DZ375" s="247"/>
      <c r="EA375" s="247"/>
      <c r="EB375" s="247"/>
      <c r="EC375" s="247"/>
      <c r="ED375" s="17">
        <f t="shared" si="113"/>
        <v>27965</v>
      </c>
      <c r="EE375" s="29">
        <f t="shared" si="114"/>
        <v>2</v>
      </c>
      <c r="EF375" s="17">
        <f t="shared" si="111"/>
        <v>13982.5</v>
      </c>
    </row>
    <row r="376" spans="1:136" x14ac:dyDescent="0.25">
      <c r="A376" s="25">
        <f>Distribución_Elementos!A376</f>
        <v>374</v>
      </c>
      <c r="B376" s="22" t="str">
        <f>Distribución_Elementos!B376</f>
        <v>Pincel No. 00000</v>
      </c>
      <c r="C376" s="22" t="str">
        <f>Distribución_Elementos!C376</f>
        <v>Cualquier marca</v>
      </c>
      <c r="D376" s="22" t="str">
        <f>Distribución_Elementos!D376</f>
        <v>Unidad</v>
      </c>
      <c r="E376" s="224">
        <v>1</v>
      </c>
      <c r="F376" s="221">
        <v>5355</v>
      </c>
      <c r="G376" s="221">
        <v>0</v>
      </c>
      <c r="H376" s="221">
        <v>11305</v>
      </c>
      <c r="I376" s="221">
        <v>0</v>
      </c>
      <c r="J376" s="221">
        <v>10710</v>
      </c>
      <c r="K376" s="221">
        <v>0</v>
      </c>
      <c r="L376" s="247">
        <f>AVERAGE(F376,H376,J376)</f>
        <v>9123.3333333333339</v>
      </c>
      <c r="M376" s="247"/>
      <c r="N376" s="227">
        <v>6500</v>
      </c>
      <c r="O376" s="119">
        <f t="shared" si="127"/>
        <v>1235</v>
      </c>
      <c r="P376" s="119">
        <f t="shared" si="128"/>
        <v>7735</v>
      </c>
      <c r="Q376" s="115"/>
      <c r="R376" s="115"/>
      <c r="S376" s="11"/>
      <c r="T376" s="247"/>
      <c r="U376" s="247"/>
      <c r="V376" s="247"/>
      <c r="W376" s="17"/>
      <c r="X376" s="11"/>
      <c r="Y376" s="11"/>
      <c r="Z376" s="247"/>
      <c r="AA376" s="247"/>
      <c r="AB376" s="247"/>
      <c r="AC376" s="44"/>
      <c r="AD376" s="22"/>
      <c r="AE376" s="17"/>
      <c r="AF376" s="247"/>
      <c r="AG376" s="247"/>
      <c r="AH376" s="151"/>
      <c r="AI376" s="4"/>
      <c r="AJ376" s="17"/>
      <c r="AK376" s="17"/>
      <c r="AL376" s="102"/>
      <c r="AM376" s="132"/>
      <c r="AN376" s="161"/>
      <c r="AO376" s="115"/>
      <c r="AP376" s="115"/>
      <c r="AQ376" s="17"/>
      <c r="AR376" s="247"/>
      <c r="AS376" s="247"/>
      <c r="AT376" s="247"/>
      <c r="AU376" s="17"/>
      <c r="AV376" s="17"/>
      <c r="AW376" s="17"/>
      <c r="AX376" s="247"/>
      <c r="AY376" s="247"/>
      <c r="AZ376" s="247"/>
      <c r="BA376" s="17"/>
      <c r="BB376" s="52"/>
      <c r="BC376" s="17"/>
      <c r="BD376" s="247"/>
      <c r="BE376" s="247"/>
      <c r="BF376" s="247"/>
      <c r="BG376" s="17"/>
      <c r="BH376" s="17"/>
      <c r="BI376" s="17"/>
      <c r="BJ376" s="247"/>
      <c r="BK376" s="247"/>
      <c r="BL376" s="247"/>
      <c r="BM376" s="190"/>
      <c r="BN376" s="190"/>
      <c r="BO376" s="17"/>
      <c r="BP376" s="247">
        <v>26000</v>
      </c>
      <c r="BQ376" s="247">
        <f t="shared" si="112"/>
        <v>4940</v>
      </c>
      <c r="BR376" s="247">
        <f t="shared" si="115"/>
        <v>30940</v>
      </c>
      <c r="BS376" s="17"/>
      <c r="BT376" s="17"/>
      <c r="BU376" s="17"/>
      <c r="BV376" s="189"/>
      <c r="BW376" s="196"/>
      <c r="BX376" s="246"/>
      <c r="BY376" s="190"/>
      <c r="BZ376" s="190"/>
      <c r="CA376" s="190"/>
      <c r="CB376" s="247"/>
      <c r="CC376" s="247"/>
      <c r="CD376" s="247"/>
      <c r="CE376" s="17"/>
      <c r="CF376" s="17"/>
      <c r="CG376" s="17"/>
      <c r="CH376" s="247"/>
      <c r="CI376" s="247"/>
      <c r="CJ376" s="247"/>
      <c r="CK376" s="17"/>
      <c r="CL376" s="17"/>
      <c r="CM376" s="17"/>
      <c r="CN376" s="17"/>
      <c r="CO376" s="17"/>
      <c r="CP376" s="11"/>
      <c r="CQ376" s="11"/>
      <c r="CR376" s="11"/>
      <c r="CS376" s="11"/>
      <c r="CT376" s="247"/>
      <c r="CU376" s="247"/>
      <c r="CV376" s="247"/>
      <c r="CW376" s="11"/>
      <c r="CX376" s="11"/>
      <c r="CY376" s="11"/>
      <c r="CZ376" s="11"/>
      <c r="DA376" s="11"/>
      <c r="DB376" s="11"/>
      <c r="DC376" s="11"/>
      <c r="DD376" s="11"/>
      <c r="DE376" s="11"/>
      <c r="DF376" s="11"/>
      <c r="DG376" s="11"/>
      <c r="DH376" s="11"/>
      <c r="DI376" s="11"/>
      <c r="DJ376" s="11"/>
      <c r="DK376" s="11"/>
      <c r="DL376" s="247"/>
      <c r="DM376" s="247"/>
      <c r="DN376" s="247"/>
      <c r="DO376" s="247"/>
      <c r="DP376" s="247"/>
      <c r="DQ376" s="247"/>
      <c r="DR376" s="247"/>
      <c r="DS376" s="247"/>
      <c r="DT376" s="247"/>
      <c r="DU376" s="247"/>
      <c r="DV376" s="247"/>
      <c r="DW376" s="247"/>
      <c r="DX376" s="247"/>
      <c r="DY376" s="247"/>
      <c r="DZ376" s="247"/>
      <c r="EA376" s="247"/>
      <c r="EB376" s="247"/>
      <c r="EC376" s="247"/>
      <c r="ED376" s="17">
        <f t="shared" si="113"/>
        <v>38675</v>
      </c>
      <c r="EE376" s="29">
        <f t="shared" si="114"/>
        <v>2</v>
      </c>
      <c r="EF376" s="17">
        <f t="shared" si="111"/>
        <v>19337.5</v>
      </c>
    </row>
    <row r="377" spans="1:136" x14ac:dyDescent="0.25">
      <c r="A377" s="25">
        <f>Distribución_Elementos!A377</f>
        <v>375</v>
      </c>
      <c r="B377" s="22" t="str">
        <f>Distribución_Elementos!B377</f>
        <v>Pincel pelo de marta No. 0</v>
      </c>
      <c r="C377" s="22" t="str">
        <f>Distribución_Elementos!C377</f>
        <v>Cualquier marca</v>
      </c>
      <c r="D377" s="22" t="str">
        <f>Distribución_Elementos!D377</f>
        <v>Unidad</v>
      </c>
      <c r="E377" s="224">
        <v>1</v>
      </c>
      <c r="F377" s="221">
        <v>0</v>
      </c>
      <c r="G377" s="221">
        <v>0</v>
      </c>
      <c r="H377" s="221">
        <v>0</v>
      </c>
      <c r="I377" s="221">
        <v>0</v>
      </c>
      <c r="J377" s="221">
        <v>0</v>
      </c>
      <c r="K377" s="221">
        <v>0</v>
      </c>
      <c r="L377" s="247"/>
      <c r="M377" s="247"/>
      <c r="N377" s="227">
        <v>4000</v>
      </c>
      <c r="O377" s="119">
        <f t="shared" si="127"/>
        <v>760</v>
      </c>
      <c r="P377" s="119">
        <f t="shared" si="128"/>
        <v>4760</v>
      </c>
      <c r="Q377" s="115"/>
      <c r="R377" s="115"/>
      <c r="S377" s="11"/>
      <c r="T377" s="247"/>
      <c r="U377" s="247"/>
      <c r="V377" s="247"/>
      <c r="W377" s="17"/>
      <c r="X377" s="11"/>
      <c r="Y377" s="11"/>
      <c r="Z377" s="247"/>
      <c r="AA377" s="247"/>
      <c r="AB377" s="247"/>
      <c r="AC377" s="44"/>
      <c r="AD377" s="22"/>
      <c r="AE377" s="17"/>
      <c r="AF377" s="247"/>
      <c r="AG377" s="247"/>
      <c r="AH377" s="151"/>
      <c r="AI377" s="4"/>
      <c r="AJ377" s="17"/>
      <c r="AK377" s="17"/>
      <c r="AL377" s="102"/>
      <c r="AM377" s="132"/>
      <c r="AN377" s="161"/>
      <c r="AO377" s="115"/>
      <c r="AP377" s="115"/>
      <c r="AQ377" s="17"/>
      <c r="AR377" s="247"/>
      <c r="AS377" s="247"/>
      <c r="AT377" s="247"/>
      <c r="AU377" s="17"/>
      <c r="AV377" s="17"/>
      <c r="AW377" s="17"/>
      <c r="AX377" s="247"/>
      <c r="AY377" s="247"/>
      <c r="AZ377" s="247"/>
      <c r="BA377" s="17"/>
      <c r="BB377" s="52"/>
      <c r="BC377" s="17"/>
      <c r="BD377" s="247"/>
      <c r="BE377" s="247"/>
      <c r="BF377" s="247"/>
      <c r="BG377" s="17"/>
      <c r="BH377" s="17"/>
      <c r="BI377" s="17"/>
      <c r="BJ377" s="247"/>
      <c r="BK377" s="247"/>
      <c r="BL377" s="247"/>
      <c r="BM377" s="190"/>
      <c r="BN377" s="190"/>
      <c r="BO377" s="17"/>
      <c r="BP377" s="247">
        <v>32000</v>
      </c>
      <c r="BQ377" s="247">
        <f t="shared" si="112"/>
        <v>6080</v>
      </c>
      <c r="BR377" s="247">
        <f t="shared" si="115"/>
        <v>38080</v>
      </c>
      <c r="BS377" s="17"/>
      <c r="BT377" s="17"/>
      <c r="BU377" s="17"/>
      <c r="BV377" s="189"/>
      <c r="BW377" s="196"/>
      <c r="BX377" s="246"/>
      <c r="BY377" s="190"/>
      <c r="BZ377" s="190"/>
      <c r="CA377" s="190"/>
      <c r="CB377" s="247"/>
      <c r="CC377" s="247"/>
      <c r="CD377" s="247"/>
      <c r="CE377" s="17"/>
      <c r="CF377" s="17"/>
      <c r="CG377" s="17"/>
      <c r="CH377" s="247"/>
      <c r="CI377" s="247"/>
      <c r="CJ377" s="247"/>
      <c r="CK377" s="17"/>
      <c r="CL377" s="17"/>
      <c r="CM377" s="17"/>
      <c r="CN377" s="17"/>
      <c r="CO377" s="17"/>
      <c r="CP377" s="11"/>
      <c r="CQ377" s="11"/>
      <c r="CR377" s="11"/>
      <c r="CS377" s="11"/>
      <c r="CT377" s="247"/>
      <c r="CU377" s="247"/>
      <c r="CV377" s="247"/>
      <c r="CW377" s="11"/>
      <c r="CX377" s="11"/>
      <c r="CY377" s="11"/>
      <c r="CZ377" s="11"/>
      <c r="DA377" s="11"/>
      <c r="DB377" s="11"/>
      <c r="DC377" s="11"/>
      <c r="DD377" s="11"/>
      <c r="DE377" s="11"/>
      <c r="DF377" s="11"/>
      <c r="DG377" s="11"/>
      <c r="DH377" s="11"/>
      <c r="DI377" s="11"/>
      <c r="DJ377" s="11"/>
      <c r="DK377" s="11"/>
      <c r="DL377" s="247"/>
      <c r="DM377" s="247"/>
      <c r="DN377" s="247"/>
      <c r="DO377" s="247"/>
      <c r="DP377" s="247"/>
      <c r="DQ377" s="247"/>
      <c r="DR377" s="247"/>
      <c r="DS377" s="247"/>
      <c r="DT377" s="247"/>
      <c r="DU377" s="247"/>
      <c r="DV377" s="247"/>
      <c r="DW377" s="247"/>
      <c r="DX377" s="247"/>
      <c r="DY377" s="247"/>
      <c r="DZ377" s="247"/>
      <c r="EA377" s="247"/>
      <c r="EB377" s="247"/>
      <c r="EC377" s="247"/>
      <c r="ED377" s="17">
        <f t="shared" si="113"/>
        <v>42840</v>
      </c>
      <c r="EE377" s="29">
        <f t="shared" si="114"/>
        <v>2</v>
      </c>
      <c r="EF377" s="17">
        <f t="shared" si="111"/>
        <v>21420</v>
      </c>
    </row>
    <row r="378" spans="1:136" x14ac:dyDescent="0.25">
      <c r="A378" s="25">
        <f>Distribución_Elementos!A378</f>
        <v>376</v>
      </c>
      <c r="B378" s="22" t="str">
        <f>Distribución_Elementos!B378</f>
        <v>Pinza de disección con garra en acero inoxidable de 11,5 cm</v>
      </c>
      <c r="C378" s="22" t="str">
        <f>Distribución_Elementos!C378</f>
        <v>Cualquier marca</v>
      </c>
      <c r="D378" s="22" t="str">
        <f>Distribución_Elementos!D378</f>
        <v>Unidad</v>
      </c>
      <c r="E378" s="224">
        <v>1</v>
      </c>
      <c r="F378" s="221">
        <v>39032</v>
      </c>
      <c r="G378" s="221">
        <v>37604</v>
      </c>
      <c r="H378" s="221">
        <v>14280</v>
      </c>
      <c r="I378" s="221">
        <v>14161</v>
      </c>
      <c r="J378" s="221">
        <v>32465.844444444447</v>
      </c>
      <c r="K378" s="221">
        <v>28560</v>
      </c>
      <c r="L378" s="247">
        <f>AVERAGE(F378,H378,J378)</f>
        <v>28592.614814814817</v>
      </c>
      <c r="M378" s="247">
        <f>AVERAGE(G378,I378,K378)*E1</f>
        <v>27578.25</v>
      </c>
      <c r="N378" s="227">
        <v>25000</v>
      </c>
      <c r="O378" s="119">
        <f t="shared" si="127"/>
        <v>4750</v>
      </c>
      <c r="P378" s="119">
        <f t="shared" si="128"/>
        <v>29750</v>
      </c>
      <c r="Q378" s="115"/>
      <c r="R378" s="115"/>
      <c r="S378" s="11"/>
      <c r="T378" s="247"/>
      <c r="U378" s="247"/>
      <c r="V378" s="247"/>
      <c r="W378" s="17"/>
      <c r="X378" s="11"/>
      <c r="Y378" s="11"/>
      <c r="Z378" s="247"/>
      <c r="AA378" s="247"/>
      <c r="AB378" s="247"/>
      <c r="AC378" s="44"/>
      <c r="AD378" s="22"/>
      <c r="AE378" s="17"/>
      <c r="AF378" s="247"/>
      <c r="AG378" s="247"/>
      <c r="AH378" s="151"/>
      <c r="AI378" s="4"/>
      <c r="AJ378" s="17"/>
      <c r="AK378" s="17"/>
      <c r="AL378" s="102"/>
      <c r="AM378" s="132"/>
      <c r="AN378" s="161"/>
      <c r="AO378" s="115"/>
      <c r="AP378" s="115"/>
      <c r="AQ378" s="17"/>
      <c r="AR378" s="247">
        <v>6500</v>
      </c>
      <c r="AS378" s="247">
        <f t="shared" ref="AS378:AS388" si="129">+AR378*0.19</f>
        <v>1235</v>
      </c>
      <c r="AT378" s="247">
        <f t="shared" ref="AT378:AT388" si="130">+AR378+AS378</f>
        <v>7735</v>
      </c>
      <c r="AU378" s="17"/>
      <c r="AV378" s="17"/>
      <c r="AW378" s="17"/>
      <c r="AX378" s="247"/>
      <c r="AY378" s="247"/>
      <c r="AZ378" s="247"/>
      <c r="BA378" s="17"/>
      <c r="BB378" s="52"/>
      <c r="BC378" s="17"/>
      <c r="BD378" s="247"/>
      <c r="BE378" s="247"/>
      <c r="BF378" s="247"/>
      <c r="BG378" s="17"/>
      <c r="BH378" s="17"/>
      <c r="BI378" s="17"/>
      <c r="BJ378" s="247">
        <v>19200</v>
      </c>
      <c r="BK378" s="247">
        <f t="shared" si="109"/>
        <v>3648</v>
      </c>
      <c r="BL378" s="247">
        <f t="shared" si="110"/>
        <v>22848</v>
      </c>
      <c r="BM378" s="190" t="s">
        <v>375</v>
      </c>
      <c r="BN378" s="190" t="s">
        <v>1671</v>
      </c>
      <c r="BO378" s="17"/>
      <c r="BP378" s="247">
        <v>25600</v>
      </c>
      <c r="BQ378" s="247">
        <f t="shared" si="112"/>
        <v>4864</v>
      </c>
      <c r="BR378" s="247">
        <f t="shared" si="115"/>
        <v>30464</v>
      </c>
      <c r="BS378" s="17"/>
      <c r="BT378" s="17"/>
      <c r="BU378" s="17"/>
      <c r="BV378" s="195">
        <v>21180.096000000001</v>
      </c>
      <c r="BW378" s="195">
        <f t="shared" ref="BW378:BW389" si="131">+BV378*0.19</f>
        <v>4024.2182400000002</v>
      </c>
      <c r="BX378" s="246">
        <f t="shared" ref="BX378:BX389" si="132">+BV378+BW378</f>
        <v>25204.31424</v>
      </c>
      <c r="BY378" s="190" t="s">
        <v>375</v>
      </c>
      <c r="BZ378" s="190" t="s">
        <v>1671</v>
      </c>
      <c r="CA378" s="190"/>
      <c r="CB378" s="247"/>
      <c r="CC378" s="247"/>
      <c r="CD378" s="247"/>
      <c r="CE378" s="17"/>
      <c r="CF378" s="17"/>
      <c r="CG378" s="17"/>
      <c r="CH378" s="247"/>
      <c r="CI378" s="247"/>
      <c r="CJ378" s="247"/>
      <c r="CK378" s="17"/>
      <c r="CL378" s="17"/>
      <c r="CM378" s="17"/>
      <c r="CN378" s="17"/>
      <c r="CO378" s="17"/>
      <c r="CP378" s="11"/>
      <c r="CQ378" s="11"/>
      <c r="CR378" s="11"/>
      <c r="CS378" s="11"/>
      <c r="CT378" s="247"/>
      <c r="CU378" s="247"/>
      <c r="CV378" s="247"/>
      <c r="CW378" s="11"/>
      <c r="CX378" s="11"/>
      <c r="CY378" s="11"/>
      <c r="CZ378" s="11"/>
      <c r="DA378" s="11"/>
      <c r="DB378" s="11"/>
      <c r="DC378" s="11"/>
      <c r="DD378" s="11"/>
      <c r="DE378" s="11"/>
      <c r="DF378" s="11"/>
      <c r="DG378" s="11"/>
      <c r="DH378" s="11"/>
      <c r="DI378" s="11"/>
      <c r="DJ378" s="11"/>
      <c r="DK378" s="11"/>
      <c r="DL378" s="247"/>
      <c r="DM378" s="247"/>
      <c r="DN378" s="247"/>
      <c r="DO378" s="247"/>
      <c r="DP378" s="247"/>
      <c r="DQ378" s="247"/>
      <c r="DR378" s="247"/>
      <c r="DS378" s="247"/>
      <c r="DT378" s="247"/>
      <c r="DU378" s="247"/>
      <c r="DV378" s="247"/>
      <c r="DW378" s="247"/>
      <c r="DX378" s="247"/>
      <c r="DY378" s="247"/>
      <c r="DZ378" s="247"/>
      <c r="EA378" s="247"/>
      <c r="EB378" s="247"/>
      <c r="EC378" s="247"/>
      <c r="ED378" s="17">
        <f t="shared" si="113"/>
        <v>143579.56424000001</v>
      </c>
      <c r="EE378" s="29">
        <f t="shared" si="114"/>
        <v>6</v>
      </c>
      <c r="EF378" s="17">
        <f t="shared" si="111"/>
        <v>23929.927373333336</v>
      </c>
    </row>
    <row r="379" spans="1:136" x14ac:dyDescent="0.25">
      <c r="A379" s="25">
        <f>Distribución_Elementos!A379</f>
        <v>377</v>
      </c>
      <c r="B379" s="22" t="str">
        <f>Distribución_Elementos!B379</f>
        <v>Pinza de disección con garra en acero inoxidable de 14,5 cm</v>
      </c>
      <c r="C379" s="22" t="str">
        <f>Distribución_Elementos!C379</f>
        <v>Cualquier marca</v>
      </c>
      <c r="D379" s="22" t="str">
        <f>Distribución_Elementos!D379</f>
        <v>Unidad</v>
      </c>
      <c r="E379" s="224">
        <v>1</v>
      </c>
      <c r="F379" s="221">
        <v>7854</v>
      </c>
      <c r="G379" s="221">
        <v>0</v>
      </c>
      <c r="H379" s="221">
        <v>7169.75</v>
      </c>
      <c r="I379" s="221">
        <v>7021</v>
      </c>
      <c r="J379" s="221">
        <v>10481.255555555557</v>
      </c>
      <c r="K379" s="221">
        <v>7973</v>
      </c>
      <c r="L379" s="247">
        <f>AVERAGE(F379,H379,J379)</f>
        <v>8501.6685185185197</v>
      </c>
      <c r="M379" s="247">
        <f>AVERAGE(I379,K379)*E1</f>
        <v>7721.91</v>
      </c>
      <c r="N379" s="227">
        <v>7500</v>
      </c>
      <c r="O379" s="119">
        <f t="shared" si="127"/>
        <v>1425</v>
      </c>
      <c r="P379" s="119">
        <f t="shared" si="128"/>
        <v>8925</v>
      </c>
      <c r="Q379" s="115"/>
      <c r="R379" s="115"/>
      <c r="S379" s="11"/>
      <c r="T379" s="247"/>
      <c r="U379" s="247"/>
      <c r="V379" s="247"/>
      <c r="W379" s="17"/>
      <c r="X379" s="11"/>
      <c r="Y379" s="11"/>
      <c r="Z379" s="247"/>
      <c r="AA379" s="247"/>
      <c r="AB379" s="247"/>
      <c r="AC379" s="44"/>
      <c r="AD379" s="22"/>
      <c r="AE379" s="17"/>
      <c r="AF379" s="247"/>
      <c r="AG379" s="247"/>
      <c r="AH379" s="151"/>
      <c r="AI379" s="4"/>
      <c r="AJ379" s="17"/>
      <c r="AK379" s="17"/>
      <c r="AL379" s="102"/>
      <c r="AM379" s="132"/>
      <c r="AN379" s="161"/>
      <c r="AO379" s="115"/>
      <c r="AP379" s="115"/>
      <c r="AQ379" s="17"/>
      <c r="AR379" s="247">
        <v>9000</v>
      </c>
      <c r="AS379" s="247">
        <f t="shared" si="129"/>
        <v>1710</v>
      </c>
      <c r="AT379" s="247">
        <f t="shared" si="130"/>
        <v>10710</v>
      </c>
      <c r="AU379" s="17"/>
      <c r="AV379" s="17"/>
      <c r="AW379" s="17"/>
      <c r="AX379" s="247"/>
      <c r="AY379" s="247"/>
      <c r="AZ379" s="247"/>
      <c r="BA379" s="17"/>
      <c r="BB379" s="52"/>
      <c r="BC379" s="17"/>
      <c r="BD379" s="247"/>
      <c r="BE379" s="247"/>
      <c r="BF379" s="247"/>
      <c r="BG379" s="17"/>
      <c r="BH379" s="17"/>
      <c r="BI379" s="17"/>
      <c r="BJ379" s="247">
        <v>9100</v>
      </c>
      <c r="BK379" s="247">
        <f t="shared" si="109"/>
        <v>1729</v>
      </c>
      <c r="BL379" s="247">
        <f t="shared" si="110"/>
        <v>10829</v>
      </c>
      <c r="BM379" s="190" t="s">
        <v>375</v>
      </c>
      <c r="BN379" s="190" t="s">
        <v>1500</v>
      </c>
      <c r="BO379" s="17"/>
      <c r="BP379" s="247">
        <v>26000</v>
      </c>
      <c r="BQ379" s="247">
        <f t="shared" si="112"/>
        <v>4940</v>
      </c>
      <c r="BR379" s="247">
        <f t="shared" si="115"/>
        <v>30940</v>
      </c>
      <c r="BS379" s="17"/>
      <c r="BT379" s="17"/>
      <c r="BU379" s="17"/>
      <c r="BV379" s="195">
        <v>10323.331200000001</v>
      </c>
      <c r="BW379" s="195">
        <f t="shared" si="131"/>
        <v>1961.4329280000002</v>
      </c>
      <c r="BX379" s="246">
        <f t="shared" si="132"/>
        <v>12284.764128000001</v>
      </c>
      <c r="BY379" s="190" t="s">
        <v>375</v>
      </c>
      <c r="BZ379" s="190" t="s">
        <v>1500</v>
      </c>
      <c r="CA379" s="190"/>
      <c r="CB379" s="247"/>
      <c r="CC379" s="247"/>
      <c r="CD379" s="247"/>
      <c r="CE379" s="17"/>
      <c r="CF379" s="17"/>
      <c r="CG379" s="17"/>
      <c r="CH379" s="247"/>
      <c r="CI379" s="247"/>
      <c r="CJ379" s="247"/>
      <c r="CK379" s="17"/>
      <c r="CL379" s="17"/>
      <c r="CM379" s="17"/>
      <c r="CN379" s="17"/>
      <c r="CO379" s="17"/>
      <c r="CP379" s="11"/>
      <c r="CQ379" s="11"/>
      <c r="CR379" s="11"/>
      <c r="CS379" s="11"/>
      <c r="CT379" s="247"/>
      <c r="CU379" s="247"/>
      <c r="CV379" s="247"/>
      <c r="CW379" s="11"/>
      <c r="CX379" s="11"/>
      <c r="CY379" s="11"/>
      <c r="CZ379" s="11"/>
      <c r="DA379" s="11"/>
      <c r="DB379" s="11"/>
      <c r="DC379" s="11"/>
      <c r="DD379" s="11"/>
      <c r="DE379" s="11"/>
      <c r="DF379" s="11"/>
      <c r="DG379" s="11"/>
      <c r="DH379" s="11"/>
      <c r="DI379" s="11"/>
      <c r="DJ379" s="11"/>
      <c r="DK379" s="11"/>
      <c r="DL379" s="247"/>
      <c r="DM379" s="247"/>
      <c r="DN379" s="247"/>
      <c r="DO379" s="247"/>
      <c r="DP379" s="247"/>
      <c r="DQ379" s="247"/>
      <c r="DR379" s="247"/>
      <c r="DS379" s="247"/>
      <c r="DT379" s="247"/>
      <c r="DU379" s="247"/>
      <c r="DV379" s="247"/>
      <c r="DW379" s="247"/>
      <c r="DX379" s="247"/>
      <c r="DY379" s="247"/>
      <c r="DZ379" s="247"/>
      <c r="EA379" s="247"/>
      <c r="EB379" s="247"/>
      <c r="EC379" s="247"/>
      <c r="ED379" s="17">
        <f t="shared" si="113"/>
        <v>81410.674127999999</v>
      </c>
      <c r="EE379" s="29">
        <f t="shared" si="114"/>
        <v>6</v>
      </c>
      <c r="EF379" s="17">
        <f t="shared" si="111"/>
        <v>13568.445688</v>
      </c>
    </row>
    <row r="380" spans="1:136" x14ac:dyDescent="0.25">
      <c r="A380" s="25">
        <f>Distribución_Elementos!A380</f>
        <v>378</v>
      </c>
      <c r="B380" s="22" t="str">
        <f>Distribución_Elementos!B380</f>
        <v>Pinza de disección sin garra en acero inoxidable de 14,5 cm</v>
      </c>
      <c r="C380" s="22" t="str">
        <f>Distribución_Elementos!C380</f>
        <v>Cualquier marca</v>
      </c>
      <c r="D380" s="22" t="str">
        <f>Distribución_Elementos!D380</f>
        <v>Unidad</v>
      </c>
      <c r="E380" s="224">
        <v>1</v>
      </c>
      <c r="F380" s="221">
        <v>23621.5</v>
      </c>
      <c r="G380" s="221">
        <v>0</v>
      </c>
      <c r="H380" s="221">
        <v>7021</v>
      </c>
      <c r="I380" s="221">
        <v>0</v>
      </c>
      <c r="J380" s="221">
        <v>7788.55</v>
      </c>
      <c r="K380" s="221">
        <v>7259</v>
      </c>
      <c r="L380" s="247">
        <f>AVERAGE(F380,H380,J380)</f>
        <v>12810.35</v>
      </c>
      <c r="M380" s="247">
        <f>K380*E1</f>
        <v>7476.77</v>
      </c>
      <c r="N380" s="227">
        <v>7500</v>
      </c>
      <c r="O380" s="119">
        <f t="shared" si="127"/>
        <v>1425</v>
      </c>
      <c r="P380" s="119">
        <f t="shared" si="128"/>
        <v>8925</v>
      </c>
      <c r="Q380" s="115"/>
      <c r="R380" s="115"/>
      <c r="S380" s="11"/>
      <c r="T380" s="247"/>
      <c r="U380" s="247"/>
      <c r="V380" s="247"/>
      <c r="W380" s="17"/>
      <c r="X380" s="11"/>
      <c r="Y380" s="11"/>
      <c r="Z380" s="247"/>
      <c r="AA380" s="247"/>
      <c r="AB380" s="247"/>
      <c r="AC380" s="44"/>
      <c r="AD380" s="22"/>
      <c r="AE380" s="17"/>
      <c r="AF380" s="247"/>
      <c r="AG380" s="247"/>
      <c r="AH380" s="151"/>
      <c r="AI380" s="4"/>
      <c r="AJ380" s="17"/>
      <c r="AK380" s="17"/>
      <c r="AL380" s="102"/>
      <c r="AM380" s="132"/>
      <c r="AN380" s="161"/>
      <c r="AO380" s="115"/>
      <c r="AP380" s="115"/>
      <c r="AQ380" s="17"/>
      <c r="AR380" s="247">
        <v>8500</v>
      </c>
      <c r="AS380" s="247">
        <f t="shared" si="129"/>
        <v>1615</v>
      </c>
      <c r="AT380" s="247">
        <f t="shared" si="130"/>
        <v>10115</v>
      </c>
      <c r="AU380" s="17"/>
      <c r="AV380" s="17"/>
      <c r="AW380" s="17"/>
      <c r="AX380" s="247"/>
      <c r="AY380" s="247"/>
      <c r="AZ380" s="247"/>
      <c r="BA380" s="17"/>
      <c r="BB380" s="52"/>
      <c r="BC380" s="17"/>
      <c r="BD380" s="247"/>
      <c r="BE380" s="247"/>
      <c r="BF380" s="247"/>
      <c r="BG380" s="17"/>
      <c r="BH380" s="17"/>
      <c r="BI380" s="17"/>
      <c r="BJ380" s="247">
        <v>41600</v>
      </c>
      <c r="BK380" s="247">
        <f t="shared" si="109"/>
        <v>7904</v>
      </c>
      <c r="BL380" s="247">
        <f t="shared" si="110"/>
        <v>49504</v>
      </c>
      <c r="BM380" s="190" t="s">
        <v>375</v>
      </c>
      <c r="BN380" s="190" t="s">
        <v>1642</v>
      </c>
      <c r="BO380" s="17"/>
      <c r="BP380" s="247">
        <v>23000</v>
      </c>
      <c r="BQ380" s="247">
        <f t="shared" si="112"/>
        <v>4370</v>
      </c>
      <c r="BR380" s="247">
        <f t="shared" si="115"/>
        <v>27370</v>
      </c>
      <c r="BS380" s="17"/>
      <c r="BT380" s="17"/>
      <c r="BU380" s="17"/>
      <c r="BV380" s="195">
        <v>47218.329600000005</v>
      </c>
      <c r="BW380" s="195">
        <f t="shared" si="131"/>
        <v>8971.4826240000002</v>
      </c>
      <c r="BX380" s="246">
        <f t="shared" si="132"/>
        <v>56189.812224000008</v>
      </c>
      <c r="BY380" s="190" t="s">
        <v>375</v>
      </c>
      <c r="BZ380" s="190" t="s">
        <v>1642</v>
      </c>
      <c r="CA380" s="190"/>
      <c r="CB380" s="247"/>
      <c r="CC380" s="247"/>
      <c r="CD380" s="247"/>
      <c r="CE380" s="17"/>
      <c r="CF380" s="17"/>
      <c r="CG380" s="17"/>
      <c r="CH380" s="247"/>
      <c r="CI380" s="247"/>
      <c r="CJ380" s="247"/>
      <c r="CK380" s="17"/>
      <c r="CL380" s="17"/>
      <c r="CM380" s="17"/>
      <c r="CN380" s="17"/>
      <c r="CO380" s="17"/>
      <c r="CP380" s="11"/>
      <c r="CQ380" s="11"/>
      <c r="CR380" s="11"/>
      <c r="CS380" s="11"/>
      <c r="CT380" s="247"/>
      <c r="CU380" s="247"/>
      <c r="CV380" s="247"/>
      <c r="CW380" s="11"/>
      <c r="CX380" s="11"/>
      <c r="CY380" s="11"/>
      <c r="CZ380" s="11"/>
      <c r="DA380" s="11"/>
      <c r="DB380" s="11"/>
      <c r="DC380" s="11"/>
      <c r="DD380" s="11"/>
      <c r="DE380" s="11"/>
      <c r="DF380" s="11"/>
      <c r="DG380" s="11"/>
      <c r="DH380" s="11"/>
      <c r="DI380" s="11"/>
      <c r="DJ380" s="11"/>
      <c r="DK380" s="11"/>
      <c r="DL380" s="247"/>
      <c r="DM380" s="247"/>
      <c r="DN380" s="247"/>
      <c r="DO380" s="247"/>
      <c r="DP380" s="247"/>
      <c r="DQ380" s="247"/>
      <c r="DR380" s="247"/>
      <c r="DS380" s="247"/>
      <c r="DT380" s="247"/>
      <c r="DU380" s="247"/>
      <c r="DV380" s="247"/>
      <c r="DW380" s="247"/>
      <c r="DX380" s="247"/>
      <c r="DY380" s="247"/>
      <c r="DZ380" s="247"/>
      <c r="EA380" s="247"/>
      <c r="EB380" s="247"/>
      <c r="EC380" s="247"/>
      <c r="ED380" s="17">
        <f t="shared" si="113"/>
        <v>159580.58222400001</v>
      </c>
      <c r="EE380" s="29">
        <f t="shared" si="114"/>
        <v>6</v>
      </c>
      <c r="EF380" s="17">
        <f t="shared" si="111"/>
        <v>26596.763704000001</v>
      </c>
    </row>
    <row r="381" spans="1:136" x14ac:dyDescent="0.25">
      <c r="A381" s="25">
        <f>Distribución_Elementos!A381</f>
        <v>379</v>
      </c>
      <c r="B381" s="22" t="str">
        <f>Distribución_Elementos!B381</f>
        <v>Pinza de disección sin garra en acero inoxidable de 16-20 cm</v>
      </c>
      <c r="C381" s="22" t="str">
        <f>Distribución_Elementos!C381</f>
        <v>Cualquier marca</v>
      </c>
      <c r="D381" s="22" t="str">
        <f>Distribución_Elementos!D381</f>
        <v>Unidad</v>
      </c>
      <c r="E381" s="224">
        <v>1</v>
      </c>
      <c r="F381" s="221">
        <v>31297</v>
      </c>
      <c r="G381" s="221">
        <v>29988</v>
      </c>
      <c r="H381" s="221">
        <v>11275.25</v>
      </c>
      <c r="I381" s="221">
        <v>0</v>
      </c>
      <c r="J381" s="221">
        <v>11102.7</v>
      </c>
      <c r="K381" s="221">
        <v>9520</v>
      </c>
      <c r="L381" s="247">
        <f>AVERAGE(F381,H381,J381)</f>
        <v>17891.649999999998</v>
      </c>
      <c r="M381" s="247">
        <f>AVERAGE(G381,K381)*E1</f>
        <v>20346.62</v>
      </c>
      <c r="N381" s="227">
        <v>9500</v>
      </c>
      <c r="O381" s="119">
        <f t="shared" si="127"/>
        <v>1805</v>
      </c>
      <c r="P381" s="119">
        <f t="shared" si="128"/>
        <v>11305</v>
      </c>
      <c r="Q381" s="115"/>
      <c r="R381" s="115"/>
      <c r="S381" s="11"/>
      <c r="T381" s="247"/>
      <c r="U381" s="247"/>
      <c r="V381" s="247"/>
      <c r="W381" s="17"/>
      <c r="X381" s="11"/>
      <c r="Y381" s="11"/>
      <c r="Z381" s="247"/>
      <c r="AA381" s="247"/>
      <c r="AB381" s="247"/>
      <c r="AC381" s="5"/>
      <c r="AD381" s="5"/>
      <c r="AE381" s="17"/>
      <c r="AF381" s="247"/>
      <c r="AG381" s="247"/>
      <c r="AH381" s="149"/>
      <c r="AI381" s="5"/>
      <c r="AJ381" s="17"/>
      <c r="AK381" s="17"/>
      <c r="AL381" s="102"/>
      <c r="AM381" s="132"/>
      <c r="AN381" s="161"/>
      <c r="AO381" s="115"/>
      <c r="AP381" s="115"/>
      <c r="AQ381" s="17"/>
      <c r="AR381" s="247">
        <v>75000</v>
      </c>
      <c r="AS381" s="247">
        <f t="shared" si="129"/>
        <v>14250</v>
      </c>
      <c r="AT381" s="247">
        <f t="shared" si="130"/>
        <v>89250</v>
      </c>
      <c r="AU381" s="17"/>
      <c r="AV381" s="17"/>
      <c r="AW381" s="17"/>
      <c r="AX381" s="247"/>
      <c r="AY381" s="247"/>
      <c r="AZ381" s="247"/>
      <c r="BA381" s="17"/>
      <c r="BB381" s="52"/>
      <c r="BC381" s="17"/>
      <c r="BD381" s="247"/>
      <c r="BE381" s="247"/>
      <c r="BF381" s="247"/>
      <c r="BG381" s="17"/>
      <c r="BH381" s="17"/>
      <c r="BI381" s="17"/>
      <c r="BJ381" s="247">
        <v>52700</v>
      </c>
      <c r="BK381" s="247">
        <f t="shared" si="109"/>
        <v>10013</v>
      </c>
      <c r="BL381" s="247">
        <f t="shared" si="110"/>
        <v>62713</v>
      </c>
      <c r="BM381" s="190" t="s">
        <v>375</v>
      </c>
      <c r="BN381" s="190" t="s">
        <v>1642</v>
      </c>
      <c r="BO381" s="17"/>
      <c r="BP381" s="247">
        <v>28000</v>
      </c>
      <c r="BQ381" s="247">
        <f t="shared" si="112"/>
        <v>5320</v>
      </c>
      <c r="BR381" s="247">
        <f t="shared" si="115"/>
        <v>33320</v>
      </c>
      <c r="BS381" s="17"/>
      <c r="BT381" s="17"/>
      <c r="BU381" s="17"/>
      <c r="BV381" s="195">
        <v>59839.374400000001</v>
      </c>
      <c r="BW381" s="195">
        <f t="shared" si="131"/>
        <v>11369.481136</v>
      </c>
      <c r="BX381" s="246">
        <f t="shared" si="132"/>
        <v>71208.855536000003</v>
      </c>
      <c r="BY381" s="190" t="s">
        <v>375</v>
      </c>
      <c r="BZ381" s="190" t="s">
        <v>1642</v>
      </c>
      <c r="CA381" s="190"/>
      <c r="CB381" s="247"/>
      <c r="CC381" s="247"/>
      <c r="CD381" s="247"/>
      <c r="CE381" s="17"/>
      <c r="CF381" s="17"/>
      <c r="CG381" s="17"/>
      <c r="CH381" s="247"/>
      <c r="CI381" s="247"/>
      <c r="CJ381" s="247"/>
      <c r="CK381" s="17"/>
      <c r="CL381" s="17"/>
      <c r="CM381" s="17"/>
      <c r="CN381" s="17"/>
      <c r="CO381" s="17"/>
      <c r="CP381" s="11"/>
      <c r="CQ381" s="11"/>
      <c r="CR381" s="11"/>
      <c r="CS381" s="11"/>
      <c r="CT381" s="247"/>
      <c r="CU381" s="247"/>
      <c r="CV381" s="247"/>
      <c r="CW381" s="11"/>
      <c r="CX381" s="11"/>
      <c r="CY381" s="11"/>
      <c r="CZ381" s="11"/>
      <c r="DA381" s="11"/>
      <c r="DB381" s="11"/>
      <c r="DC381" s="11"/>
      <c r="DD381" s="11"/>
      <c r="DE381" s="11"/>
      <c r="DF381" s="11"/>
      <c r="DG381" s="11"/>
      <c r="DH381" s="11"/>
      <c r="DI381" s="11"/>
      <c r="DJ381" s="11"/>
      <c r="DK381" s="11"/>
      <c r="DL381" s="247"/>
      <c r="DM381" s="247"/>
      <c r="DN381" s="247"/>
      <c r="DO381" s="247"/>
      <c r="DP381" s="247"/>
      <c r="DQ381" s="247"/>
      <c r="DR381" s="247"/>
      <c r="DS381" s="247"/>
      <c r="DT381" s="247"/>
      <c r="DU381" s="247"/>
      <c r="DV381" s="247"/>
      <c r="DW381" s="247"/>
      <c r="DX381" s="247"/>
      <c r="DY381" s="247"/>
      <c r="DZ381" s="247"/>
      <c r="EA381" s="247"/>
      <c r="EB381" s="247"/>
      <c r="EC381" s="247"/>
      <c r="ED381" s="17">
        <f t="shared" si="113"/>
        <v>288143.47553599998</v>
      </c>
      <c r="EE381" s="29">
        <f t="shared" si="114"/>
        <v>6</v>
      </c>
      <c r="EF381" s="17">
        <f t="shared" si="111"/>
        <v>48023.912589333333</v>
      </c>
    </row>
    <row r="382" spans="1:136" x14ac:dyDescent="0.25">
      <c r="A382" s="25">
        <f>Distribución_Elementos!A382</f>
        <v>380</v>
      </c>
      <c r="B382" s="22" t="str">
        <f>Distribución_Elementos!B382</f>
        <v>Pinza de disección sin garra recta de 12,1 cm de longitud</v>
      </c>
      <c r="C382" s="22" t="str">
        <f>Distribución_Elementos!C382</f>
        <v>Cualquier marca</v>
      </c>
      <c r="D382" s="22" t="str">
        <f>Distribución_Elementos!D382</f>
        <v>Unidad</v>
      </c>
      <c r="E382" s="224">
        <v>1</v>
      </c>
      <c r="F382" s="221">
        <v>29750</v>
      </c>
      <c r="G382" s="221">
        <v>0</v>
      </c>
      <c r="H382" s="221">
        <v>21380.333333333332</v>
      </c>
      <c r="I382" s="221">
        <v>0</v>
      </c>
      <c r="J382" s="221">
        <v>21096.055555555558</v>
      </c>
      <c r="K382" s="221">
        <v>16300</v>
      </c>
      <c r="L382" s="247">
        <f>AVERAGE(F382,H382,J382)</f>
        <v>24075.462962962964</v>
      </c>
      <c r="M382" s="247">
        <f>K382*E1</f>
        <v>16789</v>
      </c>
      <c r="N382" s="227">
        <v>25000</v>
      </c>
      <c r="O382" s="119">
        <f t="shared" si="127"/>
        <v>4750</v>
      </c>
      <c r="P382" s="119">
        <f t="shared" si="128"/>
        <v>29750</v>
      </c>
      <c r="Q382" s="115"/>
      <c r="R382" s="115"/>
      <c r="S382" s="11"/>
      <c r="T382" s="247"/>
      <c r="U382" s="247"/>
      <c r="V382" s="247"/>
      <c r="W382" s="17"/>
      <c r="X382" s="11"/>
      <c r="Y382" s="11"/>
      <c r="Z382" s="247"/>
      <c r="AA382" s="247"/>
      <c r="AB382" s="247"/>
      <c r="AC382" s="44"/>
      <c r="AD382" s="22"/>
      <c r="AE382" s="17"/>
      <c r="AF382" s="247"/>
      <c r="AG382" s="247"/>
      <c r="AH382" s="151"/>
      <c r="AI382" s="4"/>
      <c r="AJ382" s="17"/>
      <c r="AK382" s="17"/>
      <c r="AL382" s="102"/>
      <c r="AM382" s="132"/>
      <c r="AN382" s="161"/>
      <c r="AO382" s="115"/>
      <c r="AP382" s="115"/>
      <c r="AQ382" s="17"/>
      <c r="AR382" s="247">
        <v>8500</v>
      </c>
      <c r="AS382" s="247">
        <f t="shared" si="129"/>
        <v>1615</v>
      </c>
      <c r="AT382" s="247">
        <f t="shared" si="130"/>
        <v>10115</v>
      </c>
      <c r="AU382" s="17"/>
      <c r="AV382" s="17"/>
      <c r="AW382" s="17"/>
      <c r="AX382" s="247"/>
      <c r="AY382" s="247"/>
      <c r="AZ382" s="247"/>
      <c r="BA382" s="17"/>
      <c r="BB382" s="52"/>
      <c r="BC382" s="17"/>
      <c r="BD382" s="247"/>
      <c r="BE382" s="247"/>
      <c r="BF382" s="247"/>
      <c r="BG382" s="17"/>
      <c r="BH382" s="17"/>
      <c r="BI382" s="17"/>
      <c r="BJ382" s="247">
        <v>94700</v>
      </c>
      <c r="BK382" s="247">
        <f t="shared" si="109"/>
        <v>17993</v>
      </c>
      <c r="BL382" s="247">
        <f t="shared" si="110"/>
        <v>112693</v>
      </c>
      <c r="BM382" s="190" t="s">
        <v>375</v>
      </c>
      <c r="BN382" s="190" t="s">
        <v>1642</v>
      </c>
      <c r="BO382" s="17"/>
      <c r="BP382" s="247">
        <v>22000</v>
      </c>
      <c r="BQ382" s="247">
        <f t="shared" si="112"/>
        <v>4180</v>
      </c>
      <c r="BR382" s="247">
        <f t="shared" si="115"/>
        <v>26180</v>
      </c>
      <c r="BS382" s="17"/>
      <c r="BT382" s="17"/>
      <c r="BU382" s="17"/>
      <c r="BV382" s="195">
        <v>107538.9525</v>
      </c>
      <c r="BW382" s="195">
        <f t="shared" si="131"/>
        <v>20432.400975</v>
      </c>
      <c r="BX382" s="246">
        <f t="shared" si="132"/>
        <v>127971.353475</v>
      </c>
      <c r="BY382" s="190" t="s">
        <v>375</v>
      </c>
      <c r="BZ382" s="190" t="s">
        <v>1642</v>
      </c>
      <c r="CA382" s="190"/>
      <c r="CB382" s="247"/>
      <c r="CC382" s="247"/>
      <c r="CD382" s="247"/>
      <c r="CE382" s="17"/>
      <c r="CF382" s="17"/>
      <c r="CG382" s="17"/>
      <c r="CH382" s="247"/>
      <c r="CI382" s="247"/>
      <c r="CJ382" s="247"/>
      <c r="CK382" s="17"/>
      <c r="CL382" s="17"/>
      <c r="CM382" s="17"/>
      <c r="CN382" s="17"/>
      <c r="CO382" s="17"/>
      <c r="CP382" s="11"/>
      <c r="CQ382" s="11"/>
      <c r="CR382" s="11"/>
      <c r="CS382" s="11"/>
      <c r="CT382" s="247"/>
      <c r="CU382" s="247"/>
      <c r="CV382" s="247"/>
      <c r="CW382" s="11"/>
      <c r="CX382" s="11"/>
      <c r="CY382" s="11"/>
      <c r="CZ382" s="11"/>
      <c r="DA382" s="11"/>
      <c r="DB382" s="11"/>
      <c r="DC382" s="11"/>
      <c r="DD382" s="11"/>
      <c r="DE382" s="11"/>
      <c r="DF382" s="11"/>
      <c r="DG382" s="11"/>
      <c r="DH382" s="11"/>
      <c r="DI382" s="11"/>
      <c r="DJ382" s="11"/>
      <c r="DK382" s="11"/>
      <c r="DL382" s="247"/>
      <c r="DM382" s="247"/>
      <c r="DN382" s="247"/>
      <c r="DO382" s="247"/>
      <c r="DP382" s="247"/>
      <c r="DQ382" s="247"/>
      <c r="DR382" s="247"/>
      <c r="DS382" s="247"/>
      <c r="DT382" s="247"/>
      <c r="DU382" s="247"/>
      <c r="DV382" s="247"/>
      <c r="DW382" s="247"/>
      <c r="DX382" s="247"/>
      <c r="DY382" s="247"/>
      <c r="DZ382" s="247"/>
      <c r="EA382" s="247"/>
      <c r="EB382" s="247"/>
      <c r="EC382" s="247"/>
      <c r="ED382" s="17">
        <f t="shared" si="113"/>
        <v>323498.35347500001</v>
      </c>
      <c r="EE382" s="29">
        <f t="shared" si="114"/>
        <v>6</v>
      </c>
      <c r="EF382" s="17">
        <f t="shared" si="111"/>
        <v>53916.392245833333</v>
      </c>
    </row>
    <row r="383" spans="1:136" x14ac:dyDescent="0.25">
      <c r="A383" s="25">
        <f>Distribución_Elementos!A383</f>
        <v>381</v>
      </c>
      <c r="B383" s="22" t="str">
        <f>Distribución_Elementos!B383</f>
        <v>Pinza de punta fina</v>
      </c>
      <c r="C383" s="22" t="str">
        <f>Distribución_Elementos!C383</f>
        <v>Cualquier marca</v>
      </c>
      <c r="D383" s="22" t="str">
        <f>Distribución_Elementos!D383</f>
        <v>Unidad</v>
      </c>
      <c r="E383" s="224">
        <v>1</v>
      </c>
      <c r="F383" s="221">
        <v>0</v>
      </c>
      <c r="G383" s="221">
        <v>0</v>
      </c>
      <c r="H383" s="221">
        <v>19040</v>
      </c>
      <c r="I383" s="221">
        <v>0</v>
      </c>
      <c r="J383" s="221">
        <v>21771.050000000003</v>
      </c>
      <c r="K383" s="221">
        <v>21658</v>
      </c>
      <c r="L383" s="247">
        <f>AVERAGE(H383,J383)</f>
        <v>20405.525000000001</v>
      </c>
      <c r="M383" s="247">
        <f>K383*E1</f>
        <v>22307.74</v>
      </c>
      <c r="N383" s="227">
        <v>20000</v>
      </c>
      <c r="O383" s="119">
        <f t="shared" si="127"/>
        <v>3800</v>
      </c>
      <c r="P383" s="119">
        <f t="shared" si="128"/>
        <v>23800</v>
      </c>
      <c r="Q383" s="115"/>
      <c r="R383" s="115"/>
      <c r="S383" s="11"/>
      <c r="T383" s="247"/>
      <c r="U383" s="247"/>
      <c r="V383" s="247"/>
      <c r="W383" s="17"/>
      <c r="X383" s="11"/>
      <c r="Y383" s="11"/>
      <c r="Z383" s="247"/>
      <c r="AA383" s="247"/>
      <c r="AB383" s="247"/>
      <c r="AC383" s="44"/>
      <c r="AD383" s="22"/>
      <c r="AE383" s="17"/>
      <c r="AF383" s="247"/>
      <c r="AG383" s="247"/>
      <c r="AH383" s="151"/>
      <c r="AI383" s="4"/>
      <c r="AJ383" s="17"/>
      <c r="AK383" s="17"/>
      <c r="AL383" s="102"/>
      <c r="AM383" s="132"/>
      <c r="AN383" s="161"/>
      <c r="AO383" s="115"/>
      <c r="AP383" s="115"/>
      <c r="AQ383" s="17"/>
      <c r="AR383" s="247">
        <v>30000</v>
      </c>
      <c r="AS383" s="247">
        <f t="shared" si="129"/>
        <v>5700</v>
      </c>
      <c r="AT383" s="247">
        <f t="shared" si="130"/>
        <v>35700</v>
      </c>
      <c r="AU383" s="17"/>
      <c r="AV383" s="17"/>
      <c r="AW383" s="17"/>
      <c r="AX383" s="247"/>
      <c r="AY383" s="247"/>
      <c r="AZ383" s="247"/>
      <c r="BA383" s="17"/>
      <c r="BB383" s="52"/>
      <c r="BC383" s="17"/>
      <c r="BD383" s="247"/>
      <c r="BE383" s="247"/>
      <c r="BF383" s="247"/>
      <c r="BG383" s="17"/>
      <c r="BH383" s="17"/>
      <c r="BI383" s="17"/>
      <c r="BJ383" s="247">
        <v>42000</v>
      </c>
      <c r="BK383" s="247">
        <f t="shared" si="109"/>
        <v>7980</v>
      </c>
      <c r="BL383" s="247">
        <f t="shared" si="110"/>
        <v>49980</v>
      </c>
      <c r="BM383" s="190" t="s">
        <v>375</v>
      </c>
      <c r="BN383" s="190" t="s">
        <v>1671</v>
      </c>
      <c r="BO383" s="17"/>
      <c r="BP383" s="247">
        <v>18500</v>
      </c>
      <c r="BQ383" s="247">
        <f t="shared" si="112"/>
        <v>3515</v>
      </c>
      <c r="BR383" s="247">
        <f t="shared" si="115"/>
        <v>22015</v>
      </c>
      <c r="BS383" s="17"/>
      <c r="BT383" s="17"/>
      <c r="BU383" s="17"/>
      <c r="BV383" s="195">
        <v>50961.960000000006</v>
      </c>
      <c r="BW383" s="195">
        <f t="shared" si="131"/>
        <v>9682.7724000000017</v>
      </c>
      <c r="BX383" s="246">
        <f t="shared" si="132"/>
        <v>60644.732400000008</v>
      </c>
      <c r="BY383" s="190" t="s">
        <v>375</v>
      </c>
      <c r="BZ383" s="190" t="s">
        <v>1671</v>
      </c>
      <c r="CA383" s="190"/>
      <c r="CB383" s="247"/>
      <c r="CC383" s="247"/>
      <c r="CD383" s="247"/>
      <c r="CE383" s="17"/>
      <c r="CF383" s="17"/>
      <c r="CG383" s="17"/>
      <c r="CH383" s="247"/>
      <c r="CI383" s="247"/>
      <c r="CJ383" s="247"/>
      <c r="CK383" s="17"/>
      <c r="CL383" s="17"/>
      <c r="CM383" s="17"/>
      <c r="CN383" s="17"/>
      <c r="CO383" s="17"/>
      <c r="CP383" s="11"/>
      <c r="CQ383" s="11"/>
      <c r="CR383" s="11"/>
      <c r="CS383" s="11"/>
      <c r="CT383" s="247"/>
      <c r="CU383" s="247"/>
      <c r="CV383" s="247"/>
      <c r="CW383" s="11"/>
      <c r="CX383" s="11"/>
      <c r="CY383" s="11"/>
      <c r="CZ383" s="11"/>
      <c r="DA383" s="11"/>
      <c r="DB383" s="11"/>
      <c r="DC383" s="11"/>
      <c r="DD383" s="11"/>
      <c r="DE383" s="11"/>
      <c r="DF383" s="11"/>
      <c r="DG383" s="11"/>
      <c r="DH383" s="11"/>
      <c r="DI383" s="11"/>
      <c r="DJ383" s="11"/>
      <c r="DK383" s="11"/>
      <c r="DL383" s="247"/>
      <c r="DM383" s="247"/>
      <c r="DN383" s="247"/>
      <c r="DO383" s="247"/>
      <c r="DP383" s="247"/>
      <c r="DQ383" s="247"/>
      <c r="DR383" s="247"/>
      <c r="DS383" s="247"/>
      <c r="DT383" s="247"/>
      <c r="DU383" s="247"/>
      <c r="DV383" s="247"/>
      <c r="DW383" s="247"/>
      <c r="DX383" s="247"/>
      <c r="DY383" s="247"/>
      <c r="DZ383" s="247"/>
      <c r="EA383" s="247"/>
      <c r="EB383" s="247"/>
      <c r="EC383" s="247"/>
      <c r="ED383" s="17">
        <f t="shared" si="113"/>
        <v>214447.4724</v>
      </c>
      <c r="EE383" s="29">
        <f t="shared" si="114"/>
        <v>6</v>
      </c>
      <c r="EF383" s="17">
        <f t="shared" si="111"/>
        <v>35741.2454</v>
      </c>
    </row>
    <row r="384" spans="1:136" ht="25.5" x14ac:dyDescent="0.25">
      <c r="A384" s="25">
        <f>Distribución_Elementos!A384</f>
        <v>382</v>
      </c>
      <c r="B384" s="22" t="str">
        <f>Distribución_Elementos!B384</f>
        <v>Pinza Entomológica punta aguda de acero. Pinza punta fina de 120 mm.</v>
      </c>
      <c r="C384" s="22" t="str">
        <f>Distribución_Elementos!C384</f>
        <v>Cualquier marca</v>
      </c>
      <c r="D384" s="22" t="str">
        <f>Distribución_Elementos!D384</f>
        <v>Unidad</v>
      </c>
      <c r="E384" s="224">
        <v>1</v>
      </c>
      <c r="F384" s="221">
        <v>0</v>
      </c>
      <c r="G384" s="221">
        <v>0</v>
      </c>
      <c r="H384" s="221">
        <v>0</v>
      </c>
      <c r="I384" s="221">
        <v>0</v>
      </c>
      <c r="J384" s="221">
        <v>0</v>
      </c>
      <c r="K384" s="221">
        <v>0</v>
      </c>
      <c r="L384" s="247"/>
      <c r="M384" s="247"/>
      <c r="N384" s="227">
        <v>45000</v>
      </c>
      <c r="O384" s="119">
        <f t="shared" si="127"/>
        <v>8550</v>
      </c>
      <c r="P384" s="119">
        <f t="shared" si="128"/>
        <v>53550</v>
      </c>
      <c r="Q384" s="115"/>
      <c r="R384" s="115"/>
      <c r="S384" s="11"/>
      <c r="T384" s="247"/>
      <c r="U384" s="247"/>
      <c r="V384" s="247"/>
      <c r="W384" s="17"/>
      <c r="X384" s="11"/>
      <c r="Y384" s="11"/>
      <c r="Z384" s="247"/>
      <c r="AA384" s="247"/>
      <c r="AB384" s="247"/>
      <c r="AC384" s="5"/>
      <c r="AD384" s="5"/>
      <c r="AE384" s="17"/>
      <c r="AF384" s="247"/>
      <c r="AG384" s="247"/>
      <c r="AH384" s="149"/>
      <c r="AI384" s="5"/>
      <c r="AJ384" s="17"/>
      <c r="AK384" s="17"/>
      <c r="AL384" s="102"/>
      <c r="AM384" s="132"/>
      <c r="AN384" s="161"/>
      <c r="AO384" s="115"/>
      <c r="AP384" s="115"/>
      <c r="AQ384" s="17"/>
      <c r="AR384" s="247">
        <v>35000</v>
      </c>
      <c r="AS384" s="247">
        <f t="shared" si="129"/>
        <v>6650</v>
      </c>
      <c r="AT384" s="247">
        <f t="shared" si="130"/>
        <v>41650</v>
      </c>
      <c r="AU384" s="17"/>
      <c r="AV384" s="17"/>
      <c r="AW384" s="17"/>
      <c r="AX384" s="247"/>
      <c r="AY384" s="247"/>
      <c r="AZ384" s="247"/>
      <c r="BA384" s="17"/>
      <c r="BB384" s="52"/>
      <c r="BC384" s="17"/>
      <c r="BD384" s="247"/>
      <c r="BE384" s="247"/>
      <c r="BF384" s="247"/>
      <c r="BG384" s="17"/>
      <c r="BH384" s="17"/>
      <c r="BI384" s="17"/>
      <c r="BJ384" s="247">
        <v>74000</v>
      </c>
      <c r="BK384" s="247">
        <f t="shared" si="109"/>
        <v>14060</v>
      </c>
      <c r="BL384" s="247">
        <f t="shared" si="110"/>
        <v>88060</v>
      </c>
      <c r="BM384" s="190" t="s">
        <v>375</v>
      </c>
      <c r="BN384" s="190" t="s">
        <v>1671</v>
      </c>
      <c r="BO384" s="17"/>
      <c r="BP384" s="247">
        <v>18500</v>
      </c>
      <c r="BQ384" s="247">
        <f t="shared" si="112"/>
        <v>3515</v>
      </c>
      <c r="BR384" s="247">
        <f t="shared" si="115"/>
        <v>22015</v>
      </c>
      <c r="BS384" s="17"/>
      <c r="BT384" s="17"/>
      <c r="BU384" s="17"/>
      <c r="BV384" s="195">
        <v>83970.39</v>
      </c>
      <c r="BW384" s="195">
        <f t="shared" si="131"/>
        <v>15954.374100000001</v>
      </c>
      <c r="BX384" s="246">
        <f t="shared" si="132"/>
        <v>99924.7641</v>
      </c>
      <c r="BY384" s="190" t="s">
        <v>375</v>
      </c>
      <c r="BZ384" s="190" t="s">
        <v>1671</v>
      </c>
      <c r="CA384" s="190"/>
      <c r="CB384" s="247"/>
      <c r="CC384" s="247"/>
      <c r="CD384" s="247"/>
      <c r="CE384" s="17"/>
      <c r="CF384" s="17"/>
      <c r="CG384" s="17"/>
      <c r="CH384" s="247"/>
      <c r="CI384" s="247"/>
      <c r="CJ384" s="247"/>
      <c r="CK384" s="17"/>
      <c r="CL384" s="17"/>
      <c r="CM384" s="17"/>
      <c r="CN384" s="17"/>
      <c r="CO384" s="17"/>
      <c r="CP384" s="11"/>
      <c r="CQ384" s="11"/>
      <c r="CR384" s="11"/>
      <c r="CS384" s="11"/>
      <c r="CT384" s="247"/>
      <c r="CU384" s="247"/>
      <c r="CV384" s="247"/>
      <c r="CW384" s="11"/>
      <c r="CX384" s="11"/>
      <c r="CY384" s="11"/>
      <c r="CZ384" s="11"/>
      <c r="DA384" s="11"/>
      <c r="DB384" s="11"/>
      <c r="DC384" s="11"/>
      <c r="DD384" s="11"/>
      <c r="DE384" s="11"/>
      <c r="DF384" s="11"/>
      <c r="DG384" s="11"/>
      <c r="DH384" s="11"/>
      <c r="DI384" s="11"/>
      <c r="DJ384" s="11"/>
      <c r="DK384" s="11"/>
      <c r="DL384" s="247"/>
      <c r="DM384" s="247"/>
      <c r="DN384" s="247"/>
      <c r="DO384" s="247"/>
      <c r="DP384" s="247"/>
      <c r="DQ384" s="247"/>
      <c r="DR384" s="247"/>
      <c r="DS384" s="247"/>
      <c r="DT384" s="247"/>
      <c r="DU384" s="247"/>
      <c r="DV384" s="247"/>
      <c r="DW384" s="247"/>
      <c r="DX384" s="247"/>
      <c r="DY384" s="247"/>
      <c r="DZ384" s="247"/>
      <c r="EA384" s="247"/>
      <c r="EB384" s="247"/>
      <c r="EC384" s="247"/>
      <c r="ED384" s="17">
        <f t="shared" si="113"/>
        <v>305199.76410000003</v>
      </c>
      <c r="EE384" s="29">
        <f t="shared" si="114"/>
        <v>5</v>
      </c>
      <c r="EF384" s="17">
        <f t="shared" si="111"/>
        <v>61039.952820000006</v>
      </c>
    </row>
    <row r="385" spans="1:136" x14ac:dyDescent="0.25">
      <c r="A385" s="25">
        <f>Distribución_Elementos!A385</f>
        <v>383</v>
      </c>
      <c r="B385" s="22" t="str">
        <f>Distribución_Elementos!B385</f>
        <v xml:space="preserve">Pinza entomológica punta fina curva en acero inoxidable </v>
      </c>
      <c r="C385" s="22" t="str">
        <f>Distribución_Elementos!C385</f>
        <v>Cualquier marca</v>
      </c>
      <c r="D385" s="22" t="str">
        <f>Distribución_Elementos!D385</f>
        <v>Unidad</v>
      </c>
      <c r="E385" s="224">
        <v>1</v>
      </c>
      <c r="F385" s="221">
        <v>59341.333333333328</v>
      </c>
      <c r="G385" s="221">
        <v>57834</v>
      </c>
      <c r="H385" s="221">
        <v>56829.235400000005</v>
      </c>
      <c r="I385" s="221">
        <v>56763</v>
      </c>
      <c r="J385" s="221">
        <v>60112.850000000006</v>
      </c>
      <c r="K385" s="221">
        <v>59500</v>
      </c>
      <c r="L385" s="247">
        <f>AVERAGE(F385,H385,J385)</f>
        <v>58761.139577777787</v>
      </c>
      <c r="M385" s="247">
        <f>AVERAGE(G385,I385,K385)*E1</f>
        <v>59773.303333333337</v>
      </c>
      <c r="N385" s="227">
        <v>50000</v>
      </c>
      <c r="O385" s="119">
        <f t="shared" si="127"/>
        <v>9500</v>
      </c>
      <c r="P385" s="119">
        <f t="shared" si="128"/>
        <v>59500</v>
      </c>
      <c r="Q385" s="115"/>
      <c r="R385" s="115"/>
      <c r="S385" s="11"/>
      <c r="T385" s="247"/>
      <c r="U385" s="247"/>
      <c r="V385" s="247"/>
      <c r="W385" s="17"/>
      <c r="X385" s="11"/>
      <c r="Y385" s="11"/>
      <c r="Z385" s="247"/>
      <c r="AA385" s="247"/>
      <c r="AB385" s="247"/>
      <c r="AC385" s="44"/>
      <c r="AD385" s="22"/>
      <c r="AE385" s="17"/>
      <c r="AF385" s="247"/>
      <c r="AG385" s="247"/>
      <c r="AH385" s="151"/>
      <c r="AI385" s="4"/>
      <c r="AJ385" s="17"/>
      <c r="AK385" s="17"/>
      <c r="AL385" s="102"/>
      <c r="AM385" s="132"/>
      <c r="AN385" s="161"/>
      <c r="AO385" s="115"/>
      <c r="AP385" s="115"/>
      <c r="AQ385" s="17"/>
      <c r="AR385" s="247">
        <v>60000</v>
      </c>
      <c r="AS385" s="247">
        <f t="shared" si="129"/>
        <v>11400</v>
      </c>
      <c r="AT385" s="247">
        <f t="shared" si="130"/>
        <v>71400</v>
      </c>
      <c r="AU385" s="17"/>
      <c r="AV385" s="17"/>
      <c r="AW385" s="17"/>
      <c r="AX385" s="247"/>
      <c r="AY385" s="247"/>
      <c r="AZ385" s="247"/>
      <c r="BA385" s="17"/>
      <c r="BB385" s="52"/>
      <c r="BC385" s="17"/>
      <c r="BD385" s="247"/>
      <c r="BE385" s="247"/>
      <c r="BF385" s="247"/>
      <c r="BG385" s="17"/>
      <c r="BH385" s="17"/>
      <c r="BI385" s="17"/>
      <c r="BJ385" s="247">
        <v>74000</v>
      </c>
      <c r="BK385" s="247">
        <f t="shared" si="109"/>
        <v>14060</v>
      </c>
      <c r="BL385" s="247">
        <f t="shared" si="110"/>
        <v>88060</v>
      </c>
      <c r="BM385" s="190" t="s">
        <v>375</v>
      </c>
      <c r="BN385" s="190" t="s">
        <v>1671</v>
      </c>
      <c r="BO385" s="17"/>
      <c r="BP385" s="247">
        <v>22000</v>
      </c>
      <c r="BQ385" s="247">
        <f t="shared" si="112"/>
        <v>4180</v>
      </c>
      <c r="BR385" s="247">
        <f t="shared" si="115"/>
        <v>26180</v>
      </c>
      <c r="BS385" s="17"/>
      <c r="BT385" s="17"/>
      <c r="BU385" s="17"/>
      <c r="BV385" s="195">
        <v>87224.687999999995</v>
      </c>
      <c r="BW385" s="195">
        <f t="shared" si="131"/>
        <v>16572.690719999999</v>
      </c>
      <c r="BX385" s="246">
        <f t="shared" si="132"/>
        <v>103797.37871999999</v>
      </c>
      <c r="BY385" s="190" t="s">
        <v>375</v>
      </c>
      <c r="BZ385" s="190" t="s">
        <v>1671</v>
      </c>
      <c r="CA385" s="190"/>
      <c r="CB385" s="247"/>
      <c r="CC385" s="247"/>
      <c r="CD385" s="247"/>
      <c r="CE385" s="17"/>
      <c r="CF385" s="17"/>
      <c r="CG385" s="17"/>
      <c r="CH385" s="247"/>
      <c r="CI385" s="247"/>
      <c r="CJ385" s="247"/>
      <c r="CK385" s="17"/>
      <c r="CL385" s="17"/>
      <c r="CM385" s="17"/>
      <c r="CN385" s="17"/>
      <c r="CO385" s="17"/>
      <c r="CP385" s="11"/>
      <c r="CQ385" s="11"/>
      <c r="CR385" s="11"/>
      <c r="CS385" s="11"/>
      <c r="CT385" s="247"/>
      <c r="CU385" s="247"/>
      <c r="CV385" s="247"/>
      <c r="CW385" s="11"/>
      <c r="CX385" s="11"/>
      <c r="CY385" s="11"/>
      <c r="CZ385" s="11"/>
      <c r="DA385" s="11"/>
      <c r="DB385" s="11"/>
      <c r="DC385" s="11"/>
      <c r="DD385" s="11"/>
      <c r="DE385" s="11"/>
      <c r="DF385" s="11"/>
      <c r="DG385" s="11"/>
      <c r="DH385" s="11"/>
      <c r="DI385" s="11"/>
      <c r="DJ385" s="11"/>
      <c r="DK385" s="11"/>
      <c r="DL385" s="247"/>
      <c r="DM385" s="247"/>
      <c r="DN385" s="247"/>
      <c r="DO385" s="247"/>
      <c r="DP385" s="247"/>
      <c r="DQ385" s="247"/>
      <c r="DR385" s="247"/>
      <c r="DS385" s="247"/>
      <c r="DT385" s="247"/>
      <c r="DU385" s="247"/>
      <c r="DV385" s="247"/>
      <c r="DW385" s="247"/>
      <c r="DX385" s="247"/>
      <c r="DY385" s="247"/>
      <c r="DZ385" s="247"/>
      <c r="EA385" s="247"/>
      <c r="EB385" s="247"/>
      <c r="EC385" s="247"/>
      <c r="ED385" s="17">
        <f t="shared" si="113"/>
        <v>408710.68205333332</v>
      </c>
      <c r="EE385" s="29">
        <f t="shared" si="114"/>
        <v>6</v>
      </c>
      <c r="EF385" s="17">
        <f t="shared" si="111"/>
        <v>68118.447008888892</v>
      </c>
    </row>
    <row r="386" spans="1:136" ht="25.5" x14ac:dyDescent="0.25">
      <c r="A386" s="25">
        <f>Distribución_Elementos!A386</f>
        <v>384</v>
      </c>
      <c r="B386" s="22" t="str">
        <f>Distribución_Elementos!B386</f>
        <v>Pinza entomológica punta fina para relojería en acero inoxidable No. 00</v>
      </c>
      <c r="C386" s="22" t="str">
        <f>Distribución_Elementos!C386</f>
        <v>Cualquier marca</v>
      </c>
      <c r="D386" s="22" t="str">
        <f>Distribución_Elementos!D386</f>
        <v>Unidad</v>
      </c>
      <c r="E386" s="224">
        <v>1</v>
      </c>
      <c r="F386" s="221">
        <v>61612.25</v>
      </c>
      <c r="G386" s="221">
        <v>59976</v>
      </c>
      <c r="H386" s="221">
        <v>59551.058933333341</v>
      </c>
      <c r="I386" s="221">
        <v>59381</v>
      </c>
      <c r="J386" s="221">
        <v>73880.488888888896</v>
      </c>
      <c r="K386" s="221">
        <v>73780</v>
      </c>
      <c r="L386" s="247">
        <f>AVERAGE(F386,H386,J386)</f>
        <v>65014.599274074077</v>
      </c>
      <c r="M386" s="247">
        <f>AVERAGE(G386,I386,K386)*E1</f>
        <v>66310.37</v>
      </c>
      <c r="N386" s="227">
        <v>50000</v>
      </c>
      <c r="O386" s="119">
        <f t="shared" si="127"/>
        <v>9500</v>
      </c>
      <c r="P386" s="119">
        <f t="shared" si="128"/>
        <v>59500</v>
      </c>
      <c r="Q386" s="115"/>
      <c r="R386" s="115"/>
      <c r="S386" s="11"/>
      <c r="T386" s="247"/>
      <c r="U386" s="247"/>
      <c r="V386" s="247"/>
      <c r="W386" s="17"/>
      <c r="X386" s="11"/>
      <c r="Y386" s="11"/>
      <c r="Z386" s="247"/>
      <c r="AA386" s="247"/>
      <c r="AB386" s="247"/>
      <c r="AC386" s="44"/>
      <c r="AD386" s="22"/>
      <c r="AE386" s="17"/>
      <c r="AF386" s="247"/>
      <c r="AG386" s="247"/>
      <c r="AH386" s="151"/>
      <c r="AI386" s="4"/>
      <c r="AJ386" s="17"/>
      <c r="AK386" s="17"/>
      <c r="AL386" s="102"/>
      <c r="AM386" s="132"/>
      <c r="AN386" s="161"/>
      <c r="AO386" s="115"/>
      <c r="AP386" s="115"/>
      <c r="AQ386" s="17"/>
      <c r="AR386" s="247">
        <v>54000</v>
      </c>
      <c r="AS386" s="247">
        <f t="shared" si="129"/>
        <v>10260</v>
      </c>
      <c r="AT386" s="247">
        <f t="shared" si="130"/>
        <v>64260</v>
      </c>
      <c r="AU386" s="17"/>
      <c r="AV386" s="17"/>
      <c r="AW386" s="17"/>
      <c r="AX386" s="247"/>
      <c r="AY386" s="247"/>
      <c r="AZ386" s="247"/>
      <c r="BA386" s="17"/>
      <c r="BB386" s="52"/>
      <c r="BC386" s="17"/>
      <c r="BD386" s="247"/>
      <c r="BE386" s="247"/>
      <c r="BF386" s="247"/>
      <c r="BG386" s="17"/>
      <c r="BH386" s="17"/>
      <c r="BI386" s="17"/>
      <c r="BJ386" s="247">
        <v>74000</v>
      </c>
      <c r="BK386" s="247">
        <f t="shared" si="109"/>
        <v>14060</v>
      </c>
      <c r="BL386" s="247">
        <f t="shared" si="110"/>
        <v>88060</v>
      </c>
      <c r="BM386" s="190" t="s">
        <v>375</v>
      </c>
      <c r="BN386" s="190" t="s">
        <v>1671</v>
      </c>
      <c r="BO386" s="17"/>
      <c r="BP386" s="247">
        <v>26000</v>
      </c>
      <c r="BQ386" s="247">
        <f t="shared" si="112"/>
        <v>4940</v>
      </c>
      <c r="BR386" s="247">
        <f t="shared" si="115"/>
        <v>30940</v>
      </c>
      <c r="BS386" s="17"/>
      <c r="BT386" s="17"/>
      <c r="BU386" s="17"/>
      <c r="BV386" s="195">
        <v>79284.191999999995</v>
      </c>
      <c r="BW386" s="195">
        <f t="shared" si="131"/>
        <v>15063.99648</v>
      </c>
      <c r="BX386" s="246">
        <f t="shared" si="132"/>
        <v>94348.188479999997</v>
      </c>
      <c r="BY386" s="190" t="s">
        <v>375</v>
      </c>
      <c r="BZ386" s="190" t="s">
        <v>1671</v>
      </c>
      <c r="CA386" s="190"/>
      <c r="CB386" s="247"/>
      <c r="CC386" s="247"/>
      <c r="CD386" s="247"/>
      <c r="CE386" s="17"/>
      <c r="CF386" s="17"/>
      <c r="CG386" s="17"/>
      <c r="CH386" s="247"/>
      <c r="CI386" s="247"/>
      <c r="CJ386" s="247"/>
      <c r="CK386" s="17"/>
      <c r="CL386" s="17"/>
      <c r="CM386" s="17"/>
      <c r="CN386" s="17"/>
      <c r="CO386" s="17"/>
      <c r="CP386" s="11"/>
      <c r="CQ386" s="11"/>
      <c r="CR386" s="11"/>
      <c r="CS386" s="11"/>
      <c r="CT386" s="247"/>
      <c r="CU386" s="247"/>
      <c r="CV386" s="247"/>
      <c r="CW386" s="11"/>
      <c r="CX386" s="11"/>
      <c r="CY386" s="11"/>
      <c r="CZ386" s="11"/>
      <c r="DA386" s="11"/>
      <c r="DB386" s="11"/>
      <c r="DC386" s="11"/>
      <c r="DD386" s="11"/>
      <c r="DE386" s="11"/>
      <c r="DF386" s="11"/>
      <c r="DG386" s="11"/>
      <c r="DH386" s="11"/>
      <c r="DI386" s="11"/>
      <c r="DJ386" s="11"/>
      <c r="DK386" s="11"/>
      <c r="DL386" s="247"/>
      <c r="DM386" s="247"/>
      <c r="DN386" s="247"/>
      <c r="DO386" s="247"/>
      <c r="DP386" s="247"/>
      <c r="DQ386" s="247"/>
      <c r="DR386" s="247"/>
      <c r="DS386" s="247"/>
      <c r="DT386" s="247"/>
      <c r="DU386" s="247"/>
      <c r="DV386" s="247"/>
      <c r="DW386" s="247"/>
      <c r="DX386" s="247"/>
      <c r="DY386" s="247"/>
      <c r="DZ386" s="247"/>
      <c r="EA386" s="247"/>
      <c r="EB386" s="247"/>
      <c r="EC386" s="247"/>
      <c r="ED386" s="17">
        <f t="shared" si="113"/>
        <v>403418.55848000001</v>
      </c>
      <c r="EE386" s="29">
        <f t="shared" si="114"/>
        <v>6</v>
      </c>
      <c r="EF386" s="17">
        <f t="shared" si="111"/>
        <v>67236.426413333334</v>
      </c>
    </row>
    <row r="387" spans="1:136" x14ac:dyDescent="0.25">
      <c r="A387" s="25">
        <f>Distribución_Elementos!A387</f>
        <v>385</v>
      </c>
      <c r="B387" s="22" t="str">
        <f>Distribución_Elementos!B387</f>
        <v>Pinza Entomológica punta roma de acero de 120 mm.</v>
      </c>
      <c r="C387" s="22" t="str">
        <f>Distribución_Elementos!C387</f>
        <v>Cualquier marca</v>
      </c>
      <c r="D387" s="22" t="str">
        <f>Distribución_Elementos!D387</f>
        <v>Unidad</v>
      </c>
      <c r="E387" s="224">
        <v>1</v>
      </c>
      <c r="F387" s="221">
        <v>0</v>
      </c>
      <c r="G387" s="221">
        <v>0</v>
      </c>
      <c r="H387" s="221">
        <v>0</v>
      </c>
      <c r="I387" s="221">
        <v>0</v>
      </c>
      <c r="J387" s="221">
        <v>0</v>
      </c>
      <c r="K387" s="221">
        <v>0</v>
      </c>
      <c r="L387" s="247"/>
      <c r="M387" s="247"/>
      <c r="N387" s="227">
        <v>50000</v>
      </c>
      <c r="O387" s="119">
        <f t="shared" si="127"/>
        <v>9500</v>
      </c>
      <c r="P387" s="119">
        <f t="shared" si="128"/>
        <v>59500</v>
      </c>
      <c r="Q387" s="115"/>
      <c r="R387" s="115"/>
      <c r="S387" s="11"/>
      <c r="T387" s="247"/>
      <c r="U387" s="247"/>
      <c r="V387" s="247"/>
      <c r="W387" s="17"/>
      <c r="X387" s="11"/>
      <c r="Y387" s="11"/>
      <c r="Z387" s="247"/>
      <c r="AA387" s="247"/>
      <c r="AB387" s="247"/>
      <c r="AC387" s="44"/>
      <c r="AD387" s="22"/>
      <c r="AE387" s="17"/>
      <c r="AF387" s="247"/>
      <c r="AG387" s="247"/>
      <c r="AH387" s="151"/>
      <c r="AI387" s="4"/>
      <c r="AJ387" s="17"/>
      <c r="AK387" s="17"/>
      <c r="AL387" s="102"/>
      <c r="AM387" s="132"/>
      <c r="AN387" s="161"/>
      <c r="AO387" s="115"/>
      <c r="AP387" s="115"/>
      <c r="AQ387" s="17"/>
      <c r="AR387" s="247">
        <v>60000</v>
      </c>
      <c r="AS387" s="247">
        <f t="shared" si="129"/>
        <v>11400</v>
      </c>
      <c r="AT387" s="247">
        <f t="shared" si="130"/>
        <v>71400</v>
      </c>
      <c r="AU387" s="17"/>
      <c r="AV387" s="17"/>
      <c r="AW387" s="17"/>
      <c r="AX387" s="247"/>
      <c r="AY387" s="247"/>
      <c r="AZ387" s="247"/>
      <c r="BA387" s="17"/>
      <c r="BB387" s="52"/>
      <c r="BC387" s="17"/>
      <c r="BD387" s="247"/>
      <c r="BE387" s="247"/>
      <c r="BF387" s="247"/>
      <c r="BG387" s="17"/>
      <c r="BH387" s="17"/>
      <c r="BI387" s="17"/>
      <c r="BJ387" s="247">
        <v>74000</v>
      </c>
      <c r="BK387" s="247">
        <f t="shared" ref="BK387:BK434" si="133">+BJ387*0.19</f>
        <v>14060</v>
      </c>
      <c r="BL387" s="247">
        <f t="shared" ref="BL387:BL434" si="134">+BJ387+BK387</f>
        <v>88060</v>
      </c>
      <c r="BM387" s="190" t="s">
        <v>375</v>
      </c>
      <c r="BN387" s="190" t="s">
        <v>1671</v>
      </c>
      <c r="BO387" s="17"/>
      <c r="BP387" s="247">
        <v>28000</v>
      </c>
      <c r="BQ387" s="247">
        <f t="shared" si="112"/>
        <v>5320</v>
      </c>
      <c r="BR387" s="247">
        <f t="shared" si="115"/>
        <v>33320</v>
      </c>
      <c r="BS387" s="17"/>
      <c r="BT387" s="17"/>
      <c r="BU387" s="17"/>
      <c r="BV387" s="195">
        <v>78506.895999999993</v>
      </c>
      <c r="BW387" s="195">
        <f t="shared" si="131"/>
        <v>14916.310239999999</v>
      </c>
      <c r="BX387" s="246">
        <f t="shared" si="132"/>
        <v>93423.20624</v>
      </c>
      <c r="BY387" s="190" t="s">
        <v>375</v>
      </c>
      <c r="BZ387" s="190" t="s">
        <v>1671</v>
      </c>
      <c r="CA387" s="190"/>
      <c r="CB387" s="247"/>
      <c r="CC387" s="247"/>
      <c r="CD387" s="247"/>
      <c r="CE387" s="17"/>
      <c r="CF387" s="17"/>
      <c r="CG387" s="17"/>
      <c r="CH387" s="247"/>
      <c r="CI387" s="247"/>
      <c r="CJ387" s="247"/>
      <c r="CK387" s="17"/>
      <c r="CL387" s="17"/>
      <c r="CM387" s="17"/>
      <c r="CN387" s="17"/>
      <c r="CO387" s="17"/>
      <c r="CP387" s="11"/>
      <c r="CQ387" s="11"/>
      <c r="CR387" s="11"/>
      <c r="CS387" s="11"/>
      <c r="CT387" s="247"/>
      <c r="CU387" s="247"/>
      <c r="CV387" s="247"/>
      <c r="CW387" s="11"/>
      <c r="CX387" s="11"/>
      <c r="CY387" s="11"/>
      <c r="CZ387" s="11"/>
      <c r="DA387" s="11"/>
      <c r="DB387" s="11"/>
      <c r="DC387" s="11"/>
      <c r="DD387" s="11"/>
      <c r="DE387" s="11"/>
      <c r="DF387" s="11"/>
      <c r="DG387" s="11"/>
      <c r="DH387" s="11"/>
      <c r="DI387" s="11"/>
      <c r="DJ387" s="11"/>
      <c r="DK387" s="11"/>
      <c r="DL387" s="247"/>
      <c r="DM387" s="247"/>
      <c r="DN387" s="247"/>
      <c r="DO387" s="247"/>
      <c r="DP387" s="247"/>
      <c r="DQ387" s="247"/>
      <c r="DR387" s="247"/>
      <c r="DS387" s="247"/>
      <c r="DT387" s="247"/>
      <c r="DU387" s="247"/>
      <c r="DV387" s="247"/>
      <c r="DW387" s="247"/>
      <c r="DX387" s="247"/>
      <c r="DY387" s="247"/>
      <c r="DZ387" s="247"/>
      <c r="EA387" s="247"/>
      <c r="EB387" s="247"/>
      <c r="EC387" s="247"/>
      <c r="ED387" s="17">
        <f t="shared" si="113"/>
        <v>345703.20623999997</v>
      </c>
      <c r="EE387" s="29">
        <f t="shared" si="114"/>
        <v>5</v>
      </c>
      <c r="EF387" s="17">
        <f t="shared" ref="EF387:EF434" si="135">IFERROR(ED387/EE387," ")</f>
        <v>69140.641248</v>
      </c>
    </row>
    <row r="388" spans="1:136" ht="25.5" x14ac:dyDescent="0.25">
      <c r="A388" s="25">
        <f>Distribución_Elementos!A388</f>
        <v>386</v>
      </c>
      <c r="B388" s="22" t="str">
        <f>Distribución_Elementos!B388</f>
        <v>Pinza entomológica suave en acero inoxidable Featherweigh punta redonda</v>
      </c>
      <c r="C388" s="22" t="str">
        <f>Distribución_Elementos!C388</f>
        <v>Cualquier marca</v>
      </c>
      <c r="D388" s="22" t="str">
        <f>Distribución_Elementos!D388</f>
        <v>Unidad</v>
      </c>
      <c r="E388" s="224">
        <v>1</v>
      </c>
      <c r="F388" s="221">
        <v>0</v>
      </c>
      <c r="G388" s="221">
        <v>0</v>
      </c>
      <c r="H388" s="221">
        <v>0</v>
      </c>
      <c r="I388" s="221">
        <v>0</v>
      </c>
      <c r="J388" s="221">
        <v>0</v>
      </c>
      <c r="K388" s="221">
        <v>0</v>
      </c>
      <c r="L388" s="247"/>
      <c r="M388" s="247"/>
      <c r="N388" s="227"/>
      <c r="O388" s="119"/>
      <c r="P388" s="119"/>
      <c r="Q388" s="115"/>
      <c r="R388" s="115"/>
      <c r="S388" s="11"/>
      <c r="T388" s="247"/>
      <c r="U388" s="247"/>
      <c r="V388" s="247"/>
      <c r="W388" s="17"/>
      <c r="X388" s="11"/>
      <c r="Y388" s="11"/>
      <c r="Z388" s="247"/>
      <c r="AA388" s="247"/>
      <c r="AB388" s="247"/>
      <c r="AC388" s="44"/>
      <c r="AD388" s="23"/>
      <c r="AE388" s="17"/>
      <c r="AF388" s="247"/>
      <c r="AG388" s="247"/>
      <c r="AH388" s="151"/>
      <c r="AI388" s="23"/>
      <c r="AJ388" s="17"/>
      <c r="AK388" s="17"/>
      <c r="AL388" s="102"/>
      <c r="AM388" s="132"/>
      <c r="AN388" s="161"/>
      <c r="AO388" s="115"/>
      <c r="AP388" s="115"/>
      <c r="AQ388" s="17"/>
      <c r="AR388" s="247">
        <v>65000</v>
      </c>
      <c r="AS388" s="247">
        <f t="shared" si="129"/>
        <v>12350</v>
      </c>
      <c r="AT388" s="247">
        <f t="shared" si="130"/>
        <v>77350</v>
      </c>
      <c r="AU388" s="17"/>
      <c r="AV388" s="17"/>
      <c r="AW388" s="17"/>
      <c r="AX388" s="247"/>
      <c r="AY388" s="247"/>
      <c r="AZ388" s="247"/>
      <c r="BA388" s="17"/>
      <c r="BB388" s="52"/>
      <c r="BC388" s="17"/>
      <c r="BD388" s="247"/>
      <c r="BE388" s="247"/>
      <c r="BF388" s="247"/>
      <c r="BG388" s="17"/>
      <c r="BH388" s="17"/>
      <c r="BI388" s="17"/>
      <c r="BJ388" s="247">
        <v>74000</v>
      </c>
      <c r="BK388" s="247">
        <f t="shared" si="133"/>
        <v>14060</v>
      </c>
      <c r="BL388" s="247">
        <f t="shared" si="134"/>
        <v>88060</v>
      </c>
      <c r="BM388" s="190" t="s">
        <v>375</v>
      </c>
      <c r="BN388" s="190" t="s">
        <v>1671</v>
      </c>
      <c r="BO388" s="17"/>
      <c r="BP388" s="247">
        <v>38500</v>
      </c>
      <c r="BQ388" s="247">
        <f t="shared" ref="BQ388:BQ402" si="136">+BP388*19%</f>
        <v>7315</v>
      </c>
      <c r="BR388" s="247">
        <f t="shared" si="115"/>
        <v>45815</v>
      </c>
      <c r="BS388" s="17"/>
      <c r="BT388" s="17"/>
      <c r="BU388" s="17"/>
      <c r="BV388" s="195">
        <v>81601.131999999998</v>
      </c>
      <c r="BW388" s="195">
        <f t="shared" si="131"/>
        <v>15504.21508</v>
      </c>
      <c r="BX388" s="246">
        <f t="shared" si="132"/>
        <v>97105.347079999992</v>
      </c>
      <c r="BY388" s="190" t="s">
        <v>375</v>
      </c>
      <c r="BZ388" s="190" t="s">
        <v>1671</v>
      </c>
      <c r="CA388" s="190"/>
      <c r="CB388" s="247"/>
      <c r="CC388" s="247"/>
      <c r="CD388" s="247"/>
      <c r="CE388" s="17"/>
      <c r="CF388" s="17"/>
      <c r="CG388" s="17"/>
      <c r="CH388" s="247"/>
      <c r="CI388" s="247"/>
      <c r="CJ388" s="247"/>
      <c r="CK388" s="17"/>
      <c r="CL388" s="17"/>
      <c r="CM388" s="17"/>
      <c r="CN388" s="17"/>
      <c r="CO388" s="17"/>
      <c r="CP388" s="11"/>
      <c r="CQ388" s="11"/>
      <c r="CR388" s="11"/>
      <c r="CS388" s="11"/>
      <c r="CT388" s="247"/>
      <c r="CU388" s="247"/>
      <c r="CV388" s="247"/>
      <c r="CW388" s="11"/>
      <c r="CX388" s="11"/>
      <c r="CY388" s="11"/>
      <c r="CZ388" s="11"/>
      <c r="DA388" s="11"/>
      <c r="DB388" s="11"/>
      <c r="DC388" s="11"/>
      <c r="DD388" s="11"/>
      <c r="DE388" s="11"/>
      <c r="DF388" s="11"/>
      <c r="DG388" s="11"/>
      <c r="DH388" s="11"/>
      <c r="DI388" s="11"/>
      <c r="DJ388" s="11"/>
      <c r="DK388" s="11"/>
      <c r="DL388" s="247"/>
      <c r="DM388" s="247"/>
      <c r="DN388" s="247"/>
      <c r="DO388" s="247"/>
      <c r="DP388" s="247"/>
      <c r="DQ388" s="247"/>
      <c r="DR388" s="247"/>
      <c r="DS388" s="247"/>
      <c r="DT388" s="247"/>
      <c r="DU388" s="247"/>
      <c r="DV388" s="247"/>
      <c r="DW388" s="247"/>
      <c r="DX388" s="247"/>
      <c r="DY388" s="247"/>
      <c r="DZ388" s="247"/>
      <c r="EA388" s="247"/>
      <c r="EB388" s="247"/>
      <c r="EC388" s="247"/>
      <c r="ED388" s="17">
        <f t="shared" ref="ED388:ED434" si="137">SUM(M388,P388,V388,AB388,AH388,AN388,AT388,AZ388,BF388,BL388,BR388,BX388,CD388,CJ388,CP388,CV388,DB388,DH388,DN388,DT388,DZ388)</f>
        <v>308330.34707999998</v>
      </c>
      <c r="EE388" s="29">
        <f t="shared" ref="EE388:EE434" si="138">COUNTA(M388,N388,T388,Z388,AF388,AL388,AR388,AX388,BD388,BJ388,BP388,BV388,CB388,CH388,CN388,CT388,CZ388,DF388,DL388,DR388,DX388)</f>
        <v>4</v>
      </c>
      <c r="EF388" s="17">
        <f t="shared" si="135"/>
        <v>77082.586769999994</v>
      </c>
    </row>
    <row r="389" spans="1:136" ht="36" x14ac:dyDescent="0.25">
      <c r="A389" s="25">
        <f>Distribución_Elementos!A389</f>
        <v>387</v>
      </c>
      <c r="B389" s="22" t="str">
        <f>Distribución_Elementos!B389</f>
        <v>Pinzas de presión tipo Mohr</v>
      </c>
      <c r="C389" s="22" t="str">
        <f>Distribución_Elementos!C389</f>
        <v>Cualquier marca</v>
      </c>
      <c r="D389" s="22" t="str">
        <f>Distribución_Elementos!D389</f>
        <v>Unidad</v>
      </c>
      <c r="E389" s="224">
        <v>1</v>
      </c>
      <c r="F389" s="221">
        <v>0</v>
      </c>
      <c r="G389" s="221">
        <v>0</v>
      </c>
      <c r="H389" s="221">
        <v>28897.166666666668</v>
      </c>
      <c r="I389" s="221">
        <v>0</v>
      </c>
      <c r="J389" s="221">
        <v>38169.25</v>
      </c>
      <c r="K389" s="221">
        <v>38080</v>
      </c>
      <c r="L389" s="247">
        <f>AVERAGE(H389,J389)</f>
        <v>33533.208333333336</v>
      </c>
      <c r="M389" s="247">
        <f>K389*E1</f>
        <v>39222.400000000001</v>
      </c>
      <c r="N389" s="227">
        <v>50000</v>
      </c>
      <c r="O389" s="119">
        <f t="shared" ref="O389:O394" si="139">+N389*0.19</f>
        <v>9500</v>
      </c>
      <c r="P389" s="119">
        <f t="shared" ref="P389:P394" si="140">+N389+O389</f>
        <v>59500</v>
      </c>
      <c r="Q389" s="115"/>
      <c r="R389" s="115"/>
      <c r="S389" s="11"/>
      <c r="T389" s="247"/>
      <c r="U389" s="247"/>
      <c r="V389" s="247"/>
      <c r="W389" s="17"/>
      <c r="X389" s="11"/>
      <c r="Y389" s="11"/>
      <c r="Z389" s="247"/>
      <c r="AA389" s="247"/>
      <c r="AB389" s="247"/>
      <c r="AC389" s="5"/>
      <c r="AD389" s="22"/>
      <c r="AE389" s="17"/>
      <c r="AF389" s="247"/>
      <c r="AG389" s="247"/>
      <c r="AH389" s="149"/>
      <c r="AI389" s="4"/>
      <c r="AJ389" s="17"/>
      <c r="AK389" s="17"/>
      <c r="AL389" s="102"/>
      <c r="AM389" s="132"/>
      <c r="AN389" s="161"/>
      <c r="AO389" s="115"/>
      <c r="AP389" s="115"/>
      <c r="AQ389" s="17"/>
      <c r="AR389" s="247"/>
      <c r="AS389" s="247"/>
      <c r="AT389" s="247"/>
      <c r="AU389" s="17"/>
      <c r="AV389" s="17"/>
      <c r="AW389" s="17"/>
      <c r="AX389" s="247"/>
      <c r="AY389" s="247"/>
      <c r="AZ389" s="247"/>
      <c r="BA389" s="17"/>
      <c r="BB389" s="52"/>
      <c r="BC389" s="17"/>
      <c r="BD389" s="247"/>
      <c r="BE389" s="247"/>
      <c r="BF389" s="247"/>
      <c r="BG389" s="17"/>
      <c r="BH389" s="17"/>
      <c r="BI389" s="17"/>
      <c r="BJ389" s="247">
        <v>22000</v>
      </c>
      <c r="BK389" s="247">
        <f t="shared" si="133"/>
        <v>4180</v>
      </c>
      <c r="BL389" s="247">
        <f t="shared" si="134"/>
        <v>26180</v>
      </c>
      <c r="BM389" s="190" t="s">
        <v>375</v>
      </c>
      <c r="BN389" s="190" t="s">
        <v>1707</v>
      </c>
      <c r="BO389" s="17"/>
      <c r="BP389" s="247"/>
      <c r="BQ389" s="247"/>
      <c r="BR389" s="247"/>
      <c r="BS389" s="17"/>
      <c r="BT389" s="17"/>
      <c r="BU389" s="17"/>
      <c r="BV389" s="195">
        <v>25696.440000000002</v>
      </c>
      <c r="BW389" s="195">
        <f t="shared" si="131"/>
        <v>4882.3236000000006</v>
      </c>
      <c r="BX389" s="246">
        <f t="shared" si="132"/>
        <v>30578.763600000002</v>
      </c>
      <c r="BY389" s="190" t="s">
        <v>375</v>
      </c>
      <c r="BZ389" s="190" t="s">
        <v>1707</v>
      </c>
      <c r="CA389" s="190"/>
      <c r="CB389" s="247"/>
      <c r="CC389" s="247"/>
      <c r="CD389" s="247"/>
      <c r="CE389" s="17"/>
      <c r="CF389" s="17"/>
      <c r="CG389" s="17"/>
      <c r="CH389" s="247"/>
      <c r="CI389" s="247"/>
      <c r="CJ389" s="247"/>
      <c r="CK389" s="17"/>
      <c r="CL389" s="17"/>
      <c r="CM389" s="17"/>
      <c r="CN389" s="17"/>
      <c r="CO389" s="17"/>
      <c r="CP389" s="11"/>
      <c r="CQ389" s="11"/>
      <c r="CR389" s="11"/>
      <c r="CS389" s="11"/>
      <c r="CT389" s="247"/>
      <c r="CU389" s="247"/>
      <c r="CV389" s="247"/>
      <c r="CW389" s="11"/>
      <c r="CX389" s="11"/>
      <c r="CY389" s="11"/>
      <c r="CZ389" s="11"/>
      <c r="DA389" s="11"/>
      <c r="DB389" s="11"/>
      <c r="DC389" s="11"/>
      <c r="DD389" s="11"/>
      <c r="DE389" s="11"/>
      <c r="DF389" s="11"/>
      <c r="DG389" s="11"/>
      <c r="DH389" s="11"/>
      <c r="DI389" s="11"/>
      <c r="DJ389" s="11"/>
      <c r="DK389" s="11"/>
      <c r="DL389" s="247"/>
      <c r="DM389" s="247"/>
      <c r="DN389" s="247"/>
      <c r="DO389" s="247"/>
      <c r="DP389" s="247"/>
      <c r="DQ389" s="247"/>
      <c r="DR389" s="247"/>
      <c r="DS389" s="247"/>
      <c r="DT389" s="247"/>
      <c r="DU389" s="247"/>
      <c r="DV389" s="247"/>
      <c r="DW389" s="247"/>
      <c r="DX389" s="247"/>
      <c r="DY389" s="247"/>
      <c r="DZ389" s="247"/>
      <c r="EA389" s="247"/>
      <c r="EB389" s="247"/>
      <c r="EC389" s="247"/>
      <c r="ED389" s="17">
        <f t="shared" si="137"/>
        <v>155481.1636</v>
      </c>
      <c r="EE389" s="29">
        <f t="shared" si="138"/>
        <v>4</v>
      </c>
      <c r="EF389" s="17">
        <f t="shared" si="135"/>
        <v>38870.2909</v>
      </c>
    </row>
    <row r="390" spans="1:136" ht="63.75" x14ac:dyDescent="0.25">
      <c r="A390" s="25">
        <f>Distribución_Elementos!A390</f>
        <v>388</v>
      </c>
      <c r="B390" s="22" t="str">
        <f>Distribución_Elementos!B390</f>
        <v>Pipeta aforada de 2 ml Clase A/AS, impresión en cerámica cumpliendo norma ISO 12 600 donde se indique: volumen nominal, fabricante, símbolo de Unidad, temperatura de referencia, clase y que cumpla con la norma DIN en ISO 648. Con certificado de fábrica.</v>
      </c>
      <c r="C390" s="22" t="str">
        <f>Distribución_Elementos!C390</f>
        <v>Pyrex , Corning, Kymax, Brand, Duran.o marcas equivalentes</v>
      </c>
      <c r="D390" s="22" t="str">
        <f>Distribución_Elementos!D390</f>
        <v>Unidad</v>
      </c>
      <c r="E390" s="224">
        <v>1</v>
      </c>
      <c r="F390" s="221">
        <v>38199</v>
      </c>
      <c r="G390" s="221">
        <v>10674</v>
      </c>
      <c r="H390" s="221">
        <v>17080.595125940465</v>
      </c>
      <c r="I390" s="221">
        <v>11043</v>
      </c>
      <c r="J390" s="221">
        <v>26833.8</v>
      </c>
      <c r="K390" s="221">
        <v>14280</v>
      </c>
      <c r="L390" s="247">
        <f>AVERAGE(F390,H390,J390)</f>
        <v>27371.131708646823</v>
      </c>
      <c r="M390" s="247">
        <f>AVERAGE(G390,I390,K390)*E1</f>
        <v>12358.970000000001</v>
      </c>
      <c r="N390" s="227">
        <v>45000</v>
      </c>
      <c r="O390" s="119">
        <f t="shared" si="139"/>
        <v>8550</v>
      </c>
      <c r="P390" s="119">
        <f t="shared" si="140"/>
        <v>53550</v>
      </c>
      <c r="Q390" s="115"/>
      <c r="R390" s="115"/>
      <c r="S390" s="11"/>
      <c r="T390" s="247">
        <v>10010</v>
      </c>
      <c r="U390" s="247">
        <f>+T390*0.19</f>
        <v>1901.9</v>
      </c>
      <c r="V390" s="247">
        <f>+T390+U390</f>
        <v>11911.9</v>
      </c>
      <c r="W390" s="17" t="s">
        <v>140</v>
      </c>
      <c r="X390" s="11" t="s">
        <v>1521</v>
      </c>
      <c r="Y390" s="11"/>
      <c r="Z390" s="247"/>
      <c r="AA390" s="247"/>
      <c r="AB390" s="247"/>
      <c r="AC390" s="5"/>
      <c r="AD390" s="22"/>
      <c r="AE390" s="17"/>
      <c r="AF390" s="247"/>
      <c r="AG390" s="247"/>
      <c r="AH390" s="149"/>
      <c r="AI390" s="4"/>
      <c r="AJ390" s="17"/>
      <c r="AK390" s="17"/>
      <c r="AL390" s="102"/>
      <c r="AM390" s="132"/>
      <c r="AN390" s="161"/>
      <c r="AO390" s="115"/>
      <c r="AP390" s="115"/>
      <c r="AQ390" s="17"/>
      <c r="AR390" s="247"/>
      <c r="AS390" s="247"/>
      <c r="AT390" s="247"/>
      <c r="AU390" s="17"/>
      <c r="AV390" s="17"/>
      <c r="AW390" s="17"/>
      <c r="AX390" s="247"/>
      <c r="AY390" s="247"/>
      <c r="AZ390" s="247"/>
      <c r="BA390" s="17"/>
      <c r="BB390" s="52"/>
      <c r="BC390" s="17"/>
      <c r="BD390" s="247"/>
      <c r="BE390" s="247"/>
      <c r="BF390" s="247"/>
      <c r="BG390" s="17"/>
      <c r="BH390" s="17"/>
      <c r="BI390" s="17"/>
      <c r="BJ390" s="247">
        <v>27300</v>
      </c>
      <c r="BK390" s="247">
        <f t="shared" si="133"/>
        <v>5187</v>
      </c>
      <c r="BL390" s="247">
        <f t="shared" si="134"/>
        <v>32487</v>
      </c>
      <c r="BM390" s="190" t="s">
        <v>375</v>
      </c>
      <c r="BN390" s="190" t="s">
        <v>1565</v>
      </c>
      <c r="BO390" s="17"/>
      <c r="BP390" s="247"/>
      <c r="BQ390" s="247"/>
      <c r="BR390" s="247"/>
      <c r="BS390" s="17"/>
      <c r="BT390" s="17"/>
      <c r="BU390" s="17"/>
      <c r="BV390" s="195">
        <v>31898.412000000004</v>
      </c>
      <c r="BW390" s="195">
        <f t="shared" ref="BW390:BW401" si="141">+BV390*0.19</f>
        <v>6060.6982800000005</v>
      </c>
      <c r="BX390" s="246">
        <f t="shared" ref="BX390:BX401" si="142">+BV390+BW390</f>
        <v>37959.110280000008</v>
      </c>
      <c r="BY390" s="190" t="s">
        <v>375</v>
      </c>
      <c r="BZ390" s="190" t="s">
        <v>1565</v>
      </c>
      <c r="CA390" s="190"/>
      <c r="CB390" s="247"/>
      <c r="CC390" s="247"/>
      <c r="CD390" s="247"/>
      <c r="CE390" s="17"/>
      <c r="CF390" s="17"/>
      <c r="CG390" s="17"/>
      <c r="CH390" s="247"/>
      <c r="CI390" s="247"/>
      <c r="CJ390" s="247"/>
      <c r="CK390" s="17"/>
      <c r="CL390" s="17"/>
      <c r="CM390" s="17"/>
      <c r="CN390" s="17"/>
      <c r="CO390" s="17"/>
      <c r="CP390" s="11"/>
      <c r="CQ390" s="11"/>
      <c r="CR390" s="11"/>
      <c r="CS390" s="11"/>
      <c r="CT390" s="247"/>
      <c r="CU390" s="247"/>
      <c r="CV390" s="247"/>
      <c r="CW390" s="11"/>
      <c r="CX390" s="11"/>
      <c r="CY390" s="11"/>
      <c r="CZ390" s="11"/>
      <c r="DA390" s="11"/>
      <c r="DB390" s="11"/>
      <c r="DC390" s="11"/>
      <c r="DD390" s="11"/>
      <c r="DE390" s="11"/>
      <c r="DF390" s="11"/>
      <c r="DG390" s="11"/>
      <c r="DH390" s="11"/>
      <c r="DI390" s="11"/>
      <c r="DJ390" s="11"/>
      <c r="DK390" s="11"/>
      <c r="DL390" s="247"/>
      <c r="DM390" s="247"/>
      <c r="DN390" s="247"/>
      <c r="DO390" s="247"/>
      <c r="DP390" s="247"/>
      <c r="DQ390" s="247"/>
      <c r="DR390" s="247"/>
      <c r="DS390" s="247"/>
      <c r="DT390" s="247"/>
      <c r="DU390" s="247"/>
      <c r="DV390" s="247"/>
      <c r="DW390" s="247"/>
      <c r="DX390" s="247"/>
      <c r="DY390" s="247"/>
      <c r="DZ390" s="247"/>
      <c r="EA390" s="247"/>
      <c r="EB390" s="247"/>
      <c r="EC390" s="247"/>
      <c r="ED390" s="17">
        <f t="shared" si="137"/>
        <v>148266.98028000002</v>
      </c>
      <c r="EE390" s="29">
        <f t="shared" si="138"/>
        <v>5</v>
      </c>
      <c r="EF390" s="17">
        <f t="shared" si="135"/>
        <v>29653.396056000005</v>
      </c>
    </row>
    <row r="391" spans="1:136" ht="63.75" x14ac:dyDescent="0.25">
      <c r="A391" s="25">
        <f>Distribución_Elementos!A391</f>
        <v>389</v>
      </c>
      <c r="B391" s="22" t="str">
        <f>Distribución_Elementos!B391</f>
        <v>Pipeta aforada de 20 ml Clase A/AS, impresión en cerámica cumpliendo norma ISO 12 600 donde se indique: volumen nominal, fabricante, símbolo de Unidad, temperatura de referencia, clase y que cumpla con la norma DIN en ISO 648. Con certificado de fábrica.</v>
      </c>
      <c r="C391" s="22" t="str">
        <f>Distribución_Elementos!C391</f>
        <v>Pyrex , Corning, Kymax, Brand, Duran.o marcas equivalentes</v>
      </c>
      <c r="D391" s="22" t="str">
        <f>Distribución_Elementos!D391</f>
        <v>Unidad</v>
      </c>
      <c r="E391" s="224">
        <v>1</v>
      </c>
      <c r="F391" s="221">
        <v>52419.5</v>
      </c>
      <c r="G391" s="221">
        <v>51527</v>
      </c>
      <c r="H391" s="221">
        <v>25816.220075237161</v>
      </c>
      <c r="I391" s="221">
        <v>17612</v>
      </c>
      <c r="J391" s="221">
        <v>60864.136666666665</v>
      </c>
      <c r="K391" s="221">
        <v>30821</v>
      </c>
      <c r="L391" s="247">
        <f>AVERAGE(F391,H391,J391)</f>
        <v>46366.618913967941</v>
      </c>
      <c r="M391" s="247">
        <f>AVERAGE(G391,I391,K391)*E1</f>
        <v>34319.599999999999</v>
      </c>
      <c r="N391" s="227">
        <v>85000</v>
      </c>
      <c r="O391" s="119">
        <f t="shared" si="139"/>
        <v>16150</v>
      </c>
      <c r="P391" s="119">
        <f t="shared" si="140"/>
        <v>101150</v>
      </c>
      <c r="Q391" s="115"/>
      <c r="R391" s="115"/>
      <c r="S391" s="11"/>
      <c r="T391" s="247">
        <v>16170.000000000002</v>
      </c>
      <c r="U391" s="247">
        <f>+T391*0.19</f>
        <v>3072.3</v>
      </c>
      <c r="V391" s="247">
        <f>+T391+U391</f>
        <v>19242.300000000003</v>
      </c>
      <c r="W391" s="17" t="s">
        <v>140</v>
      </c>
      <c r="X391" s="11" t="s">
        <v>1521</v>
      </c>
      <c r="Y391" s="11"/>
      <c r="Z391" s="247"/>
      <c r="AA391" s="247"/>
      <c r="AB391" s="247"/>
      <c r="AC391" s="5"/>
      <c r="AD391" s="22"/>
      <c r="AE391" s="17"/>
      <c r="AF391" s="247"/>
      <c r="AG391" s="247"/>
      <c r="AH391" s="149"/>
      <c r="AI391" s="4"/>
      <c r="AJ391" s="17"/>
      <c r="AK391" s="17"/>
      <c r="AL391" s="102"/>
      <c r="AM391" s="132"/>
      <c r="AN391" s="161"/>
      <c r="AO391" s="115"/>
      <c r="AP391" s="115"/>
      <c r="AQ391" s="17"/>
      <c r="AR391" s="247"/>
      <c r="AS391" s="247"/>
      <c r="AT391" s="247"/>
      <c r="AU391" s="17"/>
      <c r="AV391" s="17"/>
      <c r="AW391" s="17"/>
      <c r="AX391" s="247"/>
      <c r="AY391" s="247"/>
      <c r="AZ391" s="247"/>
      <c r="BA391" s="17"/>
      <c r="BB391" s="52"/>
      <c r="BC391" s="17"/>
      <c r="BD391" s="247"/>
      <c r="BE391" s="247"/>
      <c r="BF391" s="247"/>
      <c r="BG391" s="17"/>
      <c r="BH391" s="17"/>
      <c r="BI391" s="17"/>
      <c r="BJ391" s="247">
        <v>46400</v>
      </c>
      <c r="BK391" s="247">
        <f t="shared" si="133"/>
        <v>8816</v>
      </c>
      <c r="BL391" s="247">
        <f t="shared" si="134"/>
        <v>55216</v>
      </c>
      <c r="BM391" s="190" t="s">
        <v>375</v>
      </c>
      <c r="BN391" s="190" t="s">
        <v>1565</v>
      </c>
      <c r="BO391" s="17"/>
      <c r="BP391" s="247"/>
      <c r="BQ391" s="247"/>
      <c r="BR391" s="247"/>
      <c r="BS391" s="17"/>
      <c r="BT391" s="17"/>
      <c r="BU391" s="17"/>
      <c r="BV391" s="195">
        <v>50172.598400000003</v>
      </c>
      <c r="BW391" s="195">
        <f t="shared" si="141"/>
        <v>9532.7936960000006</v>
      </c>
      <c r="BX391" s="246">
        <f t="shared" si="142"/>
        <v>59705.392096000003</v>
      </c>
      <c r="BY391" s="190" t="s">
        <v>375</v>
      </c>
      <c r="BZ391" s="190" t="s">
        <v>1565</v>
      </c>
      <c r="CA391" s="190"/>
      <c r="CB391" s="247"/>
      <c r="CC391" s="247"/>
      <c r="CD391" s="247"/>
      <c r="CE391" s="17"/>
      <c r="CF391" s="17"/>
      <c r="CG391" s="17"/>
      <c r="CH391" s="247"/>
      <c r="CI391" s="247"/>
      <c r="CJ391" s="247"/>
      <c r="CK391" s="17"/>
      <c r="CL391" s="17"/>
      <c r="CM391" s="17"/>
      <c r="CN391" s="17"/>
      <c r="CO391" s="17"/>
      <c r="CP391" s="11"/>
      <c r="CQ391" s="11"/>
      <c r="CR391" s="11"/>
      <c r="CS391" s="11"/>
      <c r="CT391" s="247"/>
      <c r="CU391" s="247"/>
      <c r="CV391" s="247"/>
      <c r="CW391" s="11"/>
      <c r="CX391" s="11"/>
      <c r="CY391" s="11"/>
      <c r="CZ391" s="11"/>
      <c r="DA391" s="11"/>
      <c r="DB391" s="11"/>
      <c r="DC391" s="11"/>
      <c r="DD391" s="11"/>
      <c r="DE391" s="11"/>
      <c r="DF391" s="11"/>
      <c r="DG391" s="11"/>
      <c r="DH391" s="11"/>
      <c r="DI391" s="11"/>
      <c r="DJ391" s="11"/>
      <c r="DK391" s="11"/>
      <c r="DL391" s="247"/>
      <c r="DM391" s="247"/>
      <c r="DN391" s="247"/>
      <c r="DO391" s="247"/>
      <c r="DP391" s="247"/>
      <c r="DQ391" s="247"/>
      <c r="DR391" s="247"/>
      <c r="DS391" s="247"/>
      <c r="DT391" s="247"/>
      <c r="DU391" s="247"/>
      <c r="DV391" s="247"/>
      <c r="DW391" s="247"/>
      <c r="DX391" s="247"/>
      <c r="DY391" s="247"/>
      <c r="DZ391" s="247"/>
      <c r="EA391" s="247"/>
      <c r="EB391" s="247"/>
      <c r="EC391" s="247"/>
      <c r="ED391" s="17">
        <f t="shared" si="137"/>
        <v>269633.29209600005</v>
      </c>
      <c r="EE391" s="29">
        <f t="shared" si="138"/>
        <v>5</v>
      </c>
      <c r="EF391" s="17">
        <f t="shared" si="135"/>
        <v>53926.658419200008</v>
      </c>
    </row>
    <row r="392" spans="1:136" ht="63.75" x14ac:dyDescent="0.25">
      <c r="A392" s="25">
        <f>Distribución_Elementos!A392</f>
        <v>390</v>
      </c>
      <c r="B392" s="22" t="str">
        <f>Distribución_Elementos!B392</f>
        <v>Pipeta aforada de 25 ml Clase A/AS, impresión en cerámica cumpliendo norma ISO 12 600 donde se indique: volumen nominal, fabricante, símbolo de Unidad, temperatura de referencia, clase y que cumpla con la norma DIN en ISO 648. Con certificado de fábrica.</v>
      </c>
      <c r="C392" s="22" t="str">
        <f>Distribución_Elementos!C392</f>
        <v>Pyrex , Corning, Kymax, Brand, Duran.o marcas equivalentes</v>
      </c>
      <c r="D392" s="22" t="str">
        <f>Distribución_Elementos!D392</f>
        <v>Unidad</v>
      </c>
      <c r="E392" s="224">
        <v>1</v>
      </c>
      <c r="F392" s="221">
        <v>55692</v>
      </c>
      <c r="G392" s="221">
        <v>24086</v>
      </c>
      <c r="H392" s="221">
        <v>36949.189559911683</v>
      </c>
      <c r="I392" s="221">
        <v>18469</v>
      </c>
      <c r="J392" s="221">
        <v>47776.26</v>
      </c>
      <c r="K392" s="221">
        <v>24633</v>
      </c>
      <c r="L392" s="247">
        <f>AVERAGE(F392,H392,J392)</f>
        <v>46805.816519970562</v>
      </c>
      <c r="M392" s="247">
        <f>AVERAGE(G392,I392,K392)*E1</f>
        <v>23067.88</v>
      </c>
      <c r="N392" s="227">
        <v>75000</v>
      </c>
      <c r="O392" s="119">
        <f t="shared" si="139"/>
        <v>14250</v>
      </c>
      <c r="P392" s="119">
        <f t="shared" si="140"/>
        <v>89250</v>
      </c>
      <c r="Q392" s="115"/>
      <c r="R392" s="115"/>
      <c r="S392" s="11"/>
      <c r="T392" s="247">
        <v>19800</v>
      </c>
      <c r="U392" s="247">
        <f>+T392*0.19</f>
        <v>3762</v>
      </c>
      <c r="V392" s="247">
        <f>+T392+U392</f>
        <v>23562</v>
      </c>
      <c r="W392" s="17" t="s">
        <v>140</v>
      </c>
      <c r="X392" s="11" t="s">
        <v>1521</v>
      </c>
      <c r="Y392" s="11"/>
      <c r="Z392" s="247"/>
      <c r="AA392" s="247"/>
      <c r="AB392" s="247"/>
      <c r="AC392" s="44"/>
      <c r="AD392" s="22"/>
      <c r="AE392" s="17"/>
      <c r="AF392" s="247"/>
      <c r="AG392" s="247"/>
      <c r="AH392" s="151"/>
      <c r="AI392" s="22"/>
      <c r="AJ392" s="17"/>
      <c r="AK392" s="17"/>
      <c r="AL392" s="102"/>
      <c r="AM392" s="132"/>
      <c r="AN392" s="161"/>
      <c r="AO392" s="115"/>
      <c r="AP392" s="115"/>
      <c r="AQ392" s="17"/>
      <c r="AR392" s="247"/>
      <c r="AS392" s="247"/>
      <c r="AT392" s="247"/>
      <c r="AU392" s="17"/>
      <c r="AV392" s="17"/>
      <c r="AW392" s="17"/>
      <c r="AX392" s="247"/>
      <c r="AY392" s="247"/>
      <c r="AZ392" s="247"/>
      <c r="BA392" s="17"/>
      <c r="BB392" s="52"/>
      <c r="BC392" s="17"/>
      <c r="BD392" s="247"/>
      <c r="BE392" s="247"/>
      <c r="BF392" s="247"/>
      <c r="BG392" s="17"/>
      <c r="BH392" s="17"/>
      <c r="BI392" s="17"/>
      <c r="BJ392" s="247">
        <v>47200</v>
      </c>
      <c r="BK392" s="247">
        <f t="shared" si="133"/>
        <v>8968</v>
      </c>
      <c r="BL392" s="247">
        <f t="shared" si="134"/>
        <v>56168</v>
      </c>
      <c r="BM392" s="190" t="s">
        <v>375</v>
      </c>
      <c r="BN392" s="190" t="s">
        <v>1565</v>
      </c>
      <c r="BO392" s="17"/>
      <c r="BP392" s="247"/>
      <c r="BQ392" s="247"/>
      <c r="BR392" s="247"/>
      <c r="BS392" s="17"/>
      <c r="BT392" s="17"/>
      <c r="BU392" s="17"/>
      <c r="BV392" s="195">
        <v>56726.092800000006</v>
      </c>
      <c r="BW392" s="195">
        <f t="shared" si="141"/>
        <v>10777.957632000001</v>
      </c>
      <c r="BX392" s="246">
        <f t="shared" si="142"/>
        <v>67504.050432000004</v>
      </c>
      <c r="BY392" s="190" t="s">
        <v>375</v>
      </c>
      <c r="BZ392" s="190" t="s">
        <v>1565</v>
      </c>
      <c r="CA392" s="190"/>
      <c r="CB392" s="247"/>
      <c r="CC392" s="247"/>
      <c r="CD392" s="247"/>
      <c r="CE392" s="17"/>
      <c r="CF392" s="17"/>
      <c r="CG392" s="17"/>
      <c r="CH392" s="247"/>
      <c r="CI392" s="247"/>
      <c r="CJ392" s="247"/>
      <c r="CK392" s="17"/>
      <c r="CL392" s="17"/>
      <c r="CM392" s="17"/>
      <c r="CN392" s="17"/>
      <c r="CO392" s="17"/>
      <c r="CP392" s="11"/>
      <c r="CQ392" s="11"/>
      <c r="CR392" s="11"/>
      <c r="CS392" s="11"/>
      <c r="CT392" s="247"/>
      <c r="CU392" s="247"/>
      <c r="CV392" s="247"/>
      <c r="CW392" s="11"/>
      <c r="CX392" s="11"/>
      <c r="CY392" s="11"/>
      <c r="CZ392" s="11"/>
      <c r="DA392" s="11"/>
      <c r="DB392" s="11"/>
      <c r="DC392" s="11"/>
      <c r="DD392" s="11"/>
      <c r="DE392" s="11"/>
      <c r="DF392" s="11"/>
      <c r="DG392" s="11"/>
      <c r="DH392" s="11"/>
      <c r="DI392" s="11"/>
      <c r="DJ392" s="11"/>
      <c r="DK392" s="11"/>
      <c r="DL392" s="247"/>
      <c r="DM392" s="247"/>
      <c r="DN392" s="247"/>
      <c r="DO392" s="247"/>
      <c r="DP392" s="247"/>
      <c r="DQ392" s="247"/>
      <c r="DR392" s="247"/>
      <c r="DS392" s="247"/>
      <c r="DT392" s="247"/>
      <c r="DU392" s="247"/>
      <c r="DV392" s="247"/>
      <c r="DW392" s="247"/>
      <c r="DX392" s="247"/>
      <c r="DY392" s="247"/>
      <c r="DZ392" s="247"/>
      <c r="EA392" s="247"/>
      <c r="EB392" s="247"/>
      <c r="EC392" s="247"/>
      <c r="ED392" s="17">
        <f t="shared" si="137"/>
        <v>259551.93043200002</v>
      </c>
      <c r="EE392" s="29">
        <f t="shared" si="138"/>
        <v>5</v>
      </c>
      <c r="EF392" s="17">
        <f t="shared" si="135"/>
        <v>51910.386086400002</v>
      </c>
    </row>
    <row r="393" spans="1:136" ht="63.75" x14ac:dyDescent="0.25">
      <c r="A393" s="25">
        <f>Distribución_Elementos!A393</f>
        <v>391</v>
      </c>
      <c r="B393" s="22" t="str">
        <f>Distribución_Elementos!B393</f>
        <v>Pipeta graduada de vidrio de 10 ml con certificado. Clase A/AS, impresión en cerámica cumpliendo norma ISO 12 600 donde se indique: volumen nominal, fabricante, símbolo de Unidad, temperatura de referencia, clase y que cumpla con la norma DIN en ISO 835. Con certificado de fábrica.</v>
      </c>
      <c r="C393" s="22" t="str">
        <f>Distribución_Elementos!C393</f>
        <v>Pyrex , Corning, Kymax, Brand, Duran o marcas equivalentes.</v>
      </c>
      <c r="D393" s="22" t="str">
        <f>Distribución_Elementos!D393</f>
        <v>Unidad</v>
      </c>
      <c r="E393" s="224">
        <v>1</v>
      </c>
      <c r="F393" s="221">
        <v>0</v>
      </c>
      <c r="G393" s="221">
        <v>0</v>
      </c>
      <c r="H393" s="221">
        <v>0</v>
      </c>
      <c r="I393" s="221">
        <v>0</v>
      </c>
      <c r="J393" s="221">
        <v>0</v>
      </c>
      <c r="K393" s="221">
        <v>0</v>
      </c>
      <c r="L393" s="247"/>
      <c r="M393" s="247"/>
      <c r="N393" s="227">
        <v>52000</v>
      </c>
      <c r="O393" s="119">
        <f t="shared" si="139"/>
        <v>9880</v>
      </c>
      <c r="P393" s="119">
        <f t="shared" si="140"/>
        <v>61880</v>
      </c>
      <c r="Q393" s="115"/>
      <c r="R393" s="115"/>
      <c r="S393" s="11"/>
      <c r="T393" s="247">
        <v>8250</v>
      </c>
      <c r="U393" s="247">
        <f>+T393*0.19</f>
        <v>1567.5</v>
      </c>
      <c r="V393" s="247">
        <f>+T393+U393</f>
        <v>9817.5</v>
      </c>
      <c r="W393" s="17" t="s">
        <v>140</v>
      </c>
      <c r="X393" s="11" t="s">
        <v>1521</v>
      </c>
      <c r="Y393" s="11"/>
      <c r="Z393" s="247"/>
      <c r="AA393" s="247"/>
      <c r="AB393" s="247"/>
      <c r="AC393" s="4"/>
      <c r="AD393" s="22"/>
      <c r="AE393" s="17"/>
      <c r="AF393" s="247"/>
      <c r="AG393" s="247"/>
      <c r="AH393" s="153"/>
      <c r="AI393" s="4"/>
      <c r="AJ393" s="17"/>
      <c r="AK393" s="17"/>
      <c r="AL393" s="102"/>
      <c r="AM393" s="132"/>
      <c r="AN393" s="161"/>
      <c r="AO393" s="115"/>
      <c r="AP393" s="115"/>
      <c r="AQ393" s="17"/>
      <c r="AR393" s="247"/>
      <c r="AS393" s="247"/>
      <c r="AT393" s="247"/>
      <c r="AU393" s="17"/>
      <c r="AV393" s="17"/>
      <c r="AW393" s="17"/>
      <c r="AX393" s="247"/>
      <c r="AY393" s="247"/>
      <c r="AZ393" s="247"/>
      <c r="BA393" s="17"/>
      <c r="BB393" s="52"/>
      <c r="BC393" s="17"/>
      <c r="BD393" s="247"/>
      <c r="BE393" s="247"/>
      <c r="BF393" s="247"/>
      <c r="BG393" s="17"/>
      <c r="BH393" s="17"/>
      <c r="BI393" s="17"/>
      <c r="BJ393" s="247">
        <v>29000</v>
      </c>
      <c r="BK393" s="247">
        <f t="shared" si="133"/>
        <v>5510</v>
      </c>
      <c r="BL393" s="247">
        <f t="shared" si="134"/>
        <v>34510</v>
      </c>
      <c r="BM393" s="190" t="s">
        <v>375</v>
      </c>
      <c r="BN393" s="190" t="s">
        <v>1565</v>
      </c>
      <c r="BO393" s="17"/>
      <c r="BP393" s="247"/>
      <c r="BQ393" s="247"/>
      <c r="BR393" s="247"/>
      <c r="BS393" s="17"/>
      <c r="BT393" s="17"/>
      <c r="BU393" s="17"/>
      <c r="BV393" s="195">
        <v>31378.464</v>
      </c>
      <c r="BW393" s="195">
        <f t="shared" si="141"/>
        <v>5961.90816</v>
      </c>
      <c r="BX393" s="246">
        <f t="shared" si="142"/>
        <v>37340.372159999999</v>
      </c>
      <c r="BY393" s="190" t="s">
        <v>375</v>
      </c>
      <c r="BZ393" s="190" t="s">
        <v>1565</v>
      </c>
      <c r="CA393" s="190"/>
      <c r="CB393" s="247"/>
      <c r="CC393" s="247"/>
      <c r="CD393" s="247"/>
      <c r="CE393" s="17"/>
      <c r="CF393" s="17"/>
      <c r="CG393" s="17"/>
      <c r="CH393" s="247"/>
      <c r="CI393" s="247"/>
      <c r="CJ393" s="247"/>
      <c r="CK393" s="17"/>
      <c r="CL393" s="17"/>
      <c r="CM393" s="17"/>
      <c r="CN393" s="17"/>
      <c r="CO393" s="17"/>
      <c r="CP393" s="11"/>
      <c r="CQ393" s="11"/>
      <c r="CR393" s="11"/>
      <c r="CS393" s="11"/>
      <c r="CT393" s="247"/>
      <c r="CU393" s="247"/>
      <c r="CV393" s="247"/>
      <c r="CW393" s="11"/>
      <c r="CX393" s="11"/>
      <c r="CY393" s="11"/>
      <c r="CZ393" s="11"/>
      <c r="DA393" s="11"/>
      <c r="DB393" s="11"/>
      <c r="DC393" s="11"/>
      <c r="DD393" s="11"/>
      <c r="DE393" s="11"/>
      <c r="DF393" s="11"/>
      <c r="DG393" s="11"/>
      <c r="DH393" s="11"/>
      <c r="DI393" s="11"/>
      <c r="DJ393" s="11"/>
      <c r="DK393" s="11"/>
      <c r="DL393" s="247"/>
      <c r="DM393" s="247"/>
      <c r="DN393" s="247"/>
      <c r="DO393" s="247"/>
      <c r="DP393" s="247"/>
      <c r="DQ393" s="247"/>
      <c r="DR393" s="247"/>
      <c r="DS393" s="247"/>
      <c r="DT393" s="247"/>
      <c r="DU393" s="247"/>
      <c r="DV393" s="247"/>
      <c r="DW393" s="247"/>
      <c r="DX393" s="247"/>
      <c r="DY393" s="247"/>
      <c r="DZ393" s="247"/>
      <c r="EA393" s="247"/>
      <c r="EB393" s="247"/>
      <c r="EC393" s="247"/>
      <c r="ED393" s="17">
        <f t="shared" si="137"/>
        <v>143547.87216</v>
      </c>
      <c r="EE393" s="29">
        <f t="shared" si="138"/>
        <v>4</v>
      </c>
      <c r="EF393" s="17">
        <f t="shared" si="135"/>
        <v>35886.96804</v>
      </c>
    </row>
    <row r="394" spans="1:136" ht="38.25" x14ac:dyDescent="0.25">
      <c r="A394" s="25">
        <f>Distribución_Elementos!A394</f>
        <v>392</v>
      </c>
      <c r="B394" s="22" t="str">
        <f>Distribución_Elementos!B394</f>
        <v xml:space="preserve">Pipeta graduadas con émbolo de aspiración, de vidrio al sodio y a la cal, vaciado completo de 5 ml </v>
      </c>
      <c r="C394" s="22" t="str">
        <f>Distribución_Elementos!C394</f>
        <v>Pyrex , Corning, Kymax, Brand, Duran.o marcas equivalentes</v>
      </c>
      <c r="D394" s="22" t="str">
        <f>Distribución_Elementos!D394</f>
        <v>Unidad</v>
      </c>
      <c r="E394" s="224">
        <v>1</v>
      </c>
      <c r="F394" s="221">
        <v>0</v>
      </c>
      <c r="G394" s="221">
        <v>0</v>
      </c>
      <c r="H394" s="221">
        <v>79849</v>
      </c>
      <c r="I394" s="221">
        <v>0</v>
      </c>
      <c r="J394" s="221">
        <v>51973.25</v>
      </c>
      <c r="K394" s="221">
        <v>51765</v>
      </c>
      <c r="L394" s="247">
        <f>AVERAGE(H394,J394)</f>
        <v>65911.125</v>
      </c>
      <c r="M394" s="247">
        <f>K394*E1</f>
        <v>53317.950000000004</v>
      </c>
      <c r="N394" s="227">
        <v>17000</v>
      </c>
      <c r="O394" s="119">
        <f t="shared" si="139"/>
        <v>3230</v>
      </c>
      <c r="P394" s="119">
        <f t="shared" si="140"/>
        <v>20230</v>
      </c>
      <c r="Q394" s="115"/>
      <c r="R394" s="115"/>
      <c r="S394" s="11"/>
      <c r="T394" s="247"/>
      <c r="U394" s="247"/>
      <c r="V394" s="247"/>
      <c r="W394" s="17"/>
      <c r="X394" s="11"/>
      <c r="Y394" s="11"/>
      <c r="Z394" s="247"/>
      <c r="AA394" s="247"/>
      <c r="AB394" s="247"/>
      <c r="AC394" s="4"/>
      <c r="AD394" s="22"/>
      <c r="AE394" s="17"/>
      <c r="AF394" s="247"/>
      <c r="AG394" s="247"/>
      <c r="AH394" s="153"/>
      <c r="AI394" s="4"/>
      <c r="AJ394" s="17"/>
      <c r="AK394" s="17"/>
      <c r="AL394" s="102"/>
      <c r="AM394" s="132"/>
      <c r="AN394" s="132"/>
      <c r="AO394" s="115"/>
      <c r="AP394" s="115"/>
      <c r="AQ394" s="17"/>
      <c r="AR394" s="247"/>
      <c r="AS394" s="247"/>
      <c r="AT394" s="247"/>
      <c r="AU394" s="17"/>
      <c r="AV394" s="17"/>
      <c r="AW394" s="17"/>
      <c r="AX394" s="247"/>
      <c r="AY394" s="247"/>
      <c r="AZ394" s="247"/>
      <c r="BA394" s="17"/>
      <c r="BB394" s="52"/>
      <c r="BC394" s="17"/>
      <c r="BD394" s="247"/>
      <c r="BE394" s="247"/>
      <c r="BF394" s="247"/>
      <c r="BG394" s="17"/>
      <c r="BH394" s="17"/>
      <c r="BI394" s="17"/>
      <c r="BJ394" s="247">
        <v>118300</v>
      </c>
      <c r="BK394" s="247">
        <f t="shared" si="133"/>
        <v>22477</v>
      </c>
      <c r="BL394" s="247">
        <f t="shared" si="134"/>
        <v>140777</v>
      </c>
      <c r="BM394" s="190" t="s">
        <v>375</v>
      </c>
      <c r="BN394" s="190" t="s">
        <v>1565</v>
      </c>
      <c r="BO394" s="17"/>
      <c r="BP394" s="247"/>
      <c r="BQ394" s="247"/>
      <c r="BR394" s="247"/>
      <c r="BS394" s="17"/>
      <c r="BT394" s="17"/>
      <c r="BU394" s="17"/>
      <c r="BV394" s="195">
        <v>135445.92880000002</v>
      </c>
      <c r="BW394" s="195">
        <f t="shared" si="141"/>
        <v>25734.726472000006</v>
      </c>
      <c r="BX394" s="246">
        <f t="shared" si="142"/>
        <v>161180.65527200003</v>
      </c>
      <c r="BY394" s="190" t="s">
        <v>375</v>
      </c>
      <c r="BZ394" s="190" t="s">
        <v>1565</v>
      </c>
      <c r="CA394" s="190"/>
      <c r="CB394" s="247"/>
      <c r="CC394" s="247"/>
      <c r="CD394" s="247"/>
      <c r="CE394" s="17"/>
      <c r="CF394" s="17"/>
      <c r="CG394" s="17"/>
      <c r="CH394" s="247"/>
      <c r="CI394" s="247"/>
      <c r="CJ394" s="247"/>
      <c r="CK394" s="17"/>
      <c r="CL394" s="17"/>
      <c r="CM394" s="17"/>
      <c r="CN394" s="17"/>
      <c r="CO394" s="17"/>
      <c r="CP394" s="11"/>
      <c r="CQ394" s="11"/>
      <c r="CR394" s="11"/>
      <c r="CS394" s="11"/>
      <c r="CT394" s="247"/>
      <c r="CU394" s="247"/>
      <c r="CV394" s="247"/>
      <c r="CW394" s="11"/>
      <c r="CX394" s="11"/>
      <c r="CY394" s="11"/>
      <c r="CZ394" s="11"/>
      <c r="DA394" s="11"/>
      <c r="DB394" s="11"/>
      <c r="DC394" s="11"/>
      <c r="DD394" s="11"/>
      <c r="DE394" s="11"/>
      <c r="DF394" s="11"/>
      <c r="DG394" s="11"/>
      <c r="DH394" s="11"/>
      <c r="DI394" s="11"/>
      <c r="DJ394" s="11"/>
      <c r="DK394" s="11"/>
      <c r="DL394" s="247"/>
      <c r="DM394" s="247"/>
      <c r="DN394" s="247"/>
      <c r="DO394" s="247"/>
      <c r="DP394" s="247"/>
      <c r="DQ394" s="247"/>
      <c r="DR394" s="247"/>
      <c r="DS394" s="247"/>
      <c r="DT394" s="247"/>
      <c r="DU394" s="247"/>
      <c r="DV394" s="247"/>
      <c r="DW394" s="247"/>
      <c r="DX394" s="247"/>
      <c r="DY394" s="247"/>
      <c r="DZ394" s="247"/>
      <c r="EA394" s="247"/>
      <c r="EB394" s="247"/>
      <c r="EC394" s="247"/>
      <c r="ED394" s="17">
        <f t="shared" si="137"/>
        <v>375505.60527200007</v>
      </c>
      <c r="EE394" s="29">
        <f t="shared" si="138"/>
        <v>4</v>
      </c>
      <c r="EF394" s="17">
        <f t="shared" si="135"/>
        <v>93876.401318000018</v>
      </c>
    </row>
    <row r="395" spans="1:136" ht="38.25" x14ac:dyDescent="0.25">
      <c r="A395" s="25">
        <f>Distribución_Elementos!A395</f>
        <v>393</v>
      </c>
      <c r="B395" s="22" t="str">
        <f>Distribución_Elementos!B395</f>
        <v xml:space="preserve">Pipeta Pasteur en polietileno desechable estéril 3 ml de capacidad, longitud 15,2 cm </v>
      </c>
      <c r="C395" s="22" t="str">
        <f>Distribución_Elementos!C395</f>
        <v xml:space="preserve"> VWR 52947-970 o equivalente con similares o superiores caracterísitcas.</v>
      </c>
      <c r="D395" s="22" t="str">
        <f>Distribución_Elementos!D395</f>
        <v>Caja x 500</v>
      </c>
      <c r="E395" s="224">
        <v>1</v>
      </c>
      <c r="F395" s="221">
        <v>932047.66666666674</v>
      </c>
      <c r="G395" s="221">
        <v>899402</v>
      </c>
      <c r="H395" s="221">
        <v>256358.81316977428</v>
      </c>
      <c r="I395" s="221">
        <v>256207</v>
      </c>
      <c r="J395" s="221">
        <v>745886.05</v>
      </c>
      <c r="K395" s="221">
        <v>0</v>
      </c>
      <c r="L395" s="247">
        <f>AVERAGE(F395,H395,J395)</f>
        <v>644764.17661214701</v>
      </c>
      <c r="M395" s="247">
        <f>AVERAGE(G395,I395)*E1</f>
        <v>595138.63500000001</v>
      </c>
      <c r="N395" s="227">
        <v>0</v>
      </c>
      <c r="O395" s="119"/>
      <c r="P395" s="119"/>
      <c r="Q395" s="115"/>
      <c r="R395" s="115"/>
      <c r="S395" s="11"/>
      <c r="T395" s="247">
        <v>66000</v>
      </c>
      <c r="U395" s="247">
        <f>+T395*0.19</f>
        <v>12540</v>
      </c>
      <c r="V395" s="247">
        <f>+T395+U395</f>
        <v>78540</v>
      </c>
      <c r="W395" s="17" t="s">
        <v>1708</v>
      </c>
      <c r="X395" s="11" t="s">
        <v>1626</v>
      </c>
      <c r="Y395" s="11"/>
      <c r="Z395" s="247"/>
      <c r="AA395" s="247"/>
      <c r="AB395" s="247"/>
      <c r="AC395" s="4"/>
      <c r="AD395" s="22"/>
      <c r="AE395" s="17"/>
      <c r="AF395" s="247"/>
      <c r="AG395" s="247"/>
      <c r="AH395" s="153"/>
      <c r="AI395" s="4"/>
      <c r="AJ395" s="17"/>
      <c r="AK395" s="17"/>
      <c r="AL395" s="102"/>
      <c r="AM395" s="132"/>
      <c r="AN395" s="161"/>
      <c r="AO395" s="115"/>
      <c r="AP395" s="115"/>
      <c r="AQ395" s="17"/>
      <c r="AR395" s="247"/>
      <c r="AS395" s="247"/>
      <c r="AT395" s="247"/>
      <c r="AU395" s="17"/>
      <c r="AV395" s="17"/>
      <c r="AW395" s="17"/>
      <c r="AX395" s="247"/>
      <c r="AY395" s="247"/>
      <c r="AZ395" s="247"/>
      <c r="BA395" s="17"/>
      <c r="BB395" s="52"/>
      <c r="BC395" s="17"/>
      <c r="BD395" s="247"/>
      <c r="BE395" s="247"/>
      <c r="BF395" s="247"/>
      <c r="BG395" s="17"/>
      <c r="BH395" s="17"/>
      <c r="BI395" s="17"/>
      <c r="BJ395" s="247">
        <v>1998500</v>
      </c>
      <c r="BK395" s="247">
        <f t="shared" si="133"/>
        <v>379715</v>
      </c>
      <c r="BL395" s="247">
        <f t="shared" si="134"/>
        <v>2378215</v>
      </c>
      <c r="BM395" s="190" t="s">
        <v>1520</v>
      </c>
      <c r="BN395" s="190" t="s">
        <v>1609</v>
      </c>
      <c r="BO395" s="17"/>
      <c r="BP395" s="247"/>
      <c r="BQ395" s="247"/>
      <c r="BR395" s="247"/>
      <c r="BS395" s="17"/>
      <c r="BT395" s="17"/>
      <c r="BU395" s="17"/>
      <c r="BV395" s="195">
        <v>2247209.3280000002</v>
      </c>
      <c r="BW395" s="195">
        <f t="shared" si="141"/>
        <v>426969.77232000005</v>
      </c>
      <c r="BX395" s="246">
        <f t="shared" si="142"/>
        <v>2674179.1003200002</v>
      </c>
      <c r="BY395" s="190" t="s">
        <v>1520</v>
      </c>
      <c r="BZ395" s="190" t="s">
        <v>1609</v>
      </c>
      <c r="CA395" s="190"/>
      <c r="CB395" s="247"/>
      <c r="CC395" s="247"/>
      <c r="CD395" s="247"/>
      <c r="CE395" s="17"/>
      <c r="CF395" s="17"/>
      <c r="CG395" s="17"/>
      <c r="CH395" s="247"/>
      <c r="CI395" s="247"/>
      <c r="CJ395" s="247"/>
      <c r="CK395" s="17"/>
      <c r="CL395" s="17"/>
      <c r="CM395" s="17"/>
      <c r="CN395" s="17"/>
      <c r="CO395" s="17"/>
      <c r="CP395" s="11"/>
      <c r="CQ395" s="11"/>
      <c r="CR395" s="11"/>
      <c r="CS395" s="11"/>
      <c r="CT395" s="247"/>
      <c r="CU395" s="247"/>
      <c r="CV395" s="247"/>
      <c r="CW395" s="11"/>
      <c r="CX395" s="11"/>
      <c r="CY395" s="11"/>
      <c r="CZ395" s="11"/>
      <c r="DA395" s="11"/>
      <c r="DB395" s="11"/>
      <c r="DC395" s="11"/>
      <c r="DD395" s="11"/>
      <c r="DE395" s="11"/>
      <c r="DF395" s="11"/>
      <c r="DG395" s="11"/>
      <c r="DH395" s="11"/>
      <c r="DI395" s="11"/>
      <c r="DJ395" s="11"/>
      <c r="DK395" s="11"/>
      <c r="DL395" s="247"/>
      <c r="DM395" s="247"/>
      <c r="DN395" s="247"/>
      <c r="DO395" s="247"/>
      <c r="DP395" s="247"/>
      <c r="DQ395" s="247"/>
      <c r="DR395" s="247"/>
      <c r="DS395" s="247"/>
      <c r="DT395" s="247"/>
      <c r="DU395" s="247"/>
      <c r="DV395" s="247"/>
      <c r="DW395" s="247"/>
      <c r="DX395" s="247"/>
      <c r="DY395" s="247"/>
      <c r="DZ395" s="247"/>
      <c r="EA395" s="247"/>
      <c r="EB395" s="247"/>
      <c r="EC395" s="247"/>
      <c r="ED395" s="17">
        <f t="shared" si="137"/>
        <v>5726072.73532</v>
      </c>
      <c r="EE395" s="29">
        <f t="shared" si="138"/>
        <v>5</v>
      </c>
      <c r="EF395" s="17">
        <f t="shared" si="135"/>
        <v>1145214.547064</v>
      </c>
    </row>
    <row r="396" spans="1:136" x14ac:dyDescent="0.25">
      <c r="A396" s="25">
        <f>Distribución_Elementos!A396</f>
        <v>394</v>
      </c>
      <c r="B396" s="22" t="str">
        <f>Distribución_Elementos!B396</f>
        <v xml:space="preserve">Pipeta Pasteur plastica de 1,0 ml de volumen </v>
      </c>
      <c r="C396" s="22" t="str">
        <f>Distribución_Elementos!C396</f>
        <v>Cualquier marca</v>
      </c>
      <c r="D396" s="22" t="str">
        <f>Distribución_Elementos!D396</f>
        <v>Caja x 500</v>
      </c>
      <c r="E396" s="224">
        <v>1</v>
      </c>
      <c r="F396" s="221">
        <v>89250</v>
      </c>
      <c r="G396" s="221">
        <v>87822</v>
      </c>
      <c r="H396" s="221">
        <v>105898.49666666666</v>
      </c>
      <c r="I396" s="221">
        <v>105791</v>
      </c>
      <c r="J396" s="221">
        <v>113609.93466666667</v>
      </c>
      <c r="K396" s="221">
        <v>0</v>
      </c>
      <c r="L396" s="247">
        <f>AVERAGE(F396,H396,J396)</f>
        <v>102919.4771111111</v>
      </c>
      <c r="M396" s="247">
        <f>AVERAGE(G396,I396)*E1</f>
        <v>99710.695000000007</v>
      </c>
      <c r="N396" s="227">
        <v>65000</v>
      </c>
      <c r="O396" s="119">
        <f t="shared" ref="O396:O403" si="143">+N396*0.19</f>
        <v>12350</v>
      </c>
      <c r="P396" s="119">
        <f t="shared" ref="P396:P403" si="144">+N396+O396</f>
        <v>77350</v>
      </c>
      <c r="Q396" s="115"/>
      <c r="R396" s="115"/>
      <c r="S396" s="11"/>
      <c r="T396" s="247">
        <v>66000</v>
      </c>
      <c r="U396" s="247">
        <f>+T396*0.19</f>
        <v>12540</v>
      </c>
      <c r="V396" s="247">
        <f>+T396+U396</f>
        <v>78540</v>
      </c>
      <c r="W396" s="17" t="s">
        <v>1708</v>
      </c>
      <c r="X396" s="11" t="s">
        <v>1626</v>
      </c>
      <c r="Y396" s="11"/>
      <c r="Z396" s="247"/>
      <c r="AA396" s="247"/>
      <c r="AB396" s="247"/>
      <c r="AC396" s="4"/>
      <c r="AD396" s="22"/>
      <c r="AE396" s="17"/>
      <c r="AF396" s="247"/>
      <c r="AG396" s="247"/>
      <c r="AH396" s="153"/>
      <c r="AI396" s="22"/>
      <c r="AJ396" s="17"/>
      <c r="AK396" s="17"/>
      <c r="AL396" s="102"/>
      <c r="AM396" s="132"/>
      <c r="AN396" s="161"/>
      <c r="AO396" s="115"/>
      <c r="AP396" s="115"/>
      <c r="AQ396" s="17"/>
      <c r="AR396" s="247"/>
      <c r="AS396" s="247"/>
      <c r="AT396" s="247"/>
      <c r="AU396" s="17"/>
      <c r="AV396" s="17"/>
      <c r="AW396" s="17"/>
      <c r="AX396" s="247"/>
      <c r="AY396" s="247"/>
      <c r="AZ396" s="247"/>
      <c r="BA396" s="17"/>
      <c r="BB396" s="52"/>
      <c r="BC396" s="17"/>
      <c r="BD396" s="247"/>
      <c r="BE396" s="247"/>
      <c r="BF396" s="247"/>
      <c r="BG396" s="17"/>
      <c r="BH396" s="17"/>
      <c r="BI396" s="17"/>
      <c r="BJ396" s="247">
        <v>206300</v>
      </c>
      <c r="BK396" s="247">
        <f t="shared" si="133"/>
        <v>39197</v>
      </c>
      <c r="BL396" s="247">
        <f t="shared" si="134"/>
        <v>245497</v>
      </c>
      <c r="BM396" s="190" t="s">
        <v>1520</v>
      </c>
      <c r="BN396" s="190" t="s">
        <v>316</v>
      </c>
      <c r="BO396" s="17"/>
      <c r="BP396" s="247"/>
      <c r="BQ396" s="247"/>
      <c r="BR396" s="247"/>
      <c r="BS396" s="17"/>
      <c r="BT396" s="17"/>
      <c r="BU396" s="17"/>
      <c r="BV396" s="195">
        <v>231995.4902</v>
      </c>
      <c r="BW396" s="195">
        <f t="shared" si="141"/>
        <v>44079.143137999999</v>
      </c>
      <c r="BX396" s="246">
        <f t="shared" si="142"/>
        <v>276074.63333799999</v>
      </c>
      <c r="BY396" s="190" t="s">
        <v>1520</v>
      </c>
      <c r="BZ396" s="190" t="s">
        <v>316</v>
      </c>
      <c r="CA396" s="190"/>
      <c r="CB396" s="247"/>
      <c r="CC396" s="247"/>
      <c r="CD396" s="247"/>
      <c r="CE396" s="17"/>
      <c r="CF396" s="17"/>
      <c r="CG396" s="17"/>
      <c r="CH396" s="247"/>
      <c r="CI396" s="247"/>
      <c r="CJ396" s="247"/>
      <c r="CK396" s="17"/>
      <c r="CL396" s="17"/>
      <c r="CM396" s="17"/>
      <c r="CN396" s="17"/>
      <c r="CO396" s="17"/>
      <c r="CP396" s="11"/>
      <c r="CQ396" s="11"/>
      <c r="CR396" s="11"/>
      <c r="CS396" s="11"/>
      <c r="CT396" s="247"/>
      <c r="CU396" s="247"/>
      <c r="CV396" s="247"/>
      <c r="CW396" s="11"/>
      <c r="CX396" s="11"/>
      <c r="CY396" s="11"/>
      <c r="CZ396" s="11"/>
      <c r="DA396" s="11"/>
      <c r="DB396" s="11"/>
      <c r="DC396" s="11"/>
      <c r="DD396" s="11"/>
      <c r="DE396" s="11"/>
      <c r="DF396" s="11"/>
      <c r="DG396" s="11"/>
      <c r="DH396" s="11"/>
      <c r="DI396" s="11"/>
      <c r="DJ396" s="11"/>
      <c r="DK396" s="11"/>
      <c r="DL396" s="247"/>
      <c r="DM396" s="247"/>
      <c r="DN396" s="247"/>
      <c r="DO396" s="247"/>
      <c r="DP396" s="247"/>
      <c r="DQ396" s="247"/>
      <c r="DR396" s="247"/>
      <c r="DS396" s="247"/>
      <c r="DT396" s="247"/>
      <c r="DU396" s="247"/>
      <c r="DV396" s="247"/>
      <c r="DW396" s="247"/>
      <c r="DX396" s="247"/>
      <c r="DY396" s="247"/>
      <c r="DZ396" s="247"/>
      <c r="EA396" s="247"/>
      <c r="EB396" s="247"/>
      <c r="EC396" s="247"/>
      <c r="ED396" s="17">
        <f t="shared" si="137"/>
        <v>777172.32833799999</v>
      </c>
      <c r="EE396" s="29">
        <f t="shared" si="138"/>
        <v>5</v>
      </c>
      <c r="EF396" s="17">
        <f t="shared" si="135"/>
        <v>155434.46566759999</v>
      </c>
    </row>
    <row r="397" spans="1:136" ht="63.75" x14ac:dyDescent="0.25">
      <c r="A397" s="25">
        <f>Distribución_Elementos!A397</f>
        <v>395</v>
      </c>
      <c r="B397" s="22" t="str">
        <f>Distribución_Elementos!B397</f>
        <v>Pipeta plástica poliestireno graduada para 10 ml, estériles y en empaque individual</v>
      </c>
      <c r="C397" s="22" t="str">
        <f>Distribución_Elementos!C397</f>
        <v>Cualquier marca</v>
      </c>
      <c r="D397" s="22" t="str">
        <f>Distribución_Elementos!D397</f>
        <v xml:space="preserve">Caja x 200 </v>
      </c>
      <c r="E397" s="224">
        <v>1</v>
      </c>
      <c r="F397" s="221">
        <v>399310.45</v>
      </c>
      <c r="G397" s="221">
        <v>393295</v>
      </c>
      <c r="H397" s="221">
        <v>233210.25</v>
      </c>
      <c r="I397" s="221">
        <v>0</v>
      </c>
      <c r="J397" s="221">
        <v>347589.36076653685</v>
      </c>
      <c r="K397" s="221">
        <v>0</v>
      </c>
      <c r="L397" s="247">
        <f>AVERAGE(F397,H397,J397)</f>
        <v>326703.35358884558</v>
      </c>
      <c r="M397" s="247">
        <f>G397*E1</f>
        <v>405093.85000000003</v>
      </c>
      <c r="N397" s="227">
        <v>400000</v>
      </c>
      <c r="O397" s="119">
        <f t="shared" si="143"/>
        <v>76000</v>
      </c>
      <c r="P397" s="119">
        <f t="shared" si="144"/>
        <v>476000</v>
      </c>
      <c r="Q397" s="115"/>
      <c r="R397" s="115"/>
      <c r="S397" s="11"/>
      <c r="T397" s="247"/>
      <c r="U397" s="247"/>
      <c r="V397" s="247"/>
      <c r="W397" s="17"/>
      <c r="X397" s="11"/>
      <c r="Y397" s="11"/>
      <c r="Z397" s="247"/>
      <c r="AA397" s="247"/>
      <c r="AB397" s="247"/>
      <c r="AC397" s="4"/>
      <c r="AD397" s="22"/>
      <c r="AE397" s="17"/>
      <c r="AF397" s="247"/>
      <c r="AG397" s="247"/>
      <c r="AH397" s="153"/>
      <c r="AI397" s="4"/>
      <c r="AJ397" s="17"/>
      <c r="AK397" s="17"/>
      <c r="AL397" s="102"/>
      <c r="AM397" s="132"/>
      <c r="AN397" s="161"/>
      <c r="AO397" s="115"/>
      <c r="AP397" s="115"/>
      <c r="AQ397" s="17"/>
      <c r="AR397" s="247"/>
      <c r="AS397" s="247"/>
      <c r="AT397" s="247"/>
      <c r="AU397" s="17"/>
      <c r="AV397" s="17"/>
      <c r="AW397" s="17"/>
      <c r="AX397" s="247"/>
      <c r="AY397" s="247"/>
      <c r="AZ397" s="247"/>
      <c r="BA397" s="17"/>
      <c r="BB397" s="52"/>
      <c r="BC397" s="17"/>
      <c r="BD397" s="102">
        <v>248583</v>
      </c>
      <c r="BE397" s="247">
        <f>+BD397*0.19</f>
        <v>47230.770000000004</v>
      </c>
      <c r="BF397" s="247">
        <f>+BD397+BE397</f>
        <v>295813.77</v>
      </c>
      <c r="BG397" s="25" t="s">
        <v>1709</v>
      </c>
      <c r="BH397" s="5" t="s">
        <v>1710</v>
      </c>
      <c r="BI397" s="5" t="s">
        <v>1711</v>
      </c>
      <c r="BJ397" s="247">
        <v>561800</v>
      </c>
      <c r="BK397" s="247">
        <f t="shared" si="133"/>
        <v>106742</v>
      </c>
      <c r="BL397" s="247">
        <f t="shared" si="134"/>
        <v>668542</v>
      </c>
      <c r="BM397" s="190" t="s">
        <v>1524</v>
      </c>
      <c r="BN397" s="190" t="s">
        <v>316</v>
      </c>
      <c r="BO397" s="17"/>
      <c r="BP397" s="247">
        <v>385000</v>
      </c>
      <c r="BQ397" s="247">
        <f t="shared" si="136"/>
        <v>73150</v>
      </c>
      <c r="BR397" s="247">
        <f t="shared" ref="BR397:BR402" si="145">+BQ397+BP397</f>
        <v>458150</v>
      </c>
      <c r="BS397" s="17"/>
      <c r="BT397" s="17"/>
      <c r="BU397" s="17"/>
      <c r="BV397" s="195">
        <v>625411.49040000001</v>
      </c>
      <c r="BW397" s="195">
        <f t="shared" si="141"/>
        <v>118828.18317600001</v>
      </c>
      <c r="BX397" s="246">
        <f t="shared" si="142"/>
        <v>744239.67357600003</v>
      </c>
      <c r="BY397" s="190" t="s">
        <v>1524</v>
      </c>
      <c r="BZ397" s="190" t="s">
        <v>316</v>
      </c>
      <c r="CA397" s="190"/>
      <c r="CB397" s="247"/>
      <c r="CC397" s="247"/>
      <c r="CD397" s="247"/>
      <c r="CE397" s="17"/>
      <c r="CF397" s="17"/>
      <c r="CG397" s="17"/>
      <c r="CH397" s="247"/>
      <c r="CI397" s="247"/>
      <c r="CJ397" s="247"/>
      <c r="CK397" s="17"/>
      <c r="CL397" s="17"/>
      <c r="CM397" s="17"/>
      <c r="CN397" s="17"/>
      <c r="CO397" s="17"/>
      <c r="CP397" s="11"/>
      <c r="CQ397" s="11"/>
      <c r="CR397" s="11"/>
      <c r="CS397" s="11"/>
      <c r="CT397" s="247"/>
      <c r="CU397" s="247"/>
      <c r="CV397" s="247"/>
      <c r="CW397" s="11"/>
      <c r="CX397" s="11"/>
      <c r="CY397" s="11"/>
      <c r="CZ397" s="11"/>
      <c r="DA397" s="11"/>
      <c r="DB397" s="11"/>
      <c r="DC397" s="11"/>
      <c r="DD397" s="11"/>
      <c r="DE397" s="11"/>
      <c r="DF397" s="11"/>
      <c r="DG397" s="11"/>
      <c r="DH397" s="11"/>
      <c r="DI397" s="11"/>
      <c r="DJ397" s="11"/>
      <c r="DK397" s="11"/>
      <c r="DL397" s="247"/>
      <c r="DM397" s="247"/>
      <c r="DN397" s="247"/>
      <c r="DO397" s="247"/>
      <c r="DP397" s="247"/>
      <c r="DQ397" s="247"/>
      <c r="DR397" s="247"/>
      <c r="DS397" s="247"/>
      <c r="DT397" s="247"/>
      <c r="DU397" s="247"/>
      <c r="DV397" s="247"/>
      <c r="DW397" s="247"/>
      <c r="DX397" s="247"/>
      <c r="DY397" s="247"/>
      <c r="DZ397" s="247"/>
      <c r="EA397" s="247"/>
      <c r="EB397" s="247"/>
      <c r="EC397" s="247"/>
      <c r="ED397" s="17">
        <f t="shared" si="137"/>
        <v>3047839.2935760003</v>
      </c>
      <c r="EE397" s="29">
        <f t="shared" si="138"/>
        <v>6</v>
      </c>
      <c r="EF397" s="17">
        <f t="shared" si="135"/>
        <v>507973.21559600002</v>
      </c>
    </row>
    <row r="398" spans="1:136" ht="63.75" x14ac:dyDescent="0.25">
      <c r="A398" s="25">
        <f>Distribución_Elementos!A398</f>
        <v>396</v>
      </c>
      <c r="B398" s="22" t="str">
        <f>Distribución_Elementos!B398</f>
        <v>Pipeta plástica poliestireno graduada para 25 ml, estériles y en empaque individual</v>
      </c>
      <c r="C398" s="22" t="str">
        <f>Distribución_Elementos!C398</f>
        <v>Cualquier marca</v>
      </c>
      <c r="D398" s="22" t="str">
        <f>Distribución_Elementos!D398</f>
        <v xml:space="preserve">Caja x 200 </v>
      </c>
      <c r="E398" s="224">
        <v>1</v>
      </c>
      <c r="F398" s="221">
        <v>537919.66666666663</v>
      </c>
      <c r="G398" s="221">
        <v>524433</v>
      </c>
      <c r="H398" s="221">
        <v>208607</v>
      </c>
      <c r="I398" s="221">
        <v>0</v>
      </c>
      <c r="J398" s="221">
        <v>380945.07962582051</v>
      </c>
      <c r="K398" s="221">
        <v>0</v>
      </c>
      <c r="L398" s="247">
        <f>AVERAGE(F398,H398,J398)</f>
        <v>375823.9154308291</v>
      </c>
      <c r="M398" s="247">
        <f>G398*E1</f>
        <v>540165.99</v>
      </c>
      <c r="N398" s="227">
        <v>500000</v>
      </c>
      <c r="O398" s="119">
        <f t="shared" si="143"/>
        <v>95000</v>
      </c>
      <c r="P398" s="119">
        <f t="shared" si="144"/>
        <v>595000</v>
      </c>
      <c r="Q398" s="115"/>
      <c r="R398" s="115"/>
      <c r="S398" s="11"/>
      <c r="T398" s="247"/>
      <c r="U398" s="247"/>
      <c r="V398" s="247"/>
      <c r="W398" s="17"/>
      <c r="X398" s="11"/>
      <c r="Y398" s="11"/>
      <c r="Z398" s="247"/>
      <c r="AA398" s="247"/>
      <c r="AB398" s="247"/>
      <c r="AC398" s="44"/>
      <c r="AD398" s="22"/>
      <c r="AE398" s="17"/>
      <c r="AF398" s="247"/>
      <c r="AG398" s="247"/>
      <c r="AH398" s="151"/>
      <c r="AI398" s="4"/>
      <c r="AJ398" s="17"/>
      <c r="AK398" s="17"/>
      <c r="AL398" s="102"/>
      <c r="AM398" s="132"/>
      <c r="AN398" s="161"/>
      <c r="AO398" s="115"/>
      <c r="AP398" s="115"/>
      <c r="AQ398" s="17"/>
      <c r="AR398" s="247"/>
      <c r="AS398" s="247"/>
      <c r="AT398" s="247"/>
      <c r="AU398" s="17"/>
      <c r="AV398" s="17"/>
      <c r="AW398" s="17"/>
      <c r="AX398" s="247"/>
      <c r="AY398" s="247"/>
      <c r="AZ398" s="247"/>
      <c r="BA398" s="17"/>
      <c r="BB398" s="52"/>
      <c r="BC398" s="17"/>
      <c r="BD398" s="102">
        <f>+(320318/150)*200</f>
        <v>427090.66666666669</v>
      </c>
      <c r="BE398" s="247">
        <f>+BD398*0.19</f>
        <v>81147.226666666669</v>
      </c>
      <c r="BF398" s="247">
        <f>+BD398+BE398</f>
        <v>508237.89333333337</v>
      </c>
      <c r="BG398" s="25" t="s">
        <v>1712</v>
      </c>
      <c r="BH398" s="5" t="s">
        <v>1713</v>
      </c>
      <c r="BI398" s="5" t="s">
        <v>1714</v>
      </c>
      <c r="BJ398" s="247">
        <v>2875300</v>
      </c>
      <c r="BK398" s="247">
        <f t="shared" si="133"/>
        <v>546307</v>
      </c>
      <c r="BL398" s="247">
        <f t="shared" si="134"/>
        <v>3421607</v>
      </c>
      <c r="BM398" s="190" t="s">
        <v>1524</v>
      </c>
      <c r="BN398" s="190" t="s">
        <v>316</v>
      </c>
      <c r="BO398" s="17"/>
      <c r="BP398" s="247">
        <v>395000</v>
      </c>
      <c r="BQ398" s="247">
        <f t="shared" si="136"/>
        <v>75050</v>
      </c>
      <c r="BR398" s="247">
        <f t="shared" si="145"/>
        <v>470050</v>
      </c>
      <c r="BS398" s="17"/>
      <c r="BT398" s="17"/>
      <c r="BU398" s="17"/>
      <c r="BV398" s="195">
        <v>3171829.6890000002</v>
      </c>
      <c r="BW398" s="195">
        <f t="shared" si="141"/>
        <v>602647.64091000007</v>
      </c>
      <c r="BX398" s="246">
        <f t="shared" si="142"/>
        <v>3774477.3299100003</v>
      </c>
      <c r="BY398" s="190" t="s">
        <v>1524</v>
      </c>
      <c r="BZ398" s="190" t="s">
        <v>316</v>
      </c>
      <c r="CA398" s="190"/>
      <c r="CB398" s="247"/>
      <c r="CC398" s="247"/>
      <c r="CD398" s="247"/>
      <c r="CE398" s="17"/>
      <c r="CF398" s="17"/>
      <c r="CG398" s="17"/>
      <c r="CH398" s="247"/>
      <c r="CI398" s="247"/>
      <c r="CJ398" s="247"/>
      <c r="CK398" s="17"/>
      <c r="CL398" s="17"/>
      <c r="CM398" s="17"/>
      <c r="CN398" s="17"/>
      <c r="CO398" s="17"/>
      <c r="CP398" s="11"/>
      <c r="CQ398" s="11"/>
      <c r="CR398" s="11"/>
      <c r="CS398" s="11"/>
      <c r="CT398" s="247"/>
      <c r="CU398" s="247"/>
      <c r="CV398" s="247"/>
      <c r="CW398" s="11"/>
      <c r="CX398" s="11"/>
      <c r="CY398" s="11"/>
      <c r="CZ398" s="11"/>
      <c r="DA398" s="11"/>
      <c r="DB398" s="11"/>
      <c r="DC398" s="11"/>
      <c r="DD398" s="11"/>
      <c r="DE398" s="11"/>
      <c r="DF398" s="11"/>
      <c r="DG398" s="11"/>
      <c r="DH398" s="11"/>
      <c r="DI398" s="11"/>
      <c r="DJ398" s="11"/>
      <c r="DK398" s="11"/>
      <c r="DL398" s="247"/>
      <c r="DM398" s="247"/>
      <c r="DN398" s="247"/>
      <c r="DO398" s="247"/>
      <c r="DP398" s="247"/>
      <c r="DQ398" s="247"/>
      <c r="DR398" s="247"/>
      <c r="DS398" s="247"/>
      <c r="DT398" s="247"/>
      <c r="DU398" s="247"/>
      <c r="DV398" s="247"/>
      <c r="DW398" s="247"/>
      <c r="DX398" s="247"/>
      <c r="DY398" s="247"/>
      <c r="DZ398" s="247"/>
      <c r="EA398" s="247"/>
      <c r="EB398" s="247"/>
      <c r="EC398" s="247"/>
      <c r="ED398" s="17">
        <f t="shared" si="137"/>
        <v>9309538.2132433336</v>
      </c>
      <c r="EE398" s="29">
        <f t="shared" si="138"/>
        <v>6</v>
      </c>
      <c r="EF398" s="17">
        <f t="shared" si="135"/>
        <v>1551589.7022072223</v>
      </c>
    </row>
    <row r="399" spans="1:136" ht="63.75" x14ac:dyDescent="0.25">
      <c r="A399" s="25">
        <f>Distribución_Elementos!A399</f>
        <v>397</v>
      </c>
      <c r="B399" s="22" t="str">
        <f>Distribución_Elementos!B399</f>
        <v>Pipeta plástica poliestireno graduada para 5 ml, estériles y en empaque individual</v>
      </c>
      <c r="C399" s="22" t="str">
        <f>Distribución_Elementos!C399</f>
        <v>Cualquier marca</v>
      </c>
      <c r="D399" s="22" t="str">
        <f>Distribución_Elementos!D399</f>
        <v xml:space="preserve">Caja x 200 </v>
      </c>
      <c r="E399" s="224">
        <v>1</v>
      </c>
      <c r="F399" s="221">
        <v>341173</v>
      </c>
      <c r="G399" s="221">
        <v>335937</v>
      </c>
      <c r="H399" s="221">
        <v>205156</v>
      </c>
      <c r="I399" s="221">
        <v>0</v>
      </c>
      <c r="J399" s="221">
        <v>389146.03367219388</v>
      </c>
      <c r="K399" s="221">
        <v>0</v>
      </c>
      <c r="L399" s="247">
        <f>AVERAGE(F399,H399,J399)</f>
        <v>311825.01122406463</v>
      </c>
      <c r="M399" s="247">
        <f>G399*E1</f>
        <v>346015.11</v>
      </c>
      <c r="N399" s="227">
        <v>350000</v>
      </c>
      <c r="O399" s="119">
        <f t="shared" si="143"/>
        <v>66500</v>
      </c>
      <c r="P399" s="119">
        <f t="shared" si="144"/>
        <v>416500</v>
      </c>
      <c r="Q399" s="115"/>
      <c r="R399" s="115"/>
      <c r="S399" s="11"/>
      <c r="T399" s="247"/>
      <c r="U399" s="247"/>
      <c r="V399" s="247"/>
      <c r="W399" s="17"/>
      <c r="X399" s="11"/>
      <c r="Y399" s="11"/>
      <c r="Z399" s="247"/>
      <c r="AA399" s="247"/>
      <c r="AB399" s="247"/>
      <c r="AC399" s="5"/>
      <c r="AD399" s="22"/>
      <c r="AE399" s="17"/>
      <c r="AF399" s="247"/>
      <c r="AG399" s="247"/>
      <c r="AH399" s="149"/>
      <c r="AI399" s="22"/>
      <c r="AJ399" s="17"/>
      <c r="AK399" s="17"/>
      <c r="AL399" s="102"/>
      <c r="AM399" s="132"/>
      <c r="AN399" s="161"/>
      <c r="AO399" s="115"/>
      <c r="AP399" s="115"/>
      <c r="AQ399" s="17"/>
      <c r="AR399" s="247"/>
      <c r="AS399" s="247"/>
      <c r="AT399" s="247"/>
      <c r="AU399" s="17"/>
      <c r="AV399" s="17"/>
      <c r="AW399" s="17"/>
      <c r="AX399" s="247"/>
      <c r="AY399" s="247"/>
      <c r="AZ399" s="247"/>
      <c r="BA399" s="17"/>
      <c r="BB399" s="52"/>
      <c r="BC399" s="17"/>
      <c r="BD399" s="102">
        <v>217988</v>
      </c>
      <c r="BE399" s="247">
        <f>+BD399*0.19</f>
        <v>41417.72</v>
      </c>
      <c r="BF399" s="247">
        <f>+BD399+BE399</f>
        <v>259405.72</v>
      </c>
      <c r="BG399" s="25" t="s">
        <v>1709</v>
      </c>
      <c r="BH399" s="5" t="s">
        <v>1715</v>
      </c>
      <c r="BI399" s="5" t="s">
        <v>1716</v>
      </c>
      <c r="BJ399" s="247">
        <v>558200</v>
      </c>
      <c r="BK399" s="247">
        <f t="shared" si="133"/>
        <v>106058</v>
      </c>
      <c r="BL399" s="247">
        <f t="shared" si="134"/>
        <v>664258</v>
      </c>
      <c r="BM399" s="190" t="s">
        <v>1524</v>
      </c>
      <c r="BN399" s="190" t="s">
        <v>316</v>
      </c>
      <c r="BO399" s="17"/>
      <c r="BP399" s="247">
        <v>396000</v>
      </c>
      <c r="BQ399" s="247">
        <f t="shared" si="136"/>
        <v>75240</v>
      </c>
      <c r="BR399" s="247">
        <f t="shared" si="145"/>
        <v>471240</v>
      </c>
      <c r="BS399" s="17"/>
      <c r="BT399" s="17"/>
      <c r="BU399" s="17"/>
      <c r="BV399" s="195">
        <v>592196.6128</v>
      </c>
      <c r="BW399" s="195">
        <f t="shared" si="141"/>
        <v>112517.356432</v>
      </c>
      <c r="BX399" s="246">
        <f t="shared" si="142"/>
        <v>704713.96923199994</v>
      </c>
      <c r="BY399" s="190" t="s">
        <v>1524</v>
      </c>
      <c r="BZ399" s="190" t="s">
        <v>316</v>
      </c>
      <c r="CA399" s="190"/>
      <c r="CB399" s="247"/>
      <c r="CC399" s="247"/>
      <c r="CD399" s="247"/>
      <c r="CE399" s="17"/>
      <c r="CF399" s="17"/>
      <c r="CG399" s="17"/>
      <c r="CH399" s="247"/>
      <c r="CI399" s="247"/>
      <c r="CJ399" s="247"/>
      <c r="CK399" s="17"/>
      <c r="CL399" s="17"/>
      <c r="CM399" s="17"/>
      <c r="CN399" s="17"/>
      <c r="CO399" s="17"/>
      <c r="CP399" s="11"/>
      <c r="CQ399" s="11"/>
      <c r="CR399" s="11"/>
      <c r="CS399" s="11"/>
      <c r="CT399" s="247"/>
      <c r="CU399" s="247"/>
      <c r="CV399" s="247"/>
      <c r="CW399" s="11"/>
      <c r="CX399" s="11"/>
      <c r="CY399" s="11"/>
      <c r="CZ399" s="11"/>
      <c r="DA399" s="11"/>
      <c r="DB399" s="11"/>
      <c r="DC399" s="11"/>
      <c r="DD399" s="11"/>
      <c r="DE399" s="11"/>
      <c r="DF399" s="11"/>
      <c r="DG399" s="11"/>
      <c r="DH399" s="11"/>
      <c r="DI399" s="11"/>
      <c r="DJ399" s="11"/>
      <c r="DK399" s="11"/>
      <c r="DL399" s="247"/>
      <c r="DM399" s="247"/>
      <c r="DN399" s="247"/>
      <c r="DO399" s="247"/>
      <c r="DP399" s="247"/>
      <c r="DQ399" s="247"/>
      <c r="DR399" s="247"/>
      <c r="DS399" s="247"/>
      <c r="DT399" s="247"/>
      <c r="DU399" s="247"/>
      <c r="DV399" s="247"/>
      <c r="DW399" s="247"/>
      <c r="DX399" s="247"/>
      <c r="DY399" s="247"/>
      <c r="DZ399" s="247"/>
      <c r="EA399" s="247"/>
      <c r="EB399" s="247"/>
      <c r="EC399" s="247"/>
      <c r="ED399" s="17">
        <f t="shared" si="137"/>
        <v>2862132.799232</v>
      </c>
      <c r="EE399" s="29">
        <f t="shared" si="138"/>
        <v>6</v>
      </c>
      <c r="EF399" s="17">
        <f t="shared" si="135"/>
        <v>477022.13320533332</v>
      </c>
    </row>
    <row r="400" spans="1:136" ht="25.5" x14ac:dyDescent="0.25">
      <c r="A400" s="25">
        <f>Distribución_Elementos!A400</f>
        <v>398</v>
      </c>
      <c r="B400" s="22" t="str">
        <f>Distribución_Elementos!B400</f>
        <v>Pipetas pasteur en polietileno desechables estériles  de 7 ml de capacidad, graduadas hasta 3 ml de 5,3 cm de largo.</v>
      </c>
      <c r="C400" s="22" t="str">
        <f>Distribución_Elementos!C400</f>
        <v>Cualquier marca</v>
      </c>
      <c r="D400" s="22" t="str">
        <f>Distribución_Elementos!D400</f>
        <v>Caja x 500</v>
      </c>
      <c r="E400" s="224">
        <v>1</v>
      </c>
      <c r="F400" s="221">
        <v>0</v>
      </c>
      <c r="G400" s="221">
        <v>0</v>
      </c>
      <c r="H400" s="221">
        <v>1511121.5</v>
      </c>
      <c r="I400" s="221">
        <v>1511062</v>
      </c>
      <c r="J400" s="221">
        <v>2536465.96</v>
      </c>
      <c r="K400" s="221">
        <v>1178100</v>
      </c>
      <c r="L400" s="247">
        <f>AVERAGE(H400,J400)</f>
        <v>2023793.73</v>
      </c>
      <c r="M400" s="247">
        <f>AVERAGE(I400,K400)*E1</f>
        <v>1384918.43</v>
      </c>
      <c r="N400" s="227">
        <v>250000</v>
      </c>
      <c r="O400" s="119">
        <f t="shared" si="143"/>
        <v>47500</v>
      </c>
      <c r="P400" s="119">
        <f t="shared" si="144"/>
        <v>297500</v>
      </c>
      <c r="Q400" s="115"/>
      <c r="R400" s="115"/>
      <c r="S400" s="11"/>
      <c r="T400" s="247"/>
      <c r="U400" s="247"/>
      <c r="V400" s="247"/>
      <c r="W400" s="17"/>
      <c r="X400" s="11"/>
      <c r="Y400" s="11"/>
      <c r="Z400" s="247"/>
      <c r="AA400" s="247"/>
      <c r="AB400" s="247"/>
      <c r="AC400" s="5"/>
      <c r="AD400" s="22"/>
      <c r="AE400" s="17"/>
      <c r="AF400" s="247"/>
      <c r="AG400" s="247"/>
      <c r="AH400" s="149"/>
      <c r="AI400" s="4"/>
      <c r="AJ400" s="17"/>
      <c r="AK400" s="17"/>
      <c r="AL400" s="102"/>
      <c r="AM400" s="132"/>
      <c r="AN400" s="161"/>
      <c r="AO400" s="115"/>
      <c r="AP400" s="115"/>
      <c r="AQ400" s="17"/>
      <c r="AR400" s="247"/>
      <c r="AS400" s="247"/>
      <c r="AT400" s="247"/>
      <c r="AU400" s="17"/>
      <c r="AV400" s="17"/>
      <c r="AW400" s="17"/>
      <c r="AX400" s="247"/>
      <c r="AY400" s="247"/>
      <c r="AZ400" s="247"/>
      <c r="BA400" s="17"/>
      <c r="BB400" s="52"/>
      <c r="BC400" s="17"/>
      <c r="BD400" s="247"/>
      <c r="BE400" s="247"/>
      <c r="BF400" s="247"/>
      <c r="BG400" s="17"/>
      <c r="BH400" s="17"/>
      <c r="BI400" s="17"/>
      <c r="BJ400" s="247">
        <v>265800</v>
      </c>
      <c r="BK400" s="247">
        <f t="shared" si="133"/>
        <v>50502</v>
      </c>
      <c r="BL400" s="247">
        <f t="shared" si="134"/>
        <v>316302</v>
      </c>
      <c r="BM400" s="190" t="s">
        <v>1520</v>
      </c>
      <c r="BN400" s="190" t="s">
        <v>316</v>
      </c>
      <c r="BO400" s="17"/>
      <c r="BP400" s="247">
        <v>380000</v>
      </c>
      <c r="BQ400" s="247">
        <f t="shared" si="136"/>
        <v>72200</v>
      </c>
      <c r="BR400" s="247">
        <f t="shared" si="145"/>
        <v>452200</v>
      </c>
      <c r="BS400" s="17"/>
      <c r="BT400" s="17"/>
      <c r="BU400" s="17"/>
      <c r="BV400" s="195">
        <v>301863.74400000006</v>
      </c>
      <c r="BW400" s="195">
        <f t="shared" si="141"/>
        <v>57354.11136000001</v>
      </c>
      <c r="BX400" s="246">
        <f t="shared" si="142"/>
        <v>359217.85536000005</v>
      </c>
      <c r="BY400" s="190" t="s">
        <v>1520</v>
      </c>
      <c r="BZ400" s="190" t="s">
        <v>316</v>
      </c>
      <c r="CA400" s="190"/>
      <c r="CB400" s="247"/>
      <c r="CC400" s="247"/>
      <c r="CD400" s="247"/>
      <c r="CE400" s="17"/>
      <c r="CF400" s="17"/>
      <c r="CG400" s="17"/>
      <c r="CH400" s="247"/>
      <c r="CI400" s="247"/>
      <c r="CJ400" s="247"/>
      <c r="CK400" s="17"/>
      <c r="CL400" s="17"/>
      <c r="CM400" s="17"/>
      <c r="CN400" s="17"/>
      <c r="CO400" s="17"/>
      <c r="CP400" s="11"/>
      <c r="CQ400" s="11"/>
      <c r="CR400" s="11"/>
      <c r="CS400" s="11"/>
      <c r="CT400" s="247"/>
      <c r="CU400" s="247"/>
      <c r="CV400" s="247"/>
      <c r="CW400" s="11"/>
      <c r="CX400" s="11"/>
      <c r="CY400" s="11"/>
      <c r="CZ400" s="11"/>
      <c r="DA400" s="11"/>
      <c r="DB400" s="11"/>
      <c r="DC400" s="11"/>
      <c r="DD400" s="11"/>
      <c r="DE400" s="11"/>
      <c r="DF400" s="11"/>
      <c r="DG400" s="11"/>
      <c r="DH400" s="11"/>
      <c r="DI400" s="11"/>
      <c r="DJ400" s="11"/>
      <c r="DK400" s="11"/>
      <c r="DL400" s="247"/>
      <c r="DM400" s="247"/>
      <c r="DN400" s="247"/>
      <c r="DO400" s="247"/>
      <c r="DP400" s="247"/>
      <c r="DQ400" s="247"/>
      <c r="DR400" s="247"/>
      <c r="DS400" s="247"/>
      <c r="DT400" s="247"/>
      <c r="DU400" s="247"/>
      <c r="DV400" s="247"/>
      <c r="DW400" s="247"/>
      <c r="DX400" s="247"/>
      <c r="DY400" s="247"/>
      <c r="DZ400" s="247"/>
      <c r="EA400" s="247"/>
      <c r="EB400" s="247"/>
      <c r="EC400" s="247"/>
      <c r="ED400" s="17">
        <f t="shared" si="137"/>
        <v>2810138.2853599996</v>
      </c>
      <c r="EE400" s="29">
        <f t="shared" si="138"/>
        <v>5</v>
      </c>
      <c r="EF400" s="17">
        <f t="shared" si="135"/>
        <v>562027.65707199997</v>
      </c>
    </row>
    <row r="401" spans="1:136" x14ac:dyDescent="0.25">
      <c r="A401" s="25">
        <f>Distribución_Elementos!A401</f>
        <v>399</v>
      </c>
      <c r="B401" s="22" t="str">
        <f>Distribución_Elementos!B401</f>
        <v>Pipeteador tipo cremallera de 0-10 ml</v>
      </c>
      <c r="C401" s="22" t="str">
        <f>Distribución_Elementos!C401</f>
        <v>Cualquier marca</v>
      </c>
      <c r="D401" s="22" t="str">
        <f>Distribución_Elementos!D401</f>
        <v>Unidad</v>
      </c>
      <c r="E401" s="224">
        <v>1</v>
      </c>
      <c r="F401" s="221">
        <v>97371.75</v>
      </c>
      <c r="G401" s="221">
        <v>23800</v>
      </c>
      <c r="H401" s="221">
        <v>33855.5</v>
      </c>
      <c r="I401" s="221">
        <v>26180</v>
      </c>
      <c r="J401" s="221">
        <v>52072.416666666664</v>
      </c>
      <c r="K401" s="221">
        <v>51170</v>
      </c>
      <c r="L401" s="247">
        <f>AVERAGE(F401,H401,J401)</f>
        <v>61099.888888888883</v>
      </c>
      <c r="M401" s="247">
        <f>AVERAGE(G401,I401,K401)*E1</f>
        <v>34728.166666666664</v>
      </c>
      <c r="N401" s="227">
        <v>38000</v>
      </c>
      <c r="O401" s="119">
        <f t="shared" si="143"/>
        <v>7220</v>
      </c>
      <c r="P401" s="119">
        <f t="shared" si="144"/>
        <v>45220</v>
      </c>
      <c r="Q401" s="115"/>
      <c r="R401" s="115"/>
      <c r="S401" s="11"/>
      <c r="T401" s="247">
        <v>23100.000000000004</v>
      </c>
      <c r="U401" s="247">
        <f>+T401*0.19</f>
        <v>4389.0000000000009</v>
      </c>
      <c r="V401" s="247">
        <f>+T401+U401</f>
        <v>27489.000000000004</v>
      </c>
      <c r="W401" s="17" t="s">
        <v>140</v>
      </c>
      <c r="X401" s="11" t="s">
        <v>1523</v>
      </c>
      <c r="Y401" s="11"/>
      <c r="Z401" s="247"/>
      <c r="AA401" s="247"/>
      <c r="AB401" s="247"/>
      <c r="AC401" s="44"/>
      <c r="AD401" s="22"/>
      <c r="AE401" s="17"/>
      <c r="AF401" s="247"/>
      <c r="AG401" s="247"/>
      <c r="AH401" s="97"/>
      <c r="AI401" s="4"/>
      <c r="AJ401" s="17"/>
      <c r="AK401" s="17"/>
      <c r="AL401" s="102"/>
      <c r="AM401" s="132"/>
      <c r="AN401" s="161"/>
      <c r="AO401" s="115"/>
      <c r="AP401" s="115"/>
      <c r="AQ401" s="17"/>
      <c r="AR401" s="247"/>
      <c r="AS401" s="247"/>
      <c r="AT401" s="247"/>
      <c r="AU401" s="17"/>
      <c r="AV401" s="17"/>
      <c r="AW401" s="17"/>
      <c r="AX401" s="247"/>
      <c r="AY401" s="247"/>
      <c r="AZ401" s="247"/>
      <c r="BA401" s="17"/>
      <c r="BB401" s="52"/>
      <c r="BC401" s="17"/>
      <c r="BD401" s="247"/>
      <c r="BE401" s="247"/>
      <c r="BF401" s="247"/>
      <c r="BG401" s="17"/>
      <c r="BH401" s="17"/>
      <c r="BI401" s="17"/>
      <c r="BJ401" s="247">
        <v>112300</v>
      </c>
      <c r="BK401" s="247">
        <f t="shared" si="133"/>
        <v>21337</v>
      </c>
      <c r="BL401" s="247">
        <f t="shared" si="134"/>
        <v>133637</v>
      </c>
      <c r="BM401" s="190" t="s">
        <v>375</v>
      </c>
      <c r="BN401" s="190" t="s">
        <v>1597</v>
      </c>
      <c r="BO401" s="17"/>
      <c r="BP401" s="247">
        <v>22500</v>
      </c>
      <c r="BQ401" s="247">
        <f t="shared" si="136"/>
        <v>4275</v>
      </c>
      <c r="BR401" s="247">
        <f t="shared" si="145"/>
        <v>26775</v>
      </c>
      <c r="BS401" s="17"/>
      <c r="BT401" s="17"/>
      <c r="BU401" s="17"/>
      <c r="BV401" s="195">
        <v>131215.81200000001</v>
      </c>
      <c r="BW401" s="195">
        <f t="shared" si="141"/>
        <v>24931.004280000001</v>
      </c>
      <c r="BX401" s="246">
        <f t="shared" si="142"/>
        <v>156146.81628</v>
      </c>
      <c r="BY401" s="190" t="s">
        <v>375</v>
      </c>
      <c r="BZ401" s="190" t="s">
        <v>1597</v>
      </c>
      <c r="CA401" s="190"/>
      <c r="CB401" s="247"/>
      <c r="CC401" s="247"/>
      <c r="CD401" s="247"/>
      <c r="CE401" s="17"/>
      <c r="CF401" s="17"/>
      <c r="CG401" s="17"/>
      <c r="CH401" s="247"/>
      <c r="CI401" s="247"/>
      <c r="CJ401" s="247"/>
      <c r="CK401" s="17"/>
      <c r="CL401" s="17"/>
      <c r="CM401" s="17"/>
      <c r="CN401" s="17"/>
      <c r="CO401" s="17"/>
      <c r="CP401" s="11"/>
      <c r="CQ401" s="11"/>
      <c r="CR401" s="11"/>
      <c r="CS401" s="11"/>
      <c r="CT401" s="247"/>
      <c r="CU401" s="247"/>
      <c r="CV401" s="247"/>
      <c r="CW401" s="11"/>
      <c r="CX401" s="11"/>
      <c r="CY401" s="11"/>
      <c r="CZ401" s="11"/>
      <c r="DA401" s="11"/>
      <c r="DB401" s="11"/>
      <c r="DC401" s="11"/>
      <c r="DD401" s="11"/>
      <c r="DE401" s="11"/>
      <c r="DF401" s="11"/>
      <c r="DG401" s="11"/>
      <c r="DH401" s="11"/>
      <c r="DI401" s="11"/>
      <c r="DJ401" s="11"/>
      <c r="DK401" s="11"/>
      <c r="DL401" s="247"/>
      <c r="DM401" s="247"/>
      <c r="DN401" s="247"/>
      <c r="DO401" s="247"/>
      <c r="DP401" s="247"/>
      <c r="DQ401" s="247"/>
      <c r="DR401" s="247"/>
      <c r="DS401" s="247"/>
      <c r="DT401" s="247"/>
      <c r="DU401" s="247"/>
      <c r="DV401" s="247"/>
      <c r="DW401" s="247"/>
      <c r="DX401" s="247"/>
      <c r="DY401" s="247"/>
      <c r="DZ401" s="247"/>
      <c r="EA401" s="247"/>
      <c r="EB401" s="247"/>
      <c r="EC401" s="247"/>
      <c r="ED401" s="17">
        <f t="shared" si="137"/>
        <v>423995.98294666666</v>
      </c>
      <c r="EE401" s="29">
        <f t="shared" si="138"/>
        <v>6</v>
      </c>
      <c r="EF401" s="17">
        <f t="shared" si="135"/>
        <v>70665.997157777776</v>
      </c>
    </row>
    <row r="402" spans="1:136" ht="25.5" x14ac:dyDescent="0.25">
      <c r="A402" s="25">
        <f>Distribución_Elementos!A402</f>
        <v>400</v>
      </c>
      <c r="B402" s="22" t="str">
        <f>Distribución_Elementos!B402</f>
        <v>Placa de porcelana (Placa para tinción por nueve o seis cavidades de 87X54X8mm, +/- 5 mm)</v>
      </c>
      <c r="C402" s="22" t="str">
        <f>Distribución_Elementos!C402</f>
        <v>Cualquier marca</v>
      </c>
      <c r="D402" s="22" t="str">
        <f>Distribución_Elementos!D402</f>
        <v>Caja por 24 und</v>
      </c>
      <c r="E402" s="224">
        <v>1</v>
      </c>
      <c r="F402" s="221">
        <v>0</v>
      </c>
      <c r="G402" s="221">
        <v>0</v>
      </c>
      <c r="H402" s="221">
        <v>758268</v>
      </c>
      <c r="I402" s="221">
        <v>0</v>
      </c>
      <c r="J402" s="221">
        <v>282975.65333333332</v>
      </c>
      <c r="K402" s="221">
        <v>0</v>
      </c>
      <c r="L402" s="247">
        <f>AVERAGE(H402,J402)</f>
        <v>520621.82666666666</v>
      </c>
      <c r="M402" s="247"/>
      <c r="N402" s="227">
        <v>350000</v>
      </c>
      <c r="O402" s="119">
        <f t="shared" si="143"/>
        <v>66500</v>
      </c>
      <c r="P402" s="119">
        <f t="shared" si="144"/>
        <v>416500</v>
      </c>
      <c r="Q402" s="115"/>
      <c r="R402" s="115"/>
      <c r="S402" s="11"/>
      <c r="T402" s="247"/>
      <c r="U402" s="247"/>
      <c r="V402" s="247"/>
      <c r="W402" s="17"/>
      <c r="X402" s="11"/>
      <c r="Y402" s="11"/>
      <c r="Z402" s="247"/>
      <c r="AA402" s="247"/>
      <c r="AB402" s="247"/>
      <c r="AC402" s="46"/>
      <c r="AD402" s="22"/>
      <c r="AE402" s="17"/>
      <c r="AF402" s="247"/>
      <c r="AG402" s="247"/>
      <c r="AH402" s="152"/>
      <c r="AI402" s="4"/>
      <c r="AJ402" s="17"/>
      <c r="AK402" s="17"/>
      <c r="AL402" s="102"/>
      <c r="AM402" s="132"/>
      <c r="AN402" s="161"/>
      <c r="AO402" s="115"/>
      <c r="AP402" s="115"/>
      <c r="AQ402" s="17"/>
      <c r="AR402" s="247"/>
      <c r="AS402" s="247"/>
      <c r="AT402" s="247"/>
      <c r="AU402" s="17"/>
      <c r="AV402" s="17"/>
      <c r="AW402" s="17"/>
      <c r="AX402" s="247"/>
      <c r="AY402" s="247"/>
      <c r="AZ402" s="247"/>
      <c r="BA402" s="17"/>
      <c r="BB402" s="52"/>
      <c r="BC402" s="17"/>
      <c r="BD402" s="247"/>
      <c r="BE402" s="247"/>
      <c r="BF402" s="247"/>
      <c r="BG402" s="17"/>
      <c r="BH402" s="17"/>
      <c r="BI402" s="17"/>
      <c r="BJ402" s="247">
        <v>5851200</v>
      </c>
      <c r="BK402" s="247">
        <f t="shared" si="133"/>
        <v>1111728</v>
      </c>
      <c r="BL402" s="247">
        <f t="shared" si="134"/>
        <v>6962928</v>
      </c>
      <c r="BM402" s="191" t="s">
        <v>1717</v>
      </c>
      <c r="BN402" s="190" t="s">
        <v>316</v>
      </c>
      <c r="BO402" s="17"/>
      <c r="BP402" s="247">
        <v>135000</v>
      </c>
      <c r="BQ402" s="247">
        <f t="shared" si="136"/>
        <v>25650</v>
      </c>
      <c r="BR402" s="247">
        <f t="shared" si="145"/>
        <v>160650</v>
      </c>
      <c r="BS402" s="17"/>
      <c r="BT402" s="17"/>
      <c r="BU402" s="17"/>
      <c r="BV402" s="189"/>
      <c r="BW402" s="195"/>
      <c r="BX402" s="246"/>
      <c r="BY402" s="191"/>
      <c r="BZ402" s="190"/>
      <c r="CA402" s="190"/>
      <c r="CB402" s="247"/>
      <c r="CC402" s="247"/>
      <c r="CD402" s="247"/>
      <c r="CE402" s="17"/>
      <c r="CF402" s="17"/>
      <c r="CG402" s="17"/>
      <c r="CH402" s="247"/>
      <c r="CI402" s="247"/>
      <c r="CJ402" s="247"/>
      <c r="CK402" s="17"/>
      <c r="CL402" s="17"/>
      <c r="CM402" s="17"/>
      <c r="CN402" s="17"/>
      <c r="CO402" s="17"/>
      <c r="CP402" s="11"/>
      <c r="CQ402" s="11"/>
      <c r="CR402" s="11"/>
      <c r="CS402" s="11"/>
      <c r="CT402" s="247"/>
      <c r="CU402" s="247"/>
      <c r="CV402" s="247"/>
      <c r="CW402" s="11"/>
      <c r="CX402" s="11"/>
      <c r="CY402" s="11"/>
      <c r="CZ402" s="11"/>
      <c r="DA402" s="11"/>
      <c r="DB402" s="11"/>
      <c r="DC402" s="11"/>
      <c r="DD402" s="11"/>
      <c r="DE402" s="11"/>
      <c r="DF402" s="11"/>
      <c r="DG402" s="11"/>
      <c r="DH402" s="11"/>
      <c r="DI402" s="11"/>
      <c r="DJ402" s="11"/>
      <c r="DK402" s="11"/>
      <c r="DL402" s="247"/>
      <c r="DM402" s="247"/>
      <c r="DN402" s="247"/>
      <c r="DO402" s="247"/>
      <c r="DP402" s="247"/>
      <c r="DQ402" s="247"/>
      <c r="DR402" s="247"/>
      <c r="DS402" s="247"/>
      <c r="DT402" s="247"/>
      <c r="DU402" s="247"/>
      <c r="DV402" s="247"/>
      <c r="DW402" s="247"/>
      <c r="DX402" s="247"/>
      <c r="DY402" s="247"/>
      <c r="DZ402" s="247"/>
      <c r="EA402" s="247"/>
      <c r="EB402" s="247"/>
      <c r="EC402" s="247"/>
      <c r="ED402" s="17">
        <f t="shared" si="137"/>
        <v>7540078</v>
      </c>
      <c r="EE402" s="29">
        <f t="shared" si="138"/>
        <v>3</v>
      </c>
      <c r="EF402" s="17">
        <f t="shared" si="135"/>
        <v>2513359.3333333335</v>
      </c>
    </row>
    <row r="403" spans="1:136" ht="51" x14ac:dyDescent="0.25">
      <c r="A403" s="25">
        <f>Distribución_Elementos!A403</f>
        <v>401</v>
      </c>
      <c r="B403" s="22" t="str">
        <f>Distribución_Elementos!B403</f>
        <v xml:space="preserve">Plato de poliestireno para pesar reactivos antiestático, desechable, resistente a ácidos, alcoholes y bases, fondo plano, tamaño Longitud 41-45 mm x Anchura 41-45 mm x altura 7-8 mm . Fondo ID 1.4 in. </v>
      </c>
      <c r="C403" s="22" t="str">
        <f>Distribución_Elementos!C403</f>
        <v>Cualquier marca</v>
      </c>
      <c r="D403" s="22" t="str">
        <f>Distribución_Elementos!D403</f>
        <v xml:space="preserve">Paquete x 500 </v>
      </c>
      <c r="E403" s="224">
        <v>1</v>
      </c>
      <c r="F403" s="221">
        <v>0</v>
      </c>
      <c r="G403" s="221">
        <v>0</v>
      </c>
      <c r="H403" s="221">
        <v>0</v>
      </c>
      <c r="I403" s="221">
        <v>0</v>
      </c>
      <c r="J403" s="221">
        <v>312151.875</v>
      </c>
      <c r="K403" s="221">
        <v>309400</v>
      </c>
      <c r="L403" s="247">
        <f>J403</f>
        <v>312151.875</v>
      </c>
      <c r="M403" s="247">
        <f>K403*E1</f>
        <v>318682</v>
      </c>
      <c r="N403" s="227">
        <v>270000</v>
      </c>
      <c r="O403" s="119">
        <f t="shared" si="143"/>
        <v>51300</v>
      </c>
      <c r="P403" s="119">
        <f t="shared" si="144"/>
        <v>321300</v>
      </c>
      <c r="Q403" s="115"/>
      <c r="R403" s="115"/>
      <c r="S403" s="11"/>
      <c r="T403" s="247"/>
      <c r="U403" s="247"/>
      <c r="V403" s="247"/>
      <c r="W403" s="17"/>
      <c r="X403" s="11"/>
      <c r="Y403" s="11"/>
      <c r="Z403" s="247"/>
      <c r="AA403" s="247"/>
      <c r="AB403" s="247"/>
      <c r="AC403" s="46"/>
      <c r="AD403" s="22"/>
      <c r="AE403" s="17"/>
      <c r="AF403" s="247"/>
      <c r="AG403" s="247"/>
      <c r="AH403" s="152"/>
      <c r="AI403" s="4"/>
      <c r="AJ403" s="17"/>
      <c r="AK403" s="17"/>
      <c r="AL403" s="102"/>
      <c r="AM403" s="132"/>
      <c r="AN403" s="161"/>
      <c r="AO403" s="115"/>
      <c r="AP403" s="115"/>
      <c r="AQ403" s="17"/>
      <c r="AR403" s="247"/>
      <c r="AS403" s="247"/>
      <c r="AT403" s="247"/>
      <c r="AU403" s="17"/>
      <c r="AV403" s="17"/>
      <c r="AW403" s="17"/>
      <c r="AX403" s="247"/>
      <c r="AY403" s="247"/>
      <c r="AZ403" s="247"/>
      <c r="BA403" s="17"/>
      <c r="BB403" s="52"/>
      <c r="BC403" s="17"/>
      <c r="BD403" s="247"/>
      <c r="BE403" s="247"/>
      <c r="BF403" s="247"/>
      <c r="BG403" s="17"/>
      <c r="BH403" s="17"/>
      <c r="BI403" s="17"/>
      <c r="BJ403" s="247">
        <v>873100</v>
      </c>
      <c r="BK403" s="247">
        <f t="shared" si="133"/>
        <v>165889</v>
      </c>
      <c r="BL403" s="247">
        <f t="shared" si="134"/>
        <v>1038989</v>
      </c>
      <c r="BM403" s="190" t="s">
        <v>1520</v>
      </c>
      <c r="BN403" s="190" t="s">
        <v>418</v>
      </c>
      <c r="BO403" s="17"/>
      <c r="BP403" s="247"/>
      <c r="BQ403" s="247"/>
      <c r="BR403" s="247"/>
      <c r="BS403" s="17"/>
      <c r="BT403" s="17"/>
      <c r="BU403" s="17"/>
      <c r="BV403" s="195">
        <v>981488.38020000001</v>
      </c>
      <c r="BW403" s="195">
        <f>+BV403*0.19</f>
        <v>186482.79223799999</v>
      </c>
      <c r="BX403" s="246">
        <f>+BV403+BW403</f>
        <v>1167971.1724380001</v>
      </c>
      <c r="BY403" s="190" t="s">
        <v>1520</v>
      </c>
      <c r="BZ403" s="190" t="s">
        <v>418</v>
      </c>
      <c r="CA403" s="190"/>
      <c r="CB403" s="252"/>
      <c r="CC403" s="247"/>
      <c r="CD403" s="247"/>
      <c r="CE403" s="17"/>
      <c r="CF403" s="17"/>
      <c r="CG403" s="17"/>
      <c r="CH403" s="247"/>
      <c r="CI403" s="247"/>
      <c r="CJ403" s="247"/>
      <c r="CK403" s="17"/>
      <c r="CL403" s="17"/>
      <c r="CM403" s="17"/>
      <c r="CN403" s="17"/>
      <c r="CO403" s="17"/>
      <c r="CP403" s="11"/>
      <c r="CQ403" s="11"/>
      <c r="CR403" s="11"/>
      <c r="CS403" s="11"/>
      <c r="CT403" s="247"/>
      <c r="CU403" s="247"/>
      <c r="CV403" s="247"/>
      <c r="CW403" s="11"/>
      <c r="CX403" s="11"/>
      <c r="CY403" s="11"/>
      <c r="CZ403" s="11"/>
      <c r="DA403" s="11"/>
      <c r="DB403" s="11"/>
      <c r="DC403" s="11"/>
      <c r="DD403" s="11"/>
      <c r="DE403" s="11"/>
      <c r="DF403" s="11"/>
      <c r="DG403" s="11"/>
      <c r="DH403" s="11"/>
      <c r="DI403" s="11"/>
      <c r="DJ403" s="11"/>
      <c r="DK403" s="11"/>
      <c r="DL403" s="247"/>
      <c r="DM403" s="247"/>
      <c r="DN403" s="247"/>
      <c r="DO403" s="247"/>
      <c r="DP403" s="247"/>
      <c r="DQ403" s="247"/>
      <c r="DR403" s="247"/>
      <c r="DS403" s="247"/>
      <c r="DT403" s="247"/>
      <c r="DU403" s="247"/>
      <c r="DV403" s="247"/>
      <c r="DW403" s="247"/>
      <c r="DX403" s="247"/>
      <c r="DY403" s="247"/>
      <c r="DZ403" s="247"/>
      <c r="EA403" s="247"/>
      <c r="EB403" s="247"/>
      <c r="EC403" s="247"/>
      <c r="ED403" s="17">
        <f t="shared" si="137"/>
        <v>2846942.1724380003</v>
      </c>
      <c r="EE403" s="29">
        <f t="shared" si="138"/>
        <v>4</v>
      </c>
      <c r="EF403" s="17">
        <f t="shared" si="135"/>
        <v>711735.54310950008</v>
      </c>
    </row>
    <row r="404" spans="1:136" x14ac:dyDescent="0.25">
      <c r="A404" s="25">
        <f>Distribución_Elementos!A404</f>
        <v>402</v>
      </c>
      <c r="B404" s="22" t="str">
        <f>Distribución_Elementos!B404</f>
        <v>Plato para pesaje desechable y antiestático 76mm  X  102mm</v>
      </c>
      <c r="C404" s="22" t="str">
        <f>Distribución_Elementos!C404</f>
        <v>Cualquier marca</v>
      </c>
      <c r="D404" s="22" t="str">
        <f>Distribución_Elementos!D404</f>
        <v>Paquete x 500</v>
      </c>
      <c r="E404" s="224">
        <v>1</v>
      </c>
      <c r="F404" s="221">
        <v>170170</v>
      </c>
      <c r="G404" s="221">
        <v>0</v>
      </c>
      <c r="H404" s="221">
        <v>696150</v>
      </c>
      <c r="I404" s="221">
        <v>0</v>
      </c>
      <c r="J404" s="221">
        <v>1107112.5333333332</v>
      </c>
      <c r="K404" s="221">
        <v>1106700</v>
      </c>
      <c r="L404" s="247">
        <f>AVERAGE(F404,H404,J404)</f>
        <v>657810.8444444444</v>
      </c>
      <c r="M404" s="247">
        <f>K404*E1</f>
        <v>1139901</v>
      </c>
      <c r="N404" s="228"/>
      <c r="O404" s="119"/>
      <c r="P404" s="119"/>
      <c r="Q404" s="115"/>
      <c r="R404" s="115"/>
      <c r="S404" s="11"/>
      <c r="T404" s="247"/>
      <c r="U404" s="247"/>
      <c r="V404" s="247"/>
      <c r="W404" s="17"/>
      <c r="X404" s="11"/>
      <c r="Y404" s="11"/>
      <c r="Z404" s="247"/>
      <c r="AA404" s="247"/>
      <c r="AB404" s="247"/>
      <c r="AC404" s="4"/>
      <c r="AD404" s="23"/>
      <c r="AE404" s="17"/>
      <c r="AF404" s="247"/>
      <c r="AG404" s="247"/>
      <c r="AH404" s="105"/>
      <c r="AI404" s="24"/>
      <c r="AJ404" s="17"/>
      <c r="AK404" s="17"/>
      <c r="AL404" s="102"/>
      <c r="AM404" s="132"/>
      <c r="AN404" s="161"/>
      <c r="AO404" s="115"/>
      <c r="AP404" s="115"/>
      <c r="AQ404" s="17"/>
      <c r="AR404" s="247"/>
      <c r="AS404" s="247"/>
      <c r="AT404" s="247"/>
      <c r="AU404" s="17"/>
      <c r="AV404" s="17"/>
      <c r="AW404" s="17"/>
      <c r="AX404" s="247"/>
      <c r="AY404" s="247"/>
      <c r="AZ404" s="247"/>
      <c r="BA404" s="17"/>
      <c r="BB404" s="52"/>
      <c r="BC404" s="17"/>
      <c r="BD404" s="247"/>
      <c r="BE404" s="247"/>
      <c r="BF404" s="247"/>
      <c r="BG404" s="17"/>
      <c r="BH404" s="17"/>
      <c r="BI404" s="17"/>
      <c r="BJ404" s="247">
        <v>1884400</v>
      </c>
      <c r="BK404" s="247">
        <f t="shared" si="133"/>
        <v>358036</v>
      </c>
      <c r="BL404" s="247">
        <f t="shared" si="134"/>
        <v>2242436</v>
      </c>
      <c r="BM404" s="190" t="s">
        <v>1520</v>
      </c>
      <c r="BN404" s="190" t="s">
        <v>316</v>
      </c>
      <c r="BO404" s="17"/>
      <c r="BP404" s="247"/>
      <c r="BQ404" s="247"/>
      <c r="BR404" s="247"/>
      <c r="BS404" s="17"/>
      <c r="BT404" s="17"/>
      <c r="BU404" s="17"/>
      <c r="BV404" s="189">
        <v>2056835.7908000003</v>
      </c>
      <c r="BW404" s="195">
        <f>+BV404*0.19</f>
        <v>390798.80025200004</v>
      </c>
      <c r="BX404" s="246">
        <f>+BV404+BW404</f>
        <v>2447634.5910520004</v>
      </c>
      <c r="BY404" s="190" t="s">
        <v>1520</v>
      </c>
      <c r="BZ404" s="190" t="s">
        <v>316</v>
      </c>
      <c r="CA404" s="190"/>
      <c r="CB404" s="247"/>
      <c r="CC404" s="247"/>
      <c r="CD404" s="247"/>
      <c r="CE404" s="17"/>
      <c r="CF404" s="17"/>
      <c r="CG404" s="17"/>
      <c r="CH404" s="252"/>
      <c r="CI404" s="252"/>
      <c r="CJ404" s="252"/>
      <c r="CK404" s="17"/>
      <c r="CL404" s="17"/>
      <c r="CM404" s="17"/>
      <c r="CN404" s="17"/>
      <c r="CO404" s="17"/>
      <c r="CP404" s="11"/>
      <c r="CQ404" s="11"/>
      <c r="CR404" s="11"/>
      <c r="CS404" s="11"/>
      <c r="CT404" s="247"/>
      <c r="CU404" s="247"/>
      <c r="CV404" s="247"/>
      <c r="CW404" s="11"/>
      <c r="CX404" s="11"/>
      <c r="CY404" s="11"/>
      <c r="CZ404" s="11"/>
      <c r="DA404" s="11"/>
      <c r="DB404" s="11"/>
      <c r="DC404" s="11"/>
      <c r="DD404" s="11"/>
      <c r="DE404" s="11"/>
      <c r="DF404" s="11"/>
      <c r="DG404" s="11"/>
      <c r="DH404" s="11"/>
      <c r="DI404" s="11"/>
      <c r="DJ404" s="11"/>
      <c r="DK404" s="11"/>
      <c r="DL404" s="247"/>
      <c r="DM404" s="247"/>
      <c r="DN404" s="247"/>
      <c r="DO404" s="247"/>
      <c r="DP404" s="247"/>
      <c r="DQ404" s="247"/>
      <c r="DR404" s="247"/>
      <c r="DS404" s="247"/>
      <c r="DT404" s="247"/>
      <c r="DU404" s="247"/>
      <c r="DV404" s="247"/>
      <c r="DW404" s="247"/>
      <c r="DX404" s="247"/>
      <c r="DY404" s="247"/>
      <c r="DZ404" s="247"/>
      <c r="EA404" s="247"/>
      <c r="EB404" s="247"/>
      <c r="EC404" s="247"/>
      <c r="ED404" s="17">
        <f t="shared" si="137"/>
        <v>5829971.5910520004</v>
      </c>
      <c r="EE404" s="29">
        <f t="shared" si="138"/>
        <v>3</v>
      </c>
      <c r="EF404" s="17">
        <f t="shared" si="135"/>
        <v>1943323.8636840002</v>
      </c>
    </row>
    <row r="405" spans="1:136" ht="38.25" x14ac:dyDescent="0.25">
      <c r="A405" s="25">
        <f>Distribución_Elementos!A405</f>
        <v>403</v>
      </c>
      <c r="B405" s="22" t="str">
        <f>Distribución_Elementos!B405</f>
        <v>Portacajas para cajas petri. En acero inoxidable, con canastilla teambién en acero inoxidable, diámetro para cajas petri de 100 mm y capacidad de mínimo 14 cajas</v>
      </c>
      <c r="C405" s="22" t="str">
        <f>Distribución_Elementos!C405</f>
        <v>Cualquier marca</v>
      </c>
      <c r="D405" s="22" t="str">
        <f>Distribución_Elementos!D405</f>
        <v>Unidad</v>
      </c>
      <c r="E405" s="224">
        <v>1</v>
      </c>
      <c r="F405" s="221">
        <v>0</v>
      </c>
      <c r="G405" s="221">
        <v>0</v>
      </c>
      <c r="H405" s="221">
        <v>297500</v>
      </c>
      <c r="I405" s="221">
        <v>0</v>
      </c>
      <c r="J405" s="221">
        <v>357000</v>
      </c>
      <c r="K405" s="221">
        <v>0</v>
      </c>
      <c r="L405" s="247">
        <f>AVERAGE(H405,J405)</f>
        <v>327250</v>
      </c>
      <c r="M405" s="247"/>
      <c r="N405" s="227">
        <v>400000</v>
      </c>
      <c r="O405" s="119">
        <f>+N405*0.19</f>
        <v>76000</v>
      </c>
      <c r="P405" s="119">
        <f>+N405+O405</f>
        <v>476000</v>
      </c>
      <c r="Q405" s="115"/>
      <c r="R405" s="115"/>
      <c r="S405" s="11"/>
      <c r="T405" s="247"/>
      <c r="U405" s="247"/>
      <c r="V405" s="247"/>
      <c r="W405" s="17"/>
      <c r="X405" s="11"/>
      <c r="Y405" s="11"/>
      <c r="Z405" s="247"/>
      <c r="AA405" s="247"/>
      <c r="AB405" s="247"/>
      <c r="AC405" s="5"/>
      <c r="AD405" s="22"/>
      <c r="AE405" s="17"/>
      <c r="AF405" s="247"/>
      <c r="AG405" s="247"/>
      <c r="AH405" s="149"/>
      <c r="AI405" s="4"/>
      <c r="AJ405" s="17"/>
      <c r="AK405" s="17"/>
      <c r="AL405" s="102"/>
      <c r="AM405" s="132"/>
      <c r="AN405" s="161"/>
      <c r="AO405" s="115"/>
      <c r="AP405" s="115"/>
      <c r="AQ405" s="17"/>
      <c r="AR405" s="247"/>
      <c r="AS405" s="247"/>
      <c r="AT405" s="247"/>
      <c r="AU405" s="17"/>
      <c r="AV405" s="17"/>
      <c r="AW405" s="17"/>
      <c r="AX405" s="247"/>
      <c r="AY405" s="247"/>
      <c r="AZ405" s="247"/>
      <c r="BA405" s="17"/>
      <c r="BB405" s="52"/>
      <c r="BC405" s="17"/>
      <c r="BD405" s="247"/>
      <c r="BE405" s="247"/>
      <c r="BF405" s="247"/>
      <c r="BG405" s="17"/>
      <c r="BH405" s="17"/>
      <c r="BI405" s="17"/>
      <c r="BJ405" s="247">
        <v>400000</v>
      </c>
      <c r="BK405" s="247">
        <f t="shared" si="133"/>
        <v>76000</v>
      </c>
      <c r="BL405" s="247">
        <f t="shared" si="134"/>
        <v>476000</v>
      </c>
      <c r="BM405" s="190" t="s">
        <v>375</v>
      </c>
      <c r="BN405" s="190" t="s">
        <v>1625</v>
      </c>
      <c r="BO405" s="17"/>
      <c r="BP405" s="247"/>
      <c r="BQ405" s="247"/>
      <c r="BR405" s="247"/>
      <c r="BS405" s="17"/>
      <c r="BT405" s="17"/>
      <c r="BU405" s="17"/>
      <c r="BV405" s="195">
        <v>437049.60000000003</v>
      </c>
      <c r="BW405" s="195">
        <f>+BV405*0.19</f>
        <v>83039.424000000014</v>
      </c>
      <c r="BX405" s="246">
        <f>+BV405+BW405</f>
        <v>520089.02400000003</v>
      </c>
      <c r="BY405" s="190" t="s">
        <v>375</v>
      </c>
      <c r="BZ405" s="190" t="s">
        <v>1625</v>
      </c>
      <c r="CA405" s="190"/>
      <c r="CB405" s="247"/>
      <c r="CC405" s="247"/>
      <c r="CD405" s="247"/>
      <c r="CE405" s="17"/>
      <c r="CF405" s="17"/>
      <c r="CG405" s="17"/>
      <c r="CH405" s="247"/>
      <c r="CI405" s="247"/>
      <c r="CJ405" s="247"/>
      <c r="CK405" s="17"/>
      <c r="CL405" s="17"/>
      <c r="CM405" s="17"/>
      <c r="CN405" s="17"/>
      <c r="CO405" s="17"/>
      <c r="CP405" s="11"/>
      <c r="CQ405" s="11"/>
      <c r="CR405" s="11"/>
      <c r="CS405" s="11"/>
      <c r="CT405" s="247"/>
      <c r="CU405" s="247"/>
      <c r="CV405" s="247"/>
      <c r="CW405" s="11"/>
      <c r="CX405" s="11"/>
      <c r="CY405" s="11"/>
      <c r="CZ405" s="11"/>
      <c r="DA405" s="11"/>
      <c r="DB405" s="11"/>
      <c r="DC405" s="11"/>
      <c r="DD405" s="11"/>
      <c r="DE405" s="11"/>
      <c r="DF405" s="11"/>
      <c r="DG405" s="11"/>
      <c r="DH405" s="11"/>
      <c r="DI405" s="11"/>
      <c r="DJ405" s="11"/>
      <c r="DK405" s="11"/>
      <c r="DL405" s="247"/>
      <c r="DM405" s="247"/>
      <c r="DN405" s="247"/>
      <c r="DO405" s="247"/>
      <c r="DP405" s="247"/>
      <c r="DQ405" s="247"/>
      <c r="DR405" s="247"/>
      <c r="DS405" s="247"/>
      <c r="DT405" s="247"/>
      <c r="DU405" s="247"/>
      <c r="DV405" s="247"/>
      <c r="DW405" s="247"/>
      <c r="DX405" s="247"/>
      <c r="DY405" s="247"/>
      <c r="DZ405" s="247"/>
      <c r="EA405" s="247"/>
      <c r="EB405" s="247"/>
      <c r="EC405" s="247"/>
      <c r="ED405" s="17">
        <f t="shared" si="137"/>
        <v>1472089.024</v>
      </c>
      <c r="EE405" s="29">
        <f t="shared" si="138"/>
        <v>3</v>
      </c>
      <c r="EF405" s="17">
        <f t="shared" si="135"/>
        <v>490696.34133333334</v>
      </c>
    </row>
    <row r="406" spans="1:136" ht="76.5" x14ac:dyDescent="0.25">
      <c r="A406" s="25">
        <f>Distribución_Elementos!A406</f>
        <v>404</v>
      </c>
      <c r="B406" s="22" t="str">
        <f>Distribución_Elementos!B406</f>
        <v>Probeta  de vidrio de 25 ml base hexagonal con certificado. Borosilicato 3.3 DIN en ISO 4788, impresión en cerámica, que cumpla con las normas DIN12 600 Control y garantía de calidad NCA menor o igual a 0,4 y certificación del fabricante que resiste temperaturas hasta de 250°C sin perder la volumetria.</v>
      </c>
      <c r="C406" s="22" t="str">
        <f>Distribución_Elementos!C406</f>
        <v>Pyrex , Corning, Kymax, Brand, Duran. o equivalente</v>
      </c>
      <c r="D406" s="22" t="str">
        <f>Distribución_Elementos!D406</f>
        <v>Unidad</v>
      </c>
      <c r="E406" s="224">
        <v>1</v>
      </c>
      <c r="F406" s="221">
        <v>0</v>
      </c>
      <c r="G406" s="221">
        <v>0</v>
      </c>
      <c r="H406" s="221">
        <v>0</v>
      </c>
      <c r="I406" s="221">
        <v>0</v>
      </c>
      <c r="J406" s="221">
        <v>0</v>
      </c>
      <c r="K406" s="221">
        <v>0</v>
      </c>
      <c r="L406" s="247"/>
      <c r="M406" s="247"/>
      <c r="N406" s="227">
        <v>45000</v>
      </c>
      <c r="O406" s="119">
        <f t="shared" ref="O406:O420" si="146">+N406*0.19</f>
        <v>8550</v>
      </c>
      <c r="P406" s="119">
        <f t="shared" ref="P406:P420" si="147">+N406+O406</f>
        <v>53550</v>
      </c>
      <c r="Q406" s="115"/>
      <c r="R406" s="115"/>
      <c r="S406" s="11"/>
      <c r="T406" s="247">
        <v>23650.000000000004</v>
      </c>
      <c r="U406" s="247">
        <f t="shared" ref="U406:U418" si="148">+T406*0.19</f>
        <v>4493.5000000000009</v>
      </c>
      <c r="V406" s="247">
        <f t="shared" ref="V406:V414" si="149">+T406+U406</f>
        <v>28143.500000000004</v>
      </c>
      <c r="W406" s="17" t="s">
        <v>140</v>
      </c>
      <c r="X406" s="11" t="s">
        <v>1521</v>
      </c>
      <c r="Y406" s="11"/>
      <c r="Z406" s="247"/>
      <c r="AA406" s="247"/>
      <c r="AB406" s="247"/>
      <c r="AC406" s="5"/>
      <c r="AD406" s="22"/>
      <c r="AE406" s="17"/>
      <c r="AF406" s="247"/>
      <c r="AG406" s="247"/>
      <c r="AH406" s="149"/>
      <c r="AI406" s="22"/>
      <c r="AJ406" s="17"/>
      <c r="AK406" s="17"/>
      <c r="AL406" s="102"/>
      <c r="AM406" s="132"/>
      <c r="AN406" s="161"/>
      <c r="AO406" s="115"/>
      <c r="AP406" s="115"/>
      <c r="AQ406" s="17"/>
      <c r="AR406" s="247"/>
      <c r="AS406" s="247"/>
      <c r="AT406" s="247"/>
      <c r="AU406" s="17"/>
      <c r="AV406" s="17"/>
      <c r="AW406" s="17"/>
      <c r="AX406" s="247"/>
      <c r="AY406" s="247"/>
      <c r="AZ406" s="247"/>
      <c r="BA406" s="17"/>
      <c r="BB406" s="52"/>
      <c r="BC406" s="17"/>
      <c r="BD406" s="247"/>
      <c r="BE406" s="247"/>
      <c r="BF406" s="247"/>
      <c r="BG406" s="17"/>
      <c r="BH406" s="17"/>
      <c r="BI406" s="17"/>
      <c r="BJ406" s="247">
        <v>57300</v>
      </c>
      <c r="BK406" s="247">
        <f t="shared" si="133"/>
        <v>10887</v>
      </c>
      <c r="BL406" s="247">
        <f t="shared" si="134"/>
        <v>68187</v>
      </c>
      <c r="BM406" s="190" t="s">
        <v>375</v>
      </c>
      <c r="BN406" s="190" t="s">
        <v>1565</v>
      </c>
      <c r="BO406" s="17"/>
      <c r="BP406" s="247"/>
      <c r="BQ406" s="247"/>
      <c r="BR406" s="247"/>
      <c r="BS406" s="17"/>
      <c r="BT406" s="17"/>
      <c r="BU406" s="17"/>
      <c r="BV406" s="195">
        <v>61391.678399999997</v>
      </c>
      <c r="BW406" s="195">
        <f t="shared" ref="BW406:BW455" si="150">+BV406*0.19</f>
        <v>11664.418895999999</v>
      </c>
      <c r="BX406" s="246">
        <f t="shared" ref="BX406:BX455" si="151">+BV406+BW406</f>
        <v>73056.097295999993</v>
      </c>
      <c r="BY406" s="190" t="s">
        <v>375</v>
      </c>
      <c r="BZ406" s="190" t="s">
        <v>1565</v>
      </c>
      <c r="CA406" s="190"/>
      <c r="CB406" s="247"/>
      <c r="CC406" s="247"/>
      <c r="CD406" s="247"/>
      <c r="CE406" s="17"/>
      <c r="CF406" s="17"/>
      <c r="CG406" s="17"/>
      <c r="CH406" s="247"/>
      <c r="CI406" s="247"/>
      <c r="CJ406" s="247"/>
      <c r="CK406" s="17"/>
      <c r="CL406" s="17"/>
      <c r="CM406" s="17"/>
      <c r="CN406" s="17"/>
      <c r="CO406" s="17"/>
      <c r="CP406" s="11"/>
      <c r="CQ406" s="11"/>
      <c r="CR406" s="11"/>
      <c r="CS406" s="11"/>
      <c r="CT406" s="247"/>
      <c r="CU406" s="247"/>
      <c r="CV406" s="247"/>
      <c r="CW406" s="11"/>
      <c r="CX406" s="11"/>
      <c r="CY406" s="11"/>
      <c r="CZ406" s="11"/>
      <c r="DA406" s="11"/>
      <c r="DB406" s="11"/>
      <c r="DC406" s="11"/>
      <c r="DD406" s="11"/>
      <c r="DE406" s="11"/>
      <c r="DF406" s="11"/>
      <c r="DG406" s="11"/>
      <c r="DH406" s="11"/>
      <c r="DI406" s="11"/>
      <c r="DJ406" s="11"/>
      <c r="DK406" s="11"/>
      <c r="DL406" s="247"/>
      <c r="DM406" s="247"/>
      <c r="DN406" s="247"/>
      <c r="DO406" s="247"/>
      <c r="DP406" s="247"/>
      <c r="DQ406" s="247"/>
      <c r="DR406" s="247"/>
      <c r="DS406" s="247"/>
      <c r="DT406" s="247"/>
      <c r="DU406" s="247"/>
      <c r="DV406" s="247"/>
      <c r="DW406" s="247"/>
      <c r="DX406" s="247"/>
      <c r="DY406" s="247"/>
      <c r="DZ406" s="247"/>
      <c r="EA406" s="247"/>
      <c r="EB406" s="247"/>
      <c r="EC406" s="247"/>
      <c r="ED406" s="17">
        <f t="shared" si="137"/>
        <v>222936.59729599999</v>
      </c>
      <c r="EE406" s="29">
        <f t="shared" si="138"/>
        <v>4</v>
      </c>
      <c r="EF406" s="17">
        <f t="shared" si="135"/>
        <v>55734.149323999998</v>
      </c>
    </row>
    <row r="407" spans="1:136" ht="76.5" x14ac:dyDescent="0.25">
      <c r="A407" s="25">
        <f>Distribución_Elementos!A407</f>
        <v>405</v>
      </c>
      <c r="B407" s="22" t="str">
        <f>Distribución_Elementos!B407</f>
        <v>Probeta  de vidrio de 500  ml clase B base hexagonal con certificado. Borosilicato 3.3 DIN en ISO 4788, impresión en cerámica, que cumpla con las normas DIN12 600 Control y garantía de calidad NCA menor o igual a 0,4 y certificación del fabricante que resiste temperaturas hasta de 250°C sin perder la volumetria.</v>
      </c>
      <c r="C407" s="22" t="str">
        <f>Distribución_Elementos!C407</f>
        <v>Pyrex , Corning, Kymax, Brand, Duran. o equivalente</v>
      </c>
      <c r="D407" s="22" t="str">
        <f>Distribución_Elementos!D407</f>
        <v>Unidad</v>
      </c>
      <c r="E407" s="224">
        <v>1</v>
      </c>
      <c r="F407" s="221">
        <v>0</v>
      </c>
      <c r="G407" s="221">
        <v>0</v>
      </c>
      <c r="H407" s="221">
        <v>0</v>
      </c>
      <c r="I407" s="221">
        <v>0</v>
      </c>
      <c r="J407" s="221">
        <v>0</v>
      </c>
      <c r="K407" s="221">
        <v>0</v>
      </c>
      <c r="L407" s="247"/>
      <c r="M407" s="247"/>
      <c r="N407" s="227">
        <v>88000</v>
      </c>
      <c r="O407" s="119">
        <f t="shared" si="146"/>
        <v>16720</v>
      </c>
      <c r="P407" s="119">
        <f t="shared" si="147"/>
        <v>104720</v>
      </c>
      <c r="Q407" s="115"/>
      <c r="R407" s="115"/>
      <c r="S407" s="11"/>
      <c r="T407" s="247">
        <v>67100</v>
      </c>
      <c r="U407" s="247">
        <f t="shared" si="148"/>
        <v>12749</v>
      </c>
      <c r="V407" s="247">
        <f t="shared" si="149"/>
        <v>79849</v>
      </c>
      <c r="W407" s="17" t="s">
        <v>140</v>
      </c>
      <c r="X407" s="11" t="s">
        <v>1521</v>
      </c>
      <c r="Y407" s="11"/>
      <c r="Z407" s="247"/>
      <c r="AA407" s="247"/>
      <c r="AB407" s="247"/>
      <c r="AC407" s="5"/>
      <c r="AD407" s="22"/>
      <c r="AE407" s="17"/>
      <c r="AF407" s="247"/>
      <c r="AG407" s="247"/>
      <c r="AH407" s="149"/>
      <c r="AI407" s="22"/>
      <c r="AJ407" s="17"/>
      <c r="AK407" s="17"/>
      <c r="AL407" s="102"/>
      <c r="AM407" s="132"/>
      <c r="AN407" s="161"/>
      <c r="AO407" s="115"/>
      <c r="AP407" s="115"/>
      <c r="AQ407" s="17"/>
      <c r="AR407" s="247"/>
      <c r="AS407" s="247"/>
      <c r="AT407" s="247"/>
      <c r="AU407" s="17"/>
      <c r="AV407" s="17"/>
      <c r="AW407" s="17"/>
      <c r="AX407" s="247"/>
      <c r="AY407" s="247"/>
      <c r="AZ407" s="247"/>
      <c r="BA407" s="17"/>
      <c r="BB407" s="52"/>
      <c r="BC407" s="17"/>
      <c r="BD407" s="247"/>
      <c r="BE407" s="247"/>
      <c r="BF407" s="247"/>
      <c r="BG407" s="17"/>
      <c r="BH407" s="17"/>
      <c r="BI407" s="17"/>
      <c r="BJ407" s="247">
        <v>168200</v>
      </c>
      <c r="BK407" s="247">
        <f t="shared" si="133"/>
        <v>31958</v>
      </c>
      <c r="BL407" s="247">
        <f t="shared" si="134"/>
        <v>200158</v>
      </c>
      <c r="BM407" s="190" t="s">
        <v>375</v>
      </c>
      <c r="BN407" s="190" t="s">
        <v>1565</v>
      </c>
      <c r="BO407" s="17"/>
      <c r="BP407" s="247"/>
      <c r="BQ407" s="247"/>
      <c r="BR407" s="247"/>
      <c r="BS407" s="17"/>
      <c r="BT407" s="17"/>
      <c r="BU407" s="17"/>
      <c r="BV407" s="195">
        <v>192578.23520000002</v>
      </c>
      <c r="BW407" s="195">
        <f t="shared" si="150"/>
        <v>36589.864688000001</v>
      </c>
      <c r="BX407" s="246">
        <f t="shared" si="151"/>
        <v>229168.09988800003</v>
      </c>
      <c r="BY407" s="190" t="s">
        <v>375</v>
      </c>
      <c r="BZ407" s="190" t="s">
        <v>1565</v>
      </c>
      <c r="CA407" s="190"/>
      <c r="CB407" s="247"/>
      <c r="CC407" s="247"/>
      <c r="CD407" s="247"/>
      <c r="CE407" s="17"/>
      <c r="CF407" s="17"/>
      <c r="CG407" s="17"/>
      <c r="CH407" s="247"/>
      <c r="CI407" s="247"/>
      <c r="CJ407" s="247"/>
      <c r="CK407" s="17"/>
      <c r="CL407" s="17"/>
      <c r="CM407" s="17"/>
      <c r="CN407" s="17"/>
      <c r="CO407" s="17"/>
      <c r="CP407" s="11"/>
      <c r="CQ407" s="11"/>
      <c r="CR407" s="11"/>
      <c r="CS407" s="11"/>
      <c r="CT407" s="247"/>
      <c r="CU407" s="247"/>
      <c r="CV407" s="247"/>
      <c r="CW407" s="11"/>
      <c r="CX407" s="11"/>
      <c r="CY407" s="11"/>
      <c r="CZ407" s="11"/>
      <c r="DA407" s="11"/>
      <c r="DB407" s="11"/>
      <c r="DC407" s="11"/>
      <c r="DD407" s="11"/>
      <c r="DE407" s="11"/>
      <c r="DF407" s="11"/>
      <c r="DG407" s="11"/>
      <c r="DH407" s="11"/>
      <c r="DI407" s="11"/>
      <c r="DJ407" s="11"/>
      <c r="DK407" s="11"/>
      <c r="DL407" s="247"/>
      <c r="DM407" s="247"/>
      <c r="DN407" s="247"/>
      <c r="DO407" s="247"/>
      <c r="DP407" s="247"/>
      <c r="DQ407" s="247"/>
      <c r="DR407" s="247"/>
      <c r="DS407" s="247"/>
      <c r="DT407" s="247"/>
      <c r="DU407" s="247"/>
      <c r="DV407" s="247"/>
      <c r="DW407" s="247"/>
      <c r="DX407" s="247"/>
      <c r="DY407" s="247"/>
      <c r="DZ407" s="247"/>
      <c r="EA407" s="247"/>
      <c r="EB407" s="247"/>
      <c r="EC407" s="247"/>
      <c r="ED407" s="17">
        <f t="shared" si="137"/>
        <v>613895.09988800006</v>
      </c>
      <c r="EE407" s="29">
        <f t="shared" si="138"/>
        <v>4</v>
      </c>
      <c r="EF407" s="17">
        <f t="shared" si="135"/>
        <v>153473.77497200001</v>
      </c>
    </row>
    <row r="408" spans="1:136" ht="38.25" x14ac:dyDescent="0.25">
      <c r="A408" s="25">
        <f>Distribución_Elementos!A408</f>
        <v>406</v>
      </c>
      <c r="B408" s="22" t="str">
        <f>Distribución_Elementos!B408</f>
        <v>Probeta de 100ml  clase B</v>
      </c>
      <c r="C408" s="22" t="str">
        <f>Distribución_Elementos!C408</f>
        <v>Pyrex , Corning, Kymax, Brand, Duran, Schott o equvalente</v>
      </c>
      <c r="D408" s="22" t="str">
        <f>Distribución_Elementos!D408</f>
        <v>Unidad</v>
      </c>
      <c r="E408" s="224">
        <v>1</v>
      </c>
      <c r="F408" s="221">
        <v>108825.5</v>
      </c>
      <c r="G408" s="221">
        <v>22134</v>
      </c>
      <c r="H408" s="221">
        <v>0</v>
      </c>
      <c r="I408" s="221">
        <v>0</v>
      </c>
      <c r="J408" s="221">
        <v>66998.983333333337</v>
      </c>
      <c r="K408" s="221">
        <v>66640</v>
      </c>
      <c r="L408" s="247">
        <f>AVERAGE(F408,J408)</f>
        <v>87912.241666666669</v>
      </c>
      <c r="M408" s="247">
        <f>AVERAGE(G408,K408)*E1</f>
        <v>45718.61</v>
      </c>
      <c r="N408" s="227">
        <v>38000</v>
      </c>
      <c r="O408" s="119">
        <f t="shared" si="146"/>
        <v>7220</v>
      </c>
      <c r="P408" s="119">
        <f t="shared" si="147"/>
        <v>45220</v>
      </c>
      <c r="Q408" s="115"/>
      <c r="R408" s="115"/>
      <c r="S408" s="11"/>
      <c r="T408" s="247">
        <v>24200.000000000004</v>
      </c>
      <c r="U408" s="247">
        <f t="shared" si="148"/>
        <v>4598.0000000000009</v>
      </c>
      <c r="V408" s="247">
        <f t="shared" si="149"/>
        <v>28798.000000000004</v>
      </c>
      <c r="W408" s="17" t="s">
        <v>140</v>
      </c>
      <c r="X408" s="11" t="s">
        <v>1521</v>
      </c>
      <c r="Y408" s="11"/>
      <c r="Z408" s="247"/>
      <c r="AA408" s="247"/>
      <c r="AB408" s="247"/>
      <c r="AC408" s="5"/>
      <c r="AD408" s="22"/>
      <c r="AE408" s="17"/>
      <c r="AF408" s="247"/>
      <c r="AG408" s="247"/>
      <c r="AH408" s="149"/>
      <c r="AI408" s="22"/>
      <c r="AJ408" s="17"/>
      <c r="AK408" s="17"/>
      <c r="AL408" s="102"/>
      <c r="AM408" s="132"/>
      <c r="AN408" s="161"/>
      <c r="AO408" s="115"/>
      <c r="AP408" s="115"/>
      <c r="AQ408" s="17"/>
      <c r="AR408" s="247"/>
      <c r="AS408" s="247"/>
      <c r="AT408" s="247"/>
      <c r="AU408" s="17"/>
      <c r="AV408" s="17"/>
      <c r="AW408" s="17"/>
      <c r="AX408" s="247"/>
      <c r="AY408" s="247"/>
      <c r="AZ408" s="247"/>
      <c r="BA408" s="17"/>
      <c r="BB408" s="52"/>
      <c r="BC408" s="17"/>
      <c r="BD408" s="247"/>
      <c r="BE408" s="247"/>
      <c r="BF408" s="247"/>
      <c r="BG408" s="17"/>
      <c r="BH408" s="17"/>
      <c r="BI408" s="17"/>
      <c r="BJ408" s="247">
        <v>54300</v>
      </c>
      <c r="BK408" s="247">
        <f t="shared" si="133"/>
        <v>10317</v>
      </c>
      <c r="BL408" s="247">
        <f t="shared" si="134"/>
        <v>64617</v>
      </c>
      <c r="BM408" s="190" t="s">
        <v>375</v>
      </c>
      <c r="BN408" s="190" t="s">
        <v>1565</v>
      </c>
      <c r="BO408" s="17"/>
      <c r="BP408" s="247"/>
      <c r="BQ408" s="247"/>
      <c r="BR408" s="247"/>
      <c r="BS408" s="17"/>
      <c r="BT408" s="17"/>
      <c r="BU408" s="17"/>
      <c r="BV408" s="195">
        <v>60464.407500000001</v>
      </c>
      <c r="BW408" s="195">
        <f t="shared" si="150"/>
        <v>11488.237425000001</v>
      </c>
      <c r="BX408" s="246">
        <f t="shared" si="151"/>
        <v>71952.644925000001</v>
      </c>
      <c r="BY408" s="190" t="s">
        <v>375</v>
      </c>
      <c r="BZ408" s="190" t="s">
        <v>1565</v>
      </c>
      <c r="CA408" s="190"/>
      <c r="CB408" s="247"/>
      <c r="CC408" s="247"/>
      <c r="CD408" s="247"/>
      <c r="CE408" s="17"/>
      <c r="CF408" s="17"/>
      <c r="CG408" s="17"/>
      <c r="CH408" s="247"/>
      <c r="CI408" s="247"/>
      <c r="CJ408" s="247"/>
      <c r="CK408" s="17"/>
      <c r="CL408" s="17"/>
      <c r="CM408" s="17"/>
      <c r="CN408" s="17"/>
      <c r="CO408" s="17"/>
      <c r="CP408" s="11"/>
      <c r="CQ408" s="11"/>
      <c r="CR408" s="11"/>
      <c r="CS408" s="11"/>
      <c r="CT408" s="247"/>
      <c r="CU408" s="247"/>
      <c r="CV408" s="247"/>
      <c r="CW408" s="11"/>
      <c r="CX408" s="11"/>
      <c r="CY408" s="11"/>
      <c r="CZ408" s="11"/>
      <c r="DA408" s="11"/>
      <c r="DB408" s="11"/>
      <c r="DC408" s="11"/>
      <c r="DD408" s="11"/>
      <c r="DE408" s="11"/>
      <c r="DF408" s="11"/>
      <c r="DG408" s="11"/>
      <c r="DH408" s="11"/>
      <c r="DI408" s="11"/>
      <c r="DJ408" s="11"/>
      <c r="DK408" s="11"/>
      <c r="DL408" s="247"/>
      <c r="DM408" s="247"/>
      <c r="DN408" s="247"/>
      <c r="DO408" s="247"/>
      <c r="DP408" s="247"/>
      <c r="DQ408" s="247"/>
      <c r="DR408" s="247"/>
      <c r="DS408" s="247"/>
      <c r="DT408" s="247"/>
      <c r="DU408" s="247"/>
      <c r="DV408" s="247"/>
      <c r="DW408" s="247"/>
      <c r="DX408" s="247"/>
      <c r="DY408" s="247"/>
      <c r="DZ408" s="247"/>
      <c r="EA408" s="247"/>
      <c r="EB408" s="247"/>
      <c r="EC408" s="247"/>
      <c r="ED408" s="17">
        <f t="shared" si="137"/>
        <v>256306.25492499999</v>
      </c>
      <c r="EE408" s="29">
        <f t="shared" si="138"/>
        <v>5</v>
      </c>
      <c r="EF408" s="17">
        <f t="shared" si="135"/>
        <v>51261.250984999999</v>
      </c>
    </row>
    <row r="409" spans="1:136" ht="38.25" x14ac:dyDescent="0.25">
      <c r="A409" s="25">
        <f>Distribución_Elementos!A409</f>
        <v>407</v>
      </c>
      <c r="B409" s="22" t="str">
        <f>Distribución_Elementos!B409</f>
        <v>Probeta de 25 ml clase B</v>
      </c>
      <c r="C409" s="22" t="str">
        <f>Distribución_Elementos!C409</f>
        <v>Pyrex , Corning, Kymax, Brand, Duran, Schott o equvalente</v>
      </c>
      <c r="D409" s="22" t="str">
        <f>Distribución_Elementos!D409</f>
        <v>Unidad</v>
      </c>
      <c r="E409" s="224">
        <v>1</v>
      </c>
      <c r="F409" s="221">
        <v>28084</v>
      </c>
      <c r="G409" s="221">
        <v>27608</v>
      </c>
      <c r="H409" s="221">
        <v>0</v>
      </c>
      <c r="I409" s="221">
        <v>0</v>
      </c>
      <c r="J409" s="221">
        <v>61036.885000000002</v>
      </c>
      <c r="K409" s="221">
        <v>60690</v>
      </c>
      <c r="L409" s="247">
        <f>AVERAGE(F409,J409)</f>
        <v>44560.442500000005</v>
      </c>
      <c r="M409" s="247">
        <f>AVERAGE(G409,K409)*E1</f>
        <v>45473.47</v>
      </c>
      <c r="N409" s="227">
        <v>35000</v>
      </c>
      <c r="O409" s="119">
        <f t="shared" si="146"/>
        <v>6650</v>
      </c>
      <c r="P409" s="119">
        <f t="shared" si="147"/>
        <v>41650</v>
      </c>
      <c r="Q409" s="115"/>
      <c r="R409" s="115"/>
      <c r="S409" s="11"/>
      <c r="T409" s="247">
        <v>20680</v>
      </c>
      <c r="U409" s="247">
        <f t="shared" si="148"/>
        <v>3929.2000000000003</v>
      </c>
      <c r="V409" s="247">
        <f t="shared" si="149"/>
        <v>24609.200000000001</v>
      </c>
      <c r="W409" s="17" t="s">
        <v>140</v>
      </c>
      <c r="X409" s="11" t="s">
        <v>1521</v>
      </c>
      <c r="Y409" s="11"/>
      <c r="Z409" s="247"/>
      <c r="AA409" s="247"/>
      <c r="AB409" s="247"/>
      <c r="AC409" s="5"/>
      <c r="AD409" s="22"/>
      <c r="AE409" s="17"/>
      <c r="AF409" s="247"/>
      <c r="AG409" s="247"/>
      <c r="AH409" s="149"/>
      <c r="AI409" s="4"/>
      <c r="AJ409" s="17"/>
      <c r="AK409" s="17"/>
      <c r="AL409" s="102"/>
      <c r="AM409" s="132"/>
      <c r="AN409" s="161"/>
      <c r="AO409" s="115"/>
      <c r="AP409" s="115"/>
      <c r="AQ409" s="17"/>
      <c r="AR409" s="247"/>
      <c r="AS409" s="247"/>
      <c r="AT409" s="247"/>
      <c r="AU409" s="17"/>
      <c r="AV409" s="17"/>
      <c r="AW409" s="17"/>
      <c r="AX409" s="247"/>
      <c r="AY409" s="247"/>
      <c r="AZ409" s="247"/>
      <c r="BA409" s="17"/>
      <c r="BB409" s="52"/>
      <c r="BC409" s="17"/>
      <c r="BD409" s="247"/>
      <c r="BE409" s="247"/>
      <c r="BF409" s="247"/>
      <c r="BG409" s="17"/>
      <c r="BH409" s="17"/>
      <c r="BI409" s="17"/>
      <c r="BJ409" s="247">
        <v>46700</v>
      </c>
      <c r="BK409" s="247">
        <f t="shared" si="133"/>
        <v>8873</v>
      </c>
      <c r="BL409" s="247">
        <f t="shared" si="134"/>
        <v>55573</v>
      </c>
      <c r="BM409" s="190" t="s">
        <v>375</v>
      </c>
      <c r="BN409" s="190" t="s">
        <v>1565</v>
      </c>
      <c r="BO409" s="17"/>
      <c r="BP409" s="247"/>
      <c r="BQ409" s="247"/>
      <c r="BR409" s="247"/>
      <c r="BS409" s="17"/>
      <c r="BT409" s="17"/>
      <c r="BU409" s="17"/>
      <c r="BV409" s="195">
        <v>55085.825600000004</v>
      </c>
      <c r="BW409" s="195">
        <f t="shared" si="150"/>
        <v>10466.306864</v>
      </c>
      <c r="BX409" s="246">
        <f t="shared" si="151"/>
        <v>65552.132464000009</v>
      </c>
      <c r="BY409" s="190" t="s">
        <v>375</v>
      </c>
      <c r="BZ409" s="190" t="s">
        <v>1565</v>
      </c>
      <c r="CA409" s="190"/>
      <c r="CB409" s="247"/>
      <c r="CC409" s="247"/>
      <c r="CD409" s="247"/>
      <c r="CE409" s="17"/>
      <c r="CF409" s="17"/>
      <c r="CG409" s="17"/>
      <c r="CH409" s="247"/>
      <c r="CI409" s="247"/>
      <c r="CJ409" s="247"/>
      <c r="CK409" s="17"/>
      <c r="CL409" s="17"/>
      <c r="CM409" s="17"/>
      <c r="CN409" s="17"/>
      <c r="CO409" s="17"/>
      <c r="CP409" s="11"/>
      <c r="CQ409" s="11"/>
      <c r="CR409" s="11"/>
      <c r="CS409" s="11"/>
      <c r="CT409" s="247"/>
      <c r="CU409" s="247"/>
      <c r="CV409" s="247"/>
      <c r="CW409" s="11"/>
      <c r="CX409" s="11"/>
      <c r="CY409" s="11"/>
      <c r="CZ409" s="11"/>
      <c r="DA409" s="11"/>
      <c r="DB409" s="11"/>
      <c r="DC409" s="11"/>
      <c r="DD409" s="11"/>
      <c r="DE409" s="11"/>
      <c r="DF409" s="11"/>
      <c r="DG409" s="11"/>
      <c r="DH409" s="11"/>
      <c r="DI409" s="11"/>
      <c r="DJ409" s="11"/>
      <c r="DK409" s="11"/>
      <c r="DL409" s="247"/>
      <c r="DM409" s="247"/>
      <c r="DN409" s="247"/>
      <c r="DO409" s="247"/>
      <c r="DP409" s="247"/>
      <c r="DQ409" s="247"/>
      <c r="DR409" s="247"/>
      <c r="DS409" s="247"/>
      <c r="DT409" s="247"/>
      <c r="DU409" s="247"/>
      <c r="DV409" s="247"/>
      <c r="DW409" s="247"/>
      <c r="DX409" s="247"/>
      <c r="DY409" s="247"/>
      <c r="DZ409" s="247"/>
      <c r="EA409" s="247"/>
      <c r="EB409" s="247"/>
      <c r="EC409" s="247"/>
      <c r="ED409" s="17">
        <f t="shared" si="137"/>
        <v>232857.80246400001</v>
      </c>
      <c r="EE409" s="29">
        <f t="shared" si="138"/>
        <v>5</v>
      </c>
      <c r="EF409" s="17">
        <f t="shared" si="135"/>
        <v>46571.560492800003</v>
      </c>
    </row>
    <row r="410" spans="1:136" ht="38.25" x14ac:dyDescent="0.25">
      <c r="A410" s="25">
        <f>Distribución_Elementos!A410</f>
        <v>408</v>
      </c>
      <c r="B410" s="22" t="str">
        <f>Distribución_Elementos!B410</f>
        <v>Probeta de 250 ml clase B</v>
      </c>
      <c r="C410" s="22" t="str">
        <f>Distribución_Elementos!C410</f>
        <v>Pyrex , Corning, Kymax, Brand, Duran, Schott o equvalente</v>
      </c>
      <c r="D410" s="22" t="str">
        <f>Distribución_Elementos!D410</f>
        <v>Unidad</v>
      </c>
      <c r="E410" s="224">
        <v>1</v>
      </c>
      <c r="F410" s="221">
        <v>0</v>
      </c>
      <c r="G410" s="221">
        <v>0</v>
      </c>
      <c r="H410" s="221">
        <v>0</v>
      </c>
      <c r="I410" s="221">
        <v>0</v>
      </c>
      <c r="J410" s="221">
        <v>143368.55555555556</v>
      </c>
      <c r="K410" s="221">
        <v>142800</v>
      </c>
      <c r="L410" s="247">
        <f>J410</f>
        <v>143368.55555555556</v>
      </c>
      <c r="M410" s="247">
        <f>K410*E1</f>
        <v>147084</v>
      </c>
      <c r="N410" s="227">
        <v>55000</v>
      </c>
      <c r="O410" s="119">
        <f t="shared" si="146"/>
        <v>10450</v>
      </c>
      <c r="P410" s="119">
        <f t="shared" si="147"/>
        <v>65450</v>
      </c>
      <c r="Q410" s="115"/>
      <c r="R410" s="115"/>
      <c r="S410" s="11"/>
      <c r="T410" s="247">
        <v>35750</v>
      </c>
      <c r="U410" s="247">
        <f t="shared" si="148"/>
        <v>6792.5</v>
      </c>
      <c r="V410" s="247">
        <f t="shared" si="149"/>
        <v>42542.5</v>
      </c>
      <c r="W410" s="17" t="s">
        <v>140</v>
      </c>
      <c r="X410" s="11" t="s">
        <v>1521</v>
      </c>
      <c r="Y410" s="11"/>
      <c r="Z410" s="247"/>
      <c r="AA410" s="247"/>
      <c r="AB410" s="247"/>
      <c r="AC410" s="5"/>
      <c r="AD410" s="22"/>
      <c r="AE410" s="17"/>
      <c r="AF410" s="247"/>
      <c r="AG410" s="247"/>
      <c r="AH410" s="149"/>
      <c r="AI410" s="4"/>
      <c r="AJ410" s="17"/>
      <c r="AK410" s="17"/>
      <c r="AL410" s="102"/>
      <c r="AM410" s="132"/>
      <c r="AN410" s="161"/>
      <c r="AO410" s="115"/>
      <c r="AP410" s="115"/>
      <c r="AQ410" s="17"/>
      <c r="AR410" s="247"/>
      <c r="AS410" s="247"/>
      <c r="AT410" s="247"/>
      <c r="AU410" s="17"/>
      <c r="AV410" s="17"/>
      <c r="AW410" s="17"/>
      <c r="AX410" s="247"/>
      <c r="AY410" s="247"/>
      <c r="AZ410" s="247"/>
      <c r="BA410" s="17"/>
      <c r="BB410" s="52"/>
      <c r="BC410" s="17"/>
      <c r="BD410" s="247"/>
      <c r="BE410" s="247"/>
      <c r="BF410" s="247"/>
      <c r="BG410" s="17"/>
      <c r="BH410" s="17"/>
      <c r="BI410" s="17"/>
      <c r="BJ410" s="247">
        <v>102800</v>
      </c>
      <c r="BK410" s="247">
        <f t="shared" si="133"/>
        <v>19532</v>
      </c>
      <c r="BL410" s="247">
        <f t="shared" si="134"/>
        <v>122332</v>
      </c>
      <c r="BM410" s="190" t="s">
        <v>375</v>
      </c>
      <c r="BN410" s="190" t="s">
        <v>1565</v>
      </c>
      <c r="BO410" s="17"/>
      <c r="BP410" s="247"/>
      <c r="BQ410" s="247"/>
      <c r="BR410" s="247"/>
      <c r="BS410" s="17"/>
      <c r="BT410" s="17"/>
      <c r="BU410" s="17"/>
      <c r="BV410" s="195">
        <v>122359.55040000002</v>
      </c>
      <c r="BW410" s="195">
        <f t="shared" si="150"/>
        <v>23248.314576000004</v>
      </c>
      <c r="BX410" s="246">
        <f t="shared" si="151"/>
        <v>145607.86497600004</v>
      </c>
      <c r="BY410" s="190" t="s">
        <v>375</v>
      </c>
      <c r="BZ410" s="190" t="s">
        <v>1565</v>
      </c>
      <c r="CA410" s="190"/>
      <c r="CB410" s="247"/>
      <c r="CC410" s="247"/>
      <c r="CD410" s="247"/>
      <c r="CE410" s="37"/>
      <c r="CF410" s="37"/>
      <c r="CG410" s="37"/>
      <c r="CH410" s="247"/>
      <c r="CI410" s="247"/>
      <c r="CJ410" s="247"/>
      <c r="CK410" s="17"/>
      <c r="CL410" s="17"/>
      <c r="CM410" s="17"/>
      <c r="CN410" s="17"/>
      <c r="CO410" s="17"/>
      <c r="CP410" s="11"/>
      <c r="CQ410" s="11"/>
      <c r="CR410" s="11"/>
      <c r="CS410" s="11"/>
      <c r="CT410" s="247"/>
      <c r="CU410" s="247"/>
      <c r="CV410" s="247"/>
      <c r="CW410" s="11"/>
      <c r="CX410" s="11"/>
      <c r="CY410" s="11"/>
      <c r="CZ410" s="11"/>
      <c r="DA410" s="11"/>
      <c r="DB410" s="11"/>
      <c r="DC410" s="11"/>
      <c r="DD410" s="11"/>
      <c r="DE410" s="11"/>
      <c r="DF410" s="11"/>
      <c r="DG410" s="11"/>
      <c r="DH410" s="11"/>
      <c r="DI410" s="11"/>
      <c r="DJ410" s="11"/>
      <c r="DK410" s="11"/>
      <c r="DL410" s="247"/>
      <c r="DM410" s="247"/>
      <c r="DN410" s="247"/>
      <c r="DO410" s="247"/>
      <c r="DP410" s="247"/>
      <c r="DQ410" s="247"/>
      <c r="DR410" s="247"/>
      <c r="DS410" s="247"/>
      <c r="DT410" s="247"/>
      <c r="DU410" s="247"/>
      <c r="DV410" s="247"/>
      <c r="DW410" s="247"/>
      <c r="DX410" s="247"/>
      <c r="DY410" s="247"/>
      <c r="DZ410" s="247"/>
      <c r="EA410" s="247"/>
      <c r="EB410" s="247"/>
      <c r="EC410" s="247"/>
      <c r="ED410" s="17">
        <f t="shared" si="137"/>
        <v>523016.36497600004</v>
      </c>
      <c r="EE410" s="29">
        <f t="shared" si="138"/>
        <v>5</v>
      </c>
      <c r="EF410" s="17">
        <f t="shared" si="135"/>
        <v>104603.27299520001</v>
      </c>
    </row>
    <row r="411" spans="1:136" ht="38.25" x14ac:dyDescent="0.25">
      <c r="A411" s="25">
        <f>Distribución_Elementos!A411</f>
        <v>409</v>
      </c>
      <c r="B411" s="22" t="str">
        <f>Distribución_Elementos!B411</f>
        <v>Probeta de 50 ml clase B</v>
      </c>
      <c r="C411" s="22" t="str">
        <f>Distribución_Elementos!C411</f>
        <v>Pyrex , Corning, Kymax, Brand, Duran, Schott o equvalente</v>
      </c>
      <c r="D411" s="22" t="str">
        <f>Distribución_Elementos!D411</f>
        <v>Unidad</v>
      </c>
      <c r="E411" s="224">
        <v>1</v>
      </c>
      <c r="F411" s="221">
        <v>29452.5</v>
      </c>
      <c r="G411" s="221">
        <v>29393</v>
      </c>
      <c r="H411" s="221">
        <v>0</v>
      </c>
      <c r="I411" s="221">
        <v>0</v>
      </c>
      <c r="J411" s="221">
        <v>63006.434166666659</v>
      </c>
      <c r="K411" s="221">
        <v>61880</v>
      </c>
      <c r="L411" s="247">
        <f>AVERAGE(F411,J411)</f>
        <v>46229.467083333329</v>
      </c>
      <c r="M411" s="247">
        <f>AVERAGE(G411,K411)*E1</f>
        <v>47005.595000000001</v>
      </c>
      <c r="N411" s="227">
        <v>35000</v>
      </c>
      <c r="O411" s="119">
        <f t="shared" si="146"/>
        <v>6650</v>
      </c>
      <c r="P411" s="119">
        <f t="shared" si="147"/>
        <v>41650</v>
      </c>
      <c r="Q411" s="115"/>
      <c r="R411" s="115"/>
      <c r="S411" s="11"/>
      <c r="T411" s="247">
        <v>21010</v>
      </c>
      <c r="U411" s="247">
        <f t="shared" si="148"/>
        <v>3991.9</v>
      </c>
      <c r="V411" s="247">
        <f t="shared" si="149"/>
        <v>25001.9</v>
      </c>
      <c r="W411" s="17" t="s">
        <v>140</v>
      </c>
      <c r="X411" s="11" t="s">
        <v>1521</v>
      </c>
      <c r="Y411" s="11"/>
      <c r="Z411" s="247"/>
      <c r="AA411" s="247"/>
      <c r="AB411" s="247"/>
      <c r="AC411" s="5"/>
      <c r="AD411" s="22"/>
      <c r="AE411" s="17"/>
      <c r="AF411" s="247"/>
      <c r="AG411" s="247"/>
      <c r="AH411" s="149"/>
      <c r="AI411" s="4"/>
      <c r="AJ411" s="17"/>
      <c r="AK411" s="17"/>
      <c r="AL411" s="102"/>
      <c r="AM411" s="132"/>
      <c r="AN411" s="161"/>
      <c r="AO411" s="115"/>
      <c r="AP411" s="115"/>
      <c r="AQ411" s="17"/>
      <c r="AR411" s="247"/>
      <c r="AS411" s="247"/>
      <c r="AT411" s="247"/>
      <c r="AU411" s="17"/>
      <c r="AV411" s="17"/>
      <c r="AW411" s="17"/>
      <c r="AX411" s="247"/>
      <c r="AY411" s="247"/>
      <c r="AZ411" s="247"/>
      <c r="BA411" s="17"/>
      <c r="BB411" s="52"/>
      <c r="BC411" s="17"/>
      <c r="BD411" s="247"/>
      <c r="BE411" s="247"/>
      <c r="BF411" s="247"/>
      <c r="BG411" s="17"/>
      <c r="BH411" s="17"/>
      <c r="BI411" s="17"/>
      <c r="BJ411" s="247">
        <v>48100</v>
      </c>
      <c r="BK411" s="247">
        <f t="shared" si="133"/>
        <v>9139</v>
      </c>
      <c r="BL411" s="247">
        <f t="shared" si="134"/>
        <v>57239</v>
      </c>
      <c r="BM411" s="190" t="s">
        <v>375</v>
      </c>
      <c r="BN411" s="190" t="s">
        <v>1565</v>
      </c>
      <c r="BO411" s="17"/>
      <c r="BP411" s="247"/>
      <c r="BQ411" s="247"/>
      <c r="BR411" s="247"/>
      <c r="BS411" s="17"/>
      <c r="BT411" s="17"/>
      <c r="BU411" s="17"/>
      <c r="BV411" s="195">
        <v>56660.020300000011</v>
      </c>
      <c r="BW411" s="195">
        <f t="shared" si="150"/>
        <v>10765.403857000003</v>
      </c>
      <c r="BX411" s="246">
        <f t="shared" si="151"/>
        <v>67425.424157000016</v>
      </c>
      <c r="BY411" s="190" t="s">
        <v>375</v>
      </c>
      <c r="BZ411" s="190" t="s">
        <v>1565</v>
      </c>
      <c r="CA411" s="190"/>
      <c r="CB411" s="247"/>
      <c r="CC411" s="247"/>
      <c r="CD411" s="247"/>
      <c r="CE411" s="17"/>
      <c r="CF411" s="17"/>
      <c r="CG411" s="17"/>
      <c r="CH411" s="247"/>
      <c r="CI411" s="247"/>
      <c r="CJ411" s="247"/>
      <c r="CK411" s="17"/>
      <c r="CL411" s="17"/>
      <c r="CM411" s="17"/>
      <c r="CN411" s="17"/>
      <c r="CO411" s="17"/>
      <c r="CP411" s="11"/>
      <c r="CQ411" s="11"/>
      <c r="CR411" s="11"/>
      <c r="CS411" s="11"/>
      <c r="CT411" s="247"/>
      <c r="CU411" s="247"/>
      <c r="CV411" s="247"/>
      <c r="CW411" s="11"/>
      <c r="CX411" s="11"/>
      <c r="CY411" s="11"/>
      <c r="CZ411" s="11"/>
      <c r="DA411" s="11"/>
      <c r="DB411" s="11"/>
      <c r="DC411" s="11"/>
      <c r="DD411" s="11"/>
      <c r="DE411" s="11"/>
      <c r="DF411" s="11"/>
      <c r="DG411" s="11"/>
      <c r="DH411" s="11"/>
      <c r="DI411" s="11"/>
      <c r="DJ411" s="11"/>
      <c r="DK411" s="11"/>
      <c r="DL411" s="247"/>
      <c r="DM411" s="247"/>
      <c r="DN411" s="247"/>
      <c r="DO411" s="247"/>
      <c r="DP411" s="247"/>
      <c r="DQ411" s="247"/>
      <c r="DR411" s="247"/>
      <c r="DS411" s="247"/>
      <c r="DT411" s="247"/>
      <c r="DU411" s="247"/>
      <c r="DV411" s="247"/>
      <c r="DW411" s="247"/>
      <c r="DX411" s="247"/>
      <c r="DY411" s="247"/>
      <c r="DZ411" s="247"/>
      <c r="EA411" s="247"/>
      <c r="EB411" s="247"/>
      <c r="EC411" s="247"/>
      <c r="ED411" s="17">
        <f t="shared" si="137"/>
        <v>238321.91915700003</v>
      </c>
      <c r="EE411" s="29">
        <f t="shared" si="138"/>
        <v>5</v>
      </c>
      <c r="EF411" s="17">
        <f t="shared" si="135"/>
        <v>47664.383831400002</v>
      </c>
    </row>
    <row r="412" spans="1:136" ht="76.5" x14ac:dyDescent="0.25">
      <c r="A412" s="25">
        <f>Distribución_Elementos!A412</f>
        <v>410</v>
      </c>
      <c r="B412" s="22" t="str">
        <f>Distribución_Elementos!B412</f>
        <v>Probeta de vidrio con base hexagonal de vidrio clase A de 10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v>
      </c>
      <c r="C412" s="22" t="str">
        <f>Distribución_Elementos!C412</f>
        <v>Pyrex , Corning, Kymax, Brand, Duran, Schott o equvalente</v>
      </c>
      <c r="D412" s="22" t="str">
        <f>Distribución_Elementos!D412</f>
        <v>Unidad</v>
      </c>
      <c r="E412" s="224">
        <v>1</v>
      </c>
      <c r="F412" s="221">
        <v>0</v>
      </c>
      <c r="G412" s="221">
        <v>0</v>
      </c>
      <c r="H412" s="221">
        <v>0</v>
      </c>
      <c r="I412" s="221">
        <v>0</v>
      </c>
      <c r="J412" s="221">
        <v>0</v>
      </c>
      <c r="K412" s="221">
        <v>0</v>
      </c>
      <c r="L412" s="247"/>
      <c r="M412" s="247"/>
      <c r="N412" s="227">
        <v>35000</v>
      </c>
      <c r="O412" s="119">
        <f t="shared" si="146"/>
        <v>6650</v>
      </c>
      <c r="P412" s="119">
        <f t="shared" si="147"/>
        <v>41650</v>
      </c>
      <c r="Q412" s="115"/>
      <c r="R412" s="115"/>
      <c r="S412" s="11"/>
      <c r="T412" s="247">
        <v>22660.000000000004</v>
      </c>
      <c r="U412" s="247">
        <f t="shared" si="148"/>
        <v>4305.4000000000005</v>
      </c>
      <c r="V412" s="247">
        <f t="shared" si="149"/>
        <v>26965.400000000005</v>
      </c>
      <c r="W412" s="17" t="s">
        <v>140</v>
      </c>
      <c r="X412" s="11" t="s">
        <v>1521</v>
      </c>
      <c r="Y412" s="11"/>
      <c r="Z412" s="247"/>
      <c r="AA412" s="247"/>
      <c r="AB412" s="247"/>
      <c r="AC412" s="5"/>
      <c r="AD412" s="22"/>
      <c r="AE412" s="17"/>
      <c r="AF412" s="247"/>
      <c r="AG412" s="247"/>
      <c r="AH412" s="149"/>
      <c r="AI412" s="4"/>
      <c r="AJ412" s="17"/>
      <c r="AK412" s="17"/>
      <c r="AL412" s="102"/>
      <c r="AM412" s="132"/>
      <c r="AN412" s="161"/>
      <c r="AO412" s="115"/>
      <c r="AP412" s="115"/>
      <c r="AQ412" s="17"/>
      <c r="AR412" s="247"/>
      <c r="AS412" s="247"/>
      <c r="AT412" s="247"/>
      <c r="AU412" s="17"/>
      <c r="AV412" s="17"/>
      <c r="AW412" s="17"/>
      <c r="AX412" s="247"/>
      <c r="AY412" s="247"/>
      <c r="AZ412" s="247"/>
      <c r="BA412" s="17"/>
      <c r="BB412" s="52"/>
      <c r="BC412" s="17"/>
      <c r="BD412" s="247"/>
      <c r="BE412" s="247"/>
      <c r="BF412" s="247"/>
      <c r="BG412" s="17"/>
      <c r="BH412" s="17"/>
      <c r="BI412" s="17"/>
      <c r="BJ412" s="247">
        <v>53500</v>
      </c>
      <c r="BK412" s="247">
        <f t="shared" si="133"/>
        <v>10165</v>
      </c>
      <c r="BL412" s="247">
        <f t="shared" si="134"/>
        <v>63665</v>
      </c>
      <c r="BM412" s="190" t="s">
        <v>375</v>
      </c>
      <c r="BN412" s="190" t="s">
        <v>1565</v>
      </c>
      <c r="BO412" s="17"/>
      <c r="BP412" s="247"/>
      <c r="BQ412" s="247"/>
      <c r="BR412" s="247"/>
      <c r="BS412" s="17"/>
      <c r="BT412" s="17"/>
      <c r="BU412" s="17"/>
      <c r="BV412" s="195">
        <v>59590.44</v>
      </c>
      <c r="BW412" s="195">
        <f t="shared" si="150"/>
        <v>11322.1836</v>
      </c>
      <c r="BX412" s="246">
        <f t="shared" si="151"/>
        <v>70912.623600000006</v>
      </c>
      <c r="BY412" s="190" t="s">
        <v>375</v>
      </c>
      <c r="BZ412" s="190" t="s">
        <v>1565</v>
      </c>
      <c r="CA412" s="190"/>
      <c r="CB412" s="247"/>
      <c r="CC412" s="247"/>
      <c r="CD412" s="247"/>
      <c r="CE412" s="17"/>
      <c r="CF412" s="17"/>
      <c r="CG412" s="17"/>
      <c r="CH412" s="247"/>
      <c r="CI412" s="247"/>
      <c r="CJ412" s="247"/>
      <c r="CK412" s="17"/>
      <c r="CL412" s="17"/>
      <c r="CM412" s="17"/>
      <c r="CN412" s="17"/>
      <c r="CO412" s="17"/>
      <c r="CP412" s="11"/>
      <c r="CQ412" s="11"/>
      <c r="CR412" s="11"/>
      <c r="CS412" s="11"/>
      <c r="CT412" s="247"/>
      <c r="CU412" s="247"/>
      <c r="CV412" s="247"/>
      <c r="CW412" s="11"/>
      <c r="CX412" s="11"/>
      <c r="CY412" s="11"/>
      <c r="CZ412" s="11"/>
      <c r="DA412" s="11"/>
      <c r="DB412" s="11"/>
      <c r="DC412" s="11"/>
      <c r="DD412" s="11"/>
      <c r="DE412" s="11"/>
      <c r="DF412" s="11"/>
      <c r="DG412" s="11"/>
      <c r="DH412" s="11"/>
      <c r="DI412" s="11"/>
      <c r="DJ412" s="11"/>
      <c r="DK412" s="11"/>
      <c r="DL412" s="247"/>
      <c r="DM412" s="247"/>
      <c r="DN412" s="247"/>
      <c r="DO412" s="247"/>
      <c r="DP412" s="247"/>
      <c r="DQ412" s="247"/>
      <c r="DR412" s="247"/>
      <c r="DS412" s="247"/>
      <c r="DT412" s="247"/>
      <c r="DU412" s="247"/>
      <c r="DV412" s="247"/>
      <c r="DW412" s="247"/>
      <c r="DX412" s="247"/>
      <c r="DY412" s="247"/>
      <c r="DZ412" s="247"/>
      <c r="EA412" s="247"/>
      <c r="EB412" s="247"/>
      <c r="EC412" s="247"/>
      <c r="ED412" s="17">
        <f t="shared" si="137"/>
        <v>203193.02360000001</v>
      </c>
      <c r="EE412" s="29">
        <f t="shared" si="138"/>
        <v>4</v>
      </c>
      <c r="EF412" s="17">
        <f t="shared" si="135"/>
        <v>50798.255900000004</v>
      </c>
    </row>
    <row r="413" spans="1:136" ht="76.5" x14ac:dyDescent="0.25">
      <c r="A413" s="25">
        <f>Distribución_Elementos!A413</f>
        <v>411</v>
      </c>
      <c r="B413" s="22" t="str">
        <f>Distribución_Elementos!B413</f>
        <v>Probeta de vidrio con base hexagonal de vidrio clase A de 100 ml intervalo de graduación de 1 ml. Borosilicato 3.3 DIN en ISO 4788, impresión en cerámica, que cumpla con las normas DIN12 600 Control y garantía de calidad NCA menor o igual a 0,4 y certificación del fabricante que resiste temperaturas hasta de 250°C sin perder la volumetria.</v>
      </c>
      <c r="C413" s="22" t="str">
        <f>Distribución_Elementos!C413</f>
        <v>Pyrex , Corning, Kymax, Brand, Duran, Schott o equvalente</v>
      </c>
      <c r="D413" s="22" t="str">
        <f>Distribución_Elementos!D413</f>
        <v>Unidad</v>
      </c>
      <c r="E413" s="224">
        <v>1</v>
      </c>
      <c r="F413" s="221">
        <v>0</v>
      </c>
      <c r="G413" s="221">
        <v>0</v>
      </c>
      <c r="H413" s="221">
        <v>0</v>
      </c>
      <c r="I413" s="221">
        <v>0</v>
      </c>
      <c r="J413" s="221">
        <v>0</v>
      </c>
      <c r="K413" s="221">
        <v>0</v>
      </c>
      <c r="L413" s="247"/>
      <c r="M413" s="247"/>
      <c r="N413" s="227">
        <v>39000</v>
      </c>
      <c r="O413" s="119">
        <f t="shared" si="146"/>
        <v>7410</v>
      </c>
      <c r="P413" s="119">
        <f t="shared" si="147"/>
        <v>46410</v>
      </c>
      <c r="Q413" s="115"/>
      <c r="R413" s="115"/>
      <c r="S413" s="11"/>
      <c r="T413" s="247">
        <v>25850.000000000004</v>
      </c>
      <c r="U413" s="247">
        <f t="shared" si="148"/>
        <v>4911.5000000000009</v>
      </c>
      <c r="V413" s="247">
        <f t="shared" si="149"/>
        <v>30761.500000000004</v>
      </c>
      <c r="W413" s="17" t="s">
        <v>140</v>
      </c>
      <c r="X413" s="11" t="s">
        <v>1521</v>
      </c>
      <c r="Y413" s="11"/>
      <c r="Z413" s="247"/>
      <c r="AA413" s="247"/>
      <c r="AB413" s="247"/>
      <c r="AC413" s="5"/>
      <c r="AD413" s="22"/>
      <c r="AE413" s="17"/>
      <c r="AF413" s="247"/>
      <c r="AG413" s="247"/>
      <c r="AH413" s="149"/>
      <c r="AI413" s="4"/>
      <c r="AJ413" s="17"/>
      <c r="AK413" s="17"/>
      <c r="AL413" s="102"/>
      <c r="AM413" s="132"/>
      <c r="AN413" s="161"/>
      <c r="AO413" s="115"/>
      <c r="AP413" s="115"/>
      <c r="AQ413" s="17"/>
      <c r="AR413" s="247"/>
      <c r="AS413" s="247"/>
      <c r="AT413" s="247"/>
      <c r="AU413" s="17"/>
      <c r="AV413" s="17"/>
      <c r="AW413" s="17"/>
      <c r="AX413" s="247"/>
      <c r="AY413" s="247"/>
      <c r="AZ413" s="247"/>
      <c r="BA413" s="17"/>
      <c r="BB413" s="52"/>
      <c r="BC413" s="17"/>
      <c r="BD413" s="247"/>
      <c r="BE413" s="247"/>
      <c r="BF413" s="247"/>
      <c r="BG413" s="17"/>
      <c r="BH413" s="17"/>
      <c r="BI413" s="17"/>
      <c r="BJ413" s="247">
        <v>66000</v>
      </c>
      <c r="BK413" s="247">
        <f t="shared" si="133"/>
        <v>12540</v>
      </c>
      <c r="BL413" s="247">
        <f t="shared" si="134"/>
        <v>78540</v>
      </c>
      <c r="BM413" s="190" t="s">
        <v>375</v>
      </c>
      <c r="BN413" s="190" t="s">
        <v>1565</v>
      </c>
      <c r="BO413" s="17"/>
      <c r="BP413" s="247"/>
      <c r="BQ413" s="247"/>
      <c r="BR413" s="247"/>
      <c r="BS413" s="17"/>
      <c r="BT413" s="17"/>
      <c r="BU413" s="17"/>
      <c r="BV413" s="195">
        <v>78557.688000000009</v>
      </c>
      <c r="BW413" s="195">
        <f t="shared" si="150"/>
        <v>14925.960720000003</v>
      </c>
      <c r="BX413" s="246">
        <f t="shared" si="151"/>
        <v>93483.648720000012</v>
      </c>
      <c r="BY413" s="190" t="s">
        <v>375</v>
      </c>
      <c r="BZ413" s="190" t="s">
        <v>1565</v>
      </c>
      <c r="CA413" s="190"/>
      <c r="CB413" s="247"/>
      <c r="CC413" s="247"/>
      <c r="CD413" s="247"/>
      <c r="CE413" s="17"/>
      <c r="CF413" s="17"/>
      <c r="CG413" s="17"/>
      <c r="CH413" s="247"/>
      <c r="CI413" s="247"/>
      <c r="CJ413" s="247"/>
      <c r="CK413" s="17"/>
      <c r="CL413" s="17"/>
      <c r="CM413" s="17"/>
      <c r="CN413" s="17"/>
      <c r="CO413" s="17"/>
      <c r="CP413" s="11"/>
      <c r="CQ413" s="11"/>
      <c r="CR413" s="11"/>
      <c r="CS413" s="11"/>
      <c r="CT413" s="247"/>
      <c r="CU413" s="247"/>
      <c r="CV413" s="247"/>
      <c r="CW413" s="11"/>
      <c r="CX413" s="11"/>
      <c r="CY413" s="11"/>
      <c r="CZ413" s="11"/>
      <c r="DA413" s="11"/>
      <c r="DB413" s="11"/>
      <c r="DC413" s="11"/>
      <c r="DD413" s="11"/>
      <c r="DE413" s="11"/>
      <c r="DF413" s="11"/>
      <c r="DG413" s="11"/>
      <c r="DH413" s="11"/>
      <c r="DI413" s="11"/>
      <c r="DJ413" s="11"/>
      <c r="DK413" s="11"/>
      <c r="DL413" s="247"/>
      <c r="DM413" s="247"/>
      <c r="DN413" s="247"/>
      <c r="DO413" s="247"/>
      <c r="DP413" s="247"/>
      <c r="DQ413" s="247"/>
      <c r="DR413" s="247"/>
      <c r="DS413" s="247"/>
      <c r="DT413" s="247"/>
      <c r="DU413" s="247"/>
      <c r="DV413" s="247"/>
      <c r="DW413" s="247"/>
      <c r="DX413" s="247"/>
      <c r="DY413" s="247"/>
      <c r="DZ413" s="247"/>
      <c r="EA413" s="247"/>
      <c r="EB413" s="247"/>
      <c r="EC413" s="247"/>
      <c r="ED413" s="17">
        <f t="shared" si="137"/>
        <v>249195.14872</v>
      </c>
      <c r="EE413" s="29">
        <f t="shared" si="138"/>
        <v>4</v>
      </c>
      <c r="EF413" s="17">
        <f t="shared" si="135"/>
        <v>62298.787179999999</v>
      </c>
    </row>
    <row r="414" spans="1:136" ht="89.25" x14ac:dyDescent="0.25">
      <c r="A414" s="25">
        <f>Distribución_Elementos!A414</f>
        <v>412</v>
      </c>
      <c r="B414" s="22" t="str">
        <f>Distribución_Elementos!B414</f>
        <v>Probeta de vidrio con base hexagonal de vidrio clase A de 2000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v>
      </c>
      <c r="C414" s="22" t="str">
        <f>Distribución_Elementos!C414</f>
        <v>Pyrex , Corning, Kymax, Brand, Duran, Schott o equvalente</v>
      </c>
      <c r="D414" s="22" t="str">
        <f>Distribución_Elementos!D414</f>
        <v>Unidad</v>
      </c>
      <c r="E414" s="224">
        <v>1</v>
      </c>
      <c r="F414" s="221">
        <v>0</v>
      </c>
      <c r="G414" s="221">
        <v>0</v>
      </c>
      <c r="H414" s="221">
        <v>0</v>
      </c>
      <c r="I414" s="221">
        <v>0</v>
      </c>
      <c r="J414" s="221">
        <v>0</v>
      </c>
      <c r="K414" s="221">
        <v>0</v>
      </c>
      <c r="L414" s="247"/>
      <c r="M414" s="247"/>
      <c r="N414" s="227">
        <v>260000</v>
      </c>
      <c r="O414" s="119">
        <f t="shared" si="146"/>
        <v>49400</v>
      </c>
      <c r="P414" s="119">
        <f t="shared" si="147"/>
        <v>309400</v>
      </c>
      <c r="Q414" s="115"/>
      <c r="R414" s="115"/>
      <c r="S414" s="11"/>
      <c r="T414" s="247">
        <v>182600.00000000003</v>
      </c>
      <c r="U414" s="247">
        <f t="shared" si="148"/>
        <v>34694.000000000007</v>
      </c>
      <c r="V414" s="247">
        <f t="shared" si="149"/>
        <v>217294.00000000003</v>
      </c>
      <c r="W414" s="17" t="s">
        <v>140</v>
      </c>
      <c r="X414" s="11" t="s">
        <v>1521</v>
      </c>
      <c r="Y414" s="11"/>
      <c r="Z414" s="247"/>
      <c r="AA414" s="247"/>
      <c r="AB414" s="247"/>
      <c r="AC414" s="5"/>
      <c r="AD414" s="22"/>
      <c r="AE414" s="17"/>
      <c r="AF414" s="247"/>
      <c r="AG414" s="247"/>
      <c r="AH414" s="149"/>
      <c r="AI414" s="4"/>
      <c r="AJ414" s="17"/>
      <c r="AK414" s="17"/>
      <c r="AL414" s="102"/>
      <c r="AM414" s="132"/>
      <c r="AN414" s="161"/>
      <c r="AO414" s="115"/>
      <c r="AP414" s="115"/>
      <c r="AQ414" s="17"/>
      <c r="AR414" s="247"/>
      <c r="AS414" s="247"/>
      <c r="AT414" s="247"/>
      <c r="AU414" s="17"/>
      <c r="AV414" s="17"/>
      <c r="AW414" s="17"/>
      <c r="AX414" s="247"/>
      <c r="AY414" s="247"/>
      <c r="AZ414" s="247"/>
      <c r="BA414" s="17"/>
      <c r="BB414" s="52"/>
      <c r="BC414" s="17"/>
      <c r="BD414" s="247"/>
      <c r="BE414" s="247"/>
      <c r="BF414" s="247"/>
      <c r="BG414" s="17"/>
      <c r="BH414" s="17"/>
      <c r="BI414" s="17"/>
      <c r="BJ414" s="247">
        <v>469100</v>
      </c>
      <c r="BK414" s="247">
        <f t="shared" si="133"/>
        <v>89129</v>
      </c>
      <c r="BL414" s="247">
        <f t="shared" si="134"/>
        <v>558229</v>
      </c>
      <c r="BM414" s="190" t="s">
        <v>375</v>
      </c>
      <c r="BN414" s="190" t="s">
        <v>1565</v>
      </c>
      <c r="BO414" s="17"/>
      <c r="BP414" s="247"/>
      <c r="BQ414" s="247"/>
      <c r="BR414" s="247"/>
      <c r="BS414" s="17"/>
      <c r="BT414" s="17"/>
      <c r="BU414" s="17"/>
      <c r="BV414" s="195">
        <v>517526.1312</v>
      </c>
      <c r="BW414" s="195">
        <f t="shared" si="150"/>
        <v>98329.964928000001</v>
      </c>
      <c r="BX414" s="246">
        <f t="shared" si="151"/>
        <v>615856.09612799995</v>
      </c>
      <c r="BY414" s="190" t="s">
        <v>375</v>
      </c>
      <c r="BZ414" s="190" t="s">
        <v>1565</v>
      </c>
      <c r="CA414" s="190"/>
      <c r="CB414" s="247"/>
      <c r="CC414" s="247"/>
      <c r="CD414" s="247"/>
      <c r="CE414" s="17"/>
      <c r="CF414" s="17"/>
      <c r="CG414" s="17"/>
      <c r="CH414" s="247"/>
      <c r="CI414" s="247"/>
      <c r="CJ414" s="247"/>
      <c r="CK414" s="17"/>
      <c r="CL414" s="17"/>
      <c r="CM414" s="17"/>
      <c r="CN414" s="17"/>
      <c r="CO414" s="17"/>
      <c r="CP414" s="11"/>
      <c r="CQ414" s="11"/>
      <c r="CR414" s="11"/>
      <c r="CS414" s="11"/>
      <c r="CT414" s="247"/>
      <c r="CU414" s="247"/>
      <c r="CV414" s="247"/>
      <c r="CW414" s="11"/>
      <c r="CX414" s="11"/>
      <c r="CY414" s="11"/>
      <c r="CZ414" s="11"/>
      <c r="DA414" s="11"/>
      <c r="DB414" s="11"/>
      <c r="DC414" s="11"/>
      <c r="DD414" s="11"/>
      <c r="DE414" s="11"/>
      <c r="DF414" s="11"/>
      <c r="DG414" s="11"/>
      <c r="DH414" s="11"/>
      <c r="DI414" s="11"/>
      <c r="DJ414" s="11"/>
      <c r="DK414" s="11"/>
      <c r="DL414" s="247"/>
      <c r="DM414" s="247"/>
      <c r="DN414" s="247"/>
      <c r="DO414" s="247"/>
      <c r="DP414" s="247"/>
      <c r="DQ414" s="247"/>
      <c r="DR414" s="247"/>
      <c r="DS414" s="247"/>
      <c r="DT414" s="247"/>
      <c r="DU414" s="247"/>
      <c r="DV414" s="247"/>
      <c r="DW414" s="247"/>
      <c r="DX414" s="247"/>
      <c r="DY414" s="247"/>
      <c r="DZ414" s="247"/>
      <c r="EA414" s="247"/>
      <c r="EB414" s="247"/>
      <c r="EC414" s="247"/>
      <c r="ED414" s="17">
        <f t="shared" si="137"/>
        <v>1700779.0961279999</v>
      </c>
      <c r="EE414" s="29">
        <f t="shared" si="138"/>
        <v>4</v>
      </c>
      <c r="EF414" s="17">
        <f t="shared" si="135"/>
        <v>425194.77403199999</v>
      </c>
    </row>
    <row r="415" spans="1:136" ht="38.25" x14ac:dyDescent="0.25">
      <c r="A415" s="25">
        <f>Distribución_Elementos!A415</f>
        <v>413</v>
      </c>
      <c r="B415" s="22" t="str">
        <f>Distribución_Elementos!B415</f>
        <v>Probeta de vidrio con base hexagonal de vidrio clase A de 5 ml con pico. Borosilicato 3.3  DIN en ISO 4788,</v>
      </c>
      <c r="C415" s="22" t="str">
        <f>Distribución_Elementos!C415</f>
        <v>Pyrex , Corning, Kymax, Brand, Duran, Schott o equvalente</v>
      </c>
      <c r="D415" s="22" t="str">
        <f>Distribución_Elementos!D415</f>
        <v>Unidad</v>
      </c>
      <c r="E415" s="224">
        <v>1</v>
      </c>
      <c r="F415" s="221">
        <v>0</v>
      </c>
      <c r="G415" s="221">
        <v>0</v>
      </c>
      <c r="H415" s="221">
        <v>0</v>
      </c>
      <c r="I415" s="221">
        <v>0</v>
      </c>
      <c r="J415" s="221">
        <v>83911.924444444434</v>
      </c>
      <c r="K415" s="221">
        <v>26061</v>
      </c>
      <c r="L415" s="247">
        <f>J415</f>
        <v>83911.924444444434</v>
      </c>
      <c r="M415" s="247">
        <f>K415*E1</f>
        <v>26842.83</v>
      </c>
      <c r="N415" s="227">
        <v>45000</v>
      </c>
      <c r="O415" s="119">
        <f t="shared" si="146"/>
        <v>8550</v>
      </c>
      <c r="P415" s="119">
        <f t="shared" si="147"/>
        <v>53550</v>
      </c>
      <c r="Q415" s="115"/>
      <c r="R415" s="115"/>
      <c r="S415" s="11"/>
      <c r="T415" s="247"/>
      <c r="U415" s="247"/>
      <c r="V415" s="247"/>
      <c r="W415" s="17"/>
      <c r="X415" s="11"/>
      <c r="Y415" s="11"/>
      <c r="Z415" s="247"/>
      <c r="AA415" s="247"/>
      <c r="AB415" s="247"/>
      <c r="AC415" s="5"/>
      <c r="AD415" s="22"/>
      <c r="AE415" s="17"/>
      <c r="AF415" s="247"/>
      <c r="AG415" s="247"/>
      <c r="AH415" s="149"/>
      <c r="AI415" s="4"/>
      <c r="AJ415" s="17"/>
      <c r="AK415" s="17"/>
      <c r="AL415" s="102"/>
      <c r="AM415" s="132"/>
      <c r="AN415" s="161"/>
      <c r="AO415" s="115"/>
      <c r="AP415" s="115"/>
      <c r="AQ415" s="17"/>
      <c r="AR415" s="247"/>
      <c r="AS415" s="247"/>
      <c r="AT415" s="247"/>
      <c r="AU415" s="17"/>
      <c r="AV415" s="17"/>
      <c r="AW415" s="17"/>
      <c r="AX415" s="247"/>
      <c r="AY415" s="247"/>
      <c r="AZ415" s="247"/>
      <c r="BA415" s="17"/>
      <c r="BB415" s="52"/>
      <c r="BC415" s="17"/>
      <c r="BD415" s="247"/>
      <c r="BE415" s="247"/>
      <c r="BF415" s="247"/>
      <c r="BG415" s="17"/>
      <c r="BH415" s="17"/>
      <c r="BI415" s="17"/>
      <c r="BJ415" s="247">
        <v>53500</v>
      </c>
      <c r="BK415" s="247">
        <f t="shared" si="133"/>
        <v>10165</v>
      </c>
      <c r="BL415" s="247">
        <f t="shared" si="134"/>
        <v>63665</v>
      </c>
      <c r="BM415" s="190" t="s">
        <v>375</v>
      </c>
      <c r="BN415" s="190" t="s">
        <v>1565</v>
      </c>
      <c r="BO415" s="17"/>
      <c r="BP415" s="247"/>
      <c r="BQ415" s="247"/>
      <c r="BR415" s="247"/>
      <c r="BS415" s="17"/>
      <c r="BT415" s="17"/>
      <c r="BU415" s="17"/>
      <c r="BV415" s="195">
        <v>57849.870999999999</v>
      </c>
      <c r="BW415" s="195">
        <f t="shared" si="150"/>
        <v>10991.475490000001</v>
      </c>
      <c r="BX415" s="246">
        <f t="shared" si="151"/>
        <v>68841.346489999996</v>
      </c>
      <c r="BY415" s="190" t="s">
        <v>375</v>
      </c>
      <c r="BZ415" s="190" t="s">
        <v>1565</v>
      </c>
      <c r="CA415" s="190"/>
      <c r="CB415" s="247"/>
      <c r="CC415" s="247"/>
      <c r="CD415" s="247"/>
      <c r="CE415" s="17"/>
      <c r="CF415" s="17"/>
      <c r="CG415" s="17"/>
      <c r="CH415" s="247"/>
      <c r="CI415" s="247"/>
      <c r="CJ415" s="247"/>
      <c r="CK415" s="17"/>
      <c r="CL415" s="17"/>
      <c r="CM415" s="17"/>
      <c r="CN415" s="17"/>
      <c r="CO415" s="17"/>
      <c r="CP415" s="11"/>
      <c r="CQ415" s="11"/>
      <c r="CR415" s="11"/>
      <c r="CS415" s="11"/>
      <c r="CT415" s="247"/>
      <c r="CU415" s="247"/>
      <c r="CV415" s="247"/>
      <c r="CW415" s="11"/>
      <c r="CX415" s="11"/>
      <c r="CY415" s="11"/>
      <c r="CZ415" s="11"/>
      <c r="DA415" s="11"/>
      <c r="DB415" s="11"/>
      <c r="DC415" s="11"/>
      <c r="DD415" s="11"/>
      <c r="DE415" s="11"/>
      <c r="DF415" s="11"/>
      <c r="DG415" s="11"/>
      <c r="DH415" s="11"/>
      <c r="DI415" s="11"/>
      <c r="DJ415" s="11"/>
      <c r="DK415" s="11"/>
      <c r="DL415" s="247"/>
      <c r="DM415" s="247"/>
      <c r="DN415" s="247"/>
      <c r="DO415" s="247"/>
      <c r="DP415" s="247"/>
      <c r="DQ415" s="247"/>
      <c r="DR415" s="247"/>
      <c r="DS415" s="247"/>
      <c r="DT415" s="247"/>
      <c r="DU415" s="247"/>
      <c r="DV415" s="247"/>
      <c r="DW415" s="247"/>
      <c r="DX415" s="247"/>
      <c r="DY415" s="247"/>
      <c r="DZ415" s="247"/>
      <c r="EA415" s="247"/>
      <c r="EB415" s="247"/>
      <c r="EC415" s="247"/>
      <c r="ED415" s="17">
        <f t="shared" si="137"/>
        <v>212899.17649000001</v>
      </c>
      <c r="EE415" s="29">
        <f t="shared" si="138"/>
        <v>4</v>
      </c>
      <c r="EF415" s="17">
        <f t="shared" si="135"/>
        <v>53224.794122500003</v>
      </c>
    </row>
    <row r="416" spans="1:136" ht="76.5" x14ac:dyDescent="0.25">
      <c r="A416" s="25">
        <f>Distribución_Elementos!A416</f>
        <v>414</v>
      </c>
      <c r="B416" s="22" t="str">
        <f>Distribución_Elementos!B416</f>
        <v>Probeta de vidrio con base hexagonal de Vidrio clase A. de 1000 ml. Borosilicato 3.3 DIN en ISO 4788, impresión en cerámica, que cumpla con las normas DIN12 600 Control y garantía de calidad NCA menor o igual a 0,4 y certificación del fabricante que resiste temperaturas hasta de 250°C sin perder la volumetria.</v>
      </c>
      <c r="C416" s="22" t="str">
        <f>Distribución_Elementos!C416</f>
        <v>Pyrex , Corning, Kymax, Brand, Duran, Schott o equvalente</v>
      </c>
      <c r="D416" s="22" t="str">
        <f>Distribución_Elementos!D416</f>
        <v>Unidad</v>
      </c>
      <c r="E416" s="224">
        <v>1</v>
      </c>
      <c r="F416" s="221">
        <v>0</v>
      </c>
      <c r="G416" s="221">
        <v>0</v>
      </c>
      <c r="H416" s="221">
        <v>0</v>
      </c>
      <c r="I416" s="221">
        <v>0</v>
      </c>
      <c r="J416" s="221">
        <v>0</v>
      </c>
      <c r="K416" s="221">
        <v>0</v>
      </c>
      <c r="L416" s="247"/>
      <c r="M416" s="247"/>
      <c r="N416" s="227">
        <v>140000</v>
      </c>
      <c r="O416" s="119">
        <f t="shared" si="146"/>
        <v>26600</v>
      </c>
      <c r="P416" s="119">
        <f t="shared" si="147"/>
        <v>166600</v>
      </c>
      <c r="Q416" s="115"/>
      <c r="R416" s="115"/>
      <c r="S416" s="11"/>
      <c r="T416" s="247">
        <v>93500.000000000015</v>
      </c>
      <c r="U416" s="247">
        <f t="shared" si="148"/>
        <v>17765.000000000004</v>
      </c>
      <c r="V416" s="247">
        <f t="shared" ref="V416:V421" si="152">+T416+U416</f>
        <v>111265.00000000001</v>
      </c>
      <c r="W416" s="17" t="s">
        <v>140</v>
      </c>
      <c r="X416" s="11" t="s">
        <v>1521</v>
      </c>
      <c r="Y416" s="11"/>
      <c r="Z416" s="247"/>
      <c r="AA416" s="247"/>
      <c r="AB416" s="247"/>
      <c r="AC416" s="5"/>
      <c r="AD416" s="22"/>
      <c r="AE416" s="17"/>
      <c r="AF416" s="247"/>
      <c r="AG416" s="247"/>
      <c r="AH416" s="149"/>
      <c r="AI416" s="4"/>
      <c r="AJ416" s="17"/>
      <c r="AK416" s="17"/>
      <c r="AL416" s="102"/>
      <c r="AM416" s="132"/>
      <c r="AN416" s="161"/>
      <c r="AO416" s="115"/>
      <c r="AP416" s="115"/>
      <c r="AQ416" s="17"/>
      <c r="AR416" s="247"/>
      <c r="AS416" s="247"/>
      <c r="AT416" s="247"/>
      <c r="AU416" s="17"/>
      <c r="AV416" s="17"/>
      <c r="AW416" s="17"/>
      <c r="AX416" s="247"/>
      <c r="AY416" s="247"/>
      <c r="AZ416" s="247"/>
      <c r="BA416" s="17"/>
      <c r="BB416" s="52"/>
      <c r="BC416" s="17"/>
      <c r="BD416" s="247"/>
      <c r="BE416" s="247"/>
      <c r="BF416" s="247"/>
      <c r="BG416" s="17"/>
      <c r="BH416" s="17"/>
      <c r="BI416" s="17"/>
      <c r="BJ416" s="247">
        <v>337800</v>
      </c>
      <c r="BK416" s="247">
        <f t="shared" si="133"/>
        <v>64182</v>
      </c>
      <c r="BL416" s="247">
        <f t="shared" si="134"/>
        <v>401982</v>
      </c>
      <c r="BM416" s="190" t="s">
        <v>375</v>
      </c>
      <c r="BN416" s="190" t="s">
        <v>1565</v>
      </c>
      <c r="BO416" s="17"/>
      <c r="BP416" s="247"/>
      <c r="BQ416" s="247"/>
      <c r="BR416" s="247"/>
      <c r="BS416" s="17"/>
      <c r="BT416" s="17"/>
      <c r="BU416" s="17"/>
      <c r="BV416" s="195">
        <v>361955.7402</v>
      </c>
      <c r="BW416" s="195">
        <f t="shared" si="150"/>
        <v>68771.590637999994</v>
      </c>
      <c r="BX416" s="246">
        <f t="shared" si="151"/>
        <v>430727.33083799999</v>
      </c>
      <c r="BY416" s="190" t="s">
        <v>375</v>
      </c>
      <c r="BZ416" s="190" t="s">
        <v>1565</v>
      </c>
      <c r="CA416" s="190"/>
      <c r="CB416" s="247"/>
      <c r="CC416" s="247"/>
      <c r="CD416" s="247"/>
      <c r="CE416" s="17"/>
      <c r="CF416" s="17"/>
      <c r="CG416" s="17"/>
      <c r="CH416" s="247"/>
      <c r="CI416" s="247"/>
      <c r="CJ416" s="247"/>
      <c r="CK416" s="17"/>
      <c r="CL416" s="17"/>
      <c r="CM416" s="17"/>
      <c r="CN416" s="17"/>
      <c r="CO416" s="17"/>
      <c r="CP416" s="11"/>
      <c r="CQ416" s="11"/>
      <c r="CR416" s="11"/>
      <c r="CS416" s="11"/>
      <c r="CT416" s="247"/>
      <c r="CU416" s="247"/>
      <c r="CV416" s="247"/>
      <c r="CW416" s="11"/>
      <c r="CX416" s="11"/>
      <c r="CY416" s="11"/>
      <c r="CZ416" s="11"/>
      <c r="DA416" s="11"/>
      <c r="DB416" s="11"/>
      <c r="DC416" s="11"/>
      <c r="DD416" s="11"/>
      <c r="DE416" s="11"/>
      <c r="DF416" s="11"/>
      <c r="DG416" s="11"/>
      <c r="DH416" s="11"/>
      <c r="DI416" s="11"/>
      <c r="DJ416" s="11"/>
      <c r="DK416" s="11"/>
      <c r="DL416" s="247"/>
      <c r="DM416" s="247"/>
      <c r="DN416" s="247"/>
      <c r="DO416" s="247"/>
      <c r="DP416" s="247"/>
      <c r="DQ416" s="247"/>
      <c r="DR416" s="247"/>
      <c r="DS416" s="247"/>
      <c r="DT416" s="247"/>
      <c r="DU416" s="247"/>
      <c r="DV416" s="247"/>
      <c r="DW416" s="247"/>
      <c r="DX416" s="247"/>
      <c r="DY416" s="247"/>
      <c r="DZ416" s="247"/>
      <c r="EA416" s="247"/>
      <c r="EB416" s="247"/>
      <c r="EC416" s="247"/>
      <c r="ED416" s="17">
        <f t="shared" si="137"/>
        <v>1110574.3308379999</v>
      </c>
      <c r="EE416" s="29">
        <f t="shared" si="138"/>
        <v>4</v>
      </c>
      <c r="EF416" s="17">
        <f t="shared" si="135"/>
        <v>277643.58270949998</v>
      </c>
    </row>
    <row r="417" spans="1:136" ht="76.5" x14ac:dyDescent="0.25">
      <c r="A417" s="25">
        <f>Distribución_Elementos!A417</f>
        <v>415</v>
      </c>
      <c r="B417" s="22" t="str">
        <f>Distribución_Elementos!B417</f>
        <v>Probeta de vidrio con base hexagonal de Vidrio clase A. de 250 ml. Borosilicato 3.3 DIN en ISO 4788, impresión en cerámica, que cumpla con las normas DIN12 600 Control y garantía de calidad NCA menor o igual a 0,4 y certificación del fabricante que resiste temperaturas hasta de 250°C sin perder la volumetria.</v>
      </c>
      <c r="C417" s="22" t="str">
        <f>Distribución_Elementos!C417</f>
        <v>Pyrex , Corning, Kymax, Brand, Duran, Schott o equvalente</v>
      </c>
      <c r="D417" s="22" t="str">
        <f>Distribución_Elementos!D417</f>
        <v>Unidad</v>
      </c>
      <c r="E417" s="224">
        <v>1</v>
      </c>
      <c r="F417" s="221">
        <v>0</v>
      </c>
      <c r="G417" s="221">
        <v>0</v>
      </c>
      <c r="H417" s="221">
        <v>0</v>
      </c>
      <c r="I417" s="221">
        <v>0</v>
      </c>
      <c r="J417" s="221">
        <v>0</v>
      </c>
      <c r="K417" s="221">
        <v>0</v>
      </c>
      <c r="L417" s="247"/>
      <c r="M417" s="247"/>
      <c r="N417" s="227">
        <v>68000</v>
      </c>
      <c r="O417" s="119">
        <f t="shared" si="146"/>
        <v>12920</v>
      </c>
      <c r="P417" s="119">
        <f t="shared" si="147"/>
        <v>80920</v>
      </c>
      <c r="Q417" s="115"/>
      <c r="R417" s="115"/>
      <c r="S417" s="11"/>
      <c r="T417" s="247">
        <v>38500</v>
      </c>
      <c r="U417" s="247">
        <f t="shared" si="148"/>
        <v>7315</v>
      </c>
      <c r="V417" s="247">
        <f t="shared" si="152"/>
        <v>45815</v>
      </c>
      <c r="W417" s="17" t="s">
        <v>140</v>
      </c>
      <c r="X417" s="11" t="s">
        <v>1521</v>
      </c>
      <c r="Y417" s="11"/>
      <c r="Z417" s="247"/>
      <c r="AA417" s="247"/>
      <c r="AB417" s="247"/>
      <c r="AC417" s="5"/>
      <c r="AD417" s="22"/>
      <c r="AE417" s="17"/>
      <c r="AF417" s="247"/>
      <c r="AG417" s="247"/>
      <c r="AH417" s="149"/>
      <c r="AI417" s="4"/>
      <c r="AJ417" s="17"/>
      <c r="AK417" s="17"/>
      <c r="AL417" s="102"/>
      <c r="AM417" s="132"/>
      <c r="AN417" s="161"/>
      <c r="AO417" s="115"/>
      <c r="AP417" s="115"/>
      <c r="AQ417" s="17"/>
      <c r="AR417" s="247"/>
      <c r="AS417" s="247"/>
      <c r="AT417" s="247"/>
      <c r="AU417" s="17"/>
      <c r="AV417" s="17"/>
      <c r="AW417" s="17"/>
      <c r="AX417" s="247"/>
      <c r="AY417" s="247"/>
      <c r="AZ417" s="247"/>
      <c r="BA417" s="17"/>
      <c r="BB417" s="52"/>
      <c r="BC417" s="17"/>
      <c r="BD417" s="247"/>
      <c r="BE417" s="247"/>
      <c r="BF417" s="247"/>
      <c r="BG417" s="17"/>
      <c r="BH417" s="17"/>
      <c r="BI417" s="17"/>
      <c r="BJ417" s="247">
        <v>129200</v>
      </c>
      <c r="BK417" s="247">
        <f t="shared" si="133"/>
        <v>24548</v>
      </c>
      <c r="BL417" s="247">
        <f t="shared" si="134"/>
        <v>153748</v>
      </c>
      <c r="BM417" s="190" t="s">
        <v>375</v>
      </c>
      <c r="BN417" s="190" t="s">
        <v>1565</v>
      </c>
      <c r="BO417" s="17"/>
      <c r="BP417" s="247"/>
      <c r="BQ417" s="247"/>
      <c r="BR417" s="247"/>
      <c r="BS417" s="17"/>
      <c r="BT417" s="17"/>
      <c r="BU417" s="17"/>
      <c r="BV417" s="195">
        <v>145292.3768</v>
      </c>
      <c r="BW417" s="195">
        <f t="shared" si="150"/>
        <v>27605.551592</v>
      </c>
      <c r="BX417" s="246">
        <f t="shared" si="151"/>
        <v>172897.928392</v>
      </c>
      <c r="BY417" s="190" t="s">
        <v>375</v>
      </c>
      <c r="BZ417" s="190" t="s">
        <v>1565</v>
      </c>
      <c r="CA417" s="190"/>
      <c r="CB417" s="247"/>
      <c r="CC417" s="247"/>
      <c r="CD417" s="247"/>
      <c r="CE417" s="17"/>
      <c r="CF417" s="17"/>
      <c r="CG417" s="17"/>
      <c r="CH417" s="247"/>
      <c r="CI417" s="247"/>
      <c r="CJ417" s="247"/>
      <c r="CK417" s="17"/>
      <c r="CL417" s="17"/>
      <c r="CM417" s="17"/>
      <c r="CN417" s="17"/>
      <c r="CO417" s="17"/>
      <c r="CP417" s="11"/>
      <c r="CQ417" s="11"/>
      <c r="CR417" s="11"/>
      <c r="CS417" s="11"/>
      <c r="CT417" s="247"/>
      <c r="CU417" s="247"/>
      <c r="CV417" s="247"/>
      <c r="CW417" s="11"/>
      <c r="CX417" s="11"/>
      <c r="CY417" s="11"/>
      <c r="CZ417" s="11"/>
      <c r="DA417" s="11"/>
      <c r="DB417" s="11"/>
      <c r="DC417" s="11"/>
      <c r="DD417" s="11"/>
      <c r="DE417" s="11"/>
      <c r="DF417" s="11"/>
      <c r="DG417" s="11"/>
      <c r="DH417" s="11"/>
      <c r="DI417" s="11"/>
      <c r="DJ417" s="11"/>
      <c r="DK417" s="11"/>
      <c r="DL417" s="247"/>
      <c r="DM417" s="247"/>
      <c r="DN417" s="247"/>
      <c r="DO417" s="247"/>
      <c r="DP417" s="247"/>
      <c r="DQ417" s="247"/>
      <c r="DR417" s="247"/>
      <c r="DS417" s="247"/>
      <c r="DT417" s="247"/>
      <c r="DU417" s="247"/>
      <c r="DV417" s="247"/>
      <c r="DW417" s="247"/>
      <c r="DX417" s="247"/>
      <c r="DY417" s="247"/>
      <c r="DZ417" s="247"/>
      <c r="EA417" s="247"/>
      <c r="EB417" s="247"/>
      <c r="EC417" s="247"/>
      <c r="ED417" s="17">
        <f t="shared" si="137"/>
        <v>453380.92839200003</v>
      </c>
      <c r="EE417" s="29">
        <f t="shared" si="138"/>
        <v>4</v>
      </c>
      <c r="EF417" s="17">
        <f t="shared" si="135"/>
        <v>113345.23209800001</v>
      </c>
    </row>
    <row r="418" spans="1:136" ht="76.5" x14ac:dyDescent="0.25">
      <c r="A418" s="25">
        <f>Distribución_Elementos!A418</f>
        <v>416</v>
      </c>
      <c r="B418" s="22" t="str">
        <f>Distribución_Elementos!B418</f>
        <v>Probeta de vidrio con base hexagonal de Vidrio clase A. de 500 ml. Borosilicato 3.3 DIN en ISO 4788, impresión en cerámica, que cumpla con las normas DIN12 600 Control y garantía de calidad NCA menor o igual a 0,4 y certificación del fabricante que resiste temperaturas hasta de 250°C sin perder la volumetria.</v>
      </c>
      <c r="C418" s="22" t="str">
        <f>Distribución_Elementos!C418</f>
        <v>Pyrex , Corning, Kymax, Brand, Duran, Schott o equvalente</v>
      </c>
      <c r="D418" s="22" t="str">
        <f>Distribución_Elementos!D418</f>
        <v>Unidad</v>
      </c>
      <c r="E418" s="224">
        <v>1</v>
      </c>
      <c r="F418" s="221">
        <v>0</v>
      </c>
      <c r="G418" s="221">
        <v>0</v>
      </c>
      <c r="H418" s="221">
        <v>0</v>
      </c>
      <c r="I418" s="221">
        <v>0</v>
      </c>
      <c r="J418" s="221">
        <v>0</v>
      </c>
      <c r="K418" s="221">
        <v>0</v>
      </c>
      <c r="L418" s="247"/>
      <c r="M418" s="247"/>
      <c r="N418" s="227">
        <v>100000</v>
      </c>
      <c r="O418" s="119">
        <f t="shared" si="146"/>
        <v>19000</v>
      </c>
      <c r="P418" s="119">
        <f t="shared" si="147"/>
        <v>119000</v>
      </c>
      <c r="Q418" s="115"/>
      <c r="R418" s="115"/>
      <c r="S418" s="11"/>
      <c r="T418" s="247">
        <v>67100</v>
      </c>
      <c r="U418" s="247">
        <f t="shared" si="148"/>
        <v>12749</v>
      </c>
      <c r="V418" s="247">
        <f t="shared" si="152"/>
        <v>79849</v>
      </c>
      <c r="W418" s="17" t="s">
        <v>140</v>
      </c>
      <c r="X418" s="11" t="s">
        <v>1521</v>
      </c>
      <c r="Y418" s="11"/>
      <c r="Z418" s="247"/>
      <c r="AA418" s="247"/>
      <c r="AB418" s="247"/>
      <c r="AC418" s="44"/>
      <c r="AD418" s="22"/>
      <c r="AE418" s="17"/>
      <c r="AF418" s="247"/>
      <c r="AG418" s="247"/>
      <c r="AH418" s="97"/>
      <c r="AI418" s="4"/>
      <c r="AJ418" s="17"/>
      <c r="AK418" s="17"/>
      <c r="AL418" s="102"/>
      <c r="AM418" s="132"/>
      <c r="AN418" s="161"/>
      <c r="AO418" s="115"/>
      <c r="AP418" s="115"/>
      <c r="AQ418" s="17"/>
      <c r="AR418" s="247"/>
      <c r="AS418" s="247"/>
      <c r="AT418" s="247"/>
      <c r="AU418" s="17"/>
      <c r="AV418" s="17"/>
      <c r="AW418" s="17"/>
      <c r="AX418" s="247"/>
      <c r="AY418" s="247"/>
      <c r="AZ418" s="247"/>
      <c r="BA418" s="17"/>
      <c r="BB418" s="52"/>
      <c r="BC418" s="17"/>
      <c r="BD418" s="247"/>
      <c r="BE418" s="247"/>
      <c r="BF418" s="247"/>
      <c r="BG418" s="17"/>
      <c r="BH418" s="17"/>
      <c r="BI418" s="17"/>
      <c r="BJ418" s="247">
        <v>219600</v>
      </c>
      <c r="BK418" s="247">
        <f t="shared" si="133"/>
        <v>41724</v>
      </c>
      <c r="BL418" s="247">
        <f t="shared" si="134"/>
        <v>261324</v>
      </c>
      <c r="BM418" s="190" t="s">
        <v>375</v>
      </c>
      <c r="BN418" s="190" t="s">
        <v>1565</v>
      </c>
      <c r="BO418" s="17"/>
      <c r="BP418" s="247"/>
      <c r="BQ418" s="247"/>
      <c r="BR418" s="247"/>
      <c r="BS418" s="17"/>
      <c r="BT418" s="17"/>
      <c r="BU418" s="17"/>
      <c r="BV418" s="195">
        <v>239895.432</v>
      </c>
      <c r="BW418" s="195">
        <f t="shared" si="150"/>
        <v>45580.132080000003</v>
      </c>
      <c r="BX418" s="246">
        <f t="shared" si="151"/>
        <v>285475.56407999998</v>
      </c>
      <c r="BY418" s="190" t="s">
        <v>375</v>
      </c>
      <c r="BZ418" s="190" t="s">
        <v>1565</v>
      </c>
      <c r="CA418" s="190"/>
      <c r="CB418" s="247"/>
      <c r="CC418" s="247"/>
      <c r="CD418" s="247"/>
      <c r="CE418" s="17"/>
      <c r="CF418" s="17"/>
      <c r="CG418" s="17"/>
      <c r="CH418" s="247"/>
      <c r="CI418" s="247"/>
      <c r="CJ418" s="247"/>
      <c r="CK418" s="17"/>
      <c r="CL418" s="17"/>
      <c r="CM418" s="17"/>
      <c r="CN418" s="17"/>
      <c r="CO418" s="17"/>
      <c r="CP418" s="11"/>
      <c r="CQ418" s="11"/>
      <c r="CR418" s="11"/>
      <c r="CS418" s="11"/>
      <c r="CT418" s="247"/>
      <c r="CU418" s="247"/>
      <c r="CV418" s="247"/>
      <c r="CW418" s="11"/>
      <c r="CX418" s="11"/>
      <c r="CY418" s="11"/>
      <c r="CZ418" s="11"/>
      <c r="DA418" s="11"/>
      <c r="DB418" s="11"/>
      <c r="DC418" s="11"/>
      <c r="DD418" s="11"/>
      <c r="DE418" s="11"/>
      <c r="DF418" s="11"/>
      <c r="DG418" s="11"/>
      <c r="DH418" s="11"/>
      <c r="DI418" s="11"/>
      <c r="DJ418" s="11"/>
      <c r="DK418" s="11"/>
      <c r="DL418" s="247"/>
      <c r="DM418" s="247"/>
      <c r="DN418" s="247"/>
      <c r="DO418" s="247"/>
      <c r="DP418" s="247"/>
      <c r="DQ418" s="247"/>
      <c r="DR418" s="247"/>
      <c r="DS418" s="247"/>
      <c r="DT418" s="247"/>
      <c r="DU418" s="247"/>
      <c r="DV418" s="247"/>
      <c r="DW418" s="247"/>
      <c r="DX418" s="247"/>
      <c r="DY418" s="247"/>
      <c r="DZ418" s="247"/>
      <c r="EA418" s="247"/>
      <c r="EB418" s="247"/>
      <c r="EC418" s="247"/>
      <c r="ED418" s="17">
        <f t="shared" si="137"/>
        <v>745648.56407999992</v>
      </c>
      <c r="EE418" s="29">
        <f t="shared" si="138"/>
        <v>4</v>
      </c>
      <c r="EF418" s="17">
        <f t="shared" si="135"/>
        <v>186412.14101999998</v>
      </c>
    </row>
    <row r="419" spans="1:136" ht="25.5" x14ac:dyDescent="0.25">
      <c r="A419" s="25">
        <f>Distribución_Elementos!A419</f>
        <v>417</v>
      </c>
      <c r="B419" s="22" t="str">
        <f>Distribución_Elementos!B419</f>
        <v>Probeta Plástica graduada 10 mL</v>
      </c>
      <c r="C419" s="22" t="str">
        <f>Distribución_Elementos!C419</f>
        <v>Marca: Nalgene / Brixco o equivalente</v>
      </c>
      <c r="D419" s="22" t="str">
        <f>Distribución_Elementos!D419</f>
        <v>Unidad</v>
      </c>
      <c r="E419" s="224">
        <v>1</v>
      </c>
      <c r="F419" s="221">
        <v>0</v>
      </c>
      <c r="G419" s="221">
        <v>0</v>
      </c>
      <c r="H419" s="221">
        <v>13310.599607458293</v>
      </c>
      <c r="I419" s="221">
        <v>10115</v>
      </c>
      <c r="J419" s="221">
        <v>99051.038333333345</v>
      </c>
      <c r="K419" s="221">
        <v>98770</v>
      </c>
      <c r="L419" s="247">
        <f>AVERAGE(H419,J419)</f>
        <v>56180.81897039582</v>
      </c>
      <c r="M419" s="247">
        <f>AVERAGE(I419,K419)*E1</f>
        <v>56075.775000000001</v>
      </c>
      <c r="N419" s="227">
        <v>12500</v>
      </c>
      <c r="O419" s="119">
        <f t="shared" si="146"/>
        <v>2375</v>
      </c>
      <c r="P419" s="119">
        <f t="shared" si="147"/>
        <v>14875</v>
      </c>
      <c r="Q419" s="115"/>
      <c r="R419" s="115"/>
      <c r="S419" s="11"/>
      <c r="T419" s="247">
        <v>9460</v>
      </c>
      <c r="U419" s="247">
        <f>+T419*0.19</f>
        <v>1797.4</v>
      </c>
      <c r="V419" s="247">
        <f t="shared" si="152"/>
        <v>11257.4</v>
      </c>
      <c r="W419" s="17" t="s">
        <v>140</v>
      </c>
      <c r="X419" s="11" t="s">
        <v>1517</v>
      </c>
      <c r="Y419" s="11"/>
      <c r="Z419" s="247"/>
      <c r="AA419" s="247"/>
      <c r="AB419" s="247"/>
      <c r="AC419" s="44"/>
      <c r="AD419" s="22"/>
      <c r="AE419" s="17"/>
      <c r="AF419" s="247"/>
      <c r="AG419" s="247"/>
      <c r="AH419" s="151"/>
      <c r="AI419" s="4"/>
      <c r="AJ419" s="17"/>
      <c r="AK419" s="17"/>
      <c r="AL419" s="102"/>
      <c r="AM419" s="132"/>
      <c r="AN419" s="161"/>
      <c r="AO419" s="115"/>
      <c r="AP419" s="115"/>
      <c r="AQ419" s="17"/>
      <c r="AR419" s="247"/>
      <c r="AS419" s="247"/>
      <c r="AT419" s="247"/>
      <c r="AU419" s="17"/>
      <c r="AV419" s="17"/>
      <c r="AW419" s="17"/>
      <c r="AX419" s="247"/>
      <c r="AY419" s="247"/>
      <c r="AZ419" s="247"/>
      <c r="BA419" s="17"/>
      <c r="BB419" s="52"/>
      <c r="BC419" s="17"/>
      <c r="BD419" s="247"/>
      <c r="BE419" s="247"/>
      <c r="BF419" s="247"/>
      <c r="BG419" s="17"/>
      <c r="BH419" s="17"/>
      <c r="BI419" s="17"/>
      <c r="BJ419" s="247">
        <v>15300</v>
      </c>
      <c r="BK419" s="247">
        <f t="shared" si="133"/>
        <v>2907</v>
      </c>
      <c r="BL419" s="247">
        <f t="shared" si="134"/>
        <v>18207</v>
      </c>
      <c r="BM419" s="190" t="s">
        <v>375</v>
      </c>
      <c r="BN419" s="190" t="s">
        <v>1565</v>
      </c>
      <c r="BO419" s="17"/>
      <c r="BP419" s="247"/>
      <c r="BQ419" s="247"/>
      <c r="BR419" s="247"/>
      <c r="BS419" s="17"/>
      <c r="BT419" s="17"/>
      <c r="BU419" s="17"/>
      <c r="BV419" s="195">
        <v>17685.958500000001</v>
      </c>
      <c r="BW419" s="195">
        <f t="shared" si="150"/>
        <v>3360.3321150000002</v>
      </c>
      <c r="BX419" s="246">
        <f t="shared" si="151"/>
        <v>21046.290615000002</v>
      </c>
      <c r="BY419" s="190" t="s">
        <v>375</v>
      </c>
      <c r="BZ419" s="190" t="s">
        <v>1565</v>
      </c>
      <c r="CA419" s="190"/>
      <c r="CB419" s="247"/>
      <c r="CC419" s="247"/>
      <c r="CD419" s="247"/>
      <c r="CE419" s="17"/>
      <c r="CF419" s="17"/>
      <c r="CG419" s="17"/>
      <c r="CH419" s="247"/>
      <c r="CI419" s="247"/>
      <c r="CJ419" s="247"/>
      <c r="CK419" s="17"/>
      <c r="CL419" s="17"/>
      <c r="CM419" s="17"/>
      <c r="CN419" s="17"/>
      <c r="CO419" s="17"/>
      <c r="CP419" s="11"/>
      <c r="CQ419" s="11"/>
      <c r="CR419" s="11"/>
      <c r="CS419" s="11"/>
      <c r="CT419" s="247"/>
      <c r="CU419" s="247"/>
      <c r="CV419" s="247"/>
      <c r="CW419" s="11"/>
      <c r="CX419" s="11"/>
      <c r="CY419" s="11"/>
      <c r="CZ419" s="11"/>
      <c r="DA419" s="11"/>
      <c r="DB419" s="11"/>
      <c r="DC419" s="11"/>
      <c r="DD419" s="11"/>
      <c r="DE419" s="11"/>
      <c r="DF419" s="11"/>
      <c r="DG419" s="11"/>
      <c r="DH419" s="11"/>
      <c r="DI419" s="11"/>
      <c r="DJ419" s="11"/>
      <c r="DK419" s="11"/>
      <c r="DL419" s="247"/>
      <c r="DM419" s="247"/>
      <c r="DN419" s="247"/>
      <c r="DO419" s="247"/>
      <c r="DP419" s="247"/>
      <c r="DQ419" s="247"/>
      <c r="DR419" s="247"/>
      <c r="DS419" s="247"/>
      <c r="DT419" s="247"/>
      <c r="DU419" s="247"/>
      <c r="DV419" s="247"/>
      <c r="DW419" s="247"/>
      <c r="DX419" s="247"/>
      <c r="DY419" s="247"/>
      <c r="DZ419" s="247"/>
      <c r="EA419" s="247"/>
      <c r="EB419" s="247"/>
      <c r="EC419" s="247"/>
      <c r="ED419" s="17">
        <f t="shared" si="137"/>
        <v>121461.46561499999</v>
      </c>
      <c r="EE419" s="29">
        <f t="shared" si="138"/>
        <v>5</v>
      </c>
      <c r="EF419" s="17">
        <f t="shared" si="135"/>
        <v>24292.293122999999</v>
      </c>
    </row>
    <row r="420" spans="1:136" ht="25.5" x14ac:dyDescent="0.25">
      <c r="A420" s="25">
        <f>Distribución_Elementos!A420</f>
        <v>418</v>
      </c>
      <c r="B420" s="22" t="str">
        <f>Distribución_Elementos!B420</f>
        <v>Probeta Plástica graduada 25 mL</v>
      </c>
      <c r="C420" s="22" t="str">
        <f>Distribución_Elementos!C420</f>
        <v>Marca: Nalgene / Brixco  o equivalente</v>
      </c>
      <c r="D420" s="22" t="str">
        <f>Distribución_Elementos!D420</f>
        <v>Unidad</v>
      </c>
      <c r="E420" s="224">
        <v>1</v>
      </c>
      <c r="F420" s="221">
        <v>0</v>
      </c>
      <c r="G420" s="221">
        <v>0</v>
      </c>
      <c r="H420" s="221">
        <v>12344.66372260386</v>
      </c>
      <c r="I420" s="221">
        <v>11424</v>
      </c>
      <c r="J420" s="221">
        <v>0</v>
      </c>
      <c r="K420" s="221">
        <v>0</v>
      </c>
      <c r="L420" s="247">
        <f>H420</f>
        <v>12344.66372260386</v>
      </c>
      <c r="M420" s="247">
        <f>I420*E1</f>
        <v>11766.720000000001</v>
      </c>
      <c r="N420" s="227">
        <v>12500</v>
      </c>
      <c r="O420" s="119">
        <f t="shared" si="146"/>
        <v>2375</v>
      </c>
      <c r="P420" s="119">
        <f t="shared" si="147"/>
        <v>14875</v>
      </c>
      <c r="Q420" s="115"/>
      <c r="R420" s="115"/>
      <c r="S420" s="11"/>
      <c r="T420" s="247">
        <v>10230</v>
      </c>
      <c r="U420" s="247">
        <f>+T420*0.19</f>
        <v>1943.7</v>
      </c>
      <c r="V420" s="247">
        <f t="shared" si="152"/>
        <v>12173.7</v>
      </c>
      <c r="W420" s="17" t="s">
        <v>140</v>
      </c>
      <c r="X420" s="11" t="s">
        <v>1517</v>
      </c>
      <c r="Y420" s="11"/>
      <c r="Z420" s="247"/>
      <c r="AA420" s="247"/>
      <c r="AB420" s="247"/>
      <c r="AC420" s="5"/>
      <c r="AD420" s="22"/>
      <c r="AE420" s="17"/>
      <c r="AF420" s="247"/>
      <c r="AG420" s="247"/>
      <c r="AH420" s="149"/>
      <c r="AI420" s="4"/>
      <c r="AJ420" s="17"/>
      <c r="AK420" s="17"/>
      <c r="AL420" s="102"/>
      <c r="AM420" s="132"/>
      <c r="AN420" s="132"/>
      <c r="AO420" s="115"/>
      <c r="AP420" s="115"/>
      <c r="AQ420" s="17"/>
      <c r="AR420" s="247"/>
      <c r="AS420" s="247"/>
      <c r="AT420" s="247"/>
      <c r="AU420" s="17"/>
      <c r="AV420" s="17"/>
      <c r="AW420" s="17"/>
      <c r="AX420" s="247"/>
      <c r="AY420" s="247"/>
      <c r="AZ420" s="247"/>
      <c r="BA420" s="17"/>
      <c r="BB420" s="52"/>
      <c r="BC420" s="17"/>
      <c r="BD420" s="247"/>
      <c r="BE420" s="247"/>
      <c r="BF420" s="247"/>
      <c r="BG420" s="17"/>
      <c r="BH420" s="17"/>
      <c r="BI420" s="17"/>
      <c r="BJ420" s="247">
        <v>18500</v>
      </c>
      <c r="BK420" s="247">
        <f t="shared" si="133"/>
        <v>3515</v>
      </c>
      <c r="BL420" s="247">
        <f t="shared" si="134"/>
        <v>22015</v>
      </c>
      <c r="BM420" s="190" t="s">
        <v>375</v>
      </c>
      <c r="BN420" s="190" t="s">
        <v>1565</v>
      </c>
      <c r="BO420" s="17"/>
      <c r="BP420" s="247"/>
      <c r="BQ420" s="247"/>
      <c r="BR420" s="247"/>
      <c r="BS420" s="17"/>
      <c r="BT420" s="17"/>
      <c r="BU420" s="17"/>
      <c r="BV420" s="195">
        <v>20796.627000000004</v>
      </c>
      <c r="BW420" s="195">
        <f t="shared" si="150"/>
        <v>3951.3591300000007</v>
      </c>
      <c r="BX420" s="246">
        <f t="shared" si="151"/>
        <v>24747.986130000005</v>
      </c>
      <c r="BY420" s="190" t="s">
        <v>375</v>
      </c>
      <c r="BZ420" s="190" t="s">
        <v>1565</v>
      </c>
      <c r="CA420" s="190"/>
      <c r="CB420" s="247"/>
      <c r="CC420" s="247"/>
      <c r="CD420" s="247"/>
      <c r="CE420" s="17"/>
      <c r="CF420" s="17"/>
      <c r="CG420" s="17"/>
      <c r="CH420" s="247"/>
      <c r="CI420" s="247"/>
      <c r="CJ420" s="247"/>
      <c r="CK420" s="17"/>
      <c r="CL420" s="17"/>
      <c r="CM420" s="17"/>
      <c r="CN420" s="17"/>
      <c r="CO420" s="17"/>
      <c r="CP420" s="11"/>
      <c r="CQ420" s="11"/>
      <c r="CR420" s="11"/>
      <c r="CS420" s="11"/>
      <c r="CT420" s="247"/>
      <c r="CU420" s="247"/>
      <c r="CV420" s="247"/>
      <c r="CW420" s="11"/>
      <c r="CX420" s="11"/>
      <c r="CY420" s="11"/>
      <c r="CZ420" s="11"/>
      <c r="DA420" s="11"/>
      <c r="DB420" s="11"/>
      <c r="DC420" s="11"/>
      <c r="DD420" s="11"/>
      <c r="DE420" s="11"/>
      <c r="DF420" s="11"/>
      <c r="DG420" s="11"/>
      <c r="DH420" s="11"/>
      <c r="DI420" s="11"/>
      <c r="DJ420" s="11"/>
      <c r="DK420" s="11"/>
      <c r="DL420" s="247"/>
      <c r="DM420" s="247"/>
      <c r="DN420" s="247"/>
      <c r="DO420" s="247"/>
      <c r="DP420" s="247"/>
      <c r="DQ420" s="247"/>
      <c r="DR420" s="247"/>
      <c r="DS420" s="247"/>
      <c r="DT420" s="247"/>
      <c r="DU420" s="247"/>
      <c r="DV420" s="247"/>
      <c r="DW420" s="247"/>
      <c r="DX420" s="247"/>
      <c r="DY420" s="247"/>
      <c r="DZ420" s="247"/>
      <c r="EA420" s="247"/>
      <c r="EB420" s="247"/>
      <c r="EC420" s="247"/>
      <c r="ED420" s="17">
        <f t="shared" si="137"/>
        <v>85578.406130000003</v>
      </c>
      <c r="EE420" s="29">
        <f t="shared" si="138"/>
        <v>5</v>
      </c>
      <c r="EF420" s="17">
        <f t="shared" si="135"/>
        <v>17115.681226000001</v>
      </c>
    </row>
    <row r="421" spans="1:136" ht="25.5" x14ac:dyDescent="0.25">
      <c r="A421" s="25">
        <f>Distribución_Elementos!A421</f>
        <v>419</v>
      </c>
      <c r="B421" s="22" t="str">
        <f>Distribución_Elementos!B421</f>
        <v>Probeta Plástica graduada 50 mL</v>
      </c>
      <c r="C421" s="22" t="str">
        <f>Distribución_Elementos!C421</f>
        <v>Marca: Nalgene / Brixco o equivalente</v>
      </c>
      <c r="D421" s="22" t="str">
        <f>Distribución_Elementos!D421</f>
        <v>Unidad</v>
      </c>
      <c r="E421" s="224">
        <v>1</v>
      </c>
      <c r="F421" s="221">
        <v>0</v>
      </c>
      <c r="G421" s="221">
        <v>0</v>
      </c>
      <c r="H421" s="221">
        <v>13887.226038599934</v>
      </c>
      <c r="I421" s="221">
        <v>12138</v>
      </c>
      <c r="J421" s="221">
        <v>138146.505</v>
      </c>
      <c r="K421" s="221">
        <v>17969</v>
      </c>
      <c r="L421" s="247">
        <f>AVERAGE(H421,J421)</f>
        <v>76016.865519299972</v>
      </c>
      <c r="M421" s="247">
        <f>AVERAGE(I421,K421)*E1</f>
        <v>15505.105</v>
      </c>
      <c r="N421" s="227"/>
      <c r="O421" s="121"/>
      <c r="P421" s="119"/>
      <c r="Q421" s="115"/>
      <c r="R421" s="115"/>
      <c r="S421" s="11"/>
      <c r="T421" s="247">
        <v>10450</v>
      </c>
      <c r="U421" s="247">
        <f>+T421*0.19</f>
        <v>1985.5</v>
      </c>
      <c r="V421" s="247">
        <f t="shared" si="152"/>
        <v>12435.5</v>
      </c>
      <c r="W421" s="17" t="s">
        <v>140</v>
      </c>
      <c r="X421" s="11" t="s">
        <v>1517</v>
      </c>
      <c r="Y421" s="11"/>
      <c r="Z421" s="247"/>
      <c r="AA421" s="247"/>
      <c r="AB421" s="247"/>
      <c r="AC421" s="5"/>
      <c r="AD421" s="22"/>
      <c r="AE421" s="17"/>
      <c r="AF421" s="247"/>
      <c r="AG421" s="247"/>
      <c r="AH421" s="149"/>
      <c r="AI421" s="4"/>
      <c r="AJ421" s="17"/>
      <c r="AK421" s="17"/>
      <c r="AL421" s="102"/>
      <c r="AM421" s="132"/>
      <c r="AN421" s="132"/>
      <c r="AO421" s="115"/>
      <c r="AP421" s="115"/>
      <c r="AQ421" s="17"/>
      <c r="AR421" s="247"/>
      <c r="AS421" s="247"/>
      <c r="AT421" s="247"/>
      <c r="AU421" s="17"/>
      <c r="AV421" s="17"/>
      <c r="AW421" s="17"/>
      <c r="AX421" s="247"/>
      <c r="AY421" s="247"/>
      <c r="AZ421" s="247"/>
      <c r="BA421" s="17"/>
      <c r="BB421" s="52"/>
      <c r="BC421" s="17"/>
      <c r="BD421" s="247"/>
      <c r="BE421" s="247"/>
      <c r="BF421" s="247"/>
      <c r="BG421" s="17"/>
      <c r="BH421" s="17"/>
      <c r="BI421" s="17"/>
      <c r="BJ421" s="247">
        <v>20500</v>
      </c>
      <c r="BK421" s="247">
        <f t="shared" si="133"/>
        <v>3895</v>
      </c>
      <c r="BL421" s="247">
        <f t="shared" si="134"/>
        <v>24395</v>
      </c>
      <c r="BM421" s="190" t="s">
        <v>375</v>
      </c>
      <c r="BN421" s="190" t="s">
        <v>1565</v>
      </c>
      <c r="BO421" s="17"/>
      <c r="BP421" s="247"/>
      <c r="BQ421" s="247"/>
      <c r="BR421" s="247"/>
      <c r="BS421" s="17"/>
      <c r="BT421" s="17"/>
      <c r="BU421" s="17"/>
      <c r="BV421" s="195">
        <v>23040.524000000001</v>
      </c>
      <c r="BW421" s="195">
        <f t="shared" si="150"/>
        <v>4377.69956</v>
      </c>
      <c r="BX421" s="246">
        <f t="shared" si="151"/>
        <v>27418.223560000002</v>
      </c>
      <c r="BY421" s="190" t="s">
        <v>375</v>
      </c>
      <c r="BZ421" s="190" t="s">
        <v>1565</v>
      </c>
      <c r="CA421" s="190"/>
      <c r="CB421" s="247"/>
      <c r="CC421" s="247"/>
      <c r="CD421" s="247"/>
      <c r="CE421" s="17"/>
      <c r="CF421" s="17"/>
      <c r="CG421" s="17"/>
      <c r="CH421" s="247"/>
      <c r="CI421" s="247"/>
      <c r="CJ421" s="247"/>
      <c r="CK421" s="17"/>
      <c r="CL421" s="17"/>
      <c r="CM421" s="17"/>
      <c r="CN421" s="17"/>
      <c r="CO421" s="17"/>
      <c r="CP421" s="11"/>
      <c r="CQ421" s="11"/>
      <c r="CR421" s="11"/>
      <c r="CS421" s="11"/>
      <c r="CT421" s="247"/>
      <c r="CU421" s="247"/>
      <c r="CV421" s="247"/>
      <c r="CW421" s="11"/>
      <c r="CX421" s="11"/>
      <c r="CY421" s="11"/>
      <c r="CZ421" s="11"/>
      <c r="DA421" s="11"/>
      <c r="DB421" s="11"/>
      <c r="DC421" s="11"/>
      <c r="DD421" s="11"/>
      <c r="DE421" s="11"/>
      <c r="DF421" s="11"/>
      <c r="DG421" s="11"/>
      <c r="DH421" s="11"/>
      <c r="DI421" s="11"/>
      <c r="DJ421" s="11"/>
      <c r="DK421" s="11"/>
      <c r="DL421" s="247"/>
      <c r="DM421" s="247"/>
      <c r="DN421" s="247"/>
      <c r="DO421" s="247"/>
      <c r="DP421" s="247"/>
      <c r="DQ421" s="247"/>
      <c r="DR421" s="247"/>
      <c r="DS421" s="247"/>
      <c r="DT421" s="247"/>
      <c r="DU421" s="247"/>
      <c r="DV421" s="247"/>
      <c r="DW421" s="247"/>
      <c r="DX421" s="247"/>
      <c r="DY421" s="247"/>
      <c r="DZ421" s="247"/>
      <c r="EA421" s="247"/>
      <c r="EB421" s="247"/>
      <c r="EC421" s="247"/>
      <c r="ED421" s="17">
        <f t="shared" si="137"/>
        <v>79753.828559999994</v>
      </c>
      <c r="EE421" s="29">
        <f t="shared" si="138"/>
        <v>4</v>
      </c>
      <c r="EF421" s="17">
        <f t="shared" si="135"/>
        <v>19938.457139999999</v>
      </c>
    </row>
    <row r="422" spans="1:136" x14ac:dyDescent="0.25">
      <c r="A422" s="25">
        <f>Distribución_Elementos!A422</f>
        <v>420</v>
      </c>
      <c r="B422" s="22" t="str">
        <f>Distribución_Elementos!B422</f>
        <v xml:space="preserve">Protector Auditivo Tipo Copa Samurai Steelpro NRR 23 dB </v>
      </c>
      <c r="C422" s="22" t="str">
        <f>Distribución_Elementos!C422</f>
        <v>Steelpro NRR 23 dB </v>
      </c>
      <c r="D422" s="22" t="str">
        <f>Distribución_Elementos!D422</f>
        <v>Unidad</v>
      </c>
      <c r="E422" s="224">
        <v>1</v>
      </c>
      <c r="F422" s="221">
        <v>112990.5</v>
      </c>
      <c r="G422" s="221">
        <v>107338</v>
      </c>
      <c r="H422" s="221">
        <v>157791.56446666666</v>
      </c>
      <c r="I422" s="221">
        <v>0</v>
      </c>
      <c r="J422" s="221">
        <v>98002.450000000012</v>
      </c>
      <c r="K422" s="221">
        <v>68187</v>
      </c>
      <c r="L422" s="247">
        <f>AVERAGE(F422,H422,J422)</f>
        <v>122928.1714888889</v>
      </c>
      <c r="M422" s="247">
        <f>AVERAGE(G422,K422)*E1</f>
        <v>90395.375</v>
      </c>
      <c r="N422" s="227"/>
      <c r="O422" s="121"/>
      <c r="P422" s="119"/>
      <c r="Q422" s="115"/>
      <c r="R422" s="115"/>
      <c r="S422" s="11"/>
      <c r="T422" s="247"/>
      <c r="U422" s="247"/>
      <c r="V422" s="247"/>
      <c r="W422" s="17"/>
      <c r="X422" s="11"/>
      <c r="Y422" s="11"/>
      <c r="Z422" s="247"/>
      <c r="AA422" s="247"/>
      <c r="AB422" s="247"/>
      <c r="AC422" s="44"/>
      <c r="AD422" s="22"/>
      <c r="AE422" s="17"/>
      <c r="AF422" s="247"/>
      <c r="AG422" s="247"/>
      <c r="AH422" s="151"/>
      <c r="AI422" s="4"/>
      <c r="AJ422" s="17"/>
      <c r="AK422" s="17"/>
      <c r="AL422" s="102"/>
      <c r="AM422" s="132"/>
      <c r="AN422" s="161"/>
      <c r="AO422" s="115"/>
      <c r="AP422" s="115"/>
      <c r="AQ422" s="17"/>
      <c r="AR422" s="247"/>
      <c r="AS422" s="247"/>
      <c r="AT422" s="247"/>
      <c r="AU422" s="17"/>
      <c r="AV422" s="17"/>
      <c r="AW422" s="17"/>
      <c r="AX422" s="247"/>
      <c r="AY422" s="247"/>
      <c r="AZ422" s="247"/>
      <c r="BA422" s="17"/>
      <c r="BB422" s="52"/>
      <c r="BC422" s="17"/>
      <c r="BD422" s="247"/>
      <c r="BE422" s="247"/>
      <c r="BF422" s="247"/>
      <c r="BG422" s="17"/>
      <c r="BH422" s="17"/>
      <c r="BI422" s="17"/>
      <c r="BJ422" s="247">
        <v>849200</v>
      </c>
      <c r="BK422" s="247">
        <f t="shared" si="133"/>
        <v>161348</v>
      </c>
      <c r="BL422" s="247">
        <f t="shared" si="134"/>
        <v>1010548</v>
      </c>
      <c r="BM422" s="190" t="s">
        <v>375</v>
      </c>
      <c r="BN422" s="190" t="s">
        <v>338</v>
      </c>
      <c r="BO422" s="17"/>
      <c r="BP422" s="247"/>
      <c r="BQ422" s="247"/>
      <c r="BR422" s="247"/>
      <c r="BS422" s="17"/>
      <c r="BT422" s="17"/>
      <c r="BU422" s="17"/>
      <c r="BV422" s="195"/>
      <c r="BW422" s="195"/>
      <c r="BX422" s="246"/>
      <c r="BY422" s="190"/>
      <c r="BZ422" s="190"/>
      <c r="CA422" s="190"/>
      <c r="CB422" s="247"/>
      <c r="CC422" s="247"/>
      <c r="CD422" s="247"/>
      <c r="CE422" s="17"/>
      <c r="CF422" s="17"/>
      <c r="CG422" s="17"/>
      <c r="CH422" s="247"/>
      <c r="CI422" s="247"/>
      <c r="CJ422" s="247"/>
      <c r="CK422" s="17"/>
      <c r="CL422" s="17"/>
      <c r="CM422" s="17"/>
      <c r="CN422" s="17"/>
      <c r="CO422" s="17"/>
      <c r="CP422" s="11"/>
      <c r="CQ422" s="11"/>
      <c r="CR422" s="11"/>
      <c r="CS422" s="11"/>
      <c r="CT422" s="247"/>
      <c r="CU422" s="247"/>
      <c r="CV422" s="247"/>
      <c r="CW422" s="11"/>
      <c r="CX422" s="11"/>
      <c r="CY422" s="11"/>
      <c r="CZ422" s="11"/>
      <c r="DA422" s="11"/>
      <c r="DB422" s="11"/>
      <c r="DC422" s="11"/>
      <c r="DD422" s="11"/>
      <c r="DE422" s="11"/>
      <c r="DF422" s="11"/>
      <c r="DG422" s="11"/>
      <c r="DH422" s="11"/>
      <c r="DI422" s="11"/>
      <c r="DJ422" s="11"/>
      <c r="DK422" s="11"/>
      <c r="DL422" s="247"/>
      <c r="DM422" s="247"/>
      <c r="DN422" s="247"/>
      <c r="DO422" s="247"/>
      <c r="DP422" s="247"/>
      <c r="DQ422" s="247"/>
      <c r="DR422" s="247"/>
      <c r="DS422" s="247"/>
      <c r="DT422" s="247"/>
      <c r="DU422" s="247"/>
      <c r="DV422" s="247"/>
      <c r="DW422" s="247"/>
      <c r="DX422" s="247"/>
      <c r="DY422" s="247"/>
      <c r="DZ422" s="247"/>
      <c r="EA422" s="247"/>
      <c r="EB422" s="247"/>
      <c r="EC422" s="247"/>
      <c r="ED422" s="17">
        <f t="shared" si="137"/>
        <v>1100943.375</v>
      </c>
      <c r="EE422" s="29">
        <f t="shared" si="138"/>
        <v>2</v>
      </c>
      <c r="EF422" s="17">
        <f t="shared" si="135"/>
        <v>550471.6875</v>
      </c>
    </row>
    <row r="423" spans="1:136" ht="51" x14ac:dyDescent="0.25">
      <c r="A423" s="25">
        <f>Distribución_Elementos!A423</f>
        <v>421</v>
      </c>
      <c r="B423" s="22" t="str">
        <f>Distribución_Elementos!B423</f>
        <v>Punta 0,1-10 µl con filtro larga libre de RNAsa, DNAsa y pirógenos. Compatible con pipetas Eppendorf, Jencons y Boeco</v>
      </c>
      <c r="C423" s="22" t="str">
        <f>Distribución_Elementos!C423</f>
        <v>Eppendorf 47745-086 o equivalente</v>
      </c>
      <c r="D423" s="22" t="str">
        <f>Distribución_Elementos!D423</f>
        <v>Caja x 10 racks x 96</v>
      </c>
      <c r="E423" s="224">
        <v>1</v>
      </c>
      <c r="F423" s="221">
        <v>915451.1333333333</v>
      </c>
      <c r="G423" s="221">
        <v>915348</v>
      </c>
      <c r="H423" s="221">
        <v>497767.2182</v>
      </c>
      <c r="I423" s="221">
        <v>0</v>
      </c>
      <c r="J423" s="221">
        <v>717962.7</v>
      </c>
      <c r="K423" s="221">
        <v>0</v>
      </c>
      <c r="L423" s="247">
        <f>AVERAGE(F423,H423,J423)</f>
        <v>710393.68384444434</v>
      </c>
      <c r="M423" s="247">
        <f>G423*E1</f>
        <v>942808.44000000006</v>
      </c>
      <c r="N423" s="227">
        <v>850000</v>
      </c>
      <c r="O423" s="119">
        <f>+N423*0.19</f>
        <v>161500</v>
      </c>
      <c r="P423" s="119">
        <f>+N423+O423</f>
        <v>1011500</v>
      </c>
      <c r="Q423" s="115"/>
      <c r="R423" s="115"/>
      <c r="S423" s="11"/>
      <c r="T423" s="247"/>
      <c r="U423" s="247"/>
      <c r="V423" s="247"/>
      <c r="W423" s="17"/>
      <c r="X423" s="11"/>
      <c r="Y423" s="11"/>
      <c r="Z423" s="247">
        <v>399000</v>
      </c>
      <c r="AA423" s="247">
        <f>+Z423*0.19</f>
        <v>75810</v>
      </c>
      <c r="AB423" s="247">
        <f>+Z423+AA423</f>
        <v>474810</v>
      </c>
      <c r="AC423" s="5" t="s">
        <v>1718</v>
      </c>
      <c r="AD423" s="22" t="s">
        <v>1579</v>
      </c>
      <c r="AE423" s="17"/>
      <c r="AF423" s="247"/>
      <c r="AG423" s="247"/>
      <c r="AH423" s="151"/>
      <c r="AI423" s="4"/>
      <c r="AJ423" s="17"/>
      <c r="AK423" s="17"/>
      <c r="AL423" s="102"/>
      <c r="AM423" s="132"/>
      <c r="AN423" s="161"/>
      <c r="AO423" s="115"/>
      <c r="AP423" s="115"/>
      <c r="AQ423" s="17"/>
      <c r="AR423" s="247"/>
      <c r="AS423" s="247"/>
      <c r="AT423" s="247"/>
      <c r="AU423" s="17"/>
      <c r="AV423" s="17"/>
      <c r="AW423" s="17"/>
      <c r="AX423" s="247"/>
      <c r="AY423" s="247"/>
      <c r="AZ423" s="247"/>
      <c r="BA423" s="17"/>
      <c r="BB423" s="52"/>
      <c r="BC423" s="17"/>
      <c r="BD423" s="102">
        <v>260590</v>
      </c>
      <c r="BE423" s="247">
        <f>+BD423*0.19</f>
        <v>49512.1</v>
      </c>
      <c r="BF423" s="247">
        <f>+BD423+BE423</f>
        <v>310102.09999999998</v>
      </c>
      <c r="BG423" s="25" t="s">
        <v>1719</v>
      </c>
      <c r="BH423" s="5" t="s">
        <v>1720</v>
      </c>
      <c r="BI423" s="5" t="s">
        <v>1721</v>
      </c>
      <c r="BJ423" s="247">
        <v>817500</v>
      </c>
      <c r="BK423" s="247">
        <f t="shared" si="133"/>
        <v>155325</v>
      </c>
      <c r="BL423" s="247">
        <f t="shared" si="134"/>
        <v>972825</v>
      </c>
      <c r="BM423" s="191" t="s">
        <v>1722</v>
      </c>
      <c r="BN423" s="190" t="s">
        <v>1565</v>
      </c>
      <c r="BO423" s="17"/>
      <c r="BP423" s="247"/>
      <c r="BQ423" s="247"/>
      <c r="BR423" s="247"/>
      <c r="BS423" s="17"/>
      <c r="BT423" s="17"/>
      <c r="BU423" s="17"/>
      <c r="BV423" s="189">
        <v>858949.70250000001</v>
      </c>
      <c r="BW423" s="195">
        <f t="shared" si="150"/>
        <v>163200.44347500001</v>
      </c>
      <c r="BX423" s="246">
        <f t="shared" si="151"/>
        <v>1022150.145975</v>
      </c>
      <c r="BY423" s="191" t="s">
        <v>1722</v>
      </c>
      <c r="BZ423" s="190" t="s">
        <v>1565</v>
      </c>
      <c r="CA423" s="190"/>
      <c r="CB423" s="247"/>
      <c r="CC423" s="247"/>
      <c r="CD423" s="247"/>
      <c r="CE423" s="17"/>
      <c r="CF423" s="17"/>
      <c r="CG423" s="17"/>
      <c r="CH423" s="247"/>
      <c r="CI423" s="247"/>
      <c r="CJ423" s="247"/>
      <c r="CK423" s="17"/>
      <c r="CL423" s="17"/>
      <c r="CM423" s="17"/>
      <c r="CN423" s="17"/>
      <c r="CO423" s="17"/>
      <c r="CP423" s="11"/>
      <c r="CQ423" s="11"/>
      <c r="CR423" s="11"/>
      <c r="CS423" s="11"/>
      <c r="CT423" s="247"/>
      <c r="CU423" s="247"/>
      <c r="CV423" s="247"/>
      <c r="CW423" s="11"/>
      <c r="CX423" s="11"/>
      <c r="CY423" s="11"/>
      <c r="CZ423" s="11"/>
      <c r="DA423" s="11"/>
      <c r="DB423" s="11"/>
      <c r="DC423" s="11"/>
      <c r="DD423" s="11"/>
      <c r="DE423" s="11"/>
      <c r="DF423" s="11"/>
      <c r="DG423" s="11"/>
      <c r="DH423" s="11"/>
      <c r="DI423" s="11"/>
      <c r="DJ423" s="11"/>
      <c r="DK423" s="11"/>
      <c r="DL423" s="247"/>
      <c r="DM423" s="247"/>
      <c r="DN423" s="247"/>
      <c r="DO423" s="247"/>
      <c r="DP423" s="247"/>
      <c r="DQ423" s="247"/>
      <c r="DR423" s="247"/>
      <c r="DS423" s="247"/>
      <c r="DT423" s="247"/>
      <c r="DU423" s="247"/>
      <c r="DV423" s="247"/>
      <c r="DW423" s="247"/>
      <c r="DX423" s="247"/>
      <c r="DY423" s="247"/>
      <c r="DZ423" s="247"/>
      <c r="EA423" s="247"/>
      <c r="EB423" s="247"/>
      <c r="EC423" s="247"/>
      <c r="ED423" s="17">
        <f t="shared" si="137"/>
        <v>4734195.6859750003</v>
      </c>
      <c r="EE423" s="29">
        <f t="shared" si="138"/>
        <v>6</v>
      </c>
      <c r="EF423" s="17">
        <f t="shared" si="135"/>
        <v>789032.61432916671</v>
      </c>
    </row>
    <row r="424" spans="1:136" ht="25.5" x14ac:dyDescent="0.25">
      <c r="A424" s="25">
        <f>Distribución_Elementos!A424</f>
        <v>422</v>
      </c>
      <c r="B424" s="22" t="str">
        <f>Distribución_Elementos!B424</f>
        <v>Punta 0,1-10 µl resistentes a autoclavado</v>
      </c>
      <c r="C424" s="22" t="str">
        <f>Distribución_Elementos!C424</f>
        <v>Socorex R3090010R</v>
      </c>
      <c r="D424" s="22" t="str">
        <f>Distribución_Elementos!D424</f>
        <v>Caja x 10 racks x 96</v>
      </c>
      <c r="E424" s="224">
        <v>1</v>
      </c>
      <c r="F424" s="221">
        <v>319520.95</v>
      </c>
      <c r="G424" s="221">
        <v>319515</v>
      </c>
      <c r="H424" s="221">
        <v>233283.45483333335</v>
      </c>
      <c r="I424" s="221">
        <v>0</v>
      </c>
      <c r="J424" s="221">
        <v>234900.3475</v>
      </c>
      <c r="K424" s="221">
        <v>234430</v>
      </c>
      <c r="L424" s="247">
        <f>AVERAGE(F424,H424,J424)</f>
        <v>262568.25077777781</v>
      </c>
      <c r="M424" s="247">
        <f>AVERAGE(G424,K424)*E1</f>
        <v>285281.67499999999</v>
      </c>
      <c r="N424" s="227"/>
      <c r="O424" s="119"/>
      <c r="P424" s="119"/>
      <c r="Q424" s="115"/>
      <c r="R424" s="115"/>
      <c r="S424" s="11"/>
      <c r="T424" s="247"/>
      <c r="U424" s="247"/>
      <c r="V424" s="247"/>
      <c r="W424" s="17"/>
      <c r="X424" s="11"/>
      <c r="Y424" s="11"/>
      <c r="Z424" s="247">
        <v>190000</v>
      </c>
      <c r="AA424" s="247">
        <f>+Z424*0.19</f>
        <v>36100</v>
      </c>
      <c r="AB424" s="247">
        <f>+Z424+AA424</f>
        <v>226100</v>
      </c>
      <c r="AC424" s="5" t="s">
        <v>1718</v>
      </c>
      <c r="AD424" s="22" t="s">
        <v>1579</v>
      </c>
      <c r="AE424" s="17"/>
      <c r="AF424" s="247"/>
      <c r="AG424" s="247"/>
      <c r="AH424" s="149"/>
      <c r="AI424" s="4"/>
      <c r="AJ424" s="17"/>
      <c r="AK424" s="17"/>
      <c r="AL424" s="102"/>
      <c r="AM424" s="132"/>
      <c r="AN424" s="161"/>
      <c r="AO424" s="115"/>
      <c r="AP424" s="115"/>
      <c r="AQ424" s="17"/>
      <c r="AR424" s="247"/>
      <c r="AS424" s="247"/>
      <c r="AT424" s="247"/>
      <c r="AU424" s="17"/>
      <c r="AV424" s="17"/>
      <c r="AW424" s="17"/>
      <c r="AX424" s="247"/>
      <c r="AY424" s="247"/>
      <c r="AZ424" s="247"/>
      <c r="BA424" s="17"/>
      <c r="BB424" s="52"/>
      <c r="BC424" s="17"/>
      <c r="BD424" s="247"/>
      <c r="BE424" s="247"/>
      <c r="BF424" s="247"/>
      <c r="BG424" s="17"/>
      <c r="BH424" s="17"/>
      <c r="BI424" s="17"/>
      <c r="BJ424" s="247">
        <v>687900</v>
      </c>
      <c r="BK424" s="247">
        <f t="shared" si="133"/>
        <v>130701</v>
      </c>
      <c r="BL424" s="247">
        <f t="shared" si="134"/>
        <v>818601</v>
      </c>
      <c r="BM424" s="191" t="s">
        <v>1722</v>
      </c>
      <c r="BN424" s="190" t="s">
        <v>1565</v>
      </c>
      <c r="BO424" s="17"/>
      <c r="BP424" s="247"/>
      <c r="BQ424" s="247"/>
      <c r="BR424" s="247"/>
      <c r="BS424" s="17"/>
      <c r="BT424" s="17"/>
      <c r="BU424" s="17"/>
      <c r="BV424" s="189">
        <v>751195.05480000004</v>
      </c>
      <c r="BW424" s="195">
        <f t="shared" si="150"/>
        <v>142727.06041200002</v>
      </c>
      <c r="BX424" s="246">
        <f t="shared" si="151"/>
        <v>893922.11521200009</v>
      </c>
      <c r="BY424" s="191" t="s">
        <v>1722</v>
      </c>
      <c r="BZ424" s="190" t="s">
        <v>1565</v>
      </c>
      <c r="CA424" s="190"/>
      <c r="CB424" s="247"/>
      <c r="CC424" s="247"/>
      <c r="CD424" s="247"/>
      <c r="CE424" s="17"/>
      <c r="CF424" s="17"/>
      <c r="CG424" s="17"/>
      <c r="CH424" s="247"/>
      <c r="CI424" s="247"/>
      <c r="CJ424" s="247"/>
      <c r="CK424" s="17"/>
      <c r="CL424" s="17"/>
      <c r="CM424" s="17"/>
      <c r="CN424" s="17"/>
      <c r="CO424" s="17"/>
      <c r="CP424" s="11"/>
      <c r="CQ424" s="11"/>
      <c r="CR424" s="11"/>
      <c r="CS424" s="11"/>
      <c r="CT424" s="247"/>
      <c r="CU424" s="247"/>
      <c r="CV424" s="247"/>
      <c r="CW424" s="11"/>
      <c r="CX424" s="11"/>
      <c r="CY424" s="11"/>
      <c r="CZ424" s="11"/>
      <c r="DA424" s="11"/>
      <c r="DB424" s="11"/>
      <c r="DC424" s="11"/>
      <c r="DD424" s="11"/>
      <c r="DE424" s="11"/>
      <c r="DF424" s="11"/>
      <c r="DG424" s="11"/>
      <c r="DH424" s="11"/>
      <c r="DI424" s="11"/>
      <c r="DJ424" s="11"/>
      <c r="DK424" s="11"/>
      <c r="DL424" s="247"/>
      <c r="DM424" s="247"/>
      <c r="DN424" s="247"/>
      <c r="DO424" s="247"/>
      <c r="DP424" s="247"/>
      <c r="DQ424" s="247"/>
      <c r="DR424" s="247"/>
      <c r="DS424" s="247"/>
      <c r="DT424" s="247"/>
      <c r="DU424" s="247"/>
      <c r="DV424" s="247"/>
      <c r="DW424" s="247"/>
      <c r="DX424" s="247"/>
      <c r="DY424" s="247"/>
      <c r="DZ424" s="247"/>
      <c r="EA424" s="247"/>
      <c r="EB424" s="247"/>
      <c r="EC424" s="247"/>
      <c r="ED424" s="17">
        <f t="shared" si="137"/>
        <v>2223904.7902120003</v>
      </c>
      <c r="EE424" s="29">
        <f t="shared" si="138"/>
        <v>4</v>
      </c>
      <c r="EF424" s="17">
        <f t="shared" si="135"/>
        <v>555976.19755300006</v>
      </c>
    </row>
    <row r="425" spans="1:136" ht="63.75" x14ac:dyDescent="0.25">
      <c r="A425" s="25">
        <f>Distribución_Elementos!A425</f>
        <v>423</v>
      </c>
      <c r="B425" s="22" t="str">
        <f>Distribución_Elementos!B425</f>
        <v>Punta 0,5-20 µl</v>
      </c>
      <c r="C425" s="22" t="str">
        <f>Distribución_Elementos!C425</f>
        <v>Brand 732204</v>
      </c>
      <c r="D425" s="22" t="str">
        <f>Distribución_Elementos!D425</f>
        <v xml:space="preserve">Caja x 5 racks de 96 puntas </v>
      </c>
      <c r="E425" s="224">
        <v>1</v>
      </c>
      <c r="F425" s="221">
        <v>249424</v>
      </c>
      <c r="G425" s="221">
        <v>241927</v>
      </c>
      <c r="H425" s="221">
        <v>264818.54804999998</v>
      </c>
      <c r="I425" s="221">
        <v>264656</v>
      </c>
      <c r="J425" s="221">
        <v>0</v>
      </c>
      <c r="K425" s="221">
        <v>0</v>
      </c>
      <c r="L425" s="247">
        <f>AVERAGE(F425,H425)</f>
        <v>257121.27402499999</v>
      </c>
      <c r="M425" s="247">
        <f>AVERAGE(G425,I425)*E1</f>
        <v>260890.245</v>
      </c>
      <c r="N425" s="227"/>
      <c r="O425" s="121"/>
      <c r="P425" s="119"/>
      <c r="Q425" s="115"/>
      <c r="R425" s="115"/>
      <c r="S425" s="11"/>
      <c r="T425" s="247"/>
      <c r="U425" s="247"/>
      <c r="V425" s="247"/>
      <c r="W425" s="17"/>
      <c r="X425" s="11"/>
      <c r="Y425" s="11"/>
      <c r="Z425" s="247"/>
      <c r="AA425" s="247"/>
      <c r="AB425" s="247"/>
      <c r="AC425" s="44"/>
      <c r="AD425" s="22"/>
      <c r="AE425" s="17"/>
      <c r="AF425" s="247"/>
      <c r="AG425" s="247"/>
      <c r="AH425" s="151"/>
      <c r="AI425" s="22"/>
      <c r="AJ425" s="17"/>
      <c r="AK425" s="17"/>
      <c r="AL425" s="102"/>
      <c r="AM425" s="132"/>
      <c r="AN425" s="132"/>
      <c r="AO425" s="115"/>
      <c r="AP425" s="115"/>
      <c r="AQ425" s="17"/>
      <c r="AR425" s="247"/>
      <c r="AS425" s="247"/>
      <c r="AT425" s="247"/>
      <c r="AU425" s="17"/>
      <c r="AV425" s="17"/>
      <c r="AW425" s="17"/>
      <c r="AX425" s="247"/>
      <c r="AY425" s="247"/>
      <c r="AZ425" s="247"/>
      <c r="BA425" s="17"/>
      <c r="BB425" s="52"/>
      <c r="BC425" s="17"/>
      <c r="BD425" s="102">
        <v>260590</v>
      </c>
      <c r="BE425" s="247">
        <f>+BD425*0.19</f>
        <v>49512.1</v>
      </c>
      <c r="BF425" s="247">
        <f>+BD425+BE425</f>
        <v>310102.09999999998</v>
      </c>
      <c r="BG425" s="25" t="s">
        <v>1719</v>
      </c>
      <c r="BH425" s="5" t="s">
        <v>1723</v>
      </c>
      <c r="BI425" s="5" t="s">
        <v>1724</v>
      </c>
      <c r="BJ425" s="247">
        <v>740400</v>
      </c>
      <c r="BK425" s="247">
        <f t="shared" si="133"/>
        <v>140676</v>
      </c>
      <c r="BL425" s="247">
        <f t="shared" si="134"/>
        <v>881076</v>
      </c>
      <c r="BM425" s="191" t="s">
        <v>1722</v>
      </c>
      <c r="BN425" s="190" t="s">
        <v>1565</v>
      </c>
      <c r="BO425" s="17"/>
      <c r="BP425" s="247"/>
      <c r="BQ425" s="247"/>
      <c r="BR425" s="247"/>
      <c r="BS425" s="17"/>
      <c r="BT425" s="17"/>
      <c r="BU425" s="17"/>
      <c r="BV425" s="189">
        <v>816601.96800000011</v>
      </c>
      <c r="BW425" s="195">
        <f t="shared" si="150"/>
        <v>155154.37392000001</v>
      </c>
      <c r="BX425" s="246">
        <f t="shared" si="151"/>
        <v>971756.34192000015</v>
      </c>
      <c r="BY425" s="191" t="s">
        <v>1722</v>
      </c>
      <c r="BZ425" s="190" t="s">
        <v>1565</v>
      </c>
      <c r="CA425" s="190"/>
      <c r="CB425" s="247"/>
      <c r="CC425" s="247"/>
      <c r="CD425" s="247"/>
      <c r="CE425" s="17"/>
      <c r="CF425" s="17"/>
      <c r="CG425" s="17"/>
      <c r="CH425" s="247"/>
      <c r="CI425" s="247"/>
      <c r="CJ425" s="247"/>
      <c r="CK425" s="17"/>
      <c r="CL425" s="17"/>
      <c r="CM425" s="17"/>
      <c r="CN425" s="17"/>
      <c r="CO425" s="17"/>
      <c r="CP425" s="11"/>
      <c r="CQ425" s="11"/>
      <c r="CR425" s="11"/>
      <c r="CS425" s="11"/>
      <c r="CT425" s="247"/>
      <c r="CU425" s="247"/>
      <c r="CV425" s="247"/>
      <c r="CW425" s="11"/>
      <c r="CX425" s="11"/>
      <c r="CY425" s="11"/>
      <c r="CZ425" s="11"/>
      <c r="DA425" s="11"/>
      <c r="DB425" s="11"/>
      <c r="DC425" s="11"/>
      <c r="DD425" s="11"/>
      <c r="DE425" s="11"/>
      <c r="DF425" s="11"/>
      <c r="DG425" s="11"/>
      <c r="DH425" s="11"/>
      <c r="DI425" s="11"/>
      <c r="DJ425" s="11"/>
      <c r="DK425" s="11"/>
      <c r="DL425" s="247"/>
      <c r="DM425" s="247"/>
      <c r="DN425" s="247"/>
      <c r="DO425" s="247"/>
      <c r="DP425" s="247"/>
      <c r="DQ425" s="247"/>
      <c r="DR425" s="247"/>
      <c r="DS425" s="247"/>
      <c r="DT425" s="247"/>
      <c r="DU425" s="247"/>
      <c r="DV425" s="247"/>
      <c r="DW425" s="247"/>
      <c r="DX425" s="247"/>
      <c r="DY425" s="247"/>
      <c r="DZ425" s="247"/>
      <c r="EA425" s="247"/>
      <c r="EB425" s="247"/>
      <c r="EC425" s="247"/>
      <c r="ED425" s="17">
        <f t="shared" si="137"/>
        <v>2423824.6869200002</v>
      </c>
      <c r="EE425" s="29">
        <f t="shared" si="138"/>
        <v>4</v>
      </c>
      <c r="EF425" s="17">
        <f t="shared" si="135"/>
        <v>605956.17173000006</v>
      </c>
    </row>
    <row r="426" spans="1:136" ht="24" x14ac:dyDescent="0.25">
      <c r="A426" s="25">
        <f>Distribución_Elementos!A426</f>
        <v>424</v>
      </c>
      <c r="B426" s="22" t="str">
        <f>Distribución_Elementos!B426</f>
        <v xml:space="preserve">Punta 0,5-5 ml </v>
      </c>
      <c r="C426" s="22" t="str">
        <f>Distribución_Elementos!C426</f>
        <v>Brand 702595</v>
      </c>
      <c r="D426" s="22" t="str">
        <f>Distribución_Elementos!D426</f>
        <v>Bolsa x 200</v>
      </c>
      <c r="E426" s="224">
        <v>1</v>
      </c>
      <c r="F426" s="221">
        <v>0</v>
      </c>
      <c r="G426" s="221">
        <v>0</v>
      </c>
      <c r="H426" s="221">
        <v>614635</v>
      </c>
      <c r="I426" s="221">
        <v>614516</v>
      </c>
      <c r="J426" s="221">
        <v>539427</v>
      </c>
      <c r="K426" s="221">
        <v>539070</v>
      </c>
      <c r="L426" s="247">
        <f>AVERAGE(H426,J426)</f>
        <v>577031</v>
      </c>
      <c r="M426" s="247">
        <f>AVERAGE(I426,K426)*E1</f>
        <v>594096.79</v>
      </c>
      <c r="N426" s="227">
        <v>130000</v>
      </c>
      <c r="O426" s="119">
        <f>+N426*0.19</f>
        <v>24700</v>
      </c>
      <c r="P426" s="119">
        <f>+N426+O426</f>
        <v>154700</v>
      </c>
      <c r="Q426" s="115"/>
      <c r="R426" s="115"/>
      <c r="S426" s="11"/>
      <c r="T426" s="201">
        <f>+(39600/1000)*200</f>
        <v>7920</v>
      </c>
      <c r="U426" s="247">
        <f>+T426*0.19</f>
        <v>1504.8</v>
      </c>
      <c r="V426" s="247">
        <f>+T426+U426</f>
        <v>9424.7999999999993</v>
      </c>
      <c r="W426" s="17" t="s">
        <v>1725</v>
      </c>
      <c r="X426" s="11" t="s">
        <v>1517</v>
      </c>
      <c r="Y426" s="11"/>
      <c r="Z426" s="247"/>
      <c r="AA426" s="247"/>
      <c r="AB426" s="247"/>
      <c r="AC426" s="5"/>
      <c r="AD426" s="22"/>
      <c r="AE426" s="17"/>
      <c r="AF426" s="247"/>
      <c r="AG426" s="247"/>
      <c r="AH426" s="149"/>
      <c r="AI426" s="4"/>
      <c r="AJ426" s="17"/>
      <c r="AK426" s="17"/>
      <c r="AL426" s="102"/>
      <c r="AM426" s="132"/>
      <c r="AN426" s="161"/>
      <c r="AO426" s="115"/>
      <c r="AP426" s="115"/>
      <c r="AQ426" s="17"/>
      <c r="AR426" s="247"/>
      <c r="AS426" s="247"/>
      <c r="AT426" s="247"/>
      <c r="AU426" s="17"/>
      <c r="AV426" s="17"/>
      <c r="AW426" s="17"/>
      <c r="AX426" s="247"/>
      <c r="AY426" s="247"/>
      <c r="AZ426" s="247"/>
      <c r="BA426" s="17"/>
      <c r="BB426" s="52"/>
      <c r="BC426" s="17"/>
      <c r="BD426" s="247"/>
      <c r="BE426" s="247"/>
      <c r="BF426" s="247"/>
      <c r="BG426" s="17"/>
      <c r="BH426" s="17"/>
      <c r="BI426" s="17"/>
      <c r="BJ426" s="247">
        <v>159800</v>
      </c>
      <c r="BK426" s="247">
        <f t="shared" si="133"/>
        <v>30362</v>
      </c>
      <c r="BL426" s="247">
        <f t="shared" si="134"/>
        <v>190162</v>
      </c>
      <c r="BM426" s="191" t="s">
        <v>1726</v>
      </c>
      <c r="BN426" s="190" t="s">
        <v>1565</v>
      </c>
      <c r="BO426" s="17"/>
      <c r="BP426" s="247"/>
      <c r="BQ426" s="247"/>
      <c r="BR426" s="247"/>
      <c r="BS426" s="17"/>
      <c r="BT426" s="17"/>
      <c r="BU426" s="17"/>
      <c r="BV426" s="189">
        <v>176246.61600000001</v>
      </c>
      <c r="BW426" s="195">
        <f t="shared" si="150"/>
        <v>33486.857040000003</v>
      </c>
      <c r="BX426" s="246">
        <f t="shared" si="151"/>
        <v>209733.47304000001</v>
      </c>
      <c r="BY426" s="191" t="s">
        <v>1726</v>
      </c>
      <c r="BZ426" s="190" t="s">
        <v>1565</v>
      </c>
      <c r="CA426" s="190"/>
      <c r="CB426" s="247"/>
      <c r="CC426" s="247"/>
      <c r="CD426" s="247"/>
      <c r="CE426" s="17"/>
      <c r="CF426" s="17"/>
      <c r="CG426" s="17"/>
      <c r="CH426" s="247"/>
      <c r="CI426" s="247"/>
      <c r="CJ426" s="247"/>
      <c r="CK426" s="17"/>
      <c r="CL426" s="17"/>
      <c r="CM426" s="17"/>
      <c r="CN426" s="17"/>
      <c r="CO426" s="17"/>
      <c r="CP426" s="11"/>
      <c r="CQ426" s="11"/>
      <c r="CR426" s="11"/>
      <c r="CS426" s="11"/>
      <c r="CT426" s="247"/>
      <c r="CU426" s="247"/>
      <c r="CV426" s="247"/>
      <c r="CW426" s="11"/>
      <c r="CX426" s="11"/>
      <c r="CY426" s="11"/>
      <c r="CZ426" s="11"/>
      <c r="DA426" s="11"/>
      <c r="DB426" s="11"/>
      <c r="DC426" s="11"/>
      <c r="DD426" s="11"/>
      <c r="DE426" s="11"/>
      <c r="DF426" s="11"/>
      <c r="DG426" s="11"/>
      <c r="DH426" s="11"/>
      <c r="DI426" s="11"/>
      <c r="DJ426" s="11"/>
      <c r="DK426" s="11"/>
      <c r="DL426" s="247"/>
      <c r="DM426" s="247"/>
      <c r="DN426" s="247"/>
      <c r="DO426" s="247"/>
      <c r="DP426" s="247"/>
      <c r="DQ426" s="247"/>
      <c r="DR426" s="247"/>
      <c r="DS426" s="247"/>
      <c r="DT426" s="247"/>
      <c r="DU426" s="247"/>
      <c r="DV426" s="247"/>
      <c r="DW426" s="247"/>
      <c r="DX426" s="247"/>
      <c r="DY426" s="247"/>
      <c r="DZ426" s="247"/>
      <c r="EA426" s="247"/>
      <c r="EB426" s="247"/>
      <c r="EC426" s="247"/>
      <c r="ED426" s="17">
        <f t="shared" si="137"/>
        <v>1158117.0630400002</v>
      </c>
      <c r="EE426" s="29">
        <f t="shared" si="138"/>
        <v>5</v>
      </c>
      <c r="EF426" s="17">
        <f t="shared" si="135"/>
        <v>231623.41260800004</v>
      </c>
    </row>
    <row r="427" spans="1:136" x14ac:dyDescent="0.25">
      <c r="A427" s="25">
        <f>Distribución_Elementos!A427</f>
        <v>425</v>
      </c>
      <c r="B427" s="22" t="str">
        <f>Distribución_Elementos!B427</f>
        <v xml:space="preserve">Punta 1,25 ml combitip para pipeta repetidora </v>
      </c>
      <c r="C427" s="22" t="str">
        <f>Distribución_Elementos!C427</f>
        <v>Thermo Scientific 9404180</v>
      </c>
      <c r="D427" s="22" t="str">
        <f>Distribución_Elementos!D427</f>
        <v>Caja x 100</v>
      </c>
      <c r="E427" s="224">
        <v>1</v>
      </c>
      <c r="F427" s="221">
        <v>850931.51500000001</v>
      </c>
      <c r="G427" s="221">
        <v>829549</v>
      </c>
      <c r="H427" s="221">
        <v>812218.84356666671</v>
      </c>
      <c r="I427" s="221">
        <v>812056</v>
      </c>
      <c r="J427" s="221">
        <v>1754009.425</v>
      </c>
      <c r="K427" s="221">
        <v>1749300</v>
      </c>
      <c r="L427" s="247">
        <f>AVERAGE(F427,H427,J427)</f>
        <v>1139053.2611888889</v>
      </c>
      <c r="M427" s="247">
        <f>AVERAGE(G427,I427,K427)*E1</f>
        <v>1164210.7166666668</v>
      </c>
      <c r="N427" s="227"/>
      <c r="O427" s="121"/>
      <c r="P427" s="119"/>
      <c r="Q427" s="115"/>
      <c r="R427" s="115"/>
      <c r="S427" s="11"/>
      <c r="T427" s="247"/>
      <c r="U427" s="247"/>
      <c r="V427" s="247"/>
      <c r="W427" s="17"/>
      <c r="X427" s="11"/>
      <c r="Y427" s="11"/>
      <c r="Z427" s="247"/>
      <c r="AA427" s="247"/>
      <c r="AB427" s="247"/>
      <c r="AC427" s="44"/>
      <c r="AD427" s="22"/>
      <c r="AE427" s="17"/>
      <c r="AF427" s="247"/>
      <c r="AG427" s="247"/>
      <c r="AH427" s="151"/>
      <c r="AI427" s="22"/>
      <c r="AJ427" s="17"/>
      <c r="AK427" s="17"/>
      <c r="AL427" s="102"/>
      <c r="AM427" s="132"/>
      <c r="AN427" s="161"/>
      <c r="AO427" s="115"/>
      <c r="AP427" s="115"/>
      <c r="AQ427" s="17"/>
      <c r="AR427" s="247"/>
      <c r="AS427" s="247"/>
      <c r="AT427" s="247"/>
      <c r="AU427" s="17"/>
      <c r="AV427" s="17"/>
      <c r="AW427" s="17"/>
      <c r="AX427" s="247"/>
      <c r="AY427" s="247"/>
      <c r="AZ427" s="247"/>
      <c r="BA427" s="17"/>
      <c r="BB427" s="52"/>
      <c r="BC427" s="17"/>
      <c r="BD427" s="247"/>
      <c r="BE427" s="247"/>
      <c r="BF427" s="247"/>
      <c r="BG427" s="17"/>
      <c r="BH427" s="17"/>
      <c r="BI427" s="17"/>
      <c r="BJ427" s="247">
        <v>1674100</v>
      </c>
      <c r="BK427" s="247">
        <f t="shared" si="133"/>
        <v>318079</v>
      </c>
      <c r="BL427" s="247">
        <f t="shared" si="134"/>
        <v>1992179</v>
      </c>
      <c r="BM427" s="191" t="s">
        <v>1061</v>
      </c>
      <c r="BN427" s="190" t="s">
        <v>1565</v>
      </c>
      <c r="BO427" s="17"/>
      <c r="BP427" s="247"/>
      <c r="BQ427" s="247"/>
      <c r="BR427" s="247"/>
      <c r="BS427" s="17"/>
      <c r="BT427" s="17"/>
      <c r="BU427" s="17"/>
      <c r="BV427" s="189">
        <v>1827291.8687000002</v>
      </c>
      <c r="BW427" s="195">
        <f t="shared" si="150"/>
        <v>347185.45505300007</v>
      </c>
      <c r="BX427" s="246">
        <f t="shared" si="151"/>
        <v>2174477.3237530002</v>
      </c>
      <c r="BY427" s="191" t="s">
        <v>1061</v>
      </c>
      <c r="BZ427" s="190" t="s">
        <v>1565</v>
      </c>
      <c r="CA427" s="190"/>
      <c r="CB427" s="247"/>
      <c r="CC427" s="247"/>
      <c r="CD427" s="247"/>
      <c r="CE427" s="17"/>
      <c r="CF427" s="17"/>
      <c r="CG427" s="17"/>
      <c r="CH427" s="247"/>
      <c r="CI427" s="247"/>
      <c r="CJ427" s="247"/>
      <c r="CK427" s="17"/>
      <c r="CL427" s="17"/>
      <c r="CM427" s="17"/>
      <c r="CN427" s="17"/>
      <c r="CO427" s="17"/>
      <c r="CP427" s="11"/>
      <c r="CQ427" s="11"/>
      <c r="CR427" s="11"/>
      <c r="CS427" s="11"/>
      <c r="CT427" s="247"/>
      <c r="CU427" s="247"/>
      <c r="CV427" s="247"/>
      <c r="CW427" s="11"/>
      <c r="CX427" s="11"/>
      <c r="CY427" s="11"/>
      <c r="CZ427" s="11"/>
      <c r="DA427" s="11"/>
      <c r="DB427" s="11"/>
      <c r="DC427" s="11"/>
      <c r="DD427" s="11"/>
      <c r="DE427" s="11"/>
      <c r="DF427" s="11"/>
      <c r="DG427" s="11"/>
      <c r="DH427" s="11"/>
      <c r="DI427" s="11"/>
      <c r="DJ427" s="11"/>
      <c r="DK427" s="11"/>
      <c r="DL427" s="247"/>
      <c r="DM427" s="247"/>
      <c r="DN427" s="247"/>
      <c r="DO427" s="247"/>
      <c r="DP427" s="247"/>
      <c r="DQ427" s="247"/>
      <c r="DR427" s="247"/>
      <c r="DS427" s="247"/>
      <c r="DT427" s="247"/>
      <c r="DU427" s="247"/>
      <c r="DV427" s="247"/>
      <c r="DW427" s="247"/>
      <c r="DX427" s="247"/>
      <c r="DY427" s="247"/>
      <c r="DZ427" s="247"/>
      <c r="EA427" s="247"/>
      <c r="EB427" s="247"/>
      <c r="EC427" s="247"/>
      <c r="ED427" s="17">
        <f t="shared" si="137"/>
        <v>5330867.040419667</v>
      </c>
      <c r="EE427" s="29">
        <f t="shared" si="138"/>
        <v>3</v>
      </c>
      <c r="EF427" s="17">
        <f t="shared" si="135"/>
        <v>1776955.680139889</v>
      </c>
    </row>
    <row r="428" spans="1:136" ht="38.25" x14ac:dyDescent="0.25">
      <c r="A428" s="25">
        <f>Distribución_Elementos!A428</f>
        <v>426</v>
      </c>
      <c r="B428" s="22" t="str">
        <f>Distribución_Elementos!B428</f>
        <v>Punta 10 µl blanca</v>
      </c>
      <c r="C428" s="22" t="str">
        <f>Distribución_Elementos!C428</f>
        <v>Extragene</v>
      </c>
      <c r="D428" s="22" t="str">
        <f>Distribución_Elementos!D428</f>
        <v>Bolsa X 1000</v>
      </c>
      <c r="E428" s="224">
        <v>1</v>
      </c>
      <c r="F428" s="221">
        <v>264944.57500000001</v>
      </c>
      <c r="G428" s="221">
        <v>254303</v>
      </c>
      <c r="H428" s="221">
        <v>0</v>
      </c>
      <c r="I428" s="221">
        <v>0</v>
      </c>
      <c r="J428" s="221">
        <v>189694.97682390499</v>
      </c>
      <c r="K428" s="221">
        <v>0</v>
      </c>
      <c r="L428" s="247">
        <f>AVERAGE(F428,J428)</f>
        <v>227319.77591195249</v>
      </c>
      <c r="M428" s="247">
        <f>G428*E1</f>
        <v>261932.09</v>
      </c>
      <c r="N428" s="227"/>
      <c r="O428" s="121"/>
      <c r="P428" s="119"/>
      <c r="Q428" s="115"/>
      <c r="R428" s="115"/>
      <c r="S428" s="11"/>
      <c r="T428" s="247"/>
      <c r="U428" s="247"/>
      <c r="V428" s="247"/>
      <c r="W428" s="17"/>
      <c r="X428" s="11"/>
      <c r="Y428" s="11"/>
      <c r="Z428" s="247">
        <v>210000</v>
      </c>
      <c r="AA428" s="247">
        <f>+Z428*0.19</f>
        <v>39900</v>
      </c>
      <c r="AB428" s="247">
        <f>+Z428+AA428</f>
        <v>249900</v>
      </c>
      <c r="AC428" s="5" t="s">
        <v>1718</v>
      </c>
      <c r="AD428" s="22" t="s">
        <v>1579</v>
      </c>
      <c r="AE428" s="17"/>
      <c r="AF428" s="247"/>
      <c r="AG428" s="247"/>
      <c r="AH428" s="151"/>
      <c r="AI428" s="4"/>
      <c r="AJ428" s="17"/>
      <c r="AK428" s="17"/>
      <c r="AL428" s="102"/>
      <c r="AM428" s="132"/>
      <c r="AN428" s="132"/>
      <c r="AO428" s="115"/>
      <c r="AP428" s="115"/>
      <c r="AQ428" s="17"/>
      <c r="AR428" s="247"/>
      <c r="AS428" s="247"/>
      <c r="AT428" s="247"/>
      <c r="AU428" s="17"/>
      <c r="AV428" s="17"/>
      <c r="AW428" s="17"/>
      <c r="AX428" s="247"/>
      <c r="AY428" s="247"/>
      <c r="AZ428" s="247"/>
      <c r="BA428" s="17"/>
      <c r="BB428" s="52"/>
      <c r="BC428" s="17"/>
      <c r="BD428" s="102">
        <v>51500</v>
      </c>
      <c r="BE428" s="247">
        <f>+BD428*0.19</f>
        <v>9785</v>
      </c>
      <c r="BF428" s="247">
        <f>+BD428+BE428</f>
        <v>61285</v>
      </c>
      <c r="BG428" s="25" t="s">
        <v>1727</v>
      </c>
      <c r="BH428" s="5" t="s">
        <v>1728</v>
      </c>
      <c r="BI428" s="5" t="s">
        <v>1729</v>
      </c>
      <c r="BJ428" s="247">
        <v>305300</v>
      </c>
      <c r="BK428" s="247">
        <f t="shared" si="133"/>
        <v>58007</v>
      </c>
      <c r="BL428" s="247">
        <f t="shared" si="134"/>
        <v>363307</v>
      </c>
      <c r="BM428" s="191" t="s">
        <v>1730</v>
      </c>
      <c r="BN428" s="190" t="s">
        <v>387</v>
      </c>
      <c r="BO428" s="17"/>
      <c r="BP428" s="247"/>
      <c r="BQ428" s="247"/>
      <c r="BR428" s="247"/>
      <c r="BS428" s="17"/>
      <c r="BT428" s="17"/>
      <c r="BU428" s="17"/>
      <c r="BV428" s="189">
        <v>353294.68650000001</v>
      </c>
      <c r="BW428" s="195">
        <f t="shared" si="150"/>
        <v>67125.990435</v>
      </c>
      <c r="BX428" s="246">
        <f t="shared" si="151"/>
        <v>420420.676935</v>
      </c>
      <c r="BY428" s="191" t="s">
        <v>1730</v>
      </c>
      <c r="BZ428" s="190" t="s">
        <v>387</v>
      </c>
      <c r="CA428" s="190"/>
      <c r="CB428" s="247"/>
      <c r="CC428" s="247"/>
      <c r="CD428" s="247"/>
      <c r="CE428" s="17"/>
      <c r="CF428" s="17"/>
      <c r="CG428" s="17"/>
      <c r="CH428" s="247"/>
      <c r="CI428" s="247"/>
      <c r="CJ428" s="247"/>
      <c r="CK428" s="17"/>
      <c r="CL428" s="17"/>
      <c r="CM428" s="17"/>
      <c r="CN428" s="17"/>
      <c r="CO428" s="17"/>
      <c r="CP428" s="11"/>
      <c r="CQ428" s="11"/>
      <c r="CR428" s="11"/>
      <c r="CS428" s="11"/>
      <c r="CT428" s="247"/>
      <c r="CU428" s="247"/>
      <c r="CV428" s="247"/>
      <c r="CW428" s="11"/>
      <c r="CX428" s="11"/>
      <c r="CY428" s="11"/>
      <c r="CZ428" s="11"/>
      <c r="DA428" s="11"/>
      <c r="DB428" s="11"/>
      <c r="DC428" s="11"/>
      <c r="DD428" s="11"/>
      <c r="DE428" s="11"/>
      <c r="DF428" s="11"/>
      <c r="DG428" s="11"/>
      <c r="DH428" s="11"/>
      <c r="DI428" s="11"/>
      <c r="DJ428" s="11"/>
      <c r="DK428" s="11"/>
      <c r="DL428" s="247"/>
      <c r="DM428" s="247"/>
      <c r="DN428" s="247"/>
      <c r="DO428" s="247"/>
      <c r="DP428" s="247"/>
      <c r="DQ428" s="247"/>
      <c r="DR428" s="247"/>
      <c r="DS428" s="247"/>
      <c r="DT428" s="247"/>
      <c r="DU428" s="247"/>
      <c r="DV428" s="247"/>
      <c r="DW428" s="247"/>
      <c r="DX428" s="247"/>
      <c r="DY428" s="247"/>
      <c r="DZ428" s="247"/>
      <c r="EA428" s="247"/>
      <c r="EB428" s="247"/>
      <c r="EC428" s="247"/>
      <c r="ED428" s="17">
        <f t="shared" si="137"/>
        <v>1356844.766935</v>
      </c>
      <c r="EE428" s="29">
        <f t="shared" si="138"/>
        <v>5</v>
      </c>
      <c r="EF428" s="17">
        <f t="shared" si="135"/>
        <v>271368.95338700002</v>
      </c>
    </row>
    <row r="429" spans="1:136" ht="25.5" x14ac:dyDescent="0.25">
      <c r="A429" s="25">
        <f>Distribución_Elementos!A429</f>
        <v>427</v>
      </c>
      <c r="B429" s="22" t="str">
        <f>Distribución_Elementos!B429</f>
        <v xml:space="preserve">Punta 10 ml Finntip </v>
      </c>
      <c r="C429" s="22" t="str">
        <f>Distribución_Elementos!C429</f>
        <v>Fisher Scientific 21-377-146, Labsystems 9402150</v>
      </c>
      <c r="D429" s="22" t="str">
        <f>Distribución_Elementos!D429</f>
        <v xml:space="preserve">Caja x 40 </v>
      </c>
      <c r="E429" s="224">
        <v>1</v>
      </c>
      <c r="F429" s="221">
        <v>196272.65</v>
      </c>
      <c r="G429" s="221">
        <v>188377</v>
      </c>
      <c r="H429" s="221">
        <v>138448.4437</v>
      </c>
      <c r="I429" s="221">
        <v>138278</v>
      </c>
      <c r="J429" s="221">
        <v>0</v>
      </c>
      <c r="K429" s="221">
        <v>0</v>
      </c>
      <c r="L429" s="247">
        <f>AVERAGE(F429,H429)</f>
        <v>167360.54684999998</v>
      </c>
      <c r="M429" s="247">
        <f>AVERAGE(G429,I429)*E1</f>
        <v>168227.32500000001</v>
      </c>
      <c r="N429" s="227"/>
      <c r="O429" s="121"/>
      <c r="P429" s="119"/>
      <c r="Q429" s="115"/>
      <c r="R429" s="115"/>
      <c r="S429" s="11"/>
      <c r="T429" s="247"/>
      <c r="U429" s="247"/>
      <c r="V429" s="247"/>
      <c r="W429" s="17"/>
      <c r="X429" s="11"/>
      <c r="Y429" s="11"/>
      <c r="Z429" s="247"/>
      <c r="AA429" s="247"/>
      <c r="AB429" s="247"/>
      <c r="AC429" s="44"/>
      <c r="AD429" s="22"/>
      <c r="AE429" s="17"/>
      <c r="AF429" s="247"/>
      <c r="AG429" s="247"/>
      <c r="AH429" s="151"/>
      <c r="AI429" s="4"/>
      <c r="AJ429" s="17"/>
      <c r="AK429" s="17"/>
      <c r="AL429" s="102"/>
      <c r="AM429" s="132"/>
      <c r="AN429" s="161"/>
      <c r="AO429" s="115"/>
      <c r="AP429" s="115"/>
      <c r="AQ429" s="17"/>
      <c r="AR429" s="247"/>
      <c r="AS429" s="247"/>
      <c r="AT429" s="247"/>
      <c r="AU429" s="17"/>
      <c r="AV429" s="17"/>
      <c r="AW429" s="17"/>
      <c r="AX429" s="247"/>
      <c r="AY429" s="247"/>
      <c r="AZ429" s="247"/>
      <c r="BA429" s="17"/>
      <c r="BB429" s="52"/>
      <c r="BC429" s="17"/>
      <c r="BD429" s="247"/>
      <c r="BE429" s="247"/>
      <c r="BF429" s="247"/>
      <c r="BG429" s="17"/>
      <c r="BH429" s="17"/>
      <c r="BI429" s="17"/>
      <c r="BJ429" s="247">
        <v>193000</v>
      </c>
      <c r="BK429" s="247">
        <f t="shared" si="133"/>
        <v>36670</v>
      </c>
      <c r="BL429" s="247">
        <f t="shared" si="134"/>
        <v>229670</v>
      </c>
      <c r="BM429" s="191" t="s">
        <v>1731</v>
      </c>
      <c r="BN429" s="190" t="s">
        <v>1565</v>
      </c>
      <c r="BO429" s="17"/>
      <c r="BP429" s="247"/>
      <c r="BQ429" s="247"/>
      <c r="BR429" s="247"/>
      <c r="BS429" s="17"/>
      <c r="BT429" s="17"/>
      <c r="BU429" s="17"/>
      <c r="BV429" s="189">
        <v>223340.565</v>
      </c>
      <c r="BW429" s="195">
        <f t="shared" si="150"/>
        <v>42434.707350000004</v>
      </c>
      <c r="BX429" s="246">
        <f t="shared" si="151"/>
        <v>265775.27234999998</v>
      </c>
      <c r="BY429" s="191" t="s">
        <v>1731</v>
      </c>
      <c r="BZ429" s="190" t="s">
        <v>1565</v>
      </c>
      <c r="CA429" s="190"/>
      <c r="CB429" s="247"/>
      <c r="CC429" s="247"/>
      <c r="CD429" s="247"/>
      <c r="CE429" s="17"/>
      <c r="CF429" s="17"/>
      <c r="CG429" s="17"/>
      <c r="CH429" s="247"/>
      <c r="CI429" s="247"/>
      <c r="CJ429" s="247"/>
      <c r="CK429" s="17"/>
      <c r="CL429" s="17"/>
      <c r="CM429" s="17"/>
      <c r="CN429" s="17"/>
      <c r="CO429" s="17"/>
      <c r="CP429" s="11"/>
      <c r="CQ429" s="11"/>
      <c r="CR429" s="11"/>
      <c r="CS429" s="11"/>
      <c r="CT429" s="247"/>
      <c r="CU429" s="247"/>
      <c r="CV429" s="247"/>
      <c r="CW429" s="11"/>
      <c r="CX429" s="11"/>
      <c r="CY429" s="11"/>
      <c r="CZ429" s="11"/>
      <c r="DA429" s="11"/>
      <c r="DB429" s="11"/>
      <c r="DC429" s="11"/>
      <c r="DD429" s="11"/>
      <c r="DE429" s="11"/>
      <c r="DF429" s="11"/>
      <c r="DG429" s="11"/>
      <c r="DH429" s="11"/>
      <c r="DI429" s="11"/>
      <c r="DJ429" s="11"/>
      <c r="DK429" s="11"/>
      <c r="DL429" s="247"/>
      <c r="DM429" s="247"/>
      <c r="DN429" s="247"/>
      <c r="DO429" s="247"/>
      <c r="DP429" s="247"/>
      <c r="DQ429" s="247"/>
      <c r="DR429" s="247"/>
      <c r="DS429" s="247"/>
      <c r="DT429" s="247"/>
      <c r="DU429" s="247"/>
      <c r="DV429" s="247"/>
      <c r="DW429" s="247"/>
      <c r="DX429" s="247"/>
      <c r="DY429" s="247"/>
      <c r="DZ429" s="247"/>
      <c r="EA429" s="247"/>
      <c r="EB429" s="247"/>
      <c r="EC429" s="247"/>
      <c r="ED429" s="17">
        <f t="shared" si="137"/>
        <v>663672.59734999994</v>
      </c>
      <c r="EE429" s="29">
        <f t="shared" si="138"/>
        <v>3</v>
      </c>
      <c r="EF429" s="17">
        <f t="shared" si="135"/>
        <v>221224.19911666666</v>
      </c>
    </row>
    <row r="430" spans="1:136" ht="38.25" x14ac:dyDescent="0.25">
      <c r="A430" s="25">
        <f>Distribución_Elementos!A430</f>
        <v>428</v>
      </c>
      <c r="B430" s="22" t="str">
        <f>Distribución_Elementos!B430</f>
        <v>Punta de micropipeta de 100 o 200 µl sin filtro libre de RNAsa, DNAsa y pirógenos. Compatible con pipetas Eppendorf, Jencons y Boeco</v>
      </c>
      <c r="C430" s="22" t="str">
        <f>Distribución_Elementos!C430</f>
        <v xml:space="preserve">Axygen o equivalentes. </v>
      </c>
      <c r="D430" s="22" t="str">
        <f>Distribución_Elementos!D430</f>
        <v>Bolsa X 1000</v>
      </c>
      <c r="E430" s="224">
        <v>1</v>
      </c>
      <c r="F430" s="221">
        <v>70686</v>
      </c>
      <c r="G430" s="221">
        <v>0</v>
      </c>
      <c r="H430" s="221">
        <v>108484.36666666665</v>
      </c>
      <c r="I430" s="221">
        <v>71400</v>
      </c>
      <c r="J430" s="221">
        <v>189924</v>
      </c>
      <c r="K430" s="221">
        <v>0</v>
      </c>
      <c r="L430" s="247">
        <f t="shared" ref="L430:L437" si="153">AVERAGE(F430,H430,J430)</f>
        <v>123031.45555555554</v>
      </c>
      <c r="M430" s="247">
        <f>I430*E1</f>
        <v>73542</v>
      </c>
      <c r="N430" s="227"/>
      <c r="O430" s="119"/>
      <c r="P430" s="119"/>
      <c r="Q430" s="115"/>
      <c r="R430" s="115"/>
      <c r="S430" s="11"/>
      <c r="T430" s="247"/>
      <c r="U430" s="247"/>
      <c r="V430" s="247"/>
      <c r="W430" s="17"/>
      <c r="X430" s="11"/>
      <c r="Y430" s="11"/>
      <c r="Z430" s="247"/>
      <c r="AA430" s="247"/>
      <c r="AB430" s="247"/>
      <c r="AC430" s="44"/>
      <c r="AD430" s="22"/>
      <c r="AE430" s="17"/>
      <c r="AF430" s="247"/>
      <c r="AG430" s="247"/>
      <c r="AH430" s="151"/>
      <c r="AI430" s="22"/>
      <c r="AJ430" s="17"/>
      <c r="AK430" s="17"/>
      <c r="AL430" s="102"/>
      <c r="AM430" s="132"/>
      <c r="AN430" s="161"/>
      <c r="AO430" s="115"/>
      <c r="AP430" s="115"/>
      <c r="AQ430" s="17"/>
      <c r="AR430" s="247"/>
      <c r="AS430" s="247"/>
      <c r="AT430" s="247"/>
      <c r="AU430" s="17"/>
      <c r="AV430" s="17"/>
      <c r="AW430" s="17"/>
      <c r="AX430" s="247"/>
      <c r="AY430" s="247"/>
      <c r="AZ430" s="247"/>
      <c r="BA430" s="17"/>
      <c r="BB430" s="52"/>
      <c r="BC430" s="17"/>
      <c r="BD430" s="247"/>
      <c r="BE430" s="247"/>
      <c r="BF430" s="247"/>
      <c r="BG430" s="17"/>
      <c r="BH430" s="17"/>
      <c r="BI430" s="17"/>
      <c r="BJ430" s="247">
        <v>326900</v>
      </c>
      <c r="BK430" s="247">
        <f t="shared" si="133"/>
        <v>62111</v>
      </c>
      <c r="BL430" s="247">
        <f t="shared" si="134"/>
        <v>389011</v>
      </c>
      <c r="BM430" s="191" t="s">
        <v>1732</v>
      </c>
      <c r="BN430" s="190" t="s">
        <v>387</v>
      </c>
      <c r="BO430" s="17"/>
      <c r="BP430" s="247"/>
      <c r="BQ430" s="247"/>
      <c r="BR430" s="247"/>
      <c r="BS430" s="17"/>
      <c r="BT430" s="17"/>
      <c r="BU430" s="17"/>
      <c r="BV430" s="189">
        <v>388888.73940000002</v>
      </c>
      <c r="BW430" s="195">
        <f t="shared" si="150"/>
        <v>73888.860486000005</v>
      </c>
      <c r="BX430" s="246">
        <f t="shared" si="151"/>
        <v>462777.59988600004</v>
      </c>
      <c r="BY430" s="191" t="s">
        <v>1732</v>
      </c>
      <c r="BZ430" s="190" t="s">
        <v>387</v>
      </c>
      <c r="CA430" s="190"/>
      <c r="CB430" s="247"/>
      <c r="CC430" s="247"/>
      <c r="CD430" s="247"/>
      <c r="CE430" s="17"/>
      <c r="CF430" s="17"/>
      <c r="CG430" s="17"/>
      <c r="CH430" s="247"/>
      <c r="CI430" s="247"/>
      <c r="CJ430" s="247"/>
      <c r="CK430" s="17"/>
      <c r="CL430" s="17"/>
      <c r="CM430" s="17"/>
      <c r="CN430" s="17"/>
      <c r="CO430" s="17"/>
      <c r="CP430" s="11"/>
      <c r="CQ430" s="11"/>
      <c r="CR430" s="11"/>
      <c r="CS430" s="11"/>
      <c r="CT430" s="247"/>
      <c r="CU430" s="247"/>
      <c r="CV430" s="247"/>
      <c r="CW430" s="11"/>
      <c r="CX430" s="11"/>
      <c r="CY430" s="11"/>
      <c r="CZ430" s="11"/>
      <c r="DA430" s="11"/>
      <c r="DB430" s="11"/>
      <c r="DC430" s="11"/>
      <c r="DD430" s="11"/>
      <c r="DE430" s="11"/>
      <c r="DF430" s="11"/>
      <c r="DG430" s="11"/>
      <c r="DH430" s="11"/>
      <c r="DI430" s="11"/>
      <c r="DJ430" s="11"/>
      <c r="DK430" s="11"/>
      <c r="DL430" s="247"/>
      <c r="DM430" s="247"/>
      <c r="DN430" s="247"/>
      <c r="DO430" s="247"/>
      <c r="DP430" s="247"/>
      <c r="DQ430" s="247"/>
      <c r="DR430" s="247"/>
      <c r="DS430" s="247"/>
      <c r="DT430" s="247"/>
      <c r="DU430" s="247"/>
      <c r="DV430" s="247"/>
      <c r="DW430" s="247"/>
      <c r="DX430" s="247"/>
      <c r="DY430" s="247"/>
      <c r="DZ430" s="247"/>
      <c r="EA430" s="247"/>
      <c r="EB430" s="247"/>
      <c r="EC430" s="247"/>
      <c r="ED430" s="17">
        <f t="shared" si="137"/>
        <v>925330.59988600004</v>
      </c>
      <c r="EE430" s="29">
        <f t="shared" si="138"/>
        <v>3</v>
      </c>
      <c r="EF430" s="17">
        <f t="shared" si="135"/>
        <v>308443.53329533333</v>
      </c>
    </row>
    <row r="431" spans="1:136" ht="63.75" x14ac:dyDescent="0.25">
      <c r="A431" s="25">
        <f>Distribución_Elementos!A431</f>
        <v>429</v>
      </c>
      <c r="B431" s="22" t="str">
        <f>Distribución_Elementos!B431</f>
        <v>Punta 100-1000 µl con filtro libres de RNAsa, DNAsa y pirógenos. Compatibles con micropipetas Eppendorf, Jencons y Boeco, NICHIRYO</v>
      </c>
      <c r="C431" s="22" t="str">
        <f>Distribución_Elementos!C431</f>
        <v>TipOne</v>
      </c>
      <c r="D431" s="22" t="str">
        <f>Distribución_Elementos!D431</f>
        <v>Caja x 10 racks x 96</v>
      </c>
      <c r="E431" s="224">
        <v>1</v>
      </c>
      <c r="F431" s="221">
        <v>437640.35</v>
      </c>
      <c r="G431" s="221">
        <v>436730</v>
      </c>
      <c r="H431" s="221">
        <v>324540.76666666666</v>
      </c>
      <c r="I431" s="221">
        <v>260000</v>
      </c>
      <c r="J431" s="221">
        <v>395153.5541652778</v>
      </c>
      <c r="K431" s="221">
        <v>0</v>
      </c>
      <c r="L431" s="247">
        <f t="shared" si="153"/>
        <v>385778.22361064819</v>
      </c>
      <c r="M431" s="247">
        <f>AVERAGE(G431,I431)*E1</f>
        <v>358815.95</v>
      </c>
      <c r="N431" s="227"/>
      <c r="O431" s="120"/>
      <c r="P431" s="119"/>
      <c r="Q431" s="115"/>
      <c r="R431" s="115"/>
      <c r="S431" s="11"/>
      <c r="T431" s="201">
        <f>57200*10</f>
        <v>572000</v>
      </c>
      <c r="U431" s="247">
        <f>+T431*0.19</f>
        <v>108680</v>
      </c>
      <c r="V431" s="247">
        <f>+T431+U431</f>
        <v>680680</v>
      </c>
      <c r="W431" s="17" t="s">
        <v>1733</v>
      </c>
      <c r="X431" s="11" t="s">
        <v>1517</v>
      </c>
      <c r="Y431" s="11"/>
      <c r="Z431" s="247">
        <v>520000</v>
      </c>
      <c r="AA431" s="247">
        <f>+Z431*0.19</f>
        <v>98800</v>
      </c>
      <c r="AB431" s="247">
        <f>+Z431+AA431</f>
        <v>618800</v>
      </c>
      <c r="AC431" s="5" t="s">
        <v>1718</v>
      </c>
      <c r="AD431" s="22" t="s">
        <v>1579</v>
      </c>
      <c r="AE431" s="17"/>
      <c r="AF431" s="247"/>
      <c r="AG431" s="247"/>
      <c r="AH431" s="151"/>
      <c r="AI431" s="22"/>
      <c r="AJ431" s="17"/>
      <c r="AK431" s="17"/>
      <c r="AL431" s="102"/>
      <c r="AM431" s="132"/>
      <c r="AN431" s="132"/>
      <c r="AO431" s="115"/>
      <c r="AP431" s="115"/>
      <c r="AQ431" s="17"/>
      <c r="AR431" s="247"/>
      <c r="AS431" s="247"/>
      <c r="AT431" s="247"/>
      <c r="AU431" s="17"/>
      <c r="AV431" s="17"/>
      <c r="AW431" s="17"/>
      <c r="AX431" s="247"/>
      <c r="AY431" s="247"/>
      <c r="AZ431" s="247"/>
      <c r="BA431" s="17"/>
      <c r="BB431" s="52"/>
      <c r="BC431" s="17"/>
      <c r="BD431" s="102">
        <v>260590</v>
      </c>
      <c r="BE431" s="247">
        <f>+BD431*0.19</f>
        <v>49512.1</v>
      </c>
      <c r="BF431" s="247">
        <f>+BD431+BE431</f>
        <v>310102.09999999998</v>
      </c>
      <c r="BG431" s="25" t="s">
        <v>1719</v>
      </c>
      <c r="BH431" s="5" t="s">
        <v>1734</v>
      </c>
      <c r="BI431" s="5" t="s">
        <v>1735</v>
      </c>
      <c r="BJ431" s="247">
        <v>868100</v>
      </c>
      <c r="BK431" s="247">
        <f t="shared" si="133"/>
        <v>164939</v>
      </c>
      <c r="BL431" s="247">
        <f t="shared" si="134"/>
        <v>1033039</v>
      </c>
      <c r="BM431" s="191" t="s">
        <v>1719</v>
      </c>
      <c r="BN431" s="190" t="s">
        <v>1565</v>
      </c>
      <c r="BO431" s="17"/>
      <c r="BP431" s="247"/>
      <c r="BQ431" s="247"/>
      <c r="BR431" s="247"/>
      <c r="BS431" s="17"/>
      <c r="BT431" s="17"/>
      <c r="BU431" s="17"/>
      <c r="BV431" s="189">
        <v>976225.32740000007</v>
      </c>
      <c r="BW431" s="195">
        <f t="shared" si="150"/>
        <v>185482.812206</v>
      </c>
      <c r="BX431" s="246">
        <f t="shared" si="151"/>
        <v>1161708.1396060002</v>
      </c>
      <c r="BY431" s="191" t="s">
        <v>1719</v>
      </c>
      <c r="BZ431" s="190" t="s">
        <v>1565</v>
      </c>
      <c r="CA431" s="190"/>
      <c r="CB431" s="247"/>
      <c r="CC431" s="247"/>
      <c r="CD431" s="247"/>
      <c r="CE431" s="17"/>
      <c r="CF431" s="17"/>
      <c r="CG431" s="17"/>
      <c r="CH431" s="247"/>
      <c r="CI431" s="247"/>
      <c r="CJ431" s="247"/>
      <c r="CK431" s="17"/>
      <c r="CL431" s="17"/>
      <c r="CM431" s="17"/>
      <c r="CN431" s="17"/>
      <c r="CO431" s="17"/>
      <c r="CP431" s="11"/>
      <c r="CQ431" s="11"/>
      <c r="CR431" s="11"/>
      <c r="CS431" s="11"/>
      <c r="CT431" s="247"/>
      <c r="CU431" s="247"/>
      <c r="CV431" s="247"/>
      <c r="CW431" s="11"/>
      <c r="CX431" s="11"/>
      <c r="CY431" s="11"/>
      <c r="CZ431" s="11"/>
      <c r="DA431" s="11"/>
      <c r="DB431" s="11"/>
      <c r="DC431" s="11"/>
      <c r="DD431" s="11"/>
      <c r="DE431" s="11"/>
      <c r="DF431" s="11"/>
      <c r="DG431" s="11"/>
      <c r="DH431" s="11"/>
      <c r="DI431" s="11"/>
      <c r="DJ431" s="11"/>
      <c r="DK431" s="11"/>
      <c r="DL431" s="247"/>
      <c r="DM431" s="247"/>
      <c r="DN431" s="247"/>
      <c r="DO431" s="247"/>
      <c r="DP431" s="247"/>
      <c r="DQ431" s="247"/>
      <c r="DR431" s="247"/>
      <c r="DS431" s="247"/>
      <c r="DT431" s="247"/>
      <c r="DU431" s="247"/>
      <c r="DV431" s="247"/>
      <c r="DW431" s="247"/>
      <c r="DX431" s="247"/>
      <c r="DY431" s="247"/>
      <c r="DZ431" s="247"/>
      <c r="EA431" s="247"/>
      <c r="EB431" s="247"/>
      <c r="EC431" s="247"/>
      <c r="ED431" s="17">
        <f t="shared" si="137"/>
        <v>4163145.1896059997</v>
      </c>
      <c r="EE431" s="29">
        <f t="shared" si="138"/>
        <v>6</v>
      </c>
      <c r="EF431" s="17">
        <f t="shared" si="135"/>
        <v>693857.531601</v>
      </c>
    </row>
    <row r="432" spans="1:136" ht="24" x14ac:dyDescent="0.25">
      <c r="A432" s="25">
        <f>Distribución_Elementos!A432</f>
        <v>430</v>
      </c>
      <c r="B432" s="22" t="str">
        <f>Distribución_Elementos!B432</f>
        <v>Punta 100-1000 µl Finntip 1000</v>
      </c>
      <c r="C432" s="22" t="str">
        <f>Distribución_Elementos!C432</f>
        <v>Labsystems 9401110</v>
      </c>
      <c r="D432" s="22" t="str">
        <f>Distribución_Elementos!D432</f>
        <v>Caja x 10 racks x 60</v>
      </c>
      <c r="E432" s="224">
        <v>1</v>
      </c>
      <c r="F432" s="221">
        <v>326131.40000000002</v>
      </c>
      <c r="G432" s="221">
        <v>326060</v>
      </c>
      <c r="H432" s="221">
        <v>349819.61933333334</v>
      </c>
      <c r="I432" s="221">
        <v>0</v>
      </c>
      <c r="J432" s="221">
        <v>593514.68166666676</v>
      </c>
      <c r="K432" s="221">
        <v>592620</v>
      </c>
      <c r="L432" s="247">
        <f t="shared" si="153"/>
        <v>423155.23366666673</v>
      </c>
      <c r="M432" s="247">
        <f>AVERAGE(G432,K432)*E1</f>
        <v>473120.2</v>
      </c>
      <c r="N432" s="227"/>
      <c r="O432" s="119"/>
      <c r="P432" s="119"/>
      <c r="Q432" s="115"/>
      <c r="R432" s="115"/>
      <c r="S432" s="11"/>
      <c r="T432" s="247"/>
      <c r="U432" s="247"/>
      <c r="V432" s="247"/>
      <c r="W432" s="17"/>
      <c r="X432" s="11"/>
      <c r="Y432" s="11"/>
      <c r="Z432" s="247"/>
      <c r="AA432" s="247"/>
      <c r="AB432" s="247"/>
      <c r="AC432" s="44"/>
      <c r="AD432" s="22"/>
      <c r="AE432" s="17"/>
      <c r="AF432" s="247"/>
      <c r="AG432" s="247"/>
      <c r="AH432" s="151"/>
      <c r="AI432" s="4"/>
      <c r="AJ432" s="17"/>
      <c r="AK432" s="17"/>
      <c r="AL432" s="102"/>
      <c r="AM432" s="132"/>
      <c r="AN432" s="161"/>
      <c r="AO432" s="115"/>
      <c r="AP432" s="115"/>
      <c r="AQ432" s="17"/>
      <c r="AR432" s="247"/>
      <c r="AS432" s="247"/>
      <c r="AT432" s="247"/>
      <c r="AU432" s="17"/>
      <c r="AV432" s="17"/>
      <c r="AW432" s="17"/>
      <c r="AX432" s="247"/>
      <c r="AY432" s="247"/>
      <c r="AZ432" s="247"/>
      <c r="BA432" s="17"/>
      <c r="BB432" s="52"/>
      <c r="BC432" s="17"/>
      <c r="BD432" s="247"/>
      <c r="BE432" s="247"/>
      <c r="BF432" s="247"/>
      <c r="BG432" s="17"/>
      <c r="BH432" s="17"/>
      <c r="BI432" s="17"/>
      <c r="BJ432" s="247">
        <v>958900</v>
      </c>
      <c r="BK432" s="247">
        <f t="shared" si="133"/>
        <v>182191</v>
      </c>
      <c r="BL432" s="247">
        <f t="shared" si="134"/>
        <v>1141091</v>
      </c>
      <c r="BM432" s="191" t="s">
        <v>1719</v>
      </c>
      <c r="BN432" s="190" t="s">
        <v>1565</v>
      </c>
      <c r="BO432" s="17"/>
      <c r="BP432" s="247"/>
      <c r="BQ432" s="247"/>
      <c r="BR432" s="247"/>
      <c r="BS432" s="17"/>
      <c r="BT432" s="17"/>
      <c r="BU432" s="17"/>
      <c r="BV432" s="189">
        <v>1057589.9880000001</v>
      </c>
      <c r="BW432" s="195">
        <f t="shared" si="150"/>
        <v>200942.09772000002</v>
      </c>
      <c r="BX432" s="246">
        <f t="shared" si="151"/>
        <v>1258532.0857200001</v>
      </c>
      <c r="BY432" s="191" t="s">
        <v>1719</v>
      </c>
      <c r="BZ432" s="190" t="s">
        <v>1565</v>
      </c>
      <c r="CA432" s="190"/>
      <c r="CB432" s="247"/>
      <c r="CC432" s="247"/>
      <c r="CD432" s="247"/>
      <c r="CE432" s="17"/>
      <c r="CF432" s="17"/>
      <c r="CG432" s="17"/>
      <c r="CH432" s="247"/>
      <c r="CI432" s="247"/>
      <c r="CJ432" s="247"/>
      <c r="CK432" s="17"/>
      <c r="CL432" s="17"/>
      <c r="CM432" s="17"/>
      <c r="CN432" s="17"/>
      <c r="CO432" s="17"/>
      <c r="CP432" s="11"/>
      <c r="CQ432" s="11"/>
      <c r="CR432" s="11"/>
      <c r="CS432" s="11"/>
      <c r="CT432" s="247"/>
      <c r="CU432" s="247"/>
      <c r="CV432" s="247"/>
      <c r="CW432" s="11"/>
      <c r="CX432" s="11"/>
      <c r="CY432" s="11"/>
      <c r="CZ432" s="11"/>
      <c r="DA432" s="11"/>
      <c r="DB432" s="11"/>
      <c r="DC432" s="11"/>
      <c r="DD432" s="11"/>
      <c r="DE432" s="11"/>
      <c r="DF432" s="11"/>
      <c r="DG432" s="11"/>
      <c r="DH432" s="11"/>
      <c r="DI432" s="11"/>
      <c r="DJ432" s="11"/>
      <c r="DK432" s="11"/>
      <c r="DL432" s="247"/>
      <c r="DM432" s="247"/>
      <c r="DN432" s="247"/>
      <c r="DO432" s="247"/>
      <c r="DP432" s="247"/>
      <c r="DQ432" s="247"/>
      <c r="DR432" s="247"/>
      <c r="DS432" s="247"/>
      <c r="DT432" s="247"/>
      <c r="DU432" s="247"/>
      <c r="DV432" s="247"/>
      <c r="DW432" s="247"/>
      <c r="DX432" s="247"/>
      <c r="DY432" s="247"/>
      <c r="DZ432" s="247"/>
      <c r="EA432" s="247"/>
      <c r="EB432" s="247"/>
      <c r="EC432" s="247"/>
      <c r="ED432" s="17">
        <f t="shared" si="137"/>
        <v>2872743.28572</v>
      </c>
      <c r="EE432" s="29">
        <f t="shared" si="138"/>
        <v>3</v>
      </c>
      <c r="EF432" s="17">
        <f t="shared" si="135"/>
        <v>957581.09524000005</v>
      </c>
    </row>
    <row r="433" spans="1:138" ht="24" x14ac:dyDescent="0.25">
      <c r="A433" s="25">
        <f>Distribución_Elementos!A433</f>
        <v>431</v>
      </c>
      <c r="B433" s="22" t="str">
        <f>Distribución_Elementos!B433</f>
        <v>Punta 2-200 µl sin filtro</v>
      </c>
      <c r="C433" s="22" t="str">
        <f>Distribución_Elementos!C433</f>
        <v>Brand</v>
      </c>
      <c r="D433" s="22" t="str">
        <f>Distribución_Elementos!D433</f>
        <v>Caja x 10 racks x 96</v>
      </c>
      <c r="E433" s="224">
        <v>1</v>
      </c>
      <c r="F433" s="221">
        <v>265727</v>
      </c>
      <c r="G433" s="221">
        <v>0</v>
      </c>
      <c r="H433" s="221">
        <v>351050</v>
      </c>
      <c r="I433" s="221">
        <v>350931</v>
      </c>
      <c r="J433" s="221">
        <v>155385.44</v>
      </c>
      <c r="K433" s="221">
        <v>155295</v>
      </c>
      <c r="L433" s="247">
        <f t="shared" si="153"/>
        <v>257387.47999999998</v>
      </c>
      <c r="M433" s="247">
        <f>AVERAGE(I433,K433)*E1</f>
        <v>260706.39</v>
      </c>
      <c r="N433" s="227"/>
      <c r="O433" s="120"/>
      <c r="P433" s="119"/>
      <c r="Q433" s="115"/>
      <c r="R433" s="115"/>
      <c r="S433" s="11"/>
      <c r="T433" s="247"/>
      <c r="U433" s="247"/>
      <c r="V433" s="247"/>
      <c r="W433" s="17"/>
      <c r="X433" s="11"/>
      <c r="Y433" s="11"/>
      <c r="Z433" s="247"/>
      <c r="AA433" s="247"/>
      <c r="AB433" s="247"/>
      <c r="AC433" s="44"/>
      <c r="AD433" s="22"/>
      <c r="AE433" s="17"/>
      <c r="AF433" s="247"/>
      <c r="AG433" s="247"/>
      <c r="AH433" s="151"/>
      <c r="AI433" s="22"/>
      <c r="AJ433" s="17"/>
      <c r="AK433" s="17"/>
      <c r="AL433" s="102"/>
      <c r="AM433" s="132"/>
      <c r="AN433" s="132"/>
      <c r="AO433" s="115"/>
      <c r="AP433" s="115"/>
      <c r="AQ433" s="17"/>
      <c r="AR433" s="247"/>
      <c r="AS433" s="247"/>
      <c r="AT433" s="247"/>
      <c r="AU433" s="17"/>
      <c r="AV433" s="17"/>
      <c r="AW433" s="17"/>
      <c r="AX433" s="247"/>
      <c r="AY433" s="247"/>
      <c r="AZ433" s="247"/>
      <c r="BA433" s="17"/>
      <c r="BB433" s="52"/>
      <c r="BC433" s="17"/>
      <c r="BD433" s="247"/>
      <c r="BE433" s="247"/>
      <c r="BF433" s="247"/>
      <c r="BG433" s="17"/>
      <c r="BH433" s="17"/>
      <c r="BI433" s="17"/>
      <c r="BJ433" s="247">
        <v>590800</v>
      </c>
      <c r="BK433" s="247">
        <f t="shared" si="133"/>
        <v>112252</v>
      </c>
      <c r="BL433" s="247">
        <f t="shared" si="134"/>
        <v>703052</v>
      </c>
      <c r="BM433" s="191" t="s">
        <v>1719</v>
      </c>
      <c r="BN433" s="190" t="s">
        <v>387</v>
      </c>
      <c r="BO433" s="17"/>
      <c r="BP433" s="247"/>
      <c r="BQ433" s="247"/>
      <c r="BR433" s="247"/>
      <c r="BS433" s="17"/>
      <c r="BT433" s="17"/>
      <c r="BU433" s="17"/>
      <c r="BV433" s="189">
        <v>696888.77440000011</v>
      </c>
      <c r="BW433" s="195">
        <f t="shared" si="150"/>
        <v>132408.86713600002</v>
      </c>
      <c r="BX433" s="246">
        <f t="shared" si="151"/>
        <v>829297.64153600018</v>
      </c>
      <c r="BY433" s="191" t="s">
        <v>1719</v>
      </c>
      <c r="BZ433" s="190" t="s">
        <v>387</v>
      </c>
      <c r="CA433" s="190"/>
      <c r="CB433" s="247"/>
      <c r="CC433" s="247"/>
      <c r="CD433" s="247"/>
      <c r="CE433" s="17"/>
      <c r="CF433" s="17"/>
      <c r="CG433" s="17"/>
      <c r="CH433" s="247"/>
      <c r="CI433" s="247"/>
      <c r="CJ433" s="247"/>
      <c r="CK433" s="17"/>
      <c r="CL433" s="17"/>
      <c r="CM433" s="17"/>
      <c r="CN433" s="17"/>
      <c r="CO433" s="17"/>
      <c r="CP433" s="11"/>
      <c r="CQ433" s="11"/>
      <c r="CR433" s="11"/>
      <c r="CS433" s="11"/>
      <c r="CT433" s="247"/>
      <c r="CU433" s="247"/>
      <c r="CV433" s="247"/>
      <c r="CW433" s="11"/>
      <c r="CX433" s="11"/>
      <c r="CY433" s="11"/>
      <c r="CZ433" s="11"/>
      <c r="DA433" s="11"/>
      <c r="DB433" s="11"/>
      <c r="DC433" s="11"/>
      <c r="DD433" s="11"/>
      <c r="DE433" s="11"/>
      <c r="DF433" s="11"/>
      <c r="DG433" s="11"/>
      <c r="DH433" s="11"/>
      <c r="DI433" s="11"/>
      <c r="DJ433" s="11"/>
      <c r="DK433" s="11"/>
      <c r="DL433" s="247"/>
      <c r="DM433" s="247"/>
      <c r="DN433" s="247"/>
      <c r="DO433" s="247"/>
      <c r="DP433" s="247"/>
      <c r="DQ433" s="247"/>
      <c r="DR433" s="247"/>
      <c r="DS433" s="247"/>
      <c r="DT433" s="247"/>
      <c r="DU433" s="247"/>
      <c r="DV433" s="247"/>
      <c r="DW433" s="247"/>
      <c r="DX433" s="247"/>
      <c r="DY433" s="247"/>
      <c r="DZ433" s="247"/>
      <c r="EA433" s="247"/>
      <c r="EB433" s="247"/>
      <c r="EC433" s="247"/>
      <c r="ED433" s="17">
        <f t="shared" si="137"/>
        <v>1793056.0315360003</v>
      </c>
      <c r="EE433" s="29">
        <f t="shared" si="138"/>
        <v>3</v>
      </c>
      <c r="EF433" s="17">
        <f t="shared" si="135"/>
        <v>597685.34384533344</v>
      </c>
    </row>
    <row r="434" spans="1:138" ht="51" x14ac:dyDescent="0.25">
      <c r="A434" s="25">
        <f>Distribución_Elementos!A434</f>
        <v>432</v>
      </c>
      <c r="B434" s="22" t="str">
        <f>Distribución_Elementos!B434</f>
        <v xml:space="preserve">Punta 1-10 µl con filtro de libres de RNasas y Dnasas </v>
      </c>
      <c r="C434" s="22" t="str">
        <f>Distribución_Elementos!C434</f>
        <v>TipOne</v>
      </c>
      <c r="D434" s="22" t="str">
        <f>Distribución_Elementos!D434</f>
        <v>Caja x 10 racks x 96</v>
      </c>
      <c r="E434" s="224">
        <v>1</v>
      </c>
      <c r="F434" s="221">
        <v>409217.2</v>
      </c>
      <c r="G434" s="221">
        <v>409122</v>
      </c>
      <c r="H434" s="221">
        <v>328886.84499999997</v>
      </c>
      <c r="I434" s="221">
        <v>0</v>
      </c>
      <c r="J434" s="221">
        <v>401404.45581256284</v>
      </c>
      <c r="K434" s="221">
        <v>0</v>
      </c>
      <c r="L434" s="247">
        <f t="shared" si="153"/>
        <v>379836.1669375209</v>
      </c>
      <c r="M434" s="247">
        <f>G434*E1</f>
        <v>421395.66000000003</v>
      </c>
      <c r="N434" s="227"/>
      <c r="O434" s="119"/>
      <c r="P434" s="119"/>
      <c r="Q434" s="115"/>
      <c r="R434" s="115"/>
      <c r="S434" s="11"/>
      <c r="T434" s="247"/>
      <c r="U434" s="247"/>
      <c r="V434" s="247"/>
      <c r="W434" s="17"/>
      <c r="X434" s="11"/>
      <c r="Y434" s="11"/>
      <c r="Z434" s="247">
        <v>425000</v>
      </c>
      <c r="AA434" s="247">
        <f>+Z434*0.19</f>
        <v>80750</v>
      </c>
      <c r="AB434" s="247">
        <f>+Z434+AA434</f>
        <v>505750</v>
      </c>
      <c r="AC434" s="5" t="s">
        <v>1718</v>
      </c>
      <c r="AD434" s="22" t="s">
        <v>1579</v>
      </c>
      <c r="AE434" s="17"/>
      <c r="AF434" s="247"/>
      <c r="AG434" s="247"/>
      <c r="AH434" s="151"/>
      <c r="AI434" s="22"/>
      <c r="AJ434" s="17"/>
      <c r="AK434" s="17"/>
      <c r="AL434" s="102"/>
      <c r="AM434" s="132"/>
      <c r="AN434" s="161"/>
      <c r="AO434" s="115"/>
      <c r="AP434" s="115"/>
      <c r="AQ434" s="17"/>
      <c r="AR434" s="247"/>
      <c r="AS434" s="247"/>
      <c r="AT434" s="247"/>
      <c r="AU434" s="17"/>
      <c r="AV434" s="17"/>
      <c r="AW434" s="17"/>
      <c r="AX434" s="247"/>
      <c r="AY434" s="247"/>
      <c r="AZ434" s="247"/>
      <c r="BA434" s="17"/>
      <c r="BB434" s="52"/>
      <c r="BC434" s="17"/>
      <c r="BD434" s="102">
        <v>260590</v>
      </c>
      <c r="BE434" s="247">
        <f>+BD434*0.19</f>
        <v>49512.1</v>
      </c>
      <c r="BF434" s="247">
        <f>+BD434+BE434</f>
        <v>310102.09999999998</v>
      </c>
      <c r="BG434" s="25" t="s">
        <v>1719</v>
      </c>
      <c r="BH434" s="5" t="s">
        <v>1720</v>
      </c>
      <c r="BI434" s="5" t="s">
        <v>1721</v>
      </c>
      <c r="BJ434" s="247">
        <v>817500</v>
      </c>
      <c r="BK434" s="247">
        <f t="shared" si="133"/>
        <v>155325</v>
      </c>
      <c r="BL434" s="247">
        <f t="shared" si="134"/>
        <v>972825</v>
      </c>
      <c r="BM434" s="191" t="s">
        <v>1719</v>
      </c>
      <c r="BN434" s="190" t="s">
        <v>1565</v>
      </c>
      <c r="BO434" s="17"/>
      <c r="BP434" s="247"/>
      <c r="BQ434" s="247"/>
      <c r="BR434" s="247"/>
      <c r="BS434" s="17"/>
      <c r="BT434" s="17"/>
      <c r="BU434" s="17"/>
      <c r="BV434" s="189">
        <v>918986.08500000008</v>
      </c>
      <c r="BW434" s="195">
        <f t="shared" si="150"/>
        <v>174607.35615000001</v>
      </c>
      <c r="BX434" s="246">
        <f t="shared" si="151"/>
        <v>1093593.4411500001</v>
      </c>
      <c r="BY434" s="191" t="s">
        <v>1719</v>
      </c>
      <c r="BZ434" s="190" t="s">
        <v>1565</v>
      </c>
      <c r="CA434" s="190"/>
      <c r="CB434" s="247"/>
      <c r="CC434" s="247"/>
      <c r="CD434" s="247"/>
      <c r="CE434" s="17"/>
      <c r="CF434" s="17"/>
      <c r="CG434" s="17"/>
      <c r="CH434" s="247"/>
      <c r="CI434" s="247"/>
      <c r="CJ434" s="247"/>
      <c r="CK434" s="17"/>
      <c r="CL434" s="17"/>
      <c r="CM434" s="17"/>
      <c r="CN434" s="17"/>
      <c r="CO434" s="17"/>
      <c r="CP434" s="11"/>
      <c r="CQ434" s="11"/>
      <c r="CR434" s="11"/>
      <c r="CS434" s="11"/>
      <c r="CT434" s="247"/>
      <c r="CU434" s="247"/>
      <c r="CV434" s="247"/>
      <c r="CW434" s="11"/>
      <c r="CX434" s="11"/>
      <c r="CY434" s="11"/>
      <c r="CZ434" s="11"/>
      <c r="DA434" s="11"/>
      <c r="DB434" s="11"/>
      <c r="DC434" s="11"/>
      <c r="DD434" s="11"/>
      <c r="DE434" s="11"/>
      <c r="DF434" s="11"/>
      <c r="DG434" s="11"/>
      <c r="DH434" s="11"/>
      <c r="DI434" s="11"/>
      <c r="DJ434" s="11"/>
      <c r="DK434" s="11"/>
      <c r="DL434" s="247"/>
      <c r="DM434" s="247"/>
      <c r="DN434" s="247"/>
      <c r="DO434" s="247"/>
      <c r="DP434" s="247"/>
      <c r="DQ434" s="247"/>
      <c r="DR434" s="247"/>
      <c r="DS434" s="247"/>
      <c r="DT434" s="247"/>
      <c r="DU434" s="247"/>
      <c r="DV434" s="247"/>
      <c r="DW434" s="247"/>
      <c r="DX434" s="247"/>
      <c r="DY434" s="247"/>
      <c r="DZ434" s="247"/>
      <c r="EA434" s="247"/>
      <c r="EB434" s="247"/>
      <c r="EC434" s="247"/>
      <c r="ED434" s="17">
        <f t="shared" si="137"/>
        <v>3303666.2011500001</v>
      </c>
      <c r="EE434" s="29">
        <f t="shared" si="138"/>
        <v>5</v>
      </c>
      <c r="EF434" s="17">
        <f t="shared" si="135"/>
        <v>660733.24023</v>
      </c>
    </row>
    <row r="435" spans="1:138" ht="63.75" x14ac:dyDescent="0.25">
      <c r="A435" s="25">
        <f>Distribución_Elementos!A435</f>
        <v>433</v>
      </c>
      <c r="B435" s="22" t="str">
        <f>Distribución_Elementos!B435</f>
        <v xml:space="preserve">Punta 1-100 µl con filtro de libres de RNasas y Dnasas </v>
      </c>
      <c r="C435" s="22" t="str">
        <f>Distribución_Elementos!C435</f>
        <v>TipOne</v>
      </c>
      <c r="D435" s="22" t="str">
        <f>Distribución_Elementos!D435</f>
        <v>Caja x 10 racks x 96</v>
      </c>
      <c r="E435" s="224">
        <v>1</v>
      </c>
      <c r="F435" s="221">
        <v>412489.7</v>
      </c>
      <c r="G435" s="221">
        <v>412454</v>
      </c>
      <c r="H435" s="221">
        <v>416861.36333333334</v>
      </c>
      <c r="I435" s="221">
        <v>416738</v>
      </c>
      <c r="J435" s="221">
        <v>769609.23921901174</v>
      </c>
      <c r="K435" s="221">
        <v>743750</v>
      </c>
      <c r="L435" s="247">
        <f t="shared" si="153"/>
        <v>532986.7675174484</v>
      </c>
      <c r="M435" s="247">
        <f>AVERAGE(G435,I435,K435)*E1</f>
        <v>540043.42000000004</v>
      </c>
      <c r="N435" s="227"/>
      <c r="O435" s="119"/>
      <c r="P435" s="119"/>
      <c r="Q435" s="115"/>
      <c r="R435" s="115"/>
      <c r="S435" s="11"/>
      <c r="T435" s="247"/>
      <c r="U435" s="247"/>
      <c r="V435" s="247"/>
      <c r="W435" s="17"/>
      <c r="X435" s="11"/>
      <c r="Y435" s="11"/>
      <c r="Z435" s="247">
        <v>425000</v>
      </c>
      <c r="AA435" s="247">
        <f>+Z435*0.19</f>
        <v>80750</v>
      </c>
      <c r="AB435" s="247">
        <f>+Z435+AA435</f>
        <v>505750</v>
      </c>
      <c r="AC435" s="5" t="s">
        <v>1718</v>
      </c>
      <c r="AD435" s="22" t="s">
        <v>1579</v>
      </c>
      <c r="AE435" s="17"/>
      <c r="AF435" s="247"/>
      <c r="AG435" s="247"/>
      <c r="AH435" s="151"/>
      <c r="AI435" s="4"/>
      <c r="AJ435" s="17"/>
      <c r="AK435" s="17"/>
      <c r="AL435" s="102"/>
      <c r="AM435" s="132"/>
      <c r="AN435" s="161"/>
      <c r="AO435" s="115"/>
      <c r="AP435" s="115"/>
      <c r="AQ435" s="17"/>
      <c r="AR435" s="247"/>
      <c r="AS435" s="247"/>
      <c r="AT435" s="247"/>
      <c r="AU435" s="17"/>
      <c r="AV435" s="17"/>
      <c r="AW435" s="17"/>
      <c r="AX435" s="247"/>
      <c r="AY435" s="247"/>
      <c r="AZ435" s="247"/>
      <c r="BA435" s="17"/>
      <c r="BB435" s="52"/>
      <c r="BC435" s="17"/>
      <c r="BD435" s="102">
        <v>260590</v>
      </c>
      <c r="BE435" s="247">
        <f>+BD435*0.19</f>
        <v>49512.1</v>
      </c>
      <c r="BF435" s="247">
        <f>+BD435+BE435</f>
        <v>310102.09999999998</v>
      </c>
      <c r="BG435" s="25" t="s">
        <v>1719</v>
      </c>
      <c r="BH435" s="5" t="s">
        <v>1736</v>
      </c>
      <c r="BI435" s="5" t="s">
        <v>1737</v>
      </c>
      <c r="BJ435" s="247">
        <v>723400</v>
      </c>
      <c r="BK435" s="247">
        <f t="shared" ref="BK435:BK472" si="154">+BJ435*0.19</f>
        <v>137446</v>
      </c>
      <c r="BL435" s="247">
        <f t="shared" ref="BL435:BL472" si="155">+BJ435+BK435</f>
        <v>860846</v>
      </c>
      <c r="BM435" s="191" t="s">
        <v>1719</v>
      </c>
      <c r="BN435" s="190" t="s">
        <v>1565</v>
      </c>
      <c r="BO435" s="17"/>
      <c r="BP435" s="247"/>
      <c r="BQ435" s="247"/>
      <c r="BR435" s="247"/>
      <c r="BS435" s="17"/>
      <c r="BT435" s="17"/>
      <c r="BU435" s="17"/>
      <c r="BV435" s="189">
        <v>813651.38400000008</v>
      </c>
      <c r="BW435" s="195">
        <f t="shared" si="150"/>
        <v>154593.76296000002</v>
      </c>
      <c r="BX435" s="246">
        <f t="shared" si="151"/>
        <v>968245.14696000004</v>
      </c>
      <c r="BY435" s="191" t="s">
        <v>1719</v>
      </c>
      <c r="BZ435" s="190" t="s">
        <v>1565</v>
      </c>
      <c r="CA435" s="190"/>
      <c r="CB435" s="247"/>
      <c r="CC435" s="247"/>
      <c r="CD435" s="247"/>
      <c r="CE435" s="17"/>
      <c r="CF435" s="17"/>
      <c r="CG435" s="17"/>
      <c r="CH435" s="247"/>
      <c r="CI435" s="247"/>
      <c r="CJ435" s="247"/>
      <c r="CK435" s="17"/>
      <c r="CL435" s="17"/>
      <c r="CM435" s="17"/>
      <c r="CN435" s="17"/>
      <c r="CO435" s="17"/>
      <c r="CP435" s="11"/>
      <c r="CQ435" s="11"/>
      <c r="CR435" s="11"/>
      <c r="CS435" s="11"/>
      <c r="CT435" s="247"/>
      <c r="CU435" s="247"/>
      <c r="CV435" s="247"/>
      <c r="CW435" s="11"/>
      <c r="CX435" s="11"/>
      <c r="CY435" s="11"/>
      <c r="CZ435" s="11"/>
      <c r="DA435" s="11"/>
      <c r="DB435" s="11"/>
      <c r="DC435" s="11"/>
      <c r="DD435" s="11"/>
      <c r="DE435" s="11"/>
      <c r="DF435" s="11"/>
      <c r="DG435" s="11"/>
      <c r="DH435" s="11"/>
      <c r="DI435" s="11"/>
      <c r="DJ435" s="11"/>
      <c r="DK435" s="11"/>
      <c r="DL435" s="247"/>
      <c r="DM435" s="247"/>
      <c r="DN435" s="247"/>
      <c r="DO435" s="247"/>
      <c r="DP435" s="247"/>
      <c r="DQ435" s="247"/>
      <c r="DR435" s="247"/>
      <c r="DS435" s="247"/>
      <c r="DT435" s="247"/>
      <c r="DU435" s="247"/>
      <c r="DV435" s="247"/>
      <c r="DW435" s="247"/>
      <c r="DX435" s="247"/>
      <c r="DY435" s="247"/>
      <c r="DZ435" s="247"/>
      <c r="EA435" s="247"/>
      <c r="EB435" s="247"/>
      <c r="EC435" s="247"/>
      <c r="ED435" s="17">
        <f t="shared" ref="ED435:ED475" si="156">SUM(M435,P435,V435,AB435,AH435,AN435,AT435,AZ435,BF435,BL435,BR435,BX435,CD435,CJ435,CP435,CV435,DB435,DH435,DN435,DT435,DZ435)</f>
        <v>3184986.6669600001</v>
      </c>
      <c r="EE435" s="29">
        <f t="shared" ref="EE435:EE475" si="157">COUNTA(M435,N435,T435,Z435,AF435,AL435,AR435,AX435,BD435,BJ435,BP435,BV435,CB435,CH435,CN435,CT435,CZ435,DF435,DL435,DR435,DX435)</f>
        <v>5</v>
      </c>
      <c r="EF435" s="17">
        <f t="shared" ref="EF435:EF475" si="158">IFERROR(ED435/EE435," ")</f>
        <v>636997.33339200006</v>
      </c>
    </row>
    <row r="436" spans="1:138" ht="63.75" x14ac:dyDescent="0.25">
      <c r="A436" s="25">
        <f>Distribución_Elementos!A436</f>
        <v>434</v>
      </c>
      <c r="B436" s="22" t="str">
        <f>Distribución_Elementos!B436</f>
        <v>Punta 1-20 µl con filtro de  libre de Dnasa y Rnasa</v>
      </c>
      <c r="C436" s="22" t="str">
        <f>Distribución_Elementos!C436</f>
        <v>TipOne</v>
      </c>
      <c r="D436" s="22" t="str">
        <f>Distribución_Elementos!D436</f>
        <v>Caja x 10 racks x 96</v>
      </c>
      <c r="E436" s="224">
        <v>1</v>
      </c>
      <c r="F436" s="221">
        <v>395984.4</v>
      </c>
      <c r="G436" s="221">
        <v>395913</v>
      </c>
      <c r="H436" s="221">
        <v>554411.48</v>
      </c>
      <c r="I436" s="221">
        <v>554302</v>
      </c>
      <c r="J436" s="221">
        <v>412143.36088229623</v>
      </c>
      <c r="K436" s="221">
        <v>0</v>
      </c>
      <c r="L436" s="247">
        <f t="shared" si="153"/>
        <v>454179.74696076539</v>
      </c>
      <c r="M436" s="247">
        <f>AVERAGE(G436,I436)*E1</f>
        <v>489360.72500000003</v>
      </c>
      <c r="N436" s="227"/>
      <c r="O436" s="120"/>
      <c r="P436" s="119"/>
      <c r="Q436" s="115"/>
      <c r="R436" s="115"/>
      <c r="S436" s="11"/>
      <c r="T436" s="247"/>
      <c r="U436" s="247"/>
      <c r="V436" s="247"/>
      <c r="W436" s="17"/>
      <c r="X436" s="11"/>
      <c r="Y436" s="11"/>
      <c r="Z436" s="247">
        <v>425000</v>
      </c>
      <c r="AA436" s="247">
        <f>+Z436*0.19</f>
        <v>80750</v>
      </c>
      <c r="AB436" s="247">
        <f>+Z436+AA436</f>
        <v>505750</v>
      </c>
      <c r="AC436" s="5" t="s">
        <v>1718</v>
      </c>
      <c r="AD436" s="22" t="s">
        <v>1579</v>
      </c>
      <c r="AE436" s="17"/>
      <c r="AF436" s="247"/>
      <c r="AG436" s="247"/>
      <c r="AH436" s="97"/>
      <c r="AI436" s="22"/>
      <c r="AJ436" s="17"/>
      <c r="AK436" s="17"/>
      <c r="AL436" s="102"/>
      <c r="AM436" s="132"/>
      <c r="AN436" s="161"/>
      <c r="AO436" s="115"/>
      <c r="AP436" s="115"/>
      <c r="AQ436" s="17"/>
      <c r="AR436" s="247"/>
      <c r="AS436" s="247"/>
      <c r="AT436" s="247"/>
      <c r="AU436" s="17"/>
      <c r="AV436" s="17"/>
      <c r="AW436" s="17"/>
      <c r="AX436" s="247"/>
      <c r="AY436" s="247"/>
      <c r="AZ436" s="247"/>
      <c r="BA436" s="17"/>
      <c r="BB436" s="52"/>
      <c r="BC436" s="17"/>
      <c r="BD436" s="102">
        <v>260590</v>
      </c>
      <c r="BE436" s="247">
        <f>+BD436*0.19</f>
        <v>49512.1</v>
      </c>
      <c r="BF436" s="247">
        <f>+BD436+BE436</f>
        <v>310102.09999999998</v>
      </c>
      <c r="BG436" s="25" t="s">
        <v>1719</v>
      </c>
      <c r="BH436" s="5" t="s">
        <v>1723</v>
      </c>
      <c r="BI436" s="5" t="s">
        <v>1724</v>
      </c>
      <c r="BJ436" s="247">
        <v>817500</v>
      </c>
      <c r="BK436" s="247">
        <f t="shared" si="154"/>
        <v>155325</v>
      </c>
      <c r="BL436" s="247">
        <f t="shared" si="155"/>
        <v>972825</v>
      </c>
      <c r="BM436" s="191" t="s">
        <v>1719</v>
      </c>
      <c r="BN436" s="190" t="s">
        <v>387</v>
      </c>
      <c r="BO436" s="17"/>
      <c r="BP436" s="247"/>
      <c r="BQ436" s="247"/>
      <c r="BR436" s="247"/>
      <c r="BS436" s="17"/>
      <c r="BT436" s="17"/>
      <c r="BU436" s="17"/>
      <c r="BV436" s="189">
        <v>945762.48</v>
      </c>
      <c r="BW436" s="195">
        <f t="shared" si="150"/>
        <v>179694.87119999999</v>
      </c>
      <c r="BX436" s="246">
        <f t="shared" si="151"/>
        <v>1125457.3511999999</v>
      </c>
      <c r="BY436" s="191" t="s">
        <v>1719</v>
      </c>
      <c r="BZ436" s="190" t="s">
        <v>387</v>
      </c>
      <c r="CA436" s="190"/>
      <c r="CB436" s="247"/>
      <c r="CC436" s="247"/>
      <c r="CD436" s="247"/>
      <c r="CE436" s="17"/>
      <c r="CF436" s="17"/>
      <c r="CG436" s="17"/>
      <c r="CH436" s="247"/>
      <c r="CI436" s="247"/>
      <c r="CJ436" s="247"/>
      <c r="CK436" s="17"/>
      <c r="CL436" s="17"/>
      <c r="CM436" s="17"/>
      <c r="CN436" s="17"/>
      <c r="CO436" s="17"/>
      <c r="CP436" s="11"/>
      <c r="CQ436" s="11"/>
      <c r="CR436" s="11"/>
      <c r="CS436" s="11"/>
      <c r="CT436" s="247"/>
      <c r="CU436" s="247"/>
      <c r="CV436" s="247"/>
      <c r="CW436" s="11"/>
      <c r="CX436" s="11"/>
      <c r="CY436" s="11"/>
      <c r="CZ436" s="11"/>
      <c r="DA436" s="11"/>
      <c r="DB436" s="11"/>
      <c r="DC436" s="11"/>
      <c r="DD436" s="11"/>
      <c r="DE436" s="11"/>
      <c r="DF436" s="11"/>
      <c r="DG436" s="11"/>
      <c r="DH436" s="11"/>
      <c r="DI436" s="11"/>
      <c r="DJ436" s="11"/>
      <c r="DK436" s="11"/>
      <c r="DL436" s="247"/>
      <c r="DM436" s="247"/>
      <c r="DN436" s="247"/>
      <c r="DO436" s="247"/>
      <c r="DP436" s="247"/>
      <c r="DQ436" s="247"/>
      <c r="DR436" s="247"/>
      <c r="DS436" s="247"/>
      <c r="DT436" s="247"/>
      <c r="DU436" s="247"/>
      <c r="DV436" s="247"/>
      <c r="DW436" s="247"/>
      <c r="DX436" s="247"/>
      <c r="DY436" s="247"/>
      <c r="DZ436" s="247"/>
      <c r="EA436" s="247"/>
      <c r="EB436" s="247"/>
      <c r="EC436" s="247"/>
      <c r="ED436" s="17">
        <f t="shared" si="156"/>
        <v>3403495.1762000001</v>
      </c>
      <c r="EE436" s="29">
        <f t="shared" si="157"/>
        <v>5</v>
      </c>
      <c r="EF436" s="17">
        <f t="shared" si="158"/>
        <v>680699.03524</v>
      </c>
    </row>
    <row r="437" spans="1:138" ht="25.5" x14ac:dyDescent="0.25">
      <c r="A437" s="25">
        <f>Distribución_Elementos!A437</f>
        <v>435</v>
      </c>
      <c r="B437" s="22" t="str">
        <f>Distribución_Elementos!B437</f>
        <v>Punta 20 µl Finntip 20</v>
      </c>
      <c r="C437" s="22" t="str">
        <f>Distribución_Elementos!C437</f>
        <v>Labsystems 9400610</v>
      </c>
      <c r="D437" s="22" t="str">
        <f>Distribución_Elementos!D437</f>
        <v xml:space="preserve">Caja x 10 racks x 384 </v>
      </c>
      <c r="E437" s="224">
        <v>1</v>
      </c>
      <c r="F437" s="221">
        <v>2861031.915</v>
      </c>
      <c r="G437" s="221">
        <v>2789479</v>
      </c>
      <c r="H437" s="221">
        <v>2811079.0648499997</v>
      </c>
      <c r="I437" s="221">
        <v>2811018</v>
      </c>
      <c r="J437" s="221">
        <v>2928952.95</v>
      </c>
      <c r="K437" s="221">
        <v>2915500</v>
      </c>
      <c r="L437" s="247">
        <f t="shared" si="153"/>
        <v>2867021.3099500001</v>
      </c>
      <c r="M437" s="247">
        <f>AVERAGE(G437,I437,K437)*E1</f>
        <v>2923825.6366666667</v>
      </c>
      <c r="N437" s="227"/>
      <c r="O437" s="121"/>
      <c r="P437" s="119"/>
      <c r="Q437" s="115"/>
      <c r="R437" s="115"/>
      <c r="S437" s="11"/>
      <c r="T437" s="247"/>
      <c r="U437" s="247"/>
      <c r="V437" s="247"/>
      <c r="W437" s="17"/>
      <c r="X437" s="11"/>
      <c r="Y437" s="11"/>
      <c r="Z437" s="247"/>
      <c r="AA437" s="247"/>
      <c r="AB437" s="247"/>
      <c r="AC437" s="44"/>
      <c r="AD437" s="22"/>
      <c r="AE437" s="17"/>
      <c r="AF437" s="247"/>
      <c r="AG437" s="247"/>
      <c r="AH437" s="151"/>
      <c r="AI437" s="4"/>
      <c r="AJ437" s="17"/>
      <c r="AK437" s="17"/>
      <c r="AL437" s="102"/>
      <c r="AM437" s="132"/>
      <c r="AN437" s="132"/>
      <c r="AO437" s="115"/>
      <c r="AP437" s="115"/>
      <c r="AQ437" s="17"/>
      <c r="AR437" s="247"/>
      <c r="AS437" s="247"/>
      <c r="AT437" s="247"/>
      <c r="AU437" s="17"/>
      <c r="AV437" s="17"/>
      <c r="AW437" s="17"/>
      <c r="AX437" s="247"/>
      <c r="AY437" s="247"/>
      <c r="AZ437" s="247"/>
      <c r="BA437" s="17"/>
      <c r="BB437" s="52"/>
      <c r="BC437" s="17"/>
      <c r="BD437" s="247"/>
      <c r="BE437" s="247"/>
      <c r="BF437" s="247"/>
      <c r="BG437" s="17"/>
      <c r="BH437" s="17"/>
      <c r="BI437" s="17"/>
      <c r="BJ437" s="252">
        <v>4400000</v>
      </c>
      <c r="BK437" s="247">
        <f t="shared" si="154"/>
        <v>836000</v>
      </c>
      <c r="BL437" s="247">
        <f t="shared" si="155"/>
        <v>5236000</v>
      </c>
      <c r="BM437" s="191" t="s">
        <v>1738</v>
      </c>
      <c r="BN437" s="190" t="s">
        <v>1565</v>
      </c>
      <c r="BO437" s="17"/>
      <c r="BP437" s="247"/>
      <c r="BQ437" s="247"/>
      <c r="BR437" s="247"/>
      <c r="BS437" s="17"/>
      <c r="BT437" s="17"/>
      <c r="BU437" s="17"/>
      <c r="BV437" s="189"/>
      <c r="BW437" s="195"/>
      <c r="BX437" s="246"/>
      <c r="BY437" s="191"/>
      <c r="BZ437" s="190"/>
      <c r="CA437" s="190"/>
      <c r="CB437" s="247"/>
      <c r="CC437" s="247"/>
      <c r="CD437" s="247"/>
      <c r="CE437" s="17"/>
      <c r="CF437" s="17"/>
      <c r="CG437" s="17"/>
      <c r="CH437" s="247"/>
      <c r="CI437" s="247"/>
      <c r="CJ437" s="247"/>
      <c r="CK437" s="17"/>
      <c r="CL437" s="17"/>
      <c r="CM437" s="17"/>
      <c r="CN437" s="17"/>
      <c r="CO437" s="17"/>
      <c r="CP437" s="11"/>
      <c r="CQ437" s="11"/>
      <c r="CR437" s="11"/>
      <c r="CS437" s="11"/>
      <c r="CT437" s="247"/>
      <c r="CU437" s="247"/>
      <c r="CV437" s="247"/>
      <c r="CW437" s="11"/>
      <c r="CX437" s="11"/>
      <c r="CY437" s="11"/>
      <c r="CZ437" s="11"/>
      <c r="DA437" s="11"/>
      <c r="DB437" s="11"/>
      <c r="DC437" s="11"/>
      <c r="DD437" s="11"/>
      <c r="DE437" s="11"/>
      <c r="DF437" s="11"/>
      <c r="DG437" s="11"/>
      <c r="DH437" s="11"/>
      <c r="DI437" s="11"/>
      <c r="DJ437" s="11"/>
      <c r="DK437" s="11"/>
      <c r="DL437" s="247"/>
      <c r="DM437" s="247"/>
      <c r="DN437" s="247"/>
      <c r="DO437" s="247"/>
      <c r="DP437" s="247"/>
      <c r="DQ437" s="247"/>
      <c r="DR437" s="247"/>
      <c r="DS437" s="247"/>
      <c r="DT437" s="247"/>
      <c r="DU437" s="247"/>
      <c r="DV437" s="247"/>
      <c r="DW437" s="247"/>
      <c r="DX437" s="247"/>
      <c r="DY437" s="247"/>
      <c r="DZ437" s="247"/>
      <c r="EA437" s="247"/>
      <c r="EB437" s="247"/>
      <c r="EC437" s="247"/>
      <c r="ED437" s="17">
        <f t="shared" si="156"/>
        <v>8159825.6366666667</v>
      </c>
      <c r="EE437" s="29">
        <f t="shared" si="157"/>
        <v>2</v>
      </c>
      <c r="EF437" s="17">
        <f t="shared" si="158"/>
        <v>4079912.8183333334</v>
      </c>
    </row>
    <row r="438" spans="1:138" ht="76.5" x14ac:dyDescent="0.25">
      <c r="A438" s="25">
        <f>Distribución_Elementos!A438</f>
        <v>436</v>
      </c>
      <c r="B438" s="22" t="str">
        <f>Distribución_Elementos!B438</f>
        <v>Punta 200 µl amarilla compatibles con micropipetas de las marcas (Socorex , axygen, capp bravo) resistentes a autoclavado</v>
      </c>
      <c r="C438" s="22" t="str">
        <f>Distribución_Elementos!C438</f>
        <v>Socorex, Axygen, Cap Bravo o equivalentes</v>
      </c>
      <c r="D438" s="22" t="str">
        <f>Distribución_Elementos!D438</f>
        <v>Bolsa x 1000</v>
      </c>
      <c r="E438" s="224">
        <v>1</v>
      </c>
      <c r="F438" s="221">
        <v>0</v>
      </c>
      <c r="G438" s="221">
        <v>0</v>
      </c>
      <c r="H438" s="221">
        <v>0</v>
      </c>
      <c r="I438" s="221">
        <v>0</v>
      </c>
      <c r="J438" s="221">
        <v>0</v>
      </c>
      <c r="K438" s="221">
        <v>0</v>
      </c>
      <c r="L438" s="247"/>
      <c r="M438" s="247"/>
      <c r="N438" s="227">
        <v>65000</v>
      </c>
      <c r="O438" s="119">
        <f>+N438*0.19</f>
        <v>12350</v>
      </c>
      <c r="P438" s="119">
        <f>+N438+O438</f>
        <v>77350</v>
      </c>
      <c r="Q438" s="115"/>
      <c r="R438" s="115"/>
      <c r="S438" s="11"/>
      <c r="T438" s="247">
        <v>24970.000000000004</v>
      </c>
      <c r="U438" s="247">
        <f>+T438*0.19</f>
        <v>4744.3000000000011</v>
      </c>
      <c r="V438" s="247">
        <f>+T438+U438</f>
        <v>29714.300000000003</v>
      </c>
      <c r="W438" s="17" t="s">
        <v>1725</v>
      </c>
      <c r="X438" s="11" t="s">
        <v>1517</v>
      </c>
      <c r="Y438" s="11"/>
      <c r="Z438" s="247"/>
      <c r="AA438" s="247"/>
      <c r="AB438" s="247"/>
      <c r="AC438" s="44"/>
      <c r="AD438" s="22"/>
      <c r="AE438" s="17"/>
      <c r="AF438" s="247"/>
      <c r="AG438" s="247"/>
      <c r="AH438" s="151"/>
      <c r="AI438" s="22"/>
      <c r="AJ438" s="17"/>
      <c r="AK438" s="17"/>
      <c r="AL438" s="102"/>
      <c r="AM438" s="132"/>
      <c r="AN438" s="132"/>
      <c r="AO438" s="115"/>
      <c r="AP438" s="115"/>
      <c r="AQ438" s="17"/>
      <c r="AR438" s="247"/>
      <c r="AS438" s="247"/>
      <c r="AT438" s="247"/>
      <c r="AU438" s="17"/>
      <c r="AV438" s="17"/>
      <c r="AW438" s="17"/>
      <c r="AX438" s="247"/>
      <c r="AY438" s="247"/>
      <c r="AZ438" s="247"/>
      <c r="BA438" s="17"/>
      <c r="BB438" s="52"/>
      <c r="BC438" s="17"/>
      <c r="BD438" s="102">
        <v>56650</v>
      </c>
      <c r="BE438" s="247">
        <f>+BD438*0.19</f>
        <v>10763.5</v>
      </c>
      <c r="BF438" s="247">
        <f>+BD438+BE438</f>
        <v>67413.5</v>
      </c>
      <c r="BG438" s="25" t="s">
        <v>1727</v>
      </c>
      <c r="BH438" s="5" t="s">
        <v>1739</v>
      </c>
      <c r="BI438" s="5" t="s">
        <v>1740</v>
      </c>
      <c r="BJ438" s="247">
        <v>100800</v>
      </c>
      <c r="BK438" s="247">
        <f t="shared" si="154"/>
        <v>19152</v>
      </c>
      <c r="BL438" s="247">
        <f t="shared" si="155"/>
        <v>119952</v>
      </c>
      <c r="BM438" s="191" t="s">
        <v>1741</v>
      </c>
      <c r="BN438" s="190" t="s">
        <v>387</v>
      </c>
      <c r="BO438" s="17"/>
      <c r="BP438" s="247"/>
      <c r="BQ438" s="247"/>
      <c r="BR438" s="247"/>
      <c r="BS438" s="17"/>
      <c r="BT438" s="17"/>
      <c r="BU438" s="17"/>
      <c r="BV438" s="189">
        <v>111113.25120000001</v>
      </c>
      <c r="BW438" s="195">
        <f t="shared" si="150"/>
        <v>21111.517728000003</v>
      </c>
      <c r="BX438" s="246">
        <f t="shared" si="151"/>
        <v>132224.768928</v>
      </c>
      <c r="BY438" s="191" t="s">
        <v>1741</v>
      </c>
      <c r="BZ438" s="190" t="s">
        <v>387</v>
      </c>
      <c r="CA438" s="190"/>
      <c r="CB438" s="247"/>
      <c r="CC438" s="247"/>
      <c r="CD438" s="247"/>
      <c r="CE438" s="17"/>
      <c r="CF438" s="17"/>
      <c r="CG438" s="17"/>
      <c r="CH438" s="247"/>
      <c r="CI438" s="247"/>
      <c r="CJ438" s="247"/>
      <c r="CK438" s="17"/>
      <c r="CL438" s="17"/>
      <c r="CM438" s="17"/>
      <c r="CN438" s="17"/>
      <c r="CO438" s="17"/>
      <c r="CP438" s="11"/>
      <c r="CQ438" s="11"/>
      <c r="CR438" s="11"/>
      <c r="CS438" s="11"/>
      <c r="CT438" s="247"/>
      <c r="CU438" s="247"/>
      <c r="CV438" s="247"/>
      <c r="CW438" s="11"/>
      <c r="CX438" s="11"/>
      <c r="CY438" s="11"/>
      <c r="CZ438" s="11"/>
      <c r="DA438" s="11"/>
      <c r="DB438" s="11"/>
      <c r="DC438" s="11"/>
      <c r="DD438" s="11"/>
      <c r="DE438" s="11"/>
      <c r="DF438" s="11"/>
      <c r="DG438" s="11"/>
      <c r="DH438" s="11"/>
      <c r="DI438" s="11"/>
      <c r="DJ438" s="11"/>
      <c r="DK438" s="11"/>
      <c r="DL438" s="247"/>
      <c r="DM438" s="247"/>
      <c r="DN438" s="247"/>
      <c r="DO438" s="247"/>
      <c r="DP438" s="247"/>
      <c r="DQ438" s="247"/>
      <c r="DR438" s="247"/>
      <c r="DS438" s="247"/>
      <c r="DT438" s="247"/>
      <c r="DU438" s="247"/>
      <c r="DV438" s="247"/>
      <c r="DW438" s="247"/>
      <c r="DX438" s="247"/>
      <c r="DY438" s="247"/>
      <c r="DZ438" s="247"/>
      <c r="EA438" s="247"/>
      <c r="EB438" s="247"/>
      <c r="EC438" s="247"/>
      <c r="ED438" s="17">
        <f t="shared" si="156"/>
        <v>426654.56892799999</v>
      </c>
      <c r="EE438" s="29">
        <f t="shared" si="157"/>
        <v>5</v>
      </c>
      <c r="EF438" s="17">
        <f t="shared" si="158"/>
        <v>85330.913785600002</v>
      </c>
    </row>
    <row r="439" spans="1:138" ht="63.75" x14ac:dyDescent="0.25">
      <c r="A439" s="25">
        <f>Distribución_Elementos!A439</f>
        <v>437</v>
      </c>
      <c r="B439" s="22" t="str">
        <f>Distribución_Elementos!B439</f>
        <v>Punta 200 µl con filtro libre de Dnasa y Rnasa</v>
      </c>
      <c r="C439" s="22" t="str">
        <f>Distribución_Elementos!C439</f>
        <v>TipOne</v>
      </c>
      <c r="D439" s="22" t="str">
        <f>Distribución_Elementos!D439</f>
        <v>Caja x 10 racks x 96</v>
      </c>
      <c r="E439" s="224">
        <v>1</v>
      </c>
      <c r="F439" s="221">
        <v>467852.46666666667</v>
      </c>
      <c r="G439" s="221">
        <v>460768</v>
      </c>
      <c r="H439" s="221">
        <v>400994.69666666671</v>
      </c>
      <c r="I439" s="221">
        <v>400911</v>
      </c>
      <c r="J439" s="221">
        <v>412958.4298438023</v>
      </c>
      <c r="K439" s="221">
        <v>0</v>
      </c>
      <c r="L439" s="247">
        <f>AVERAGE(F439,H439,J439)</f>
        <v>427268.53105904517</v>
      </c>
      <c r="M439" s="247">
        <f>AVERAGE(G439,I439)*E1</f>
        <v>443764.685</v>
      </c>
      <c r="N439" s="227"/>
      <c r="O439" s="120"/>
      <c r="P439" s="119"/>
      <c r="Q439" s="115"/>
      <c r="R439" s="115"/>
      <c r="S439" s="11"/>
      <c r="T439" s="247"/>
      <c r="U439" s="247"/>
      <c r="V439" s="247"/>
      <c r="W439" s="17"/>
      <c r="X439" s="11"/>
      <c r="Y439" s="11"/>
      <c r="Z439" s="247">
        <v>425000</v>
      </c>
      <c r="AA439" s="247">
        <f>+Z439*0.19</f>
        <v>80750</v>
      </c>
      <c r="AB439" s="247">
        <f>+Z439+AA439</f>
        <v>505750</v>
      </c>
      <c r="AC439" s="5" t="s">
        <v>1718</v>
      </c>
      <c r="AD439" s="22" t="s">
        <v>1579</v>
      </c>
      <c r="AE439" s="17"/>
      <c r="AF439" s="247"/>
      <c r="AG439" s="247"/>
      <c r="AH439" s="151"/>
      <c r="AI439" s="4"/>
      <c r="AJ439" s="17"/>
      <c r="AK439" s="17"/>
      <c r="AL439" s="102"/>
      <c r="AM439" s="132"/>
      <c r="AN439" s="161"/>
      <c r="AO439" s="115"/>
      <c r="AP439" s="115"/>
      <c r="AQ439" s="17"/>
      <c r="AR439" s="247"/>
      <c r="AS439" s="247"/>
      <c r="AT439" s="247"/>
      <c r="AU439" s="17"/>
      <c r="AV439" s="17"/>
      <c r="AW439" s="17"/>
      <c r="AX439" s="247"/>
      <c r="AY439" s="247"/>
      <c r="AZ439" s="247"/>
      <c r="BA439" s="17"/>
      <c r="BB439" s="52"/>
      <c r="BC439" s="17"/>
      <c r="BD439" s="102">
        <v>260590</v>
      </c>
      <c r="BE439" s="247">
        <f>+BD439*0.19</f>
        <v>49512.1</v>
      </c>
      <c r="BF439" s="247">
        <f>+BD439+BE439</f>
        <v>310102.09999999998</v>
      </c>
      <c r="BG439" s="25" t="s">
        <v>1719</v>
      </c>
      <c r="BH439" s="5" t="s">
        <v>1742</v>
      </c>
      <c r="BI439" s="5" t="s">
        <v>1743</v>
      </c>
      <c r="BJ439" s="247">
        <v>723400</v>
      </c>
      <c r="BK439" s="247">
        <f t="shared" si="154"/>
        <v>137446</v>
      </c>
      <c r="BL439" s="247">
        <f t="shared" si="155"/>
        <v>860846</v>
      </c>
      <c r="BM439" s="191" t="s">
        <v>1719</v>
      </c>
      <c r="BN439" s="190" t="s">
        <v>1565</v>
      </c>
      <c r="BO439" s="17"/>
      <c r="BP439" s="247"/>
      <c r="BQ439" s="247"/>
      <c r="BR439" s="247"/>
      <c r="BS439" s="17"/>
      <c r="BT439" s="17"/>
      <c r="BU439" s="17"/>
      <c r="BV439" s="189">
        <v>813049.51520000002</v>
      </c>
      <c r="BW439" s="195">
        <f t="shared" si="150"/>
        <v>154479.40788800002</v>
      </c>
      <c r="BX439" s="246">
        <f t="shared" si="151"/>
        <v>967528.92308800004</v>
      </c>
      <c r="BY439" s="191" t="s">
        <v>1719</v>
      </c>
      <c r="BZ439" s="190" t="s">
        <v>1565</v>
      </c>
      <c r="CA439" s="190"/>
      <c r="CB439" s="247"/>
      <c r="CC439" s="247"/>
      <c r="CD439" s="247"/>
      <c r="CE439" s="17"/>
      <c r="CF439" s="17"/>
      <c r="CG439" s="17"/>
      <c r="CH439" s="247"/>
      <c r="CI439" s="247"/>
      <c r="CJ439" s="247"/>
      <c r="CK439" s="17"/>
      <c r="CL439" s="17"/>
      <c r="CM439" s="17"/>
      <c r="CN439" s="17"/>
      <c r="CO439" s="17"/>
      <c r="CP439" s="11"/>
      <c r="CQ439" s="11"/>
      <c r="CR439" s="11"/>
      <c r="CS439" s="11"/>
      <c r="CT439" s="247"/>
      <c r="CU439" s="247"/>
      <c r="CV439" s="247"/>
      <c r="CW439" s="11"/>
      <c r="CX439" s="11"/>
      <c r="CY439" s="11"/>
      <c r="CZ439" s="11"/>
      <c r="DA439" s="11"/>
      <c r="DB439" s="11"/>
      <c r="DC439" s="11"/>
      <c r="DD439" s="11"/>
      <c r="DE439" s="11"/>
      <c r="DF439" s="11"/>
      <c r="DG439" s="11"/>
      <c r="DH439" s="11"/>
      <c r="DI439" s="11"/>
      <c r="DJ439" s="11"/>
      <c r="DK439" s="11"/>
      <c r="DL439" s="247"/>
      <c r="DM439" s="247"/>
      <c r="DN439" s="247"/>
      <c r="DO439" s="247"/>
      <c r="DP439" s="247"/>
      <c r="DQ439" s="247"/>
      <c r="DR439" s="247"/>
      <c r="DS439" s="247"/>
      <c r="DT439" s="247"/>
      <c r="DU439" s="247"/>
      <c r="DV439" s="247"/>
      <c r="DW439" s="247"/>
      <c r="DX439" s="247"/>
      <c r="DY439" s="247"/>
      <c r="DZ439" s="247"/>
      <c r="EA439" s="247"/>
      <c r="EB439" s="247"/>
      <c r="EC439" s="247"/>
      <c r="ED439" s="17">
        <f t="shared" si="156"/>
        <v>3087991.7080880003</v>
      </c>
      <c r="EE439" s="29">
        <f t="shared" si="157"/>
        <v>5</v>
      </c>
      <c r="EF439" s="17">
        <f t="shared" si="158"/>
        <v>617598.34161760006</v>
      </c>
    </row>
    <row r="440" spans="1:138" ht="63.75" x14ac:dyDescent="0.25">
      <c r="A440" s="25">
        <f>Distribución_Elementos!A440</f>
        <v>438</v>
      </c>
      <c r="B440" s="22" t="str">
        <f>Distribución_Elementos!B440</f>
        <v>Punta 2-100 µl blanca con filtro</v>
      </c>
      <c r="C440" s="22" t="str">
        <f>Distribución_Elementos!C440</f>
        <v>Eppendorf 0030 077.547</v>
      </c>
      <c r="D440" s="22" t="str">
        <f>Distribución_Elementos!D440</f>
        <v>Caja x 10 racks x 96</v>
      </c>
      <c r="E440" s="224">
        <v>1</v>
      </c>
      <c r="F440" s="221">
        <v>454294.4</v>
      </c>
      <c r="G440" s="221">
        <v>0</v>
      </c>
      <c r="H440" s="221">
        <v>499068.94333333336</v>
      </c>
      <c r="I440" s="221">
        <v>0</v>
      </c>
      <c r="J440" s="221">
        <v>552160</v>
      </c>
      <c r="K440" s="221">
        <v>0</v>
      </c>
      <c r="L440" s="247">
        <f>AVERAGE(F440,H440,J440)</f>
        <v>501841.11444444442</v>
      </c>
      <c r="M440" s="247"/>
      <c r="N440" s="227"/>
      <c r="O440" s="121"/>
      <c r="P440" s="119"/>
      <c r="Q440" s="115"/>
      <c r="R440" s="115"/>
      <c r="S440" s="11"/>
      <c r="T440" s="247"/>
      <c r="U440" s="247"/>
      <c r="V440" s="247"/>
      <c r="W440" s="17"/>
      <c r="X440" s="11"/>
      <c r="Y440" s="11"/>
      <c r="Z440" s="247">
        <v>425000</v>
      </c>
      <c r="AA440" s="247">
        <f>+Z440*0.19</f>
        <v>80750</v>
      </c>
      <c r="AB440" s="247">
        <f>+Z440+AA440</f>
        <v>505750</v>
      </c>
      <c r="AC440" s="5" t="s">
        <v>1718</v>
      </c>
      <c r="AD440" s="22" t="s">
        <v>1579</v>
      </c>
      <c r="AE440" s="17"/>
      <c r="AF440" s="247"/>
      <c r="AG440" s="247"/>
      <c r="AH440" s="151"/>
      <c r="AI440" s="4"/>
      <c r="AJ440" s="17"/>
      <c r="AK440" s="17"/>
      <c r="AL440" s="102"/>
      <c r="AM440" s="132"/>
      <c r="AN440" s="161"/>
      <c r="AO440" s="115"/>
      <c r="AP440" s="115"/>
      <c r="AQ440" s="17"/>
      <c r="AR440" s="247"/>
      <c r="AS440" s="247"/>
      <c r="AT440" s="247"/>
      <c r="AU440" s="17"/>
      <c r="AV440" s="17"/>
      <c r="AW440" s="17"/>
      <c r="AX440" s="247"/>
      <c r="AY440" s="247"/>
      <c r="AZ440" s="247"/>
      <c r="BA440" s="17"/>
      <c r="BB440" s="52"/>
      <c r="BC440" s="17"/>
      <c r="BD440" s="102">
        <v>260590</v>
      </c>
      <c r="BE440" s="247">
        <f>+BD440*0.19</f>
        <v>49512.1</v>
      </c>
      <c r="BF440" s="247">
        <f>+BD440+BE440</f>
        <v>310102.09999999998</v>
      </c>
      <c r="BG440" s="25" t="s">
        <v>1719</v>
      </c>
      <c r="BH440" s="5" t="s">
        <v>1736</v>
      </c>
      <c r="BI440" s="5" t="s">
        <v>1737</v>
      </c>
      <c r="BJ440" s="247">
        <v>723400</v>
      </c>
      <c r="BK440" s="247">
        <f t="shared" si="154"/>
        <v>137446</v>
      </c>
      <c r="BL440" s="247">
        <f t="shared" si="155"/>
        <v>860846</v>
      </c>
      <c r="BM440" s="191" t="s">
        <v>1719</v>
      </c>
      <c r="BN440" s="190" t="s">
        <v>1565</v>
      </c>
      <c r="BO440" s="17"/>
      <c r="BP440" s="247"/>
      <c r="BQ440" s="247"/>
      <c r="BR440" s="247"/>
      <c r="BS440" s="17"/>
      <c r="BT440" s="17"/>
      <c r="BU440" s="17"/>
      <c r="BV440" s="189">
        <v>844647.6272000001</v>
      </c>
      <c r="BW440" s="195">
        <f t="shared" si="150"/>
        <v>160483.04916800003</v>
      </c>
      <c r="BX440" s="246">
        <f t="shared" si="151"/>
        <v>1005130.6763680001</v>
      </c>
      <c r="BY440" s="191" t="s">
        <v>1719</v>
      </c>
      <c r="BZ440" s="190" t="s">
        <v>1565</v>
      </c>
      <c r="CA440" s="190"/>
      <c r="CB440" s="247"/>
      <c r="CC440" s="247"/>
      <c r="CD440" s="247"/>
      <c r="CE440" s="17"/>
      <c r="CF440" s="17"/>
      <c r="CG440" s="17"/>
      <c r="CH440" s="247"/>
      <c r="CI440" s="247"/>
      <c r="CJ440" s="247"/>
      <c r="CK440" s="17"/>
      <c r="CL440" s="17"/>
      <c r="CM440" s="17"/>
      <c r="CN440" s="17"/>
      <c r="CO440" s="17"/>
      <c r="CP440" s="11"/>
      <c r="CQ440" s="11"/>
      <c r="CR440" s="11"/>
      <c r="CS440" s="11"/>
      <c r="CT440" s="247"/>
      <c r="CU440" s="247"/>
      <c r="CV440" s="247"/>
      <c r="CW440" s="11"/>
      <c r="CX440" s="11"/>
      <c r="CY440" s="11"/>
      <c r="CZ440" s="11"/>
      <c r="DA440" s="11"/>
      <c r="DB440" s="11"/>
      <c r="DC440" s="11"/>
      <c r="DD440" s="11"/>
      <c r="DE440" s="11"/>
      <c r="DF440" s="11"/>
      <c r="DG440" s="11"/>
      <c r="DH440" s="11"/>
      <c r="DI440" s="11"/>
      <c r="DJ440" s="11"/>
      <c r="DK440" s="11"/>
      <c r="DL440" s="247"/>
      <c r="DM440" s="247"/>
      <c r="DN440" s="247"/>
      <c r="DO440" s="247"/>
      <c r="DP440" s="247"/>
      <c r="DQ440" s="247"/>
      <c r="DR440" s="247"/>
      <c r="DS440" s="247"/>
      <c r="DT440" s="247"/>
      <c r="DU440" s="247"/>
      <c r="DV440" s="247"/>
      <c r="DW440" s="247"/>
      <c r="DX440" s="247"/>
      <c r="DY440" s="247"/>
      <c r="DZ440" s="247"/>
      <c r="EA440" s="247"/>
      <c r="EB440" s="247"/>
      <c r="EC440" s="247"/>
      <c r="ED440" s="17">
        <f t="shared" si="156"/>
        <v>2681828.7763680001</v>
      </c>
      <c r="EE440" s="29">
        <f t="shared" si="157"/>
        <v>4</v>
      </c>
      <c r="EF440" s="17">
        <f t="shared" si="158"/>
        <v>670457.19409200002</v>
      </c>
    </row>
    <row r="441" spans="1:138" ht="63.75" x14ac:dyDescent="0.25">
      <c r="A441" s="25">
        <f>Distribución_Elementos!A441</f>
        <v>439</v>
      </c>
      <c r="B441" s="22" t="str">
        <f>Distribución_Elementos!B441</f>
        <v>Punta 2-20 µl blanca con filtro</v>
      </c>
      <c r="C441" s="22" t="str">
        <f>Distribución_Elementos!C441</f>
        <v>Eppendorf 0030 077.539 o compatible con micropipetas Eppendorf</v>
      </c>
      <c r="D441" s="22" t="str">
        <f>Distribución_Elementos!D441</f>
        <v>Caja x 10 racks x 96</v>
      </c>
      <c r="E441" s="224">
        <v>1</v>
      </c>
      <c r="F441" s="221">
        <v>470894.9</v>
      </c>
      <c r="G441" s="221">
        <v>0</v>
      </c>
      <c r="H441" s="221">
        <v>318735.15333333332</v>
      </c>
      <c r="I441" s="221">
        <v>0</v>
      </c>
      <c r="J441" s="221">
        <v>411430.30305875541</v>
      </c>
      <c r="K441" s="221">
        <v>410500</v>
      </c>
      <c r="L441" s="247">
        <f>AVERAGE(F441,H441,J441)</f>
        <v>400353.45213069627</v>
      </c>
      <c r="M441" s="247">
        <f>K441*E1</f>
        <v>422815</v>
      </c>
      <c r="N441" s="227"/>
      <c r="O441" s="119"/>
      <c r="P441" s="119"/>
      <c r="Q441" s="115"/>
      <c r="R441" s="115"/>
      <c r="S441" s="11"/>
      <c r="T441" s="247"/>
      <c r="U441" s="247"/>
      <c r="V441" s="247"/>
      <c r="W441" s="17"/>
      <c r="X441" s="11"/>
      <c r="Y441" s="11"/>
      <c r="Z441" s="247">
        <v>425000</v>
      </c>
      <c r="AA441" s="247">
        <f>+Z441*0.19</f>
        <v>80750</v>
      </c>
      <c r="AB441" s="247">
        <f>+Z441+AA441</f>
        <v>505750</v>
      </c>
      <c r="AC441" s="5" t="s">
        <v>1718</v>
      </c>
      <c r="AD441" s="22" t="s">
        <v>1579</v>
      </c>
      <c r="AE441" s="17"/>
      <c r="AF441" s="247"/>
      <c r="AG441" s="247"/>
      <c r="AH441" s="151"/>
      <c r="AI441" s="4"/>
      <c r="AJ441" s="17"/>
      <c r="AK441" s="17"/>
      <c r="AL441" s="102"/>
      <c r="AM441" s="132"/>
      <c r="AN441" s="161"/>
      <c r="AO441" s="115"/>
      <c r="AP441" s="115"/>
      <c r="AQ441" s="17"/>
      <c r="AR441" s="247"/>
      <c r="AS441" s="247"/>
      <c r="AT441" s="247"/>
      <c r="AU441" s="17"/>
      <c r="AV441" s="17"/>
      <c r="AW441" s="17"/>
      <c r="AX441" s="247"/>
      <c r="AY441" s="247"/>
      <c r="AZ441" s="247"/>
      <c r="BA441" s="17"/>
      <c r="BB441" s="52"/>
      <c r="BC441" s="17"/>
      <c r="BD441" s="102">
        <v>260590</v>
      </c>
      <c r="BE441" s="247">
        <f>+BD441*0.19</f>
        <v>49512.1</v>
      </c>
      <c r="BF441" s="247">
        <f>+BD441+BE441</f>
        <v>310102.09999999998</v>
      </c>
      <c r="BG441" s="25" t="s">
        <v>1719</v>
      </c>
      <c r="BH441" s="5" t="s">
        <v>1723</v>
      </c>
      <c r="BI441" s="5" t="s">
        <v>1724</v>
      </c>
      <c r="BJ441" s="247">
        <v>704300</v>
      </c>
      <c r="BK441" s="247">
        <f t="shared" si="154"/>
        <v>133817</v>
      </c>
      <c r="BL441" s="247">
        <f t="shared" si="155"/>
        <v>838117</v>
      </c>
      <c r="BM441" s="191" t="s">
        <v>1719</v>
      </c>
      <c r="BN441" s="190" t="s">
        <v>1565</v>
      </c>
      <c r="BO441" s="17"/>
      <c r="BP441" s="247"/>
      <c r="BQ441" s="247"/>
      <c r="BR441" s="247"/>
      <c r="BS441" s="17"/>
      <c r="BT441" s="17"/>
      <c r="BU441" s="17"/>
      <c r="BV441" s="189">
        <v>791582.49040000001</v>
      </c>
      <c r="BW441" s="195">
        <f t="shared" si="150"/>
        <v>150400.67317600001</v>
      </c>
      <c r="BX441" s="246">
        <f t="shared" si="151"/>
        <v>941983.16357600002</v>
      </c>
      <c r="BY441" s="191" t="s">
        <v>1719</v>
      </c>
      <c r="BZ441" s="190" t="s">
        <v>1565</v>
      </c>
      <c r="CA441" s="190"/>
      <c r="CB441" s="247"/>
      <c r="CC441" s="247"/>
      <c r="CD441" s="247"/>
      <c r="CE441" s="17"/>
      <c r="CF441" s="17"/>
      <c r="CG441" s="17"/>
      <c r="CH441" s="247"/>
      <c r="CI441" s="247"/>
      <c r="CJ441" s="247"/>
      <c r="CK441" s="17"/>
      <c r="CL441" s="17"/>
      <c r="CM441" s="17"/>
      <c r="CN441" s="17"/>
      <c r="CO441" s="17"/>
      <c r="CP441" s="11"/>
      <c r="CQ441" s="11"/>
      <c r="CR441" s="11"/>
      <c r="CS441" s="11"/>
      <c r="CT441" s="247"/>
      <c r="CU441" s="247"/>
      <c r="CV441" s="247"/>
      <c r="CW441" s="11"/>
      <c r="CX441" s="11"/>
      <c r="CY441" s="11"/>
      <c r="CZ441" s="11"/>
      <c r="DA441" s="11"/>
      <c r="DB441" s="11"/>
      <c r="DC441" s="11"/>
      <c r="DD441" s="11"/>
      <c r="DE441" s="11"/>
      <c r="DF441" s="11"/>
      <c r="DG441" s="11"/>
      <c r="DH441" s="11"/>
      <c r="DI441" s="11"/>
      <c r="DJ441" s="11"/>
      <c r="DK441" s="11"/>
      <c r="DL441" s="247"/>
      <c r="DM441" s="247"/>
      <c r="DN441" s="247"/>
      <c r="DO441" s="247"/>
      <c r="DP441" s="247"/>
      <c r="DQ441" s="247"/>
      <c r="DR441" s="247"/>
      <c r="DS441" s="247"/>
      <c r="DT441" s="247"/>
      <c r="DU441" s="247"/>
      <c r="DV441" s="247"/>
      <c r="DW441" s="247"/>
      <c r="DX441" s="247"/>
      <c r="DY441" s="247"/>
      <c r="DZ441" s="247"/>
      <c r="EA441" s="247"/>
      <c r="EB441" s="247"/>
      <c r="EC441" s="247"/>
      <c r="ED441" s="17">
        <f t="shared" si="156"/>
        <v>3018767.263576</v>
      </c>
      <c r="EE441" s="29">
        <f t="shared" si="157"/>
        <v>5</v>
      </c>
      <c r="EF441" s="17">
        <f t="shared" si="158"/>
        <v>603753.45271520002</v>
      </c>
    </row>
    <row r="442" spans="1:138" ht="25.5" x14ac:dyDescent="0.25">
      <c r="A442" s="25">
        <f>Distribución_Elementos!A442</f>
        <v>440</v>
      </c>
      <c r="B442" s="22" t="str">
        <f>Distribución_Elementos!B442</f>
        <v>Punta 250 µl Universal</v>
      </c>
      <c r="C442" s="22" t="str">
        <f>Distribución_Elementos!C442</f>
        <v xml:space="preserve">Thermo Fisher Scientific Finnitip 9400-260 </v>
      </c>
      <c r="D442" s="22" t="str">
        <f>Distribución_Elementos!D442</f>
        <v>Caja x 10 racks x 96</v>
      </c>
      <c r="E442" s="224">
        <v>1</v>
      </c>
      <c r="F442" s="221">
        <v>571319</v>
      </c>
      <c r="G442" s="221">
        <v>554064</v>
      </c>
      <c r="H442" s="221">
        <v>527792.79840000009</v>
      </c>
      <c r="I442" s="221">
        <v>527646</v>
      </c>
      <c r="J442" s="221">
        <v>450581.60000000003</v>
      </c>
      <c r="K442" s="221">
        <v>446250</v>
      </c>
      <c r="L442" s="247">
        <f>AVERAGE(F442,H442,J442)</f>
        <v>516564.46613333345</v>
      </c>
      <c r="M442" s="247">
        <f>AVERAGE(G442,I442,K442)*E1</f>
        <v>524599.6</v>
      </c>
      <c r="N442" s="227"/>
      <c r="O442" s="119"/>
      <c r="P442" s="119"/>
      <c r="Q442" s="115"/>
      <c r="R442" s="115"/>
      <c r="S442" s="11"/>
      <c r="T442" s="247"/>
      <c r="U442" s="247"/>
      <c r="V442" s="247"/>
      <c r="W442" s="17"/>
      <c r="X442" s="11"/>
      <c r="Y442" s="11"/>
      <c r="Z442" s="247"/>
      <c r="AA442" s="247"/>
      <c r="AB442" s="247"/>
      <c r="AC442" s="44"/>
      <c r="AD442" s="22"/>
      <c r="AE442" s="17"/>
      <c r="AF442" s="247"/>
      <c r="AG442" s="247"/>
      <c r="AH442" s="151"/>
      <c r="AI442" s="4"/>
      <c r="AJ442" s="17"/>
      <c r="AK442" s="17"/>
      <c r="AL442" s="102"/>
      <c r="AM442" s="132"/>
      <c r="AN442" s="161"/>
      <c r="AO442" s="115"/>
      <c r="AP442" s="115"/>
      <c r="AQ442" s="17"/>
      <c r="AR442" s="247"/>
      <c r="AS442" s="247"/>
      <c r="AT442" s="247"/>
      <c r="AU442" s="17"/>
      <c r="AV442" s="17"/>
      <c r="AW442" s="17"/>
      <c r="AX442" s="247"/>
      <c r="AY442" s="247"/>
      <c r="AZ442" s="247"/>
      <c r="BA442" s="17"/>
      <c r="BB442" s="52"/>
      <c r="BC442" s="17"/>
      <c r="BD442" s="247"/>
      <c r="BE442" s="247"/>
      <c r="BF442" s="247"/>
      <c r="BG442" s="17"/>
      <c r="BH442" s="17"/>
      <c r="BI442" s="17"/>
      <c r="BJ442" s="247">
        <v>303300</v>
      </c>
      <c r="BK442" s="247">
        <f t="shared" si="154"/>
        <v>57627</v>
      </c>
      <c r="BL442" s="247">
        <f t="shared" si="155"/>
        <v>360927</v>
      </c>
      <c r="BM442" s="191" t="s">
        <v>1719</v>
      </c>
      <c r="BN442" s="190" t="s">
        <v>1565</v>
      </c>
      <c r="BO442" s="17"/>
      <c r="BP442" s="247"/>
      <c r="BQ442" s="247"/>
      <c r="BR442" s="247"/>
      <c r="BS442" s="17"/>
      <c r="BT442" s="17"/>
      <c r="BU442" s="17"/>
      <c r="BV442" s="189">
        <v>334610.26560000004</v>
      </c>
      <c r="BW442" s="195">
        <f t="shared" si="150"/>
        <v>63575.950464000009</v>
      </c>
      <c r="BX442" s="246">
        <f t="shared" si="151"/>
        <v>398186.21606400004</v>
      </c>
      <c r="BY442" s="191" t="s">
        <v>1719</v>
      </c>
      <c r="BZ442" s="190" t="s">
        <v>1565</v>
      </c>
      <c r="CA442" s="190"/>
      <c r="CB442" s="247"/>
      <c r="CC442" s="247"/>
      <c r="CD442" s="247"/>
      <c r="CE442" s="17"/>
      <c r="CF442" s="17"/>
      <c r="CG442" s="17"/>
      <c r="CH442" s="247"/>
      <c r="CI442" s="247"/>
      <c r="CJ442" s="247"/>
      <c r="CK442" s="17"/>
      <c r="CL442" s="17"/>
      <c r="CM442" s="17"/>
      <c r="CN442" s="17"/>
      <c r="CO442" s="17"/>
      <c r="CP442" s="11"/>
      <c r="CQ442" s="11"/>
      <c r="CR442" s="11"/>
      <c r="CS442" s="11"/>
      <c r="CT442" s="247"/>
      <c r="CU442" s="247"/>
      <c r="CV442" s="247"/>
      <c r="CW442" s="11"/>
      <c r="CX442" s="11"/>
      <c r="CY442" s="11"/>
      <c r="CZ442" s="11"/>
      <c r="DA442" s="11"/>
      <c r="DB442" s="11"/>
      <c r="DC442" s="11"/>
      <c r="DD442" s="11"/>
      <c r="DE442" s="11"/>
      <c r="DF442" s="11"/>
      <c r="DG442" s="11"/>
      <c r="DH442" s="11"/>
      <c r="DI442" s="11"/>
      <c r="DJ442" s="11"/>
      <c r="DK442" s="11"/>
      <c r="DL442" s="247"/>
      <c r="DM442" s="247"/>
      <c r="DN442" s="247"/>
      <c r="DO442" s="247"/>
      <c r="DP442" s="247"/>
      <c r="DQ442" s="247"/>
      <c r="DR442" s="247"/>
      <c r="DS442" s="247"/>
      <c r="DT442" s="247"/>
      <c r="DU442" s="247"/>
      <c r="DV442" s="247"/>
      <c r="DW442" s="247"/>
      <c r="DX442" s="247"/>
      <c r="DY442" s="247"/>
      <c r="DZ442" s="247"/>
      <c r="EA442" s="247"/>
      <c r="EB442" s="247"/>
      <c r="EC442" s="247"/>
      <c r="ED442" s="17">
        <f t="shared" si="156"/>
        <v>1283712.8160640001</v>
      </c>
      <c r="EE442" s="29">
        <f t="shared" si="157"/>
        <v>3</v>
      </c>
      <c r="EF442" s="17">
        <f t="shared" si="158"/>
        <v>427904.2720213334</v>
      </c>
    </row>
    <row r="443" spans="1:138" ht="25.5" x14ac:dyDescent="0.25">
      <c r="A443" s="25">
        <f>Distribución_Elementos!A443</f>
        <v>441</v>
      </c>
      <c r="B443" s="22" t="str">
        <f>Distribución_Elementos!B443</f>
        <v xml:space="preserve">Punta 250 µl universal, autoclavables finntip </v>
      </c>
      <c r="C443" s="22" t="str">
        <f>Distribución_Elementos!C443</f>
        <v xml:space="preserve">Finnitip 9400-230, Fisher 21-377-45 </v>
      </c>
      <c r="D443" s="22" t="str">
        <f>Distribución_Elementos!D443</f>
        <v>Bolsa x 1000</v>
      </c>
      <c r="E443" s="224">
        <v>1</v>
      </c>
      <c r="F443" s="221">
        <v>282208.5</v>
      </c>
      <c r="G443" s="221">
        <v>282149</v>
      </c>
      <c r="H443" s="221">
        <v>330475.90356666665</v>
      </c>
      <c r="I443" s="221">
        <v>330344</v>
      </c>
      <c r="J443" s="221">
        <v>260702.22500000001</v>
      </c>
      <c r="K443" s="221">
        <v>260610</v>
      </c>
      <c r="L443" s="247">
        <f>AVERAGE(F443,H443,J443)</f>
        <v>291128.87618888885</v>
      </c>
      <c r="M443" s="247">
        <f>AVERAGE(G443,I443,K443)*E1</f>
        <v>299765.36333333334</v>
      </c>
      <c r="N443" s="227"/>
      <c r="O443" s="121"/>
      <c r="P443" s="119"/>
      <c r="Q443" s="115"/>
      <c r="R443" s="115"/>
      <c r="S443" s="11"/>
      <c r="T443" s="247"/>
      <c r="U443" s="247"/>
      <c r="V443" s="247"/>
      <c r="W443" s="17"/>
      <c r="X443" s="11"/>
      <c r="Y443" s="11"/>
      <c r="Z443" s="247"/>
      <c r="AA443" s="247"/>
      <c r="AB443" s="247"/>
      <c r="AC443" s="44"/>
      <c r="AD443" s="22"/>
      <c r="AE443" s="17"/>
      <c r="AF443" s="247"/>
      <c r="AG443" s="247"/>
      <c r="AH443" s="151"/>
      <c r="AI443" s="4"/>
      <c r="AJ443" s="17"/>
      <c r="AK443" s="17"/>
      <c r="AL443" s="102"/>
      <c r="AM443" s="132"/>
      <c r="AN443" s="132"/>
      <c r="AO443" s="115"/>
      <c r="AP443" s="115"/>
      <c r="AQ443" s="17"/>
      <c r="AR443" s="247"/>
      <c r="AS443" s="247"/>
      <c r="AT443" s="247"/>
      <c r="AU443" s="17"/>
      <c r="AV443" s="17"/>
      <c r="AW443" s="17"/>
      <c r="AX443" s="247"/>
      <c r="AY443" s="247"/>
      <c r="AZ443" s="247"/>
      <c r="BA443" s="17"/>
      <c r="BB443" s="52"/>
      <c r="BC443" s="17"/>
      <c r="BD443" s="247"/>
      <c r="BE443" s="247"/>
      <c r="BF443" s="247"/>
      <c r="BG443" s="17"/>
      <c r="BH443" s="17"/>
      <c r="BI443" s="17"/>
      <c r="BJ443" s="247">
        <v>500000</v>
      </c>
      <c r="BK443" s="247">
        <f t="shared" si="154"/>
        <v>95000</v>
      </c>
      <c r="BL443" s="247">
        <f t="shared" si="155"/>
        <v>595000</v>
      </c>
      <c r="BM443" s="191" t="s">
        <v>1741</v>
      </c>
      <c r="BN443" s="190" t="s">
        <v>387</v>
      </c>
      <c r="BO443" s="17"/>
      <c r="BP443" s="247"/>
      <c r="BQ443" s="247"/>
      <c r="BR443" s="247"/>
      <c r="BS443" s="17"/>
      <c r="BT443" s="17"/>
      <c r="BU443" s="17"/>
      <c r="BV443" s="189">
        <v>795218.05080000008</v>
      </c>
      <c r="BW443" s="195">
        <f t="shared" si="150"/>
        <v>151091.42965200002</v>
      </c>
      <c r="BX443" s="246">
        <f t="shared" si="151"/>
        <v>946309.48045200016</v>
      </c>
      <c r="BY443" s="191" t="s">
        <v>1741</v>
      </c>
      <c r="BZ443" s="190" t="s">
        <v>387</v>
      </c>
      <c r="CA443" s="190"/>
      <c r="CB443" s="247"/>
      <c r="CC443" s="247"/>
      <c r="CD443" s="247"/>
      <c r="CE443" s="17"/>
      <c r="CF443" s="17"/>
      <c r="CG443" s="17"/>
      <c r="CH443" s="247"/>
      <c r="CI443" s="247"/>
      <c r="CJ443" s="247"/>
      <c r="CK443" s="17"/>
      <c r="CL443" s="17"/>
      <c r="CM443" s="17"/>
      <c r="CN443" s="17"/>
      <c r="CO443" s="17"/>
      <c r="CP443" s="11"/>
      <c r="CQ443" s="11"/>
      <c r="CR443" s="11"/>
      <c r="CS443" s="11"/>
      <c r="CT443" s="247"/>
      <c r="CU443" s="247"/>
      <c r="CV443" s="247"/>
      <c r="CW443" s="11"/>
      <c r="CX443" s="11"/>
      <c r="CY443" s="11"/>
      <c r="CZ443" s="11"/>
      <c r="DA443" s="11"/>
      <c r="DB443" s="11"/>
      <c r="DC443" s="11"/>
      <c r="DD443" s="11"/>
      <c r="DE443" s="11"/>
      <c r="DF443" s="11"/>
      <c r="DG443" s="11"/>
      <c r="DH443" s="11"/>
      <c r="DI443" s="11"/>
      <c r="DJ443" s="11"/>
      <c r="DK443" s="11"/>
      <c r="DL443" s="247"/>
      <c r="DM443" s="247"/>
      <c r="DN443" s="247"/>
      <c r="DO443" s="247"/>
      <c r="DP443" s="247"/>
      <c r="DQ443" s="247"/>
      <c r="DR443" s="247"/>
      <c r="DS443" s="247"/>
      <c r="DT443" s="247"/>
      <c r="DU443" s="247"/>
      <c r="DV443" s="247"/>
      <c r="DW443" s="247"/>
      <c r="DX443" s="247"/>
      <c r="DY443" s="247"/>
      <c r="DZ443" s="247"/>
      <c r="EA443" s="247"/>
      <c r="EB443" s="247"/>
      <c r="EC443" s="247"/>
      <c r="ED443" s="17">
        <f t="shared" si="156"/>
        <v>1841074.8437853334</v>
      </c>
      <c r="EE443" s="29">
        <f t="shared" si="157"/>
        <v>3</v>
      </c>
      <c r="EF443" s="17">
        <f t="shared" si="158"/>
        <v>613691.61459511111</v>
      </c>
    </row>
    <row r="444" spans="1:138" ht="24" x14ac:dyDescent="0.25">
      <c r="A444" s="25">
        <f>Distribución_Elementos!A444</f>
        <v>442</v>
      </c>
      <c r="B444" s="22" t="str">
        <f>Distribución_Elementos!B444</f>
        <v>Punta 300 µl color transparente Finntip 300</v>
      </c>
      <c r="C444" s="22" t="str">
        <f>Distribución_Elementos!C444</f>
        <v>Labsystems 9401260</v>
      </c>
      <c r="D444" s="22" t="str">
        <f>Distribución_Elementos!D444</f>
        <v>Bolsa x 1000</v>
      </c>
      <c r="E444" s="224">
        <v>1</v>
      </c>
      <c r="F444" s="221">
        <v>542322.66666666663</v>
      </c>
      <c r="G444" s="221">
        <v>525980</v>
      </c>
      <c r="H444" s="221">
        <v>0</v>
      </c>
      <c r="I444" s="221">
        <v>0</v>
      </c>
      <c r="J444" s="221">
        <v>552279</v>
      </c>
      <c r="K444" s="221">
        <v>552160</v>
      </c>
      <c r="L444" s="247">
        <f>AVERAGE(F444,J444)</f>
        <v>547300.83333333326</v>
      </c>
      <c r="M444" s="247">
        <f>AVERAGE(G444,K444)*E1</f>
        <v>555242.1</v>
      </c>
      <c r="N444" s="227"/>
      <c r="O444" s="121"/>
      <c r="P444" s="119"/>
      <c r="Q444" s="115"/>
      <c r="R444" s="115"/>
      <c r="S444" s="11"/>
      <c r="T444" s="247"/>
      <c r="U444" s="247"/>
      <c r="V444" s="247"/>
      <c r="W444" s="17"/>
      <c r="X444" s="11"/>
      <c r="Y444" s="11"/>
      <c r="Z444" s="247"/>
      <c r="AA444" s="247"/>
      <c r="AB444" s="247"/>
      <c r="AC444" s="46"/>
      <c r="AD444" s="23"/>
      <c r="AE444" s="17"/>
      <c r="AF444" s="247"/>
      <c r="AG444" s="247"/>
      <c r="AH444" s="152"/>
      <c r="AI444" s="24"/>
      <c r="AJ444" s="17"/>
      <c r="AK444" s="17"/>
      <c r="AL444" s="102"/>
      <c r="AM444" s="132"/>
      <c r="AN444" s="161"/>
      <c r="AO444" s="115"/>
      <c r="AP444" s="115"/>
      <c r="AQ444" s="17"/>
      <c r="AR444" s="247"/>
      <c r="AS444" s="247"/>
      <c r="AT444" s="247"/>
      <c r="AU444" s="17"/>
      <c r="AV444" s="17"/>
      <c r="AW444" s="17"/>
      <c r="AX444" s="247"/>
      <c r="AY444" s="247"/>
      <c r="AZ444" s="247"/>
      <c r="BA444" s="17"/>
      <c r="BB444" s="52"/>
      <c r="BC444" s="17"/>
      <c r="BD444" s="247"/>
      <c r="BE444" s="247"/>
      <c r="BF444" s="247"/>
      <c r="BG444" s="17"/>
      <c r="BH444" s="17"/>
      <c r="BI444" s="17"/>
      <c r="BJ444" s="247">
        <v>770000</v>
      </c>
      <c r="BK444" s="247">
        <f t="shared" si="154"/>
        <v>146300</v>
      </c>
      <c r="BL444" s="247">
        <f t="shared" si="155"/>
        <v>916300</v>
      </c>
      <c r="BM444" s="191" t="s">
        <v>1741</v>
      </c>
      <c r="BN444" s="190" t="s">
        <v>387</v>
      </c>
      <c r="BO444" s="17"/>
      <c r="BP444" s="247"/>
      <c r="BQ444" s="247"/>
      <c r="BR444" s="247"/>
      <c r="BS444" s="17"/>
      <c r="BT444" s="17"/>
      <c r="BU444" s="17"/>
      <c r="BV444" s="189">
        <v>873993.12</v>
      </c>
      <c r="BW444" s="195">
        <f t="shared" si="150"/>
        <v>166058.69279999999</v>
      </c>
      <c r="BX444" s="246">
        <f t="shared" si="151"/>
        <v>1040051.8128</v>
      </c>
      <c r="BY444" s="191" t="s">
        <v>1741</v>
      </c>
      <c r="BZ444" s="190" t="s">
        <v>387</v>
      </c>
      <c r="CA444" s="190"/>
      <c r="CB444" s="247"/>
      <c r="CC444" s="247"/>
      <c r="CD444" s="247"/>
      <c r="CE444" s="17"/>
      <c r="CF444" s="17"/>
      <c r="CG444" s="17"/>
      <c r="CH444" s="247"/>
      <c r="CI444" s="247"/>
      <c r="CJ444" s="247"/>
      <c r="CK444" s="17"/>
      <c r="CL444" s="17"/>
      <c r="CM444" s="17"/>
      <c r="CN444" s="17"/>
      <c r="CO444" s="17"/>
      <c r="CP444" s="11"/>
      <c r="CQ444" s="11"/>
      <c r="CR444" s="11"/>
      <c r="CS444" s="11"/>
      <c r="CT444" s="247"/>
      <c r="CU444" s="247"/>
      <c r="CV444" s="247"/>
      <c r="CW444" s="11"/>
      <c r="CX444" s="11"/>
      <c r="CY444" s="11"/>
      <c r="CZ444" s="11"/>
      <c r="DA444" s="11"/>
      <c r="DB444" s="11"/>
      <c r="DC444" s="11"/>
      <c r="DD444" s="11"/>
      <c r="DE444" s="11"/>
      <c r="DF444" s="11"/>
      <c r="DG444" s="11"/>
      <c r="DH444" s="11"/>
      <c r="DI444" s="11"/>
      <c r="DJ444" s="11"/>
      <c r="DK444" s="11"/>
      <c r="DL444" s="247"/>
      <c r="DM444" s="247"/>
      <c r="DN444" s="247"/>
      <c r="DO444" s="247"/>
      <c r="DP444" s="247"/>
      <c r="DQ444" s="247"/>
      <c r="DR444" s="247"/>
      <c r="DS444" s="247"/>
      <c r="DT444" s="247"/>
      <c r="DU444" s="247"/>
      <c r="DV444" s="247"/>
      <c r="DW444" s="247"/>
      <c r="DX444" s="247"/>
      <c r="DY444" s="247"/>
      <c r="DZ444" s="247"/>
      <c r="EA444" s="247"/>
      <c r="EB444" s="247"/>
      <c r="EC444" s="247"/>
      <c r="ED444" s="17">
        <f t="shared" si="156"/>
        <v>2511593.9128</v>
      </c>
      <c r="EE444" s="29">
        <f t="shared" si="157"/>
        <v>3</v>
      </c>
      <c r="EF444" s="17">
        <f t="shared" si="158"/>
        <v>837197.97093333339</v>
      </c>
    </row>
    <row r="445" spans="1:138" ht="24" x14ac:dyDescent="0.25">
      <c r="A445" s="25">
        <f>Distribución_Elementos!A445</f>
        <v>443</v>
      </c>
      <c r="B445" s="22" t="str">
        <f>Distribución_Elementos!B445</f>
        <v>Punta 300 µl con filtro Finntip</v>
      </c>
      <c r="C445" s="22" t="str">
        <f>Distribución_Elementos!C445</f>
        <v>Labsystems 94052350</v>
      </c>
      <c r="D445" s="22" t="str">
        <f>Distribución_Elementos!D445</f>
        <v>Caja x 10 racks x 96</v>
      </c>
      <c r="E445" s="224">
        <v>1</v>
      </c>
      <c r="F445" s="221">
        <v>572374.1333333333</v>
      </c>
      <c r="G445" s="221">
        <v>572271</v>
      </c>
      <c r="H445" s="221">
        <v>0</v>
      </c>
      <c r="I445" s="221">
        <v>0</v>
      </c>
      <c r="J445" s="221">
        <v>600884.55000000005</v>
      </c>
      <c r="K445" s="221">
        <v>0</v>
      </c>
      <c r="L445" s="247">
        <f>AVERAGE(F445,J445)</f>
        <v>586629.34166666667</v>
      </c>
      <c r="M445" s="247">
        <f>G445*E1</f>
        <v>589439.13</v>
      </c>
      <c r="N445" s="227"/>
      <c r="O445" s="119"/>
      <c r="P445" s="119"/>
      <c r="Q445" s="115"/>
      <c r="R445" s="115"/>
      <c r="S445" s="11"/>
      <c r="T445" s="247"/>
      <c r="U445" s="247"/>
      <c r="V445" s="247"/>
      <c r="W445" s="17"/>
      <c r="X445" s="11"/>
      <c r="Y445" s="11"/>
      <c r="Z445" s="247"/>
      <c r="AA445" s="247"/>
      <c r="AB445" s="247"/>
      <c r="AC445" s="46"/>
      <c r="AD445" s="23"/>
      <c r="AE445" s="17"/>
      <c r="AF445" s="247"/>
      <c r="AG445" s="247"/>
      <c r="AH445" s="152"/>
      <c r="AI445" s="24"/>
      <c r="AJ445" s="17"/>
      <c r="AK445" s="17"/>
      <c r="AL445" s="102"/>
      <c r="AM445" s="132"/>
      <c r="AN445" s="161"/>
      <c r="AO445" s="115"/>
      <c r="AP445" s="115"/>
      <c r="AQ445" s="17"/>
      <c r="AR445" s="247"/>
      <c r="AS445" s="247"/>
      <c r="AT445" s="247"/>
      <c r="AU445" s="17"/>
      <c r="AV445" s="17"/>
      <c r="AW445" s="17"/>
      <c r="AX445" s="247"/>
      <c r="AY445" s="247"/>
      <c r="AZ445" s="247"/>
      <c r="BA445" s="17"/>
      <c r="BB445" s="52"/>
      <c r="BC445" s="17"/>
      <c r="BD445" s="247"/>
      <c r="BE445" s="247"/>
      <c r="BF445" s="247"/>
      <c r="BG445" s="17"/>
      <c r="BH445" s="17"/>
      <c r="BI445" s="17"/>
      <c r="BJ445" s="247">
        <v>1408500</v>
      </c>
      <c r="BK445" s="247">
        <f t="shared" si="154"/>
        <v>267615</v>
      </c>
      <c r="BL445" s="247">
        <f t="shared" si="155"/>
        <v>1676115</v>
      </c>
      <c r="BM445" s="191" t="s">
        <v>1719</v>
      </c>
      <c r="BN445" s="190" t="s">
        <v>387</v>
      </c>
      <c r="BO445" s="17"/>
      <c r="BP445" s="247"/>
      <c r="BQ445" s="247"/>
      <c r="BR445" s="247"/>
      <c r="BS445" s="17"/>
      <c r="BT445" s="17"/>
      <c r="BU445" s="17"/>
      <c r="BV445" s="189">
        <v>1494567.801</v>
      </c>
      <c r="BW445" s="195">
        <f t="shared" si="150"/>
        <v>283967.88218999997</v>
      </c>
      <c r="BX445" s="246">
        <f t="shared" si="151"/>
        <v>1778535.68319</v>
      </c>
      <c r="BY445" s="191" t="s">
        <v>1719</v>
      </c>
      <c r="BZ445" s="190" t="s">
        <v>387</v>
      </c>
      <c r="CA445" s="190"/>
      <c r="CB445" s="247"/>
      <c r="CC445" s="247"/>
      <c r="CD445" s="247"/>
      <c r="CE445" s="17"/>
      <c r="CF445" s="17"/>
      <c r="CG445" s="17"/>
      <c r="CH445" s="247"/>
      <c r="CI445" s="247"/>
      <c r="CJ445" s="247"/>
      <c r="CK445" s="17"/>
      <c r="CL445" s="17"/>
      <c r="CM445" s="17"/>
      <c r="CN445" s="17"/>
      <c r="CO445" s="17"/>
      <c r="CP445" s="11"/>
      <c r="CQ445" s="11"/>
      <c r="CR445" s="11"/>
      <c r="CS445" s="11"/>
      <c r="CT445" s="247"/>
      <c r="CU445" s="247"/>
      <c r="CV445" s="247"/>
      <c r="CW445" s="11"/>
      <c r="CX445" s="11"/>
      <c r="CY445" s="11"/>
      <c r="CZ445" s="11"/>
      <c r="DA445" s="11"/>
      <c r="DB445" s="11"/>
      <c r="DC445" s="11"/>
      <c r="DD445" s="11"/>
      <c r="DE445" s="11"/>
      <c r="DF445" s="11"/>
      <c r="DG445" s="11"/>
      <c r="DH445" s="11"/>
      <c r="DI445" s="11"/>
      <c r="DJ445" s="11"/>
      <c r="DK445" s="11"/>
      <c r="DL445" s="247"/>
      <c r="DM445" s="247"/>
      <c r="DN445" s="247"/>
      <c r="DO445" s="247"/>
      <c r="DP445" s="247"/>
      <c r="DQ445" s="247"/>
      <c r="DR445" s="247"/>
      <c r="DS445" s="247"/>
      <c r="DT445" s="247"/>
      <c r="DU445" s="247"/>
      <c r="DV445" s="247"/>
      <c r="DW445" s="247"/>
      <c r="DX445" s="247"/>
      <c r="DY445" s="247"/>
      <c r="DZ445" s="247"/>
      <c r="EA445" s="247"/>
      <c r="EB445" s="247"/>
      <c r="EC445" s="247"/>
      <c r="ED445" s="17">
        <f t="shared" si="156"/>
        <v>4044089.8131900001</v>
      </c>
      <c r="EE445" s="29">
        <f t="shared" si="157"/>
        <v>3</v>
      </c>
      <c r="EF445" s="17">
        <f t="shared" si="158"/>
        <v>1348029.9377300001</v>
      </c>
    </row>
    <row r="446" spans="1:138" ht="51" x14ac:dyDescent="0.25">
      <c r="A446" s="25">
        <f>Distribución_Elementos!A446</f>
        <v>444</v>
      </c>
      <c r="B446" s="22" t="str">
        <f>Distribución_Elementos!B446</f>
        <v>Punta 50-1000 µl azul sin esterilizar libre de Dnasas y Rnasas</v>
      </c>
      <c r="C446" s="22" t="str">
        <f>Distribución_Elementos!C446</f>
        <v xml:space="preserve">Brand 7320 12 </v>
      </c>
      <c r="D446" s="22" t="str">
        <f>Distribución_Elementos!D446</f>
        <v>Bolsa x 1000</v>
      </c>
      <c r="E446" s="224">
        <v>1</v>
      </c>
      <c r="F446" s="221">
        <v>87935.05</v>
      </c>
      <c r="G446" s="221">
        <v>84847</v>
      </c>
      <c r="H446" s="221">
        <v>95048.274999999994</v>
      </c>
      <c r="I446" s="221">
        <v>94962</v>
      </c>
      <c r="J446" s="221">
        <v>166902.43040530663</v>
      </c>
      <c r="K446" s="221">
        <v>166600</v>
      </c>
      <c r="L446" s="247">
        <f>AVERAGE(F446,H446,J446)</f>
        <v>116628.58513510221</v>
      </c>
      <c r="M446" s="247">
        <f>AVERAGE(G446,I446,K446)*E1</f>
        <v>118933.75666666667</v>
      </c>
      <c r="N446" s="227">
        <v>90000</v>
      </c>
      <c r="O446" s="119">
        <f t="shared" ref="O446:O453" si="159">+N446*0.19</f>
        <v>17100</v>
      </c>
      <c r="P446" s="119">
        <f t="shared" ref="P446:P453" si="160">+N446+O446</f>
        <v>107100</v>
      </c>
      <c r="Q446" s="115"/>
      <c r="R446" s="115"/>
      <c r="S446" s="11"/>
      <c r="T446" s="247"/>
      <c r="U446" s="247"/>
      <c r="V446" s="247"/>
      <c r="W446" s="17"/>
      <c r="X446" s="11"/>
      <c r="Y446" s="11"/>
      <c r="Z446" s="247">
        <v>320000</v>
      </c>
      <c r="AA446" s="247">
        <f>+Z446*0.19</f>
        <v>60800</v>
      </c>
      <c r="AB446" s="247">
        <f>+Z446+AA446</f>
        <v>380800</v>
      </c>
      <c r="AC446" s="5" t="s">
        <v>1718</v>
      </c>
      <c r="AD446" s="22" t="s">
        <v>1579</v>
      </c>
      <c r="AE446" s="17"/>
      <c r="AF446" s="247"/>
      <c r="AG446" s="247"/>
      <c r="AH446" s="152"/>
      <c r="AI446" s="24"/>
      <c r="AJ446" s="17"/>
      <c r="AK446" s="17"/>
      <c r="AL446" s="102"/>
      <c r="AM446" s="132"/>
      <c r="AN446" s="161"/>
      <c r="AO446" s="115"/>
      <c r="AP446" s="115"/>
      <c r="AQ446" s="17"/>
      <c r="AR446" s="247"/>
      <c r="AS446" s="247"/>
      <c r="AT446" s="247"/>
      <c r="AU446" s="17"/>
      <c r="AV446" s="17"/>
      <c r="AW446" s="17"/>
      <c r="AX446" s="247"/>
      <c r="AY446" s="247"/>
      <c r="AZ446" s="247"/>
      <c r="BA446" s="17"/>
      <c r="BB446" s="52"/>
      <c r="BC446" s="17"/>
      <c r="BD446" s="102">
        <v>61800</v>
      </c>
      <c r="BE446" s="247">
        <f>+BD446*0.19</f>
        <v>11742</v>
      </c>
      <c r="BF446" s="247">
        <f>+BD446+BE446</f>
        <v>73542</v>
      </c>
      <c r="BG446" s="25" t="s">
        <v>1727</v>
      </c>
      <c r="BH446" s="5" t="s">
        <v>1744</v>
      </c>
      <c r="BI446" s="5" t="s">
        <v>1745</v>
      </c>
      <c r="BJ446" s="247">
        <v>113200</v>
      </c>
      <c r="BK446" s="247">
        <f t="shared" si="154"/>
        <v>21508</v>
      </c>
      <c r="BL446" s="247">
        <f t="shared" si="155"/>
        <v>134708</v>
      </c>
      <c r="BM446" s="191" t="s">
        <v>1741</v>
      </c>
      <c r="BN446" s="190" t="s">
        <v>387</v>
      </c>
      <c r="BO446" s="17"/>
      <c r="BP446" s="247"/>
      <c r="BQ446" s="247"/>
      <c r="BR446" s="247"/>
      <c r="BS446" s="17"/>
      <c r="BT446" s="17"/>
      <c r="BU446" s="17"/>
      <c r="BV446" s="189">
        <v>122403.83920000002</v>
      </c>
      <c r="BW446" s="195">
        <f t="shared" si="150"/>
        <v>23256.729448000002</v>
      </c>
      <c r="BX446" s="246">
        <f t="shared" si="151"/>
        <v>145660.56864800001</v>
      </c>
      <c r="BY446" s="191" t="s">
        <v>1741</v>
      </c>
      <c r="BZ446" s="190" t="s">
        <v>387</v>
      </c>
      <c r="CA446" s="190"/>
      <c r="CB446" s="247"/>
      <c r="CC446" s="247"/>
      <c r="CD446" s="247"/>
      <c r="CE446" s="17"/>
      <c r="CF446" s="17"/>
      <c r="CG446" s="17"/>
      <c r="CH446" s="247"/>
      <c r="CI446" s="247"/>
      <c r="CJ446" s="247"/>
      <c r="CK446" s="17"/>
      <c r="CL446" s="17"/>
      <c r="CM446" s="17"/>
      <c r="CN446" s="17"/>
      <c r="CO446" s="17"/>
      <c r="CP446" s="11"/>
      <c r="CQ446" s="11"/>
      <c r="CR446" s="11"/>
      <c r="CS446" s="11"/>
      <c r="CT446" s="247"/>
      <c r="CU446" s="247"/>
      <c r="CV446" s="247"/>
      <c r="CW446" s="11"/>
      <c r="CX446" s="11"/>
      <c r="CY446" s="11"/>
      <c r="CZ446" s="11"/>
      <c r="DA446" s="11"/>
      <c r="DB446" s="11"/>
      <c r="DC446" s="11"/>
      <c r="DD446" s="11"/>
      <c r="DE446" s="11"/>
      <c r="DF446" s="11"/>
      <c r="DG446" s="11"/>
      <c r="DH446" s="11"/>
      <c r="DI446" s="11"/>
      <c r="DJ446" s="11"/>
      <c r="DK446" s="11"/>
      <c r="DL446" s="247"/>
      <c r="DM446" s="247"/>
      <c r="DN446" s="247"/>
      <c r="DO446" s="247"/>
      <c r="DP446" s="247"/>
      <c r="DQ446" s="247"/>
      <c r="DR446" s="247"/>
      <c r="DS446" s="247"/>
      <c r="DT446" s="247"/>
      <c r="DU446" s="247"/>
      <c r="DV446" s="247"/>
      <c r="DW446" s="247"/>
      <c r="DX446" s="247"/>
      <c r="DY446" s="247"/>
      <c r="DZ446" s="247"/>
      <c r="EA446" s="247"/>
      <c r="EB446" s="247"/>
      <c r="EC446" s="247"/>
      <c r="ED446" s="17">
        <f t="shared" si="156"/>
        <v>960744.32531466661</v>
      </c>
      <c r="EE446" s="29">
        <f t="shared" si="157"/>
        <v>6</v>
      </c>
      <c r="EF446" s="17">
        <f t="shared" si="158"/>
        <v>160124.0542191111</v>
      </c>
    </row>
    <row r="447" spans="1:138" ht="24" x14ac:dyDescent="0.25">
      <c r="A447" s="25">
        <f>Distribución_Elementos!A447</f>
        <v>445</v>
      </c>
      <c r="B447" s="22" t="str">
        <f>Distribución_Elementos!B447</f>
        <v xml:space="preserve">Punta Brand 10 µl o 20ul sin filtro </v>
      </c>
      <c r="C447" s="22" t="str">
        <f>Distribución_Elementos!C447</f>
        <v>Brand</v>
      </c>
      <c r="D447" s="22" t="str">
        <f>Distribución_Elementos!D447</f>
        <v>Caja x  5 racks x 96</v>
      </c>
      <c r="E447" s="224">
        <v>1</v>
      </c>
      <c r="F447" s="221">
        <v>0</v>
      </c>
      <c r="G447" s="221">
        <v>0</v>
      </c>
      <c r="H447" s="221">
        <v>0</v>
      </c>
      <c r="I447" s="221">
        <v>0</v>
      </c>
      <c r="J447" s="221">
        <v>426382.81777777779</v>
      </c>
      <c r="K447" s="221">
        <v>426020</v>
      </c>
      <c r="L447" s="247">
        <f>J447</f>
        <v>426382.81777777779</v>
      </c>
      <c r="M447" s="247">
        <f>K447*E1</f>
        <v>438800.60000000003</v>
      </c>
      <c r="N447" s="227">
        <v>460000</v>
      </c>
      <c r="O447" s="119">
        <f t="shared" si="159"/>
        <v>87400</v>
      </c>
      <c r="P447" s="119">
        <f t="shared" si="160"/>
        <v>547400</v>
      </c>
      <c r="Q447" s="115"/>
      <c r="R447" s="115"/>
      <c r="S447" s="11"/>
      <c r="T447" s="247"/>
      <c r="U447" s="247"/>
      <c r="V447" s="247"/>
      <c r="W447" s="17"/>
      <c r="X447" s="11"/>
      <c r="Y447" s="11"/>
      <c r="Z447" s="247"/>
      <c r="AA447" s="247"/>
      <c r="AB447" s="247"/>
      <c r="AC447" s="31"/>
      <c r="AD447" s="22"/>
      <c r="AE447" s="17"/>
      <c r="AF447" s="247"/>
      <c r="AG447" s="247"/>
      <c r="AH447" s="124"/>
      <c r="AI447" s="22"/>
      <c r="AJ447" s="17"/>
      <c r="AK447" s="17"/>
      <c r="AL447" s="102"/>
      <c r="AM447" s="132"/>
      <c r="AN447" s="161"/>
      <c r="AO447" s="115"/>
      <c r="AP447" s="115"/>
      <c r="AQ447" s="17"/>
      <c r="AR447" s="247"/>
      <c r="AS447" s="247"/>
      <c r="AT447" s="247"/>
      <c r="AU447" s="17"/>
      <c r="AV447" s="17"/>
      <c r="AW447" s="17"/>
      <c r="AX447" s="247"/>
      <c r="AY447" s="247"/>
      <c r="AZ447" s="247"/>
      <c r="BA447" s="17"/>
      <c r="BB447" s="52"/>
      <c r="BC447" s="17"/>
      <c r="BD447" s="247"/>
      <c r="BE447" s="247"/>
      <c r="BF447" s="247"/>
      <c r="BG447" s="17"/>
      <c r="BH447" s="17"/>
      <c r="BI447" s="17"/>
      <c r="BJ447" s="247">
        <v>309200</v>
      </c>
      <c r="BK447" s="247">
        <f t="shared" si="154"/>
        <v>58748</v>
      </c>
      <c r="BL447" s="247">
        <f t="shared" si="155"/>
        <v>367948</v>
      </c>
      <c r="BM447" s="192" t="s">
        <v>1746</v>
      </c>
      <c r="BN447" s="190" t="s">
        <v>1565</v>
      </c>
      <c r="BO447" s="17"/>
      <c r="BP447" s="247"/>
      <c r="BQ447" s="247"/>
      <c r="BR447" s="247"/>
      <c r="BS447" s="17"/>
      <c r="BT447" s="17"/>
      <c r="BU447" s="17"/>
      <c r="BV447" s="189">
        <v>354400.09280000004</v>
      </c>
      <c r="BW447" s="195">
        <f t="shared" si="150"/>
        <v>67336.017632000003</v>
      </c>
      <c r="BX447" s="246">
        <f t="shared" si="151"/>
        <v>421736.11043200002</v>
      </c>
      <c r="BY447" s="192" t="s">
        <v>1746</v>
      </c>
      <c r="BZ447" s="190" t="s">
        <v>1565</v>
      </c>
      <c r="CA447" s="190"/>
      <c r="CB447" s="247"/>
      <c r="CC447" s="247"/>
      <c r="CD447" s="247"/>
      <c r="CE447" s="17"/>
      <c r="CF447" s="17"/>
      <c r="CG447" s="17"/>
      <c r="CH447" s="247"/>
      <c r="CI447" s="247"/>
      <c r="CJ447" s="247"/>
      <c r="CK447" s="17"/>
      <c r="CL447" s="17"/>
      <c r="CM447" s="17"/>
      <c r="CN447" s="17"/>
      <c r="CO447" s="17"/>
      <c r="CP447" s="11"/>
      <c r="CQ447" s="11"/>
      <c r="CR447" s="11"/>
      <c r="CS447" s="11"/>
      <c r="CT447" s="247"/>
      <c r="CU447" s="247"/>
      <c r="CV447" s="247"/>
      <c r="CW447" s="11"/>
      <c r="CX447" s="11"/>
      <c r="CY447" s="11"/>
      <c r="CZ447" s="11"/>
      <c r="DA447" s="11"/>
      <c r="DB447" s="11"/>
      <c r="DC447" s="11"/>
      <c r="DD447" s="11"/>
      <c r="DE447" s="11"/>
      <c r="DF447" s="11"/>
      <c r="DG447" s="11"/>
      <c r="DH447" s="11"/>
      <c r="DI447" s="11"/>
      <c r="DJ447" s="11"/>
      <c r="DK447" s="11"/>
      <c r="DL447" s="247"/>
      <c r="DM447" s="247"/>
      <c r="DN447" s="247"/>
      <c r="DO447" s="247"/>
      <c r="DP447" s="247"/>
      <c r="DQ447" s="247"/>
      <c r="DR447" s="247"/>
      <c r="DS447" s="247"/>
      <c r="DT447" s="247"/>
      <c r="DU447" s="247"/>
      <c r="DV447" s="247"/>
      <c r="DW447" s="247"/>
      <c r="DX447" s="247"/>
      <c r="DY447" s="247"/>
      <c r="DZ447" s="247"/>
      <c r="EA447" s="247"/>
      <c r="EB447" s="247"/>
      <c r="EC447" s="247"/>
      <c r="ED447" s="17">
        <f t="shared" si="156"/>
        <v>1775884.710432</v>
      </c>
      <c r="EE447" s="29">
        <f t="shared" si="157"/>
        <v>4</v>
      </c>
      <c r="EF447" s="17">
        <f t="shared" si="158"/>
        <v>443971.177608</v>
      </c>
    </row>
    <row r="448" spans="1:138" ht="25.5" x14ac:dyDescent="0.25">
      <c r="A448" s="25">
        <f>Distribución_Elementos!A448</f>
        <v>446</v>
      </c>
      <c r="B448" s="22" t="str">
        <f>Distribución_Elementos!B448</f>
        <v>Punta Brand 2-200 µl sin filtro</v>
      </c>
      <c r="C448" s="22" t="str">
        <f>Distribución_Elementos!C448</f>
        <v>Brand</v>
      </c>
      <c r="D448" s="22" t="str">
        <f>Distribución_Elementos!D448</f>
        <v>Caja x  10 racks x 96</v>
      </c>
      <c r="E448" s="224">
        <v>1</v>
      </c>
      <c r="F448" s="221">
        <v>0</v>
      </c>
      <c r="G448" s="221">
        <v>0</v>
      </c>
      <c r="H448" s="221">
        <v>340518.5</v>
      </c>
      <c r="I448" s="221">
        <v>340459</v>
      </c>
      <c r="J448" s="221">
        <v>475968.2666666666</v>
      </c>
      <c r="K448" s="221">
        <v>0</v>
      </c>
      <c r="L448" s="247">
        <f t="shared" ref="L448:L453" si="161">AVERAGE(H448,J448)</f>
        <v>408243.3833333333</v>
      </c>
      <c r="M448" s="247">
        <f>I448*E1</f>
        <v>350672.77</v>
      </c>
      <c r="N448" s="227">
        <v>460000</v>
      </c>
      <c r="O448" s="119">
        <f t="shared" si="159"/>
        <v>87400</v>
      </c>
      <c r="P448" s="119">
        <f t="shared" si="160"/>
        <v>547400</v>
      </c>
      <c r="Q448" s="115"/>
      <c r="R448" s="115"/>
      <c r="S448" s="11"/>
      <c r="T448" s="247"/>
      <c r="U448" s="247"/>
      <c r="V448" s="247"/>
      <c r="W448" s="17"/>
      <c r="X448" s="11"/>
      <c r="Y448" s="11"/>
      <c r="Z448" s="247"/>
      <c r="AA448" s="247"/>
      <c r="AB448" s="247"/>
      <c r="AC448" s="44"/>
      <c r="AD448" s="22"/>
      <c r="AE448" s="17"/>
      <c r="AF448" s="247"/>
      <c r="AG448" s="247"/>
      <c r="AH448" s="97"/>
      <c r="AI448" s="4"/>
      <c r="AJ448" s="17"/>
      <c r="AK448" s="17"/>
      <c r="AL448" s="102"/>
      <c r="AM448" s="132"/>
      <c r="AN448" s="132"/>
      <c r="AO448" s="115"/>
      <c r="AP448" s="115"/>
      <c r="AQ448" s="17"/>
      <c r="AR448" s="247"/>
      <c r="AS448" s="247"/>
      <c r="AT448" s="247"/>
      <c r="AU448" s="17"/>
      <c r="AV448" s="17"/>
      <c r="AW448" s="17"/>
      <c r="AX448" s="247"/>
      <c r="AY448" s="247"/>
      <c r="AZ448" s="247"/>
      <c r="BA448" s="17"/>
      <c r="BB448" s="52"/>
      <c r="BC448" s="17"/>
      <c r="BD448" s="247"/>
      <c r="BE448" s="247"/>
      <c r="BF448" s="247"/>
      <c r="BG448" s="17"/>
      <c r="BH448" s="17"/>
      <c r="BI448" s="17"/>
      <c r="BJ448" s="247">
        <v>294600</v>
      </c>
      <c r="BK448" s="247">
        <f t="shared" si="154"/>
        <v>55974</v>
      </c>
      <c r="BL448" s="247">
        <f t="shared" si="155"/>
        <v>350574</v>
      </c>
      <c r="BM448" s="192" t="s">
        <v>1746</v>
      </c>
      <c r="BN448" s="190" t="s">
        <v>1565</v>
      </c>
      <c r="BO448" s="17"/>
      <c r="BP448" s="247"/>
      <c r="BQ448" s="247"/>
      <c r="BR448" s="247"/>
      <c r="BS448" s="17"/>
      <c r="BT448" s="17"/>
      <c r="BU448" s="17"/>
      <c r="BV448" s="189">
        <v>347406.16620000004</v>
      </c>
      <c r="BW448" s="195">
        <f t="shared" si="150"/>
        <v>66007.171578000009</v>
      </c>
      <c r="BX448" s="246">
        <f t="shared" si="151"/>
        <v>413413.33777800004</v>
      </c>
      <c r="BY448" s="192" t="s">
        <v>1746</v>
      </c>
      <c r="BZ448" s="190" t="s">
        <v>1565</v>
      </c>
      <c r="CA448" s="190"/>
      <c r="CB448" s="247"/>
      <c r="CC448" s="247"/>
      <c r="CD448" s="247"/>
      <c r="CE448" s="17"/>
      <c r="CF448" s="17"/>
      <c r="CG448" s="17"/>
      <c r="CH448" s="247"/>
      <c r="CI448" s="247"/>
      <c r="CJ448" s="247"/>
      <c r="CK448" s="17"/>
      <c r="CL448" s="17"/>
      <c r="CM448" s="17"/>
      <c r="CN448" s="17"/>
      <c r="CO448" s="17"/>
      <c r="CP448" s="11"/>
      <c r="CQ448" s="11"/>
      <c r="CR448" s="11"/>
      <c r="CS448" s="11"/>
      <c r="CT448" s="247"/>
      <c r="CU448" s="247"/>
      <c r="CV448" s="247"/>
      <c r="CW448" s="11"/>
      <c r="CX448" s="11"/>
      <c r="CY448" s="11"/>
      <c r="CZ448" s="11"/>
      <c r="DA448" s="11"/>
      <c r="DB448" s="11"/>
      <c r="DC448" s="11"/>
      <c r="DD448" s="11"/>
      <c r="DE448" s="11"/>
      <c r="DF448" s="11"/>
      <c r="DG448" s="11"/>
      <c r="DH448" s="11"/>
      <c r="DI448" s="11"/>
      <c r="DJ448" s="11"/>
      <c r="DK448" s="11"/>
      <c r="DL448" s="247"/>
      <c r="DM448" s="247"/>
      <c r="DN448" s="247"/>
      <c r="DO448" s="247"/>
      <c r="DP448" s="247"/>
      <c r="DQ448" s="247"/>
      <c r="DR448" s="247"/>
      <c r="DS448" s="247"/>
      <c r="DT448" s="247"/>
      <c r="DU448" s="247"/>
      <c r="DV448" s="247"/>
      <c r="DW448" s="247"/>
      <c r="DX448" s="247"/>
      <c r="DY448" s="247"/>
      <c r="DZ448" s="247"/>
      <c r="EA448" s="247"/>
      <c r="EB448" s="247"/>
      <c r="EC448" s="247"/>
      <c r="ED448" s="17">
        <f t="shared" si="156"/>
        <v>1662060.1077780002</v>
      </c>
      <c r="EE448" s="29">
        <f t="shared" si="157"/>
        <v>4</v>
      </c>
      <c r="EF448" s="17">
        <f t="shared" si="158"/>
        <v>415515.02694450004</v>
      </c>
      <c r="EH448" s="17">
        <f>SUM(AB448,AG448,AL448,AQ448,AV448,BA448,BF448,BK448,BP448,CE448,CO448,CT448)</f>
        <v>55974</v>
      </c>
    </row>
    <row r="449" spans="1:136" x14ac:dyDescent="0.25">
      <c r="A449" s="25">
        <f>Distribución_Elementos!A449</f>
        <v>447</v>
      </c>
      <c r="B449" s="22" t="str">
        <f>Distribución_Elementos!B449</f>
        <v>Punta Brand 1000 µl sin filtro</v>
      </c>
      <c r="C449" s="22" t="str">
        <f>Distribución_Elementos!C449</f>
        <v>Brand</v>
      </c>
      <c r="D449" s="22" t="str">
        <f>Distribución_Elementos!D449</f>
        <v>Caja x  5 racks x 96</v>
      </c>
      <c r="E449" s="224">
        <v>1</v>
      </c>
      <c r="F449" s="221">
        <v>0</v>
      </c>
      <c r="G449" s="221">
        <v>0</v>
      </c>
      <c r="H449" s="221">
        <v>353013.5</v>
      </c>
      <c r="I449" s="221">
        <v>352954</v>
      </c>
      <c r="J449" s="221">
        <v>428287.34666666668</v>
      </c>
      <c r="K449" s="221">
        <v>427210</v>
      </c>
      <c r="L449" s="247">
        <f t="shared" si="161"/>
        <v>390650.42333333334</v>
      </c>
      <c r="M449" s="247">
        <f>AVERAGE(I449,K449)*E1</f>
        <v>401784.46</v>
      </c>
      <c r="N449" s="227">
        <v>460000</v>
      </c>
      <c r="O449" s="119">
        <f t="shared" si="159"/>
        <v>87400</v>
      </c>
      <c r="P449" s="119">
        <f t="shared" si="160"/>
        <v>547400</v>
      </c>
      <c r="Q449" s="115"/>
      <c r="R449" s="115"/>
      <c r="S449" s="11"/>
      <c r="T449" s="247"/>
      <c r="U449" s="247"/>
      <c r="V449" s="247"/>
      <c r="W449" s="17"/>
      <c r="X449" s="11"/>
      <c r="Y449" s="11"/>
      <c r="Z449" s="247"/>
      <c r="AA449" s="247"/>
      <c r="AB449" s="247"/>
      <c r="AC449" s="31"/>
      <c r="AD449" s="22"/>
      <c r="AE449" s="17"/>
      <c r="AF449" s="247"/>
      <c r="AG449" s="247"/>
      <c r="AH449" s="124"/>
      <c r="AI449" s="22"/>
      <c r="AJ449" s="17"/>
      <c r="AK449" s="17"/>
      <c r="AL449" s="102"/>
      <c r="AM449" s="132"/>
      <c r="AN449" s="161"/>
      <c r="AO449" s="115"/>
      <c r="AP449" s="115"/>
      <c r="AQ449" s="17"/>
      <c r="AR449" s="247"/>
      <c r="AS449" s="247"/>
      <c r="AT449" s="247"/>
      <c r="AU449" s="17"/>
      <c r="AV449" s="17"/>
      <c r="AW449" s="17"/>
      <c r="AX449" s="247"/>
      <c r="AY449" s="247"/>
      <c r="AZ449" s="247"/>
      <c r="BA449" s="17"/>
      <c r="BB449" s="52"/>
      <c r="BC449" s="17"/>
      <c r="BD449" s="247"/>
      <c r="BE449" s="247"/>
      <c r="BF449" s="247"/>
      <c r="BG449" s="17"/>
      <c r="BH449" s="17"/>
      <c r="BI449" s="17"/>
      <c r="BJ449" s="247">
        <v>288000</v>
      </c>
      <c r="BK449" s="247">
        <f t="shared" si="154"/>
        <v>54720</v>
      </c>
      <c r="BL449" s="247">
        <f t="shared" si="155"/>
        <v>342720</v>
      </c>
      <c r="BM449" s="190" t="s">
        <v>1747</v>
      </c>
      <c r="BN449" s="190" t="s">
        <v>1565</v>
      </c>
      <c r="BO449" s="17"/>
      <c r="BP449" s="247"/>
      <c r="BQ449" s="247"/>
      <c r="BR449" s="247"/>
      <c r="BS449" s="17"/>
      <c r="BT449" s="17"/>
      <c r="BU449" s="17"/>
      <c r="BV449" s="195">
        <v>336449.08800000005</v>
      </c>
      <c r="BW449" s="195">
        <f t="shared" si="150"/>
        <v>63925.326720000012</v>
      </c>
      <c r="BX449" s="246">
        <f t="shared" si="151"/>
        <v>400374.41472000006</v>
      </c>
      <c r="BY449" s="190" t="s">
        <v>1747</v>
      </c>
      <c r="BZ449" s="190" t="s">
        <v>1565</v>
      </c>
      <c r="CA449" s="190"/>
      <c r="CB449" s="247"/>
      <c r="CC449" s="247"/>
      <c r="CD449" s="247"/>
      <c r="CE449" s="17"/>
      <c r="CF449" s="17"/>
      <c r="CG449" s="17"/>
      <c r="CH449" s="247"/>
      <c r="CI449" s="247"/>
      <c r="CJ449" s="247"/>
      <c r="CK449" s="17"/>
      <c r="CL449" s="17"/>
      <c r="CM449" s="17"/>
      <c r="CN449" s="17"/>
      <c r="CO449" s="17"/>
      <c r="CP449" s="11"/>
      <c r="CQ449" s="11"/>
      <c r="CR449" s="11"/>
      <c r="CS449" s="11"/>
      <c r="CT449" s="247"/>
      <c r="CU449" s="247"/>
      <c r="CV449" s="247"/>
      <c r="CW449" s="11"/>
      <c r="CX449" s="11"/>
      <c r="CY449" s="11"/>
      <c r="CZ449" s="11"/>
      <c r="DA449" s="11"/>
      <c r="DB449" s="11"/>
      <c r="DC449" s="11"/>
      <c r="DD449" s="11"/>
      <c r="DE449" s="11"/>
      <c r="DF449" s="11"/>
      <c r="DG449" s="11"/>
      <c r="DH449" s="11"/>
      <c r="DI449" s="11"/>
      <c r="DJ449" s="11"/>
      <c r="DK449" s="11"/>
      <c r="DL449" s="247"/>
      <c r="DM449" s="247"/>
      <c r="DN449" s="247"/>
      <c r="DO449" s="247"/>
      <c r="DP449" s="247"/>
      <c r="DQ449" s="247"/>
      <c r="DR449" s="247"/>
      <c r="DS449" s="247"/>
      <c r="DT449" s="247"/>
      <c r="DU449" s="247"/>
      <c r="DV449" s="247"/>
      <c r="DW449" s="247"/>
      <c r="DX449" s="247"/>
      <c r="DY449" s="247"/>
      <c r="DZ449" s="247"/>
      <c r="EA449" s="247"/>
      <c r="EB449" s="247"/>
      <c r="EC449" s="247"/>
      <c r="ED449" s="17">
        <f t="shared" si="156"/>
        <v>1692278.87472</v>
      </c>
      <c r="EE449" s="29">
        <f t="shared" si="157"/>
        <v>4</v>
      </c>
      <c r="EF449" s="17">
        <f t="shared" si="158"/>
        <v>423069.71867999999</v>
      </c>
    </row>
    <row r="450" spans="1:136" ht="76.5" x14ac:dyDescent="0.25">
      <c r="A450" s="25">
        <f>Distribución_Elementos!A450</f>
        <v>448</v>
      </c>
      <c r="B450" s="22" t="str">
        <f>Distribución_Elementos!B450</f>
        <v>Punta de micropipeta de 10-200µl</v>
      </c>
      <c r="C450" s="22" t="str">
        <f>Distribución_Elementos!C450</f>
        <v>Brand</v>
      </c>
      <c r="D450" s="22" t="str">
        <f>Distribución_Elementos!D450</f>
        <v>Bolsa x 1000 puntas</v>
      </c>
      <c r="E450" s="224">
        <v>1</v>
      </c>
      <c r="F450" s="221">
        <v>0</v>
      </c>
      <c r="G450" s="221">
        <v>0</v>
      </c>
      <c r="H450" s="221">
        <v>73644.736666666679</v>
      </c>
      <c r="I450" s="221">
        <v>73542</v>
      </c>
      <c r="J450" s="221">
        <v>133426.11568658749</v>
      </c>
      <c r="K450" s="221">
        <v>133280</v>
      </c>
      <c r="L450" s="247">
        <f t="shared" si="161"/>
        <v>103535.42617662708</v>
      </c>
      <c r="M450" s="247">
        <f>AVERAGE(I450,K450)*E1</f>
        <v>106513.33</v>
      </c>
      <c r="N450" s="227">
        <v>75000</v>
      </c>
      <c r="O450" s="119">
        <f t="shared" si="159"/>
        <v>14250</v>
      </c>
      <c r="P450" s="119">
        <f t="shared" si="160"/>
        <v>89250</v>
      </c>
      <c r="Q450" s="115"/>
      <c r="R450" s="115"/>
      <c r="S450" s="11"/>
      <c r="T450" s="247">
        <v>24970.000000000004</v>
      </c>
      <c r="U450" s="247">
        <f>+T450*0.19</f>
        <v>4744.3000000000011</v>
      </c>
      <c r="V450" s="247">
        <f>+T450+U450</f>
        <v>29714.300000000003</v>
      </c>
      <c r="W450" s="17" t="s">
        <v>1725</v>
      </c>
      <c r="X450" s="11" t="s">
        <v>1517</v>
      </c>
      <c r="Y450" s="11"/>
      <c r="Z450" s="247">
        <v>230000</v>
      </c>
      <c r="AA450" s="247">
        <f t="shared" ref="AA450:AA456" si="162">+Z450*0.19</f>
        <v>43700</v>
      </c>
      <c r="AB450" s="247">
        <f t="shared" ref="AB450:AB456" si="163">+Z450+AA450</f>
        <v>273700</v>
      </c>
      <c r="AC450" s="5" t="s">
        <v>1718</v>
      </c>
      <c r="AD450" s="22" t="s">
        <v>1579</v>
      </c>
      <c r="AE450" s="17"/>
      <c r="AF450" s="247"/>
      <c r="AG450" s="247"/>
      <c r="AH450" s="151"/>
      <c r="AI450" s="22"/>
      <c r="AJ450" s="17"/>
      <c r="AK450" s="17"/>
      <c r="AL450" s="102"/>
      <c r="AM450" s="132"/>
      <c r="AN450" s="161"/>
      <c r="AO450" s="115"/>
      <c r="AP450" s="115"/>
      <c r="AQ450" s="17"/>
      <c r="AR450" s="247"/>
      <c r="AS450" s="247"/>
      <c r="AT450" s="247"/>
      <c r="AU450" s="17"/>
      <c r="AV450" s="17"/>
      <c r="AW450" s="17"/>
      <c r="AX450" s="247"/>
      <c r="AY450" s="247"/>
      <c r="AZ450" s="247"/>
      <c r="BA450" s="17"/>
      <c r="BB450" s="52"/>
      <c r="BC450" s="17"/>
      <c r="BD450" s="102">
        <v>56650</v>
      </c>
      <c r="BE450" s="247">
        <f>+BD450*0.19</f>
        <v>10763.5</v>
      </c>
      <c r="BF450" s="247">
        <f>+BD450+BE450</f>
        <v>67413.5</v>
      </c>
      <c r="BG450" s="25" t="s">
        <v>1727</v>
      </c>
      <c r="BH450" s="5" t="s">
        <v>1739</v>
      </c>
      <c r="BI450" s="5" t="s">
        <v>1740</v>
      </c>
      <c r="BJ450" s="247">
        <v>121800</v>
      </c>
      <c r="BK450" s="247">
        <f t="shared" si="154"/>
        <v>23142</v>
      </c>
      <c r="BL450" s="247">
        <f t="shared" si="155"/>
        <v>144942</v>
      </c>
      <c r="BM450" s="191" t="s">
        <v>1748</v>
      </c>
      <c r="BN450" s="190" t="s">
        <v>387</v>
      </c>
      <c r="BO450" s="17"/>
      <c r="BP450" s="247"/>
      <c r="BQ450" s="247"/>
      <c r="BR450" s="247"/>
      <c r="BS450" s="17"/>
      <c r="BT450" s="17"/>
      <c r="BU450" s="17"/>
      <c r="BV450" s="189">
        <v>145052.83799999999</v>
      </c>
      <c r="BW450" s="195">
        <f t="shared" si="150"/>
        <v>27560.039219999999</v>
      </c>
      <c r="BX450" s="246">
        <f t="shared" si="151"/>
        <v>172612.87721999999</v>
      </c>
      <c r="BY450" s="191" t="s">
        <v>1748</v>
      </c>
      <c r="BZ450" s="190" t="s">
        <v>387</v>
      </c>
      <c r="CA450" s="190"/>
      <c r="CB450" s="247"/>
      <c r="CC450" s="247"/>
      <c r="CD450" s="247"/>
      <c r="CE450" s="17"/>
      <c r="CF450" s="17"/>
      <c r="CG450" s="17"/>
      <c r="CH450" s="247"/>
      <c r="CI450" s="247"/>
      <c r="CJ450" s="247"/>
      <c r="CK450" s="17"/>
      <c r="CL450" s="17"/>
      <c r="CM450" s="17"/>
      <c r="CN450" s="17"/>
      <c r="CO450" s="17"/>
      <c r="CP450" s="11"/>
      <c r="CQ450" s="11"/>
      <c r="CR450" s="11"/>
      <c r="CS450" s="11"/>
      <c r="CT450" s="247"/>
      <c r="CU450" s="247"/>
      <c r="CV450" s="247"/>
      <c r="CW450" s="11"/>
      <c r="CX450" s="11"/>
      <c r="CY450" s="11"/>
      <c r="CZ450" s="11"/>
      <c r="DA450" s="11"/>
      <c r="DB450" s="11"/>
      <c r="DC450" s="11"/>
      <c r="DD450" s="11"/>
      <c r="DE450" s="11"/>
      <c r="DF450" s="11"/>
      <c r="DG450" s="11"/>
      <c r="DH450" s="11"/>
      <c r="DI450" s="11"/>
      <c r="DJ450" s="11"/>
      <c r="DK450" s="11"/>
      <c r="DL450" s="247"/>
      <c r="DM450" s="247"/>
      <c r="DN450" s="247"/>
      <c r="DO450" s="247"/>
      <c r="DP450" s="247"/>
      <c r="DQ450" s="247"/>
      <c r="DR450" s="247"/>
      <c r="DS450" s="247"/>
      <c r="DT450" s="247"/>
      <c r="DU450" s="247"/>
      <c r="DV450" s="247"/>
      <c r="DW450" s="247"/>
      <c r="DX450" s="247"/>
      <c r="DY450" s="247"/>
      <c r="DZ450" s="247"/>
      <c r="EA450" s="247"/>
      <c r="EB450" s="247"/>
      <c r="EC450" s="247"/>
      <c r="ED450" s="17">
        <f t="shared" si="156"/>
        <v>884146.00722000003</v>
      </c>
      <c r="EE450" s="29">
        <f t="shared" si="157"/>
        <v>7</v>
      </c>
      <c r="EF450" s="17">
        <f t="shared" si="158"/>
        <v>126306.57246000001</v>
      </c>
    </row>
    <row r="451" spans="1:136" ht="51" x14ac:dyDescent="0.25">
      <c r="A451" s="25">
        <f>Distribución_Elementos!A451</f>
        <v>449</v>
      </c>
      <c r="B451" s="22" t="str">
        <f>Distribución_Elementos!B451</f>
        <v>Puntas con filtro 0,5-10µL</v>
      </c>
      <c r="C451" s="22" t="str">
        <f>Distribución_Elementos!C451</f>
        <v>Socorex, Axygen, Cap Bravo o equivalentes</v>
      </c>
      <c r="D451" s="22" t="str">
        <f>Distribución_Elementos!D451</f>
        <v>Caja x 10 Rack x 96 und</v>
      </c>
      <c r="E451" s="224">
        <v>1</v>
      </c>
      <c r="F451" s="221">
        <v>0</v>
      </c>
      <c r="G451" s="221">
        <v>0</v>
      </c>
      <c r="H451" s="221">
        <v>232234.44999999998</v>
      </c>
      <c r="I451" s="221">
        <v>0</v>
      </c>
      <c r="J451" s="221">
        <v>406106.01317713573</v>
      </c>
      <c r="K451" s="221">
        <v>0</v>
      </c>
      <c r="L451" s="247">
        <f t="shared" si="161"/>
        <v>319170.23158856784</v>
      </c>
      <c r="M451" s="247"/>
      <c r="N451" s="228">
        <v>700000</v>
      </c>
      <c r="O451" s="119">
        <f t="shared" si="159"/>
        <v>133000</v>
      </c>
      <c r="P451" s="119">
        <f t="shared" si="160"/>
        <v>833000</v>
      </c>
      <c r="Q451" s="115"/>
      <c r="R451" s="115"/>
      <c r="S451" s="11"/>
      <c r="T451" s="247"/>
      <c r="U451" s="247"/>
      <c r="V451" s="247"/>
      <c r="W451" s="17"/>
      <c r="X451" s="11"/>
      <c r="Y451" s="11"/>
      <c r="Z451" s="247">
        <v>430000</v>
      </c>
      <c r="AA451" s="247">
        <f t="shared" si="162"/>
        <v>81700</v>
      </c>
      <c r="AB451" s="247">
        <f t="shared" si="163"/>
        <v>511700</v>
      </c>
      <c r="AC451" s="5" t="s">
        <v>1718</v>
      </c>
      <c r="AD451" s="22" t="s">
        <v>1579</v>
      </c>
      <c r="AE451" s="17"/>
      <c r="AF451" s="247"/>
      <c r="AG451" s="247"/>
      <c r="AH451" s="97"/>
      <c r="AI451" s="4"/>
      <c r="AJ451" s="17"/>
      <c r="AK451" s="17"/>
      <c r="AL451" s="102"/>
      <c r="AM451" s="132"/>
      <c r="AN451" s="161"/>
      <c r="AO451" s="115"/>
      <c r="AP451" s="115"/>
      <c r="AQ451" s="17"/>
      <c r="AR451" s="247"/>
      <c r="AS451" s="247"/>
      <c r="AT451" s="247"/>
      <c r="AU451" s="17"/>
      <c r="AV451" s="17"/>
      <c r="AW451" s="17"/>
      <c r="AX451" s="247"/>
      <c r="AY451" s="247"/>
      <c r="AZ451" s="247"/>
      <c r="BA451" s="17"/>
      <c r="BB451" s="52"/>
      <c r="BC451" s="17"/>
      <c r="BD451" s="102">
        <v>260590</v>
      </c>
      <c r="BE451" s="247">
        <f>+BD451*0.19</f>
        <v>49512.1</v>
      </c>
      <c r="BF451" s="247">
        <f>+BD451+BE451</f>
        <v>310102.09999999998</v>
      </c>
      <c r="BG451" s="25" t="s">
        <v>1719</v>
      </c>
      <c r="BH451" s="5" t="s">
        <v>1720</v>
      </c>
      <c r="BI451" s="5" t="s">
        <v>1721</v>
      </c>
      <c r="BJ451" s="247">
        <v>817500</v>
      </c>
      <c r="BK451" s="247">
        <f t="shared" si="154"/>
        <v>155325</v>
      </c>
      <c r="BL451" s="247">
        <f t="shared" si="155"/>
        <v>972825</v>
      </c>
      <c r="BM451" s="192" t="s">
        <v>1749</v>
      </c>
      <c r="BN451" s="190" t="s">
        <v>1565</v>
      </c>
      <c r="BO451" s="17"/>
      <c r="BP451" s="247"/>
      <c r="BQ451" s="247"/>
      <c r="BR451" s="247"/>
      <c r="BS451" s="17"/>
      <c r="BT451" s="17"/>
      <c r="BU451" s="17"/>
      <c r="BV451" s="189">
        <v>919322.89500000002</v>
      </c>
      <c r="BW451" s="195">
        <f t="shared" si="150"/>
        <v>174671.35005000001</v>
      </c>
      <c r="BX451" s="246">
        <f t="shared" si="151"/>
        <v>1093994.24505</v>
      </c>
      <c r="BY451" s="192" t="s">
        <v>1749</v>
      </c>
      <c r="BZ451" s="190" t="s">
        <v>1565</v>
      </c>
      <c r="CA451" s="190"/>
      <c r="CB451" s="247"/>
      <c r="CC451" s="247"/>
      <c r="CD451" s="247"/>
      <c r="CE451" s="17"/>
      <c r="CF451" s="17"/>
      <c r="CG451" s="17"/>
      <c r="CH451" s="252"/>
      <c r="CI451" s="252"/>
      <c r="CJ451" s="252"/>
      <c r="CK451" s="17"/>
      <c r="CL451" s="17"/>
      <c r="CM451" s="17"/>
      <c r="CN451" s="17"/>
      <c r="CO451" s="17"/>
      <c r="CP451" s="11"/>
      <c r="CQ451" s="11"/>
      <c r="CR451" s="11"/>
      <c r="CS451" s="11"/>
      <c r="CT451" s="247"/>
      <c r="CU451" s="247"/>
      <c r="CV451" s="247"/>
      <c r="CW451" s="11"/>
      <c r="CX451" s="11"/>
      <c r="CY451" s="11"/>
      <c r="CZ451" s="11"/>
      <c r="DA451" s="11"/>
      <c r="DB451" s="11"/>
      <c r="DC451" s="11"/>
      <c r="DD451" s="11"/>
      <c r="DE451" s="11"/>
      <c r="DF451" s="11"/>
      <c r="DG451" s="11"/>
      <c r="DH451" s="11"/>
      <c r="DI451" s="11"/>
      <c r="DJ451" s="11"/>
      <c r="DK451" s="11"/>
      <c r="DL451" s="247"/>
      <c r="DM451" s="247"/>
      <c r="DN451" s="247"/>
      <c r="DO451" s="247"/>
      <c r="DP451" s="247"/>
      <c r="DQ451" s="247"/>
      <c r="DR451" s="247"/>
      <c r="DS451" s="247"/>
      <c r="DT451" s="247"/>
      <c r="DU451" s="247"/>
      <c r="DV451" s="247"/>
      <c r="DW451" s="247"/>
      <c r="DX451" s="247"/>
      <c r="DY451" s="247"/>
      <c r="DZ451" s="247"/>
      <c r="EA451" s="247"/>
      <c r="EB451" s="247"/>
      <c r="EC451" s="247"/>
      <c r="ED451" s="17">
        <f t="shared" si="156"/>
        <v>3721621.3450500001</v>
      </c>
      <c r="EE451" s="29">
        <f t="shared" si="157"/>
        <v>5</v>
      </c>
      <c r="EF451" s="17">
        <f t="shared" si="158"/>
        <v>744324.26901000005</v>
      </c>
    </row>
    <row r="452" spans="1:136" ht="51" x14ac:dyDescent="0.25">
      <c r="A452" s="25">
        <f>Distribución_Elementos!A452</f>
        <v>450</v>
      </c>
      <c r="B452" s="22" t="str">
        <f>Distribución_Elementos!B452</f>
        <v>Puntas de 0.5 – 10 µl en polipropileno transparente, estériles, certificado de  libres de Rnasas, Dnasa y Pirogenos, compatibles con micropipetas de marcas Brand y Capp, Axygen, Boeco</v>
      </c>
      <c r="C452" s="22" t="str">
        <f>Distribución_Elementos!C452</f>
        <v>Axygen, Eppendorf, Neogen, Finnpipette, Brand</v>
      </c>
      <c r="D452" s="22" t="str">
        <f>Distribución_Elementos!D452</f>
        <v xml:space="preserve">Paquete X 1000 </v>
      </c>
      <c r="E452" s="224">
        <v>1</v>
      </c>
      <c r="F452" s="221">
        <v>0</v>
      </c>
      <c r="G452" s="221">
        <v>0</v>
      </c>
      <c r="H452" s="221">
        <v>179267.94666666666</v>
      </c>
      <c r="I452" s="221">
        <v>0</v>
      </c>
      <c r="J452" s="221">
        <v>152688.9</v>
      </c>
      <c r="K452" s="221">
        <v>0</v>
      </c>
      <c r="L452" s="247">
        <f t="shared" si="161"/>
        <v>165978.42333333334</v>
      </c>
      <c r="M452" s="247"/>
      <c r="N452" s="227">
        <v>130000</v>
      </c>
      <c r="O452" s="119">
        <f t="shared" si="159"/>
        <v>24700</v>
      </c>
      <c r="P452" s="119">
        <f t="shared" si="160"/>
        <v>154700</v>
      </c>
      <c r="Q452" s="115"/>
      <c r="R452" s="115"/>
      <c r="S452" s="11"/>
      <c r="T452" s="247"/>
      <c r="U452" s="247"/>
      <c r="V452" s="247"/>
      <c r="W452" s="17"/>
      <c r="X452" s="11"/>
      <c r="Y452" s="11"/>
      <c r="Z452" s="247">
        <v>230000</v>
      </c>
      <c r="AA452" s="247">
        <f t="shared" si="162"/>
        <v>43700</v>
      </c>
      <c r="AB452" s="247">
        <f t="shared" si="163"/>
        <v>273700</v>
      </c>
      <c r="AC452" s="5" t="s">
        <v>1718</v>
      </c>
      <c r="AD452" s="22" t="s">
        <v>1579</v>
      </c>
      <c r="AE452" s="17"/>
      <c r="AF452" s="247"/>
      <c r="AG452" s="247"/>
      <c r="AH452" s="97"/>
      <c r="AI452" s="22"/>
      <c r="AJ452" s="17"/>
      <c r="AK452" s="17"/>
      <c r="AL452" s="102"/>
      <c r="AM452" s="132"/>
      <c r="AN452" s="132"/>
      <c r="AO452" s="115"/>
      <c r="AP452" s="115"/>
      <c r="AQ452" s="17"/>
      <c r="AR452" s="247"/>
      <c r="AS452" s="247"/>
      <c r="AT452" s="247"/>
      <c r="AU452" s="17"/>
      <c r="AV452" s="17"/>
      <c r="AW452" s="17"/>
      <c r="AX452" s="247"/>
      <c r="AY452" s="247"/>
      <c r="AZ452" s="247"/>
      <c r="BA452" s="17"/>
      <c r="BB452" s="52"/>
      <c r="BC452" s="17"/>
      <c r="BD452" s="102">
        <v>51500</v>
      </c>
      <c r="BE452" s="247">
        <f>+BD452*0.19</f>
        <v>9785</v>
      </c>
      <c r="BF452" s="247">
        <f>+BD452+BE452</f>
        <v>61285</v>
      </c>
      <c r="BG452" s="25" t="s">
        <v>1727</v>
      </c>
      <c r="BH452" s="5" t="s">
        <v>1728</v>
      </c>
      <c r="BI452" s="5" t="s">
        <v>1729</v>
      </c>
      <c r="BJ452" s="247">
        <f>305300/2</f>
        <v>152650</v>
      </c>
      <c r="BK452" s="247">
        <f t="shared" si="154"/>
        <v>29003.5</v>
      </c>
      <c r="BL452" s="247">
        <f t="shared" si="155"/>
        <v>181653.5</v>
      </c>
      <c r="BM452" s="191" t="s">
        <v>1750</v>
      </c>
      <c r="BN452" s="190" t="s">
        <v>1565</v>
      </c>
      <c r="BO452" s="17"/>
      <c r="BP452" s="247"/>
      <c r="BQ452" s="247"/>
      <c r="BR452" s="247"/>
      <c r="BS452" s="17"/>
      <c r="BT452" s="17"/>
      <c r="BU452" s="17"/>
      <c r="BV452" s="189">
        <f>336816.7296/2</f>
        <v>168408.36480000001</v>
      </c>
      <c r="BW452" s="195">
        <f t="shared" si="150"/>
        <v>31997.589312000004</v>
      </c>
      <c r="BX452" s="246">
        <f t="shared" si="151"/>
        <v>200405.95411200001</v>
      </c>
      <c r="BY452" s="191" t="s">
        <v>1750</v>
      </c>
      <c r="BZ452" s="190" t="s">
        <v>1565</v>
      </c>
      <c r="CA452" s="190"/>
      <c r="CB452" s="247"/>
      <c r="CC452" s="247"/>
      <c r="CD452" s="247"/>
      <c r="CE452" s="17"/>
      <c r="CF452" s="17"/>
      <c r="CG452" s="17"/>
      <c r="CH452" s="247"/>
      <c r="CI452" s="247"/>
      <c r="CJ452" s="247"/>
      <c r="CK452" s="17"/>
      <c r="CL452" s="17"/>
      <c r="CM452" s="17"/>
      <c r="CN452" s="17"/>
      <c r="CO452" s="17"/>
      <c r="CP452" s="11"/>
      <c r="CQ452" s="11"/>
      <c r="CR452" s="11"/>
      <c r="CS452" s="11"/>
      <c r="CT452" s="247"/>
      <c r="CU452" s="247"/>
      <c r="CV452" s="247"/>
      <c r="CW452" s="11"/>
      <c r="CX452" s="11"/>
      <c r="CY452" s="11"/>
      <c r="CZ452" s="11"/>
      <c r="DA452" s="11"/>
      <c r="DB452" s="11"/>
      <c r="DC452" s="11"/>
      <c r="DD452" s="11"/>
      <c r="DE452" s="11"/>
      <c r="DF452" s="11"/>
      <c r="DG452" s="11"/>
      <c r="DH452" s="11"/>
      <c r="DI452" s="11"/>
      <c r="DJ452" s="11"/>
      <c r="DK452" s="11"/>
      <c r="DL452" s="247"/>
      <c r="DM452" s="247"/>
      <c r="DN452" s="247"/>
      <c r="DO452" s="247"/>
      <c r="DP452" s="247"/>
      <c r="DQ452" s="247"/>
      <c r="DR452" s="247"/>
      <c r="DS452" s="247"/>
      <c r="DT452" s="247"/>
      <c r="DU452" s="247"/>
      <c r="DV452" s="247"/>
      <c r="DW452" s="247"/>
      <c r="DX452" s="247"/>
      <c r="DY452" s="247"/>
      <c r="DZ452" s="247"/>
      <c r="EA452" s="247"/>
      <c r="EB452" s="247"/>
      <c r="EC452" s="247"/>
      <c r="ED452" s="17">
        <f t="shared" si="156"/>
        <v>871744.45411200006</v>
      </c>
      <c r="EE452" s="29">
        <f t="shared" si="157"/>
        <v>5</v>
      </c>
      <c r="EF452" s="17">
        <f t="shared" si="158"/>
        <v>174348.89082240002</v>
      </c>
    </row>
    <row r="453" spans="1:136" ht="76.5" x14ac:dyDescent="0.25">
      <c r="A453" s="25">
        <f>Distribución_Elementos!A453</f>
        <v>451</v>
      </c>
      <c r="B453" s="22" t="str">
        <f>Distribución_Elementos!B453</f>
        <v>Puntas de 2 – 200 µl en polipropileno, certificado de  libres de Rnasas, Dnasa y Pirogenos,  compatibles con micropipetas de marcas Capp bravo, Brand</v>
      </c>
      <c r="C453" s="22" t="str">
        <f>Distribución_Elementos!C453</f>
        <v>Brand, Cap Bravo o equivalentes</v>
      </c>
      <c r="D453" s="22" t="str">
        <f>Distribución_Elementos!D453</f>
        <v>Paquete X 1000 Unidades.</v>
      </c>
      <c r="E453" s="224">
        <v>1</v>
      </c>
      <c r="F453" s="221">
        <v>0</v>
      </c>
      <c r="G453" s="221">
        <v>0</v>
      </c>
      <c r="H453" s="221">
        <v>95461.403333333335</v>
      </c>
      <c r="I453" s="221">
        <v>95319</v>
      </c>
      <c r="J453" s="221">
        <v>171306.68799999999</v>
      </c>
      <c r="K453" s="221">
        <v>0</v>
      </c>
      <c r="L453" s="247">
        <f t="shared" si="161"/>
        <v>133384.04566666667</v>
      </c>
      <c r="M453" s="247">
        <f>I453*E1</f>
        <v>98178.57</v>
      </c>
      <c r="N453" s="227">
        <v>120000</v>
      </c>
      <c r="O453" s="119">
        <f t="shared" si="159"/>
        <v>22800</v>
      </c>
      <c r="P453" s="119">
        <f t="shared" si="160"/>
        <v>142800</v>
      </c>
      <c r="Q453" s="115"/>
      <c r="R453" s="115"/>
      <c r="S453" s="11"/>
      <c r="T453" s="247"/>
      <c r="U453" s="247"/>
      <c r="V453" s="247"/>
      <c r="W453" s="17"/>
      <c r="X453" s="11"/>
      <c r="Y453" s="11"/>
      <c r="Z453" s="247">
        <v>230000</v>
      </c>
      <c r="AA453" s="247">
        <f t="shared" si="162"/>
        <v>43700</v>
      </c>
      <c r="AB453" s="247">
        <f t="shared" si="163"/>
        <v>273700</v>
      </c>
      <c r="AC453" s="5" t="s">
        <v>1718</v>
      </c>
      <c r="AD453" s="22" t="s">
        <v>1579</v>
      </c>
      <c r="AE453" s="17"/>
      <c r="AF453" s="247"/>
      <c r="AG453" s="247"/>
      <c r="AH453" s="158"/>
      <c r="AI453" s="253"/>
      <c r="AJ453" s="17"/>
      <c r="AK453" s="17"/>
      <c r="AL453" s="102"/>
      <c r="AM453" s="132"/>
      <c r="AN453" s="161"/>
      <c r="AO453" s="115"/>
      <c r="AP453" s="115"/>
      <c r="AQ453" s="17"/>
      <c r="AR453" s="247"/>
      <c r="AS453" s="247"/>
      <c r="AT453" s="247"/>
      <c r="AU453" s="17"/>
      <c r="AV453" s="17"/>
      <c r="AW453" s="17"/>
      <c r="AX453" s="247"/>
      <c r="AY453" s="247"/>
      <c r="AZ453" s="247"/>
      <c r="BA453" s="17"/>
      <c r="BB453" s="52"/>
      <c r="BC453" s="17"/>
      <c r="BD453" s="102">
        <v>56650</v>
      </c>
      <c r="BE453" s="247">
        <f>+BD453*0.19</f>
        <v>10763.5</v>
      </c>
      <c r="BF453" s="247">
        <f>+BD453+BE453</f>
        <v>67413.5</v>
      </c>
      <c r="BG453" s="25" t="s">
        <v>1727</v>
      </c>
      <c r="BH453" s="5" t="s">
        <v>1739</v>
      </c>
      <c r="BI453" s="5" t="s">
        <v>1740</v>
      </c>
      <c r="BJ453" s="247">
        <v>100800</v>
      </c>
      <c r="BK453" s="247">
        <f t="shared" si="154"/>
        <v>19152</v>
      </c>
      <c r="BL453" s="247">
        <f t="shared" si="155"/>
        <v>119952</v>
      </c>
      <c r="BM453" s="191" t="s">
        <v>1751</v>
      </c>
      <c r="BN453" s="190" t="s">
        <v>1565</v>
      </c>
      <c r="BO453" s="17"/>
      <c r="BP453" s="247"/>
      <c r="BQ453" s="247"/>
      <c r="BR453" s="247"/>
      <c r="BS453" s="17"/>
      <c r="BT453" s="17"/>
      <c r="BU453" s="17"/>
      <c r="BV453" s="189">
        <v>120011.67360000001</v>
      </c>
      <c r="BW453" s="195">
        <f t="shared" si="150"/>
        <v>22802.217984000003</v>
      </c>
      <c r="BX453" s="246">
        <f t="shared" si="151"/>
        <v>142813.89158400003</v>
      </c>
      <c r="BY453" s="191" t="s">
        <v>1751</v>
      </c>
      <c r="BZ453" s="190" t="s">
        <v>1565</v>
      </c>
      <c r="CA453" s="190"/>
      <c r="CB453" s="247"/>
      <c r="CC453" s="247"/>
      <c r="CD453" s="247"/>
      <c r="CE453" s="17"/>
      <c r="CF453" s="17"/>
      <c r="CG453" s="17"/>
      <c r="CH453" s="247"/>
      <c r="CI453" s="247"/>
      <c r="CJ453" s="247"/>
      <c r="CK453" s="17"/>
      <c r="CL453" s="17"/>
      <c r="CM453" s="17"/>
      <c r="CN453" s="17"/>
      <c r="CO453" s="17"/>
      <c r="CP453" s="11"/>
      <c r="CQ453" s="11"/>
      <c r="CR453" s="11"/>
      <c r="CS453" s="11"/>
      <c r="CT453" s="247"/>
      <c r="CU453" s="247"/>
      <c r="CV453" s="247"/>
      <c r="CW453" s="11"/>
      <c r="CX453" s="11"/>
      <c r="CY453" s="11"/>
      <c r="CZ453" s="11"/>
      <c r="DA453" s="11"/>
      <c r="DB453" s="11"/>
      <c r="DC453" s="11"/>
      <c r="DD453" s="11"/>
      <c r="DE453" s="11"/>
      <c r="DF453" s="11"/>
      <c r="DG453" s="11"/>
      <c r="DH453" s="11"/>
      <c r="DI453" s="11"/>
      <c r="DJ453" s="11"/>
      <c r="DK453" s="11"/>
      <c r="DL453" s="247"/>
      <c r="DM453" s="247"/>
      <c r="DN453" s="247"/>
      <c r="DO453" s="247"/>
      <c r="DP453" s="247"/>
      <c r="DQ453" s="247"/>
      <c r="DR453" s="247"/>
      <c r="DS453" s="247"/>
      <c r="DT453" s="247"/>
      <c r="DU453" s="247"/>
      <c r="DV453" s="247"/>
      <c r="DW453" s="247"/>
      <c r="DX453" s="247"/>
      <c r="DY453" s="247"/>
      <c r="DZ453" s="247"/>
      <c r="EA453" s="247"/>
      <c r="EB453" s="247"/>
      <c r="EC453" s="247"/>
      <c r="ED453" s="17">
        <f t="shared" si="156"/>
        <v>844857.96158400015</v>
      </c>
      <c r="EE453" s="29">
        <f t="shared" si="157"/>
        <v>6</v>
      </c>
      <c r="EF453" s="17">
        <f t="shared" si="158"/>
        <v>140809.66026400003</v>
      </c>
    </row>
    <row r="454" spans="1:136" ht="38.25" x14ac:dyDescent="0.25">
      <c r="A454" s="25">
        <f>Distribución_Elementos!A454</f>
        <v>452</v>
      </c>
      <c r="B454" s="22" t="str">
        <f>Distribución_Elementos!B454</f>
        <v>Puntas de 20 – 100 µl en polipropileno, certificado de  libres de Rnasas, Dnasa y Pirogenos,  compatibles con micropipetas de marcas Capp, Microlit, Socorex.</v>
      </c>
      <c r="C454" s="22" t="str">
        <f>Distribución_Elementos!C454</f>
        <v>Brand, Cap Bravo, Axygen, Socorex, Microlit o equivalentes</v>
      </c>
      <c r="D454" s="22" t="str">
        <f>Distribución_Elementos!D454</f>
        <v>Paquete X 1000 Unidades.</v>
      </c>
      <c r="E454" s="224">
        <v>1</v>
      </c>
      <c r="F454" s="221">
        <v>0</v>
      </c>
      <c r="G454" s="221">
        <v>0</v>
      </c>
      <c r="H454" s="221">
        <v>175244.55666666664</v>
      </c>
      <c r="I454" s="221">
        <v>0</v>
      </c>
      <c r="J454" s="221">
        <v>0</v>
      </c>
      <c r="K454" s="221">
        <v>0</v>
      </c>
      <c r="L454" s="247">
        <f>H454</f>
        <v>175244.55666666664</v>
      </c>
      <c r="M454" s="247"/>
      <c r="N454" s="227"/>
      <c r="O454" s="119"/>
      <c r="P454" s="119"/>
      <c r="Q454" s="115"/>
      <c r="R454" s="115"/>
      <c r="S454" s="11"/>
      <c r="T454" s="247"/>
      <c r="U454" s="247"/>
      <c r="V454" s="247"/>
      <c r="W454" s="17"/>
      <c r="X454" s="11"/>
      <c r="Y454" s="11"/>
      <c r="Z454" s="247">
        <v>230000</v>
      </c>
      <c r="AA454" s="247">
        <f t="shared" si="162"/>
        <v>43700</v>
      </c>
      <c r="AB454" s="247">
        <f t="shared" si="163"/>
        <v>273700</v>
      </c>
      <c r="AC454" s="5" t="s">
        <v>1718</v>
      </c>
      <c r="AD454" s="22" t="s">
        <v>1579</v>
      </c>
      <c r="AE454" s="17"/>
      <c r="AF454" s="247"/>
      <c r="AG454" s="247"/>
      <c r="AH454" s="97"/>
      <c r="AI454" s="4"/>
      <c r="AJ454" s="17"/>
      <c r="AK454" s="17"/>
      <c r="AL454" s="102"/>
      <c r="AM454" s="132"/>
      <c r="AN454" s="161"/>
      <c r="AO454" s="115"/>
      <c r="AP454" s="115"/>
      <c r="AQ454" s="17"/>
      <c r="AR454" s="247"/>
      <c r="AS454" s="247"/>
      <c r="AT454" s="247"/>
      <c r="AU454" s="17"/>
      <c r="AV454" s="17"/>
      <c r="AW454" s="17"/>
      <c r="AX454" s="247"/>
      <c r="AY454" s="247"/>
      <c r="AZ454" s="247"/>
      <c r="BA454" s="17"/>
      <c r="BB454" s="52"/>
      <c r="BC454" s="17"/>
      <c r="BD454" s="247"/>
      <c r="BE454" s="247"/>
      <c r="BF454" s="247"/>
      <c r="BG454" s="17"/>
      <c r="BH454" s="17"/>
      <c r="BI454" s="17"/>
      <c r="BJ454" s="247">
        <v>100800</v>
      </c>
      <c r="BK454" s="247">
        <f t="shared" si="154"/>
        <v>19152</v>
      </c>
      <c r="BL454" s="247">
        <f t="shared" si="155"/>
        <v>119952</v>
      </c>
      <c r="BM454" s="191" t="s">
        <v>1751</v>
      </c>
      <c r="BN454" s="190" t="s">
        <v>1565</v>
      </c>
      <c r="BO454" s="17"/>
      <c r="BP454" s="247"/>
      <c r="BQ454" s="247"/>
      <c r="BR454" s="247"/>
      <c r="BS454" s="17"/>
      <c r="BT454" s="17"/>
      <c r="BU454" s="17"/>
      <c r="BV454" s="189">
        <v>116615.1168</v>
      </c>
      <c r="BW454" s="195">
        <f t="shared" si="150"/>
        <v>22156.872192000003</v>
      </c>
      <c r="BX454" s="246">
        <f t="shared" si="151"/>
        <v>138771.988992</v>
      </c>
      <c r="BY454" s="191" t="s">
        <v>1751</v>
      </c>
      <c r="BZ454" s="190" t="s">
        <v>1565</v>
      </c>
      <c r="CA454" s="190"/>
      <c r="CB454" s="247"/>
      <c r="CC454" s="247"/>
      <c r="CD454" s="247"/>
      <c r="CE454" s="17"/>
      <c r="CF454" s="17"/>
      <c r="CG454" s="17"/>
      <c r="CH454" s="247"/>
      <c r="CI454" s="247"/>
      <c r="CJ454" s="247"/>
      <c r="CK454" s="17"/>
      <c r="CL454" s="17"/>
      <c r="CM454" s="17"/>
      <c r="CN454" s="17"/>
      <c r="CO454" s="17"/>
      <c r="CP454" s="11"/>
      <c r="CQ454" s="11"/>
      <c r="CR454" s="11"/>
      <c r="CS454" s="11"/>
      <c r="CT454" s="247"/>
      <c r="CU454" s="247"/>
      <c r="CV454" s="247"/>
      <c r="CW454" s="11"/>
      <c r="CX454" s="11"/>
      <c r="CY454" s="11"/>
      <c r="CZ454" s="11"/>
      <c r="DA454" s="11"/>
      <c r="DB454" s="11"/>
      <c r="DC454" s="11"/>
      <c r="DD454" s="11"/>
      <c r="DE454" s="11"/>
      <c r="DF454" s="11"/>
      <c r="DG454" s="11"/>
      <c r="DH454" s="11"/>
      <c r="DI454" s="11"/>
      <c r="DJ454" s="11"/>
      <c r="DK454" s="11"/>
      <c r="DL454" s="247"/>
      <c r="DM454" s="247"/>
      <c r="DN454" s="247"/>
      <c r="DO454" s="247"/>
      <c r="DP454" s="247"/>
      <c r="DQ454" s="247"/>
      <c r="DR454" s="247"/>
      <c r="DS454" s="247"/>
      <c r="DT454" s="247"/>
      <c r="DU454" s="247"/>
      <c r="DV454" s="247"/>
      <c r="DW454" s="247"/>
      <c r="DX454" s="247"/>
      <c r="DY454" s="247"/>
      <c r="DZ454" s="247"/>
      <c r="EA454" s="247"/>
      <c r="EB454" s="247"/>
      <c r="EC454" s="247"/>
      <c r="ED454" s="17">
        <f t="shared" si="156"/>
        <v>532423.988992</v>
      </c>
      <c r="EE454" s="29">
        <f t="shared" si="157"/>
        <v>3</v>
      </c>
      <c r="EF454" s="17">
        <f t="shared" si="158"/>
        <v>177474.66299733333</v>
      </c>
    </row>
    <row r="455" spans="1:136" ht="76.5" x14ac:dyDescent="0.25">
      <c r="A455" s="25">
        <f>Distribución_Elementos!A455</f>
        <v>453</v>
      </c>
      <c r="B455" s="22" t="str">
        <f>Distribución_Elementos!B455</f>
        <v>Puntas de 200 µl sin filtro</v>
      </c>
      <c r="C455" s="22" t="str">
        <f>Distribución_Elementos!C455</f>
        <v>Axygen, Eppendorf, Neogen, Finnpipette, Brand</v>
      </c>
      <c r="D455" s="22" t="str">
        <f>Distribución_Elementos!D455</f>
        <v>Bolsa x 1000</v>
      </c>
      <c r="E455" s="224">
        <v>1</v>
      </c>
      <c r="F455" s="221">
        <v>0</v>
      </c>
      <c r="G455" s="221">
        <v>0</v>
      </c>
      <c r="H455" s="221">
        <v>0</v>
      </c>
      <c r="I455" s="221">
        <v>0</v>
      </c>
      <c r="J455" s="221">
        <v>145508.97901992084</v>
      </c>
      <c r="K455" s="221">
        <v>74018</v>
      </c>
      <c r="L455" s="247">
        <f>J455</f>
        <v>145508.97901992084</v>
      </c>
      <c r="M455" s="247">
        <f>K455*E1</f>
        <v>76238.540000000008</v>
      </c>
      <c r="N455" s="227">
        <v>70000</v>
      </c>
      <c r="O455" s="119">
        <f>+N455*0.19</f>
        <v>13300</v>
      </c>
      <c r="P455" s="119">
        <f>+N455+O455</f>
        <v>83300</v>
      </c>
      <c r="Q455" s="11"/>
      <c r="R455" s="11"/>
      <c r="S455" s="25"/>
      <c r="T455" s="128">
        <v>24970.000000000004</v>
      </c>
      <c r="U455" s="247">
        <f>+T455*0.19</f>
        <v>4744.3000000000011</v>
      </c>
      <c r="V455" s="247">
        <f>+T455+U455</f>
        <v>29714.300000000003</v>
      </c>
      <c r="W455" s="17" t="s">
        <v>1725</v>
      </c>
      <c r="X455" s="11" t="s">
        <v>1517</v>
      </c>
      <c r="Y455" s="11"/>
      <c r="Z455" s="247">
        <v>230000</v>
      </c>
      <c r="AA455" s="247">
        <f t="shared" si="162"/>
        <v>43700</v>
      </c>
      <c r="AB455" s="247">
        <f t="shared" si="163"/>
        <v>273700</v>
      </c>
      <c r="AC455" s="5" t="s">
        <v>1718</v>
      </c>
      <c r="AD455" s="22" t="s">
        <v>1579</v>
      </c>
      <c r="AE455" s="11"/>
      <c r="AF455" s="247"/>
      <c r="AG455" s="247"/>
      <c r="AH455" s="247"/>
      <c r="AI455" s="11"/>
      <c r="AJ455" s="11"/>
      <c r="AK455" s="11"/>
      <c r="AL455" s="102"/>
      <c r="AM455" s="102"/>
      <c r="AN455" s="102"/>
      <c r="AO455" s="44"/>
      <c r="AP455" s="44"/>
      <c r="AQ455" s="11"/>
      <c r="AR455" s="247"/>
      <c r="AS455" s="247"/>
      <c r="AT455" s="247"/>
      <c r="AU455" s="11"/>
      <c r="AV455" s="11"/>
      <c r="AW455" s="11"/>
      <c r="AX455" s="247"/>
      <c r="AY455" s="247"/>
      <c r="AZ455" s="247"/>
      <c r="BA455" s="11"/>
      <c r="BB455" s="52"/>
      <c r="BC455" s="17"/>
      <c r="BD455" s="102">
        <v>56650</v>
      </c>
      <c r="BE455" s="247">
        <f>+BD455*0.19</f>
        <v>10763.5</v>
      </c>
      <c r="BF455" s="247">
        <f>+BD455+BE455</f>
        <v>67413.5</v>
      </c>
      <c r="BG455" s="25" t="s">
        <v>1727</v>
      </c>
      <c r="BH455" s="5" t="s">
        <v>1739</v>
      </c>
      <c r="BI455" s="5" t="s">
        <v>1740</v>
      </c>
      <c r="BJ455" s="247">
        <v>100800</v>
      </c>
      <c r="BK455" s="247">
        <f t="shared" si="154"/>
        <v>19152</v>
      </c>
      <c r="BL455" s="247">
        <f t="shared" si="155"/>
        <v>119952</v>
      </c>
      <c r="BM455" s="191" t="s">
        <v>1751</v>
      </c>
      <c r="BN455" s="190" t="s">
        <v>1565</v>
      </c>
      <c r="BO455" s="16"/>
      <c r="BP455" s="247"/>
      <c r="BQ455" s="247"/>
      <c r="BR455" s="247"/>
      <c r="BS455" s="16"/>
      <c r="BT455" s="16"/>
      <c r="BU455" s="16"/>
      <c r="BV455" s="189">
        <v>113291.9424</v>
      </c>
      <c r="BW455" s="195">
        <f t="shared" si="150"/>
        <v>21525.469056000002</v>
      </c>
      <c r="BX455" s="246">
        <f t="shared" si="151"/>
        <v>134817.411456</v>
      </c>
      <c r="BY455" s="191" t="s">
        <v>1751</v>
      </c>
      <c r="BZ455" s="190" t="s">
        <v>1565</v>
      </c>
      <c r="CA455" s="190"/>
      <c r="CB455" s="247"/>
      <c r="CC455" s="247"/>
      <c r="CD455" s="247"/>
      <c r="CE455" s="11"/>
      <c r="CF455" s="11"/>
      <c r="CG455" s="11"/>
      <c r="CH455" s="247"/>
      <c r="CI455" s="247"/>
      <c r="CJ455" s="247"/>
      <c r="CK455" s="11"/>
      <c r="CL455" s="11"/>
      <c r="CM455" s="11"/>
      <c r="CN455" s="11"/>
      <c r="CO455" s="247"/>
      <c r="CP455" s="247"/>
      <c r="CQ455" s="247"/>
      <c r="CR455" s="247"/>
      <c r="CS455" s="247"/>
      <c r="CT455" s="247"/>
      <c r="CU455" s="247"/>
      <c r="CV455" s="247"/>
      <c r="CW455" s="247"/>
      <c r="CX455" s="247"/>
      <c r="CY455" s="247"/>
      <c r="CZ455" s="247"/>
      <c r="DA455" s="247"/>
      <c r="DB455" s="247"/>
      <c r="DC455" s="247"/>
      <c r="DD455" s="247"/>
      <c r="DE455" s="247"/>
      <c r="DF455" s="247"/>
      <c r="DG455" s="247"/>
      <c r="DH455" s="247"/>
      <c r="DI455" s="247"/>
      <c r="DJ455" s="247"/>
      <c r="DK455" s="247"/>
      <c r="DL455" s="247"/>
      <c r="DM455" s="247"/>
      <c r="DN455" s="247"/>
      <c r="DO455" s="247"/>
      <c r="DP455" s="247"/>
      <c r="DQ455" s="247"/>
      <c r="DR455" s="247"/>
      <c r="DS455" s="247"/>
      <c r="DT455" s="247"/>
      <c r="DU455" s="247"/>
      <c r="DV455" s="247"/>
      <c r="DW455" s="247"/>
      <c r="DX455" s="247"/>
      <c r="DY455" s="247"/>
      <c r="DZ455" s="247"/>
      <c r="EA455" s="247"/>
      <c r="EB455" s="247"/>
      <c r="EC455" s="247"/>
      <c r="ED455" s="17">
        <f t="shared" si="156"/>
        <v>785135.75145600014</v>
      </c>
      <c r="EE455" s="29">
        <f t="shared" si="157"/>
        <v>7</v>
      </c>
      <c r="EF455" s="17">
        <f t="shared" si="158"/>
        <v>112162.25020800003</v>
      </c>
    </row>
    <row r="456" spans="1:136" ht="38.25" x14ac:dyDescent="0.25">
      <c r="A456" s="25">
        <f>Distribución_Elementos!A456</f>
        <v>454</v>
      </c>
      <c r="B456" s="22" t="str">
        <f>Distribución_Elementos!B456</f>
        <v>Racks para tubos de PCR. Material: polipropileno ; Especificación: para 96 pozos, con tapa, dimensiones (12,5 * 8,6 * 3,3)</v>
      </c>
      <c r="C456" s="22" t="str">
        <f>Distribución_Elementos!C456</f>
        <v>NA</v>
      </c>
      <c r="D456" s="22" t="str">
        <f>Distribución_Elementos!D456</f>
        <v>Paquetes de 5 Unidades</v>
      </c>
      <c r="E456" s="224">
        <v>1</v>
      </c>
      <c r="F456" s="221">
        <v>0</v>
      </c>
      <c r="G456" s="221">
        <v>0</v>
      </c>
      <c r="H456" s="221">
        <v>0</v>
      </c>
      <c r="I456" s="221">
        <v>0</v>
      </c>
      <c r="J456" s="221">
        <v>351718.78</v>
      </c>
      <c r="K456" s="221">
        <v>0</v>
      </c>
      <c r="L456" s="247">
        <f>J456</f>
        <v>351718.78</v>
      </c>
      <c r="M456" s="247"/>
      <c r="N456" s="227"/>
      <c r="O456" s="119"/>
      <c r="P456" s="119"/>
      <c r="Q456" s="115"/>
      <c r="R456" s="115"/>
      <c r="S456" s="11"/>
      <c r="T456" s="247"/>
      <c r="U456" s="247"/>
      <c r="V456" s="247"/>
      <c r="W456" s="17"/>
      <c r="X456" s="11"/>
      <c r="Y456" s="11"/>
      <c r="Z456" s="247">
        <v>256000</v>
      </c>
      <c r="AA456" s="247">
        <f t="shared" si="162"/>
        <v>48640</v>
      </c>
      <c r="AB456" s="247">
        <f t="shared" si="163"/>
        <v>304640</v>
      </c>
      <c r="AC456" s="44" t="s">
        <v>1623</v>
      </c>
      <c r="AD456" s="22" t="s">
        <v>1579</v>
      </c>
      <c r="AE456" s="17"/>
      <c r="AF456" s="247"/>
      <c r="AG456" s="247"/>
      <c r="AH456" s="151"/>
      <c r="AI456" s="4"/>
      <c r="AJ456" s="17"/>
      <c r="AK456" s="17"/>
      <c r="AL456" s="102"/>
      <c r="AM456" s="132"/>
      <c r="AN456" s="161"/>
      <c r="AO456" s="115"/>
      <c r="AP456" s="115"/>
      <c r="AQ456" s="17"/>
      <c r="AR456" s="247"/>
      <c r="AS456" s="247"/>
      <c r="AT456" s="247"/>
      <c r="AU456" s="17"/>
      <c r="AV456" s="17"/>
      <c r="AW456" s="17"/>
      <c r="AX456" s="247"/>
      <c r="AY456" s="247"/>
      <c r="AZ456" s="247"/>
      <c r="BA456" s="17"/>
      <c r="BB456" s="52"/>
      <c r="BC456" s="17"/>
      <c r="BD456" s="247"/>
      <c r="BE456" s="247"/>
      <c r="BF456" s="247"/>
      <c r="BG456" s="17"/>
      <c r="BH456" s="17"/>
      <c r="BI456" s="17"/>
      <c r="BJ456" s="247">
        <f>1068200</f>
        <v>1068200</v>
      </c>
      <c r="BK456" s="247">
        <f t="shared" si="154"/>
        <v>202958</v>
      </c>
      <c r="BL456" s="247">
        <f t="shared" si="155"/>
        <v>1271158</v>
      </c>
      <c r="BM456" s="190" t="s">
        <v>1627</v>
      </c>
      <c r="BN456" s="190" t="s">
        <v>1565</v>
      </c>
      <c r="BO456" s="17"/>
      <c r="BP456" s="247"/>
      <c r="BQ456" s="247"/>
      <c r="BR456" s="247"/>
      <c r="BS456" s="17"/>
      <c r="BT456" s="17"/>
      <c r="BU456" s="17"/>
      <c r="BV456" s="189"/>
      <c r="BW456" s="195"/>
      <c r="BX456" s="246"/>
      <c r="BY456" s="190"/>
      <c r="BZ456" s="190"/>
      <c r="CA456" s="190"/>
      <c r="CB456" s="247"/>
      <c r="CC456" s="247"/>
      <c r="CD456" s="247"/>
      <c r="CE456" s="17"/>
      <c r="CF456" s="17"/>
      <c r="CG456" s="17"/>
      <c r="CH456" s="247"/>
      <c r="CI456" s="247"/>
      <c r="CJ456" s="247"/>
      <c r="CK456" s="17"/>
      <c r="CL456" s="17"/>
      <c r="CM456" s="17"/>
      <c r="CN456" s="17"/>
      <c r="CO456" s="17"/>
      <c r="CP456" s="11"/>
      <c r="CQ456" s="11"/>
      <c r="CR456" s="11"/>
      <c r="CS456" s="11"/>
      <c r="CT456" s="247"/>
      <c r="CU456" s="247"/>
      <c r="CV456" s="247"/>
      <c r="CW456" s="11"/>
      <c r="CX456" s="11"/>
      <c r="CY456" s="11"/>
      <c r="CZ456" s="11"/>
      <c r="DA456" s="11"/>
      <c r="DB456" s="11"/>
      <c r="DC456" s="11"/>
      <c r="DD456" s="11"/>
      <c r="DE456" s="11"/>
      <c r="DF456" s="11"/>
      <c r="DG456" s="11"/>
      <c r="DH456" s="11"/>
      <c r="DI456" s="11"/>
      <c r="DJ456" s="11"/>
      <c r="DK456" s="11"/>
      <c r="DL456" s="247"/>
      <c r="DM456" s="247"/>
      <c r="DN456" s="247"/>
      <c r="DO456" s="247"/>
      <c r="DP456" s="247"/>
      <c r="DQ456" s="247"/>
      <c r="DR456" s="247"/>
      <c r="DS456" s="247"/>
      <c r="DT456" s="247"/>
      <c r="DU456" s="247"/>
      <c r="DV456" s="247"/>
      <c r="DW456" s="247"/>
      <c r="DX456" s="247"/>
      <c r="DY456" s="247"/>
      <c r="DZ456" s="247"/>
      <c r="EA456" s="247"/>
      <c r="EB456" s="247"/>
      <c r="EC456" s="247"/>
      <c r="ED456" s="17">
        <f t="shared" si="156"/>
        <v>1575798</v>
      </c>
      <c r="EE456" s="29">
        <f t="shared" si="157"/>
        <v>2</v>
      </c>
      <c r="EF456" s="17">
        <f t="shared" si="158"/>
        <v>787899</v>
      </c>
    </row>
    <row r="457" spans="1:136" ht="25.5" x14ac:dyDescent="0.25">
      <c r="A457" s="25">
        <f>Distribución_Elementos!A457</f>
        <v>455</v>
      </c>
      <c r="B457" s="22" t="str">
        <f>Distribución_Elementos!B457</f>
        <v>Rastrillo  bacteriologico autoclavable  vidrio, para sembrar bacterias en medio de cultivo.</v>
      </c>
      <c r="C457" s="22" t="str">
        <f>Distribución_Elementos!C457</f>
        <v>Cualquier marca</v>
      </c>
      <c r="D457" s="22" t="str">
        <f>Distribución_Elementos!D457</f>
        <v xml:space="preserve"> </v>
      </c>
      <c r="E457" s="224">
        <v>1</v>
      </c>
      <c r="F457" s="221">
        <v>95200</v>
      </c>
      <c r="G457" s="221">
        <v>90440</v>
      </c>
      <c r="H457" s="221">
        <v>197936.66666666666</v>
      </c>
      <c r="I457" s="221">
        <v>197778</v>
      </c>
      <c r="J457" s="221">
        <v>38813.833333333336</v>
      </c>
      <c r="K457" s="221">
        <v>35700</v>
      </c>
      <c r="L457" s="247">
        <f>AVERAGE(F457,H457,J457)</f>
        <v>110650.16666666664</v>
      </c>
      <c r="M457" s="247">
        <f>AVERAGE(G457,I457,K457)*E1</f>
        <v>111211.84666666668</v>
      </c>
      <c r="N457" s="227">
        <v>11000</v>
      </c>
      <c r="O457" s="119">
        <f t="shared" ref="O457:O464" si="164">+N457*0.19</f>
        <v>2090</v>
      </c>
      <c r="P457" s="119">
        <f t="shared" ref="P457:P464" si="165">+N457+O457</f>
        <v>13090</v>
      </c>
      <c r="Q457" s="115"/>
      <c r="R457" s="115"/>
      <c r="S457" s="11"/>
      <c r="T457" s="247"/>
      <c r="U457" s="247"/>
      <c r="V457" s="247"/>
      <c r="W457" s="17"/>
      <c r="X457" s="11"/>
      <c r="Y457" s="11"/>
      <c r="Z457" s="247"/>
      <c r="AA457" s="247"/>
      <c r="AB457" s="247"/>
      <c r="AC457" s="44"/>
      <c r="AD457" s="22"/>
      <c r="AE457" s="17"/>
      <c r="AF457" s="247"/>
      <c r="AG457" s="247"/>
      <c r="AH457" s="151"/>
      <c r="AI457" s="4"/>
      <c r="AJ457" s="17"/>
      <c r="AK457" s="17"/>
      <c r="AL457" s="102"/>
      <c r="AM457" s="132"/>
      <c r="AN457" s="161"/>
      <c r="AO457" s="115"/>
      <c r="AP457" s="115"/>
      <c r="AQ457" s="17"/>
      <c r="AR457" s="247"/>
      <c r="AS457" s="247"/>
      <c r="AT457" s="247"/>
      <c r="AU457" s="17"/>
      <c r="AV457" s="17"/>
      <c r="AW457" s="17"/>
      <c r="AX457" s="247"/>
      <c r="AY457" s="247"/>
      <c r="AZ457" s="247"/>
      <c r="BA457" s="17"/>
      <c r="BB457" s="52"/>
      <c r="BC457" s="17"/>
      <c r="BD457" s="247"/>
      <c r="BE457" s="247"/>
      <c r="BF457" s="247"/>
      <c r="BG457" s="17"/>
      <c r="BH457" s="17"/>
      <c r="BI457" s="17"/>
      <c r="BJ457" s="247">
        <f>1341500/10</f>
        <v>134150</v>
      </c>
      <c r="BK457" s="247">
        <f t="shared" si="154"/>
        <v>25488.5</v>
      </c>
      <c r="BL457" s="247">
        <f t="shared" si="155"/>
        <v>159638.5</v>
      </c>
      <c r="BM457" s="190" t="s">
        <v>1752</v>
      </c>
      <c r="BN457" s="190" t="s">
        <v>1625</v>
      </c>
      <c r="BO457" s="17"/>
      <c r="BP457" s="247"/>
      <c r="BQ457" s="247"/>
      <c r="BR457" s="247"/>
      <c r="BS457" s="17"/>
      <c r="BT457" s="17"/>
      <c r="BU457" s="17"/>
      <c r="BV457" s="195"/>
      <c r="BW457" s="195"/>
      <c r="BX457" s="246"/>
      <c r="BY457" s="190"/>
      <c r="BZ457" s="190"/>
      <c r="CA457" s="190"/>
      <c r="CB457" s="247"/>
      <c r="CC457" s="247"/>
      <c r="CD457" s="247"/>
      <c r="CE457" s="17"/>
      <c r="CF457" s="17"/>
      <c r="CG457" s="17"/>
      <c r="CH457" s="247"/>
      <c r="CI457" s="247"/>
      <c r="CJ457" s="247"/>
      <c r="CK457" s="17"/>
      <c r="CL457" s="17"/>
      <c r="CM457" s="17"/>
      <c r="CN457" s="17"/>
      <c r="CO457" s="17"/>
      <c r="CP457" s="11"/>
      <c r="CQ457" s="11"/>
      <c r="CR457" s="11"/>
      <c r="CS457" s="11"/>
      <c r="CT457" s="247"/>
      <c r="CU457" s="247"/>
      <c r="CV457" s="247"/>
      <c r="CW457" s="11"/>
      <c r="CX457" s="11"/>
      <c r="CY457" s="11"/>
      <c r="CZ457" s="11"/>
      <c r="DA457" s="11"/>
      <c r="DB457" s="11"/>
      <c r="DC457" s="11"/>
      <c r="DD457" s="11"/>
      <c r="DE457" s="11"/>
      <c r="DF457" s="11"/>
      <c r="DG457" s="11"/>
      <c r="DH457" s="11"/>
      <c r="DI457" s="11"/>
      <c r="DJ457" s="11"/>
      <c r="DK457" s="11"/>
      <c r="DL457" s="247"/>
      <c r="DM457" s="247"/>
      <c r="DN457" s="247"/>
      <c r="DO457" s="247"/>
      <c r="DP457" s="247"/>
      <c r="DQ457" s="247"/>
      <c r="DR457" s="247"/>
      <c r="DS457" s="247"/>
      <c r="DT457" s="247"/>
      <c r="DU457" s="247"/>
      <c r="DV457" s="247"/>
      <c r="DW457" s="247"/>
      <c r="DX457" s="247"/>
      <c r="DY457" s="247"/>
      <c r="DZ457" s="247"/>
      <c r="EA457" s="247"/>
      <c r="EB457" s="247"/>
      <c r="EC457" s="247"/>
      <c r="ED457" s="17">
        <f t="shared" si="156"/>
        <v>283940.34666666668</v>
      </c>
      <c r="EE457" s="29">
        <f t="shared" si="157"/>
        <v>3</v>
      </c>
      <c r="EF457" s="17">
        <f t="shared" si="158"/>
        <v>94646.782222222231</v>
      </c>
    </row>
    <row r="458" spans="1:136" x14ac:dyDescent="0.25">
      <c r="A458" s="25">
        <f>Distribución_Elementos!A458</f>
        <v>456</v>
      </c>
      <c r="B458" s="22" t="str">
        <f>Distribución_Elementos!B458</f>
        <v>Recipiente básico rectangular 3L de 19X30X10 cm.</v>
      </c>
      <c r="C458" s="22" t="str">
        <f>Distribución_Elementos!C458</f>
        <v>Estra</v>
      </c>
      <c r="D458" s="22" t="str">
        <f>Distribución_Elementos!D458</f>
        <v>Unidad</v>
      </c>
      <c r="E458" s="224">
        <v>1</v>
      </c>
      <c r="F458" s="221">
        <v>35700</v>
      </c>
      <c r="G458" s="221">
        <v>0</v>
      </c>
      <c r="H458" s="221">
        <v>41650</v>
      </c>
      <c r="I458" s="221">
        <v>0</v>
      </c>
      <c r="J458" s="221">
        <v>56095.277777777781</v>
      </c>
      <c r="K458" s="221">
        <v>0</v>
      </c>
      <c r="L458" s="247">
        <f>AVERAGE(F458,H458,J458)</f>
        <v>44481.759259259263</v>
      </c>
      <c r="M458" s="247"/>
      <c r="N458" s="227">
        <v>40000</v>
      </c>
      <c r="O458" s="119">
        <f t="shared" si="164"/>
        <v>7600</v>
      </c>
      <c r="P458" s="119">
        <f t="shared" si="165"/>
        <v>47600</v>
      </c>
      <c r="Q458" s="115"/>
      <c r="R458" s="115"/>
      <c r="S458" s="11"/>
      <c r="T458" s="247"/>
      <c r="U458" s="247"/>
      <c r="V458" s="247"/>
      <c r="W458" s="17"/>
      <c r="X458" s="11"/>
      <c r="Y458" s="11"/>
      <c r="Z458" s="247"/>
      <c r="AA458" s="247"/>
      <c r="AB458" s="247"/>
      <c r="AC458" s="44"/>
      <c r="AD458" s="22"/>
      <c r="AE458" s="17"/>
      <c r="AF458" s="247"/>
      <c r="AG458" s="247"/>
      <c r="AH458" s="151"/>
      <c r="AI458" s="4"/>
      <c r="AJ458" s="17"/>
      <c r="AK458" s="17"/>
      <c r="AL458" s="102"/>
      <c r="AM458" s="132"/>
      <c r="AN458" s="161"/>
      <c r="AO458" s="115"/>
      <c r="AP458" s="115"/>
      <c r="AQ458" s="17"/>
      <c r="AR458" s="247"/>
      <c r="AS458" s="247"/>
      <c r="AT458" s="247"/>
      <c r="AU458" s="17"/>
      <c r="AV458" s="17"/>
      <c r="AW458" s="17"/>
      <c r="AX458" s="247"/>
      <c r="AY458" s="247"/>
      <c r="AZ458" s="247"/>
      <c r="BA458" s="17"/>
      <c r="BB458" s="52"/>
      <c r="BC458" s="17"/>
      <c r="BD458" s="247"/>
      <c r="BE458" s="247"/>
      <c r="BF458" s="247"/>
      <c r="BG458" s="17"/>
      <c r="BH458" s="17"/>
      <c r="BI458" s="17"/>
      <c r="BJ458" s="247">
        <v>332500</v>
      </c>
      <c r="BK458" s="247">
        <f t="shared" si="154"/>
        <v>63175</v>
      </c>
      <c r="BL458" s="247">
        <f t="shared" si="155"/>
        <v>395675</v>
      </c>
      <c r="BM458" s="190" t="s">
        <v>375</v>
      </c>
      <c r="BN458" s="190" t="s">
        <v>1753</v>
      </c>
      <c r="BO458" s="17"/>
      <c r="BP458" s="247"/>
      <c r="BQ458" s="247"/>
      <c r="BR458" s="247"/>
      <c r="BS458" s="17"/>
      <c r="BT458" s="17"/>
      <c r="BU458" s="17"/>
      <c r="BV458" s="195">
        <v>370112.73249999998</v>
      </c>
      <c r="BW458" s="195">
        <f t="shared" ref="BW458:BW466" si="166">+BV458*0.19</f>
        <v>70321.419175000003</v>
      </c>
      <c r="BX458" s="246">
        <f t="shared" ref="BX458:BX466" si="167">+BV458+BW458</f>
        <v>440434.15167499997</v>
      </c>
      <c r="BY458" s="190" t="s">
        <v>375</v>
      </c>
      <c r="BZ458" s="190" t="s">
        <v>1753</v>
      </c>
      <c r="CA458" s="190"/>
      <c r="CB458" s="247"/>
      <c r="CC458" s="247"/>
      <c r="CD458" s="247"/>
      <c r="CE458" s="17"/>
      <c r="CF458" s="17"/>
      <c r="CG458" s="17"/>
      <c r="CH458" s="247"/>
      <c r="CI458" s="247"/>
      <c r="CJ458" s="247"/>
      <c r="CK458" s="17"/>
      <c r="CL458" s="17"/>
      <c r="CM458" s="17"/>
      <c r="CN458" s="17"/>
      <c r="CO458" s="17"/>
      <c r="CP458" s="11"/>
      <c r="CQ458" s="11"/>
      <c r="CR458" s="11"/>
      <c r="CS458" s="11"/>
      <c r="CT458" s="247"/>
      <c r="CU458" s="247"/>
      <c r="CV458" s="247"/>
      <c r="CW458" s="11"/>
      <c r="CX458" s="11"/>
      <c r="CY458" s="11"/>
      <c r="CZ458" s="11"/>
      <c r="DA458" s="11"/>
      <c r="DB458" s="11"/>
      <c r="DC458" s="11"/>
      <c r="DD458" s="11"/>
      <c r="DE458" s="11"/>
      <c r="DF458" s="11"/>
      <c r="DG458" s="11"/>
      <c r="DH458" s="11"/>
      <c r="DI458" s="11"/>
      <c r="DJ458" s="11"/>
      <c r="DK458" s="11"/>
      <c r="DL458" s="247"/>
      <c r="DM458" s="247"/>
      <c r="DN458" s="247"/>
      <c r="DO458" s="247"/>
      <c r="DP458" s="247"/>
      <c r="DQ458" s="247"/>
      <c r="DR458" s="247"/>
      <c r="DS458" s="247"/>
      <c r="DT458" s="247"/>
      <c r="DU458" s="247"/>
      <c r="DV458" s="247"/>
      <c r="DW458" s="247"/>
      <c r="DX458" s="247"/>
      <c r="DY458" s="247"/>
      <c r="DZ458" s="247"/>
      <c r="EA458" s="247"/>
      <c r="EB458" s="247"/>
      <c r="EC458" s="247"/>
      <c r="ED458" s="17">
        <f t="shared" si="156"/>
        <v>883709.15167499997</v>
      </c>
      <c r="EE458" s="29">
        <f t="shared" si="157"/>
        <v>3</v>
      </c>
      <c r="EF458" s="17">
        <f t="shared" si="158"/>
        <v>294569.71722499997</v>
      </c>
    </row>
    <row r="459" spans="1:136" x14ac:dyDescent="0.25">
      <c r="A459" s="25">
        <f>Distribución_Elementos!A459</f>
        <v>457</v>
      </c>
      <c r="B459" s="22" t="str">
        <f>Distribución_Elementos!B459</f>
        <v>Recipiente familiar  No. 3</v>
      </c>
      <c r="C459" s="22" t="str">
        <f>Distribución_Elementos!C459</f>
        <v>Cualquier marca</v>
      </c>
      <c r="D459" s="22" t="str">
        <f>Distribución_Elementos!D459</f>
        <v>Unidad x 1,8 L</v>
      </c>
      <c r="E459" s="224">
        <v>1</v>
      </c>
      <c r="F459" s="221">
        <v>0</v>
      </c>
      <c r="G459" s="221">
        <v>0</v>
      </c>
      <c r="H459" s="221">
        <v>29750</v>
      </c>
      <c r="I459" s="221">
        <v>0</v>
      </c>
      <c r="J459" s="221">
        <v>119495.83333333333</v>
      </c>
      <c r="K459" s="221">
        <v>15232</v>
      </c>
      <c r="L459" s="247">
        <f>AVERAGE(H459,J459)</f>
        <v>74622.916666666657</v>
      </c>
      <c r="M459" s="247">
        <f>K459*E1</f>
        <v>15688.960000000001</v>
      </c>
      <c r="N459" s="227">
        <v>30000</v>
      </c>
      <c r="O459" s="119">
        <f t="shared" si="164"/>
        <v>5700</v>
      </c>
      <c r="P459" s="119">
        <f t="shared" si="165"/>
        <v>35700</v>
      </c>
      <c r="Q459" s="115"/>
      <c r="R459" s="115"/>
      <c r="S459" s="11"/>
      <c r="T459" s="247"/>
      <c r="U459" s="247"/>
      <c r="V459" s="247"/>
      <c r="W459" s="17"/>
      <c r="X459" s="11"/>
      <c r="Y459" s="11"/>
      <c r="Z459" s="247"/>
      <c r="AA459" s="247"/>
      <c r="AB459" s="247"/>
      <c r="AC459" s="44"/>
      <c r="AD459" s="22"/>
      <c r="AE459" s="17"/>
      <c r="AF459" s="247"/>
      <c r="AG459" s="247"/>
      <c r="AH459" s="151"/>
      <c r="AI459" s="22"/>
      <c r="AJ459" s="17"/>
      <c r="AK459" s="17"/>
      <c r="AL459" s="102"/>
      <c r="AM459" s="132"/>
      <c r="AN459" s="161"/>
      <c r="AO459" s="115"/>
      <c r="AP459" s="115"/>
      <c r="AQ459" s="17"/>
      <c r="AR459" s="247"/>
      <c r="AS459" s="247"/>
      <c r="AT459" s="247"/>
      <c r="AU459" s="17"/>
      <c r="AV459" s="17"/>
      <c r="AW459" s="17"/>
      <c r="AX459" s="247"/>
      <c r="AY459" s="247"/>
      <c r="AZ459" s="247"/>
      <c r="BA459" s="17"/>
      <c r="BB459" s="52"/>
      <c r="BC459" s="17"/>
      <c r="BD459" s="247"/>
      <c r="BE459" s="247"/>
      <c r="BF459" s="247"/>
      <c r="BG459" s="17"/>
      <c r="BH459" s="17"/>
      <c r="BI459" s="17"/>
      <c r="BJ459" s="247">
        <v>28400</v>
      </c>
      <c r="BK459" s="247">
        <f t="shared" si="154"/>
        <v>5396</v>
      </c>
      <c r="BL459" s="247">
        <f t="shared" si="155"/>
        <v>33796</v>
      </c>
      <c r="BM459" s="190" t="s">
        <v>375</v>
      </c>
      <c r="BN459" s="190" t="s">
        <v>153</v>
      </c>
      <c r="BO459" s="17"/>
      <c r="BP459" s="247"/>
      <c r="BQ459" s="247"/>
      <c r="BR459" s="247"/>
      <c r="BS459" s="17"/>
      <c r="BT459" s="17"/>
      <c r="BU459" s="17"/>
      <c r="BV459" s="195">
        <v>31322.928000000004</v>
      </c>
      <c r="BW459" s="195">
        <f t="shared" si="166"/>
        <v>5951.3563200000008</v>
      </c>
      <c r="BX459" s="246">
        <f t="shared" si="167"/>
        <v>37274.284320000006</v>
      </c>
      <c r="BY459" s="190" t="s">
        <v>375</v>
      </c>
      <c r="BZ459" s="190" t="s">
        <v>153</v>
      </c>
      <c r="CA459" s="190"/>
      <c r="CB459" s="247"/>
      <c r="CC459" s="247"/>
      <c r="CD459" s="247"/>
      <c r="CE459" s="17"/>
      <c r="CF459" s="17"/>
      <c r="CG459" s="17"/>
      <c r="CH459" s="247"/>
      <c r="CI459" s="247"/>
      <c r="CJ459" s="247"/>
      <c r="CK459" s="17"/>
      <c r="CL459" s="17"/>
      <c r="CM459" s="17"/>
      <c r="CN459" s="17"/>
      <c r="CO459" s="17"/>
      <c r="CP459" s="11"/>
      <c r="CQ459" s="11"/>
      <c r="CR459" s="11"/>
      <c r="CS459" s="11"/>
      <c r="CT459" s="247"/>
      <c r="CU459" s="247"/>
      <c r="CV459" s="247"/>
      <c r="CW459" s="11"/>
      <c r="CX459" s="11"/>
      <c r="CY459" s="11"/>
      <c r="CZ459" s="11"/>
      <c r="DA459" s="11"/>
      <c r="DB459" s="11"/>
      <c r="DC459" s="11"/>
      <c r="DD459" s="11"/>
      <c r="DE459" s="11"/>
      <c r="DF459" s="11"/>
      <c r="DG459" s="11"/>
      <c r="DH459" s="11"/>
      <c r="DI459" s="11"/>
      <c r="DJ459" s="11"/>
      <c r="DK459" s="11"/>
      <c r="DL459" s="247"/>
      <c r="DM459" s="247"/>
      <c r="DN459" s="247"/>
      <c r="DO459" s="247"/>
      <c r="DP459" s="247"/>
      <c r="DQ459" s="247"/>
      <c r="DR459" s="247"/>
      <c r="DS459" s="247"/>
      <c r="DT459" s="247"/>
      <c r="DU459" s="247"/>
      <c r="DV459" s="247"/>
      <c r="DW459" s="247"/>
      <c r="DX459" s="247"/>
      <c r="DY459" s="247"/>
      <c r="DZ459" s="247"/>
      <c r="EA459" s="247"/>
      <c r="EB459" s="247"/>
      <c r="EC459" s="247"/>
      <c r="ED459" s="17">
        <f t="shared" si="156"/>
        <v>122459.24432</v>
      </c>
      <c r="EE459" s="29">
        <f t="shared" si="157"/>
        <v>4</v>
      </c>
      <c r="EF459" s="17">
        <f t="shared" si="158"/>
        <v>30614.811079999999</v>
      </c>
    </row>
    <row r="460" spans="1:136" x14ac:dyDescent="0.25">
      <c r="A460" s="25">
        <f>Distribución_Elementos!A460</f>
        <v>458</v>
      </c>
      <c r="B460" s="22" t="str">
        <f>Distribución_Elementos!B460</f>
        <v>Recipiente familiar  No. 4</v>
      </c>
      <c r="C460" s="22" t="str">
        <f>Distribución_Elementos!C460</f>
        <v>Cualquier marca</v>
      </c>
      <c r="D460" s="22" t="str">
        <f>Distribución_Elementos!D460</f>
        <v>Unidad x 4 L</v>
      </c>
      <c r="E460" s="224">
        <v>1</v>
      </c>
      <c r="F460" s="221">
        <v>0</v>
      </c>
      <c r="G460" s="221">
        <v>0</v>
      </c>
      <c r="H460" s="221">
        <v>53550</v>
      </c>
      <c r="I460" s="221">
        <v>0</v>
      </c>
      <c r="J460" s="221">
        <v>56078.75</v>
      </c>
      <c r="K460" s="221">
        <v>22610</v>
      </c>
      <c r="L460" s="247">
        <f>AVERAGE(H460,J460)</f>
        <v>54814.375</v>
      </c>
      <c r="M460" s="247">
        <f>K460*E1</f>
        <v>23288.3</v>
      </c>
      <c r="N460" s="227">
        <v>50000</v>
      </c>
      <c r="O460" s="119">
        <f t="shared" si="164"/>
        <v>9500</v>
      </c>
      <c r="P460" s="119">
        <f t="shared" si="165"/>
        <v>59500</v>
      </c>
      <c r="Q460" s="115"/>
      <c r="R460" s="115"/>
      <c r="S460" s="11"/>
      <c r="T460" s="247"/>
      <c r="U460" s="247"/>
      <c r="V460" s="247"/>
      <c r="W460" s="17"/>
      <c r="X460" s="11"/>
      <c r="Y460" s="11"/>
      <c r="Z460" s="247"/>
      <c r="AA460" s="247"/>
      <c r="AB460" s="247"/>
      <c r="AC460" s="44"/>
      <c r="AD460" s="22"/>
      <c r="AE460" s="17"/>
      <c r="AF460" s="247"/>
      <c r="AG460" s="247"/>
      <c r="AH460" s="151"/>
      <c r="AI460" s="4"/>
      <c r="AJ460" s="17"/>
      <c r="AK460" s="17"/>
      <c r="AL460" s="102"/>
      <c r="AM460" s="132"/>
      <c r="AN460" s="161"/>
      <c r="AO460" s="115"/>
      <c r="AP460" s="115"/>
      <c r="AQ460" s="17"/>
      <c r="AR460" s="247"/>
      <c r="AS460" s="247"/>
      <c r="AT460" s="247"/>
      <c r="AU460" s="17"/>
      <c r="AV460" s="17"/>
      <c r="AW460" s="17"/>
      <c r="AX460" s="247"/>
      <c r="AY460" s="247"/>
      <c r="AZ460" s="247"/>
      <c r="BA460" s="17"/>
      <c r="BB460" s="52"/>
      <c r="BC460" s="17"/>
      <c r="BD460" s="247"/>
      <c r="BE460" s="247"/>
      <c r="BF460" s="247"/>
      <c r="BG460" s="17"/>
      <c r="BH460" s="17"/>
      <c r="BI460" s="17"/>
      <c r="BJ460" s="247">
        <v>38000</v>
      </c>
      <c r="BK460" s="247">
        <f t="shared" si="154"/>
        <v>7220</v>
      </c>
      <c r="BL460" s="247">
        <f t="shared" si="155"/>
        <v>45220</v>
      </c>
      <c r="BM460" s="190" t="s">
        <v>375</v>
      </c>
      <c r="BN460" s="190" t="s">
        <v>1544</v>
      </c>
      <c r="BO460" s="17"/>
      <c r="BP460" s="247"/>
      <c r="BQ460" s="247"/>
      <c r="BR460" s="247"/>
      <c r="BS460" s="17"/>
      <c r="BT460" s="17"/>
      <c r="BU460" s="17"/>
      <c r="BV460" s="195">
        <v>41910.959999999999</v>
      </c>
      <c r="BW460" s="195">
        <f t="shared" si="166"/>
        <v>7963.0824000000002</v>
      </c>
      <c r="BX460" s="246">
        <f t="shared" si="167"/>
        <v>49874.042399999998</v>
      </c>
      <c r="BY460" s="190" t="s">
        <v>375</v>
      </c>
      <c r="BZ460" s="190" t="s">
        <v>1544</v>
      </c>
      <c r="CA460" s="190"/>
      <c r="CB460" s="247"/>
      <c r="CC460" s="247"/>
      <c r="CD460" s="247"/>
      <c r="CE460" s="17"/>
      <c r="CF460" s="17"/>
      <c r="CG460" s="17"/>
      <c r="CH460" s="247"/>
      <c r="CI460" s="247"/>
      <c r="CJ460" s="247"/>
      <c r="CK460" s="17"/>
      <c r="CL460" s="17"/>
      <c r="CM460" s="17"/>
      <c r="CN460" s="17"/>
      <c r="CO460" s="17"/>
      <c r="CP460" s="11"/>
      <c r="CQ460" s="11"/>
      <c r="CR460" s="11"/>
      <c r="CS460" s="11"/>
      <c r="CT460" s="247"/>
      <c r="CU460" s="247"/>
      <c r="CV460" s="247"/>
      <c r="CW460" s="11"/>
      <c r="CX460" s="11"/>
      <c r="CY460" s="11"/>
      <c r="CZ460" s="11"/>
      <c r="DA460" s="11"/>
      <c r="DB460" s="11"/>
      <c r="DC460" s="11"/>
      <c r="DD460" s="11"/>
      <c r="DE460" s="11"/>
      <c r="DF460" s="11"/>
      <c r="DG460" s="11"/>
      <c r="DH460" s="11"/>
      <c r="DI460" s="11"/>
      <c r="DJ460" s="11"/>
      <c r="DK460" s="11"/>
      <c r="DL460" s="247"/>
      <c r="DM460" s="247"/>
      <c r="DN460" s="247"/>
      <c r="DO460" s="247"/>
      <c r="DP460" s="247"/>
      <c r="DQ460" s="247"/>
      <c r="DR460" s="247"/>
      <c r="DS460" s="247"/>
      <c r="DT460" s="247"/>
      <c r="DU460" s="247"/>
      <c r="DV460" s="247"/>
      <c r="DW460" s="247"/>
      <c r="DX460" s="247"/>
      <c r="DY460" s="247"/>
      <c r="DZ460" s="247"/>
      <c r="EA460" s="247"/>
      <c r="EB460" s="247"/>
      <c r="EC460" s="247"/>
      <c r="ED460" s="17">
        <f t="shared" si="156"/>
        <v>177882.34239999999</v>
      </c>
      <c r="EE460" s="29">
        <f t="shared" si="157"/>
        <v>4</v>
      </c>
      <c r="EF460" s="17">
        <f t="shared" si="158"/>
        <v>44470.585599999999</v>
      </c>
    </row>
    <row r="461" spans="1:136" ht="38.25" x14ac:dyDescent="0.25">
      <c r="A461" s="25">
        <f>Distribución_Elementos!A461</f>
        <v>459</v>
      </c>
      <c r="B461" s="22" t="str">
        <f>Distribución_Elementos!B461</f>
        <v>Recolector de elementos punzocortantes. Colector desechable para uso con el sistema "guardián" Capacidad: 1.0 litros. Resistente al impacto. Fabricado en polipropileno original</v>
      </c>
      <c r="C461" s="22" t="str">
        <f>Distribución_Elementos!C461</f>
        <v>Cualquier marca</v>
      </c>
      <c r="D461" s="22" t="str">
        <f>Distribución_Elementos!D461</f>
        <v>Unidad</v>
      </c>
      <c r="E461" s="224">
        <v>1</v>
      </c>
      <c r="F461" s="221">
        <v>5831</v>
      </c>
      <c r="G461" s="221">
        <v>5593</v>
      </c>
      <c r="H461" s="221">
        <v>5220.6133</v>
      </c>
      <c r="I461" s="221">
        <v>5117</v>
      </c>
      <c r="J461" s="221">
        <v>27873.105555555554</v>
      </c>
      <c r="K461" s="221">
        <v>6307</v>
      </c>
      <c r="L461" s="247">
        <f>AVERAGE(F461,H461,J461)</f>
        <v>12974.906285185185</v>
      </c>
      <c r="M461" s="247">
        <f>AVERAGE(G461,I461,K461)*E1</f>
        <v>5842.5033333333331</v>
      </c>
      <c r="N461" s="227">
        <v>4500</v>
      </c>
      <c r="O461" s="119">
        <f t="shared" si="164"/>
        <v>855</v>
      </c>
      <c r="P461" s="119">
        <f t="shared" si="165"/>
        <v>5355</v>
      </c>
      <c r="Q461" s="115"/>
      <c r="R461" s="115"/>
      <c r="S461" s="11"/>
      <c r="T461" s="247"/>
      <c r="U461" s="247"/>
      <c r="V461" s="247"/>
      <c r="W461" s="17"/>
      <c r="X461" s="11"/>
      <c r="Y461" s="11"/>
      <c r="Z461" s="247"/>
      <c r="AA461" s="247"/>
      <c r="AB461" s="247"/>
      <c r="AC461" s="44"/>
      <c r="AD461" s="22"/>
      <c r="AE461" s="17"/>
      <c r="AF461" s="247"/>
      <c r="AG461" s="247"/>
      <c r="AH461" s="151"/>
      <c r="AI461" s="4"/>
      <c r="AJ461" s="17"/>
      <c r="AK461" s="17"/>
      <c r="AL461" s="102"/>
      <c r="AM461" s="132"/>
      <c r="AN461" s="161"/>
      <c r="AO461" s="115"/>
      <c r="AP461" s="115"/>
      <c r="AQ461" s="17"/>
      <c r="AR461" s="247"/>
      <c r="AS461" s="247"/>
      <c r="AT461" s="247"/>
      <c r="AU461" s="17"/>
      <c r="AV461" s="17"/>
      <c r="AW461" s="17"/>
      <c r="AX461" s="247"/>
      <c r="AY461" s="247"/>
      <c r="AZ461" s="247"/>
      <c r="BA461" s="17"/>
      <c r="BB461" s="52"/>
      <c r="BC461" s="17"/>
      <c r="BD461" s="247"/>
      <c r="BE461" s="247"/>
      <c r="BF461" s="247"/>
      <c r="BG461" s="17"/>
      <c r="BH461" s="17"/>
      <c r="BI461" s="17"/>
      <c r="BJ461" s="247">
        <v>6000</v>
      </c>
      <c r="BK461" s="247">
        <f t="shared" si="154"/>
        <v>1140</v>
      </c>
      <c r="BL461" s="247">
        <f t="shared" si="155"/>
        <v>7140</v>
      </c>
      <c r="BM461" s="190" t="s">
        <v>375</v>
      </c>
      <c r="BN461" s="190" t="s">
        <v>1544</v>
      </c>
      <c r="BO461" s="17"/>
      <c r="BP461" s="247">
        <v>6800</v>
      </c>
      <c r="BQ461" s="247">
        <f>+BP461*19%</f>
        <v>1292</v>
      </c>
      <c r="BR461" s="247">
        <f>+BQ461+BP461</f>
        <v>8092</v>
      </c>
      <c r="BS461" s="17"/>
      <c r="BT461" s="17"/>
      <c r="BU461" s="17"/>
      <c r="BV461" s="195">
        <v>6747.3</v>
      </c>
      <c r="BW461" s="195">
        <f t="shared" si="166"/>
        <v>1281.9870000000001</v>
      </c>
      <c r="BX461" s="246">
        <f t="shared" si="167"/>
        <v>8029.2870000000003</v>
      </c>
      <c r="BY461" s="190" t="s">
        <v>375</v>
      </c>
      <c r="BZ461" s="190" t="s">
        <v>1544</v>
      </c>
      <c r="CA461" s="190"/>
      <c r="CB461" s="247"/>
      <c r="CC461" s="247"/>
      <c r="CD461" s="247"/>
      <c r="CE461" s="17"/>
      <c r="CF461" s="17"/>
      <c r="CG461" s="17"/>
      <c r="CH461" s="247"/>
      <c r="CI461" s="247"/>
      <c r="CJ461" s="247"/>
      <c r="CK461" s="17"/>
      <c r="CL461" s="17"/>
      <c r="CM461" s="17"/>
      <c r="CN461" s="17"/>
      <c r="CO461" s="17"/>
      <c r="CP461" s="11"/>
      <c r="CQ461" s="11"/>
      <c r="CR461" s="11"/>
      <c r="CS461" s="11"/>
      <c r="CT461" s="247"/>
      <c r="CU461" s="247"/>
      <c r="CV461" s="247"/>
      <c r="CW461" s="11"/>
      <c r="CX461" s="11"/>
      <c r="CY461" s="11"/>
      <c r="CZ461" s="11"/>
      <c r="DA461" s="11"/>
      <c r="DB461" s="11"/>
      <c r="DC461" s="11"/>
      <c r="DD461" s="11"/>
      <c r="DE461" s="11"/>
      <c r="DF461" s="11"/>
      <c r="DG461" s="11"/>
      <c r="DH461" s="11"/>
      <c r="DI461" s="11"/>
      <c r="DJ461" s="11"/>
      <c r="DK461" s="11"/>
      <c r="DL461" s="247"/>
      <c r="DM461" s="247"/>
      <c r="DN461" s="247"/>
      <c r="DO461" s="247"/>
      <c r="DP461" s="247"/>
      <c r="DQ461" s="247"/>
      <c r="DR461" s="247"/>
      <c r="DS461" s="247"/>
      <c r="DT461" s="247"/>
      <c r="DU461" s="247"/>
      <c r="DV461" s="247"/>
      <c r="DW461" s="247"/>
      <c r="DX461" s="247"/>
      <c r="DY461" s="247"/>
      <c r="DZ461" s="247"/>
      <c r="EA461" s="247"/>
      <c r="EB461" s="247"/>
      <c r="EC461" s="247"/>
      <c r="ED461" s="17">
        <f t="shared" si="156"/>
        <v>34458.790333333338</v>
      </c>
      <c r="EE461" s="29">
        <f t="shared" si="157"/>
        <v>5</v>
      </c>
      <c r="EF461" s="17">
        <f t="shared" si="158"/>
        <v>6891.7580666666672</v>
      </c>
    </row>
    <row r="462" spans="1:136" x14ac:dyDescent="0.25">
      <c r="A462" s="25">
        <f>Distribución_Elementos!A462</f>
        <v>460</v>
      </c>
      <c r="B462" s="22" t="str">
        <f>Distribución_Elementos!B462</f>
        <v>Recolector guardián de corto punzantes x 0.5 L</v>
      </c>
      <c r="C462" s="22" t="str">
        <f>Distribución_Elementos!C462</f>
        <v>Cualquier marca</v>
      </c>
      <c r="D462" s="22" t="str">
        <f>Distribución_Elementos!D462</f>
        <v>Unidad</v>
      </c>
      <c r="E462" s="224">
        <v>1</v>
      </c>
      <c r="F462" s="221">
        <v>0</v>
      </c>
      <c r="G462" s="221">
        <v>0</v>
      </c>
      <c r="H462" s="221">
        <v>0</v>
      </c>
      <c r="I462" s="221">
        <v>0</v>
      </c>
      <c r="J462" s="221">
        <v>6976.3244444444454</v>
      </c>
      <c r="K462" s="221">
        <v>6069</v>
      </c>
      <c r="L462" s="247">
        <f>J462</f>
        <v>6976.3244444444454</v>
      </c>
      <c r="M462" s="247">
        <f>K462*E1</f>
        <v>6251.07</v>
      </c>
      <c r="N462" s="227">
        <v>4500</v>
      </c>
      <c r="O462" s="119">
        <f t="shared" si="164"/>
        <v>855</v>
      </c>
      <c r="P462" s="119">
        <f t="shared" si="165"/>
        <v>5355</v>
      </c>
      <c r="Q462" s="115"/>
      <c r="R462" s="115"/>
      <c r="S462" s="11"/>
      <c r="T462" s="247"/>
      <c r="U462" s="247"/>
      <c r="V462" s="247"/>
      <c r="W462" s="17"/>
      <c r="X462" s="11"/>
      <c r="Y462" s="11"/>
      <c r="Z462" s="247"/>
      <c r="AA462" s="247"/>
      <c r="AB462" s="247"/>
      <c r="AC462" s="44"/>
      <c r="AD462" s="22"/>
      <c r="AE462" s="17"/>
      <c r="AF462" s="247"/>
      <c r="AG462" s="247"/>
      <c r="AH462" s="151"/>
      <c r="AI462" s="4"/>
      <c r="AJ462" s="17"/>
      <c r="AK462" s="17"/>
      <c r="AL462" s="102"/>
      <c r="AM462" s="132"/>
      <c r="AN462" s="161"/>
      <c r="AO462" s="115"/>
      <c r="AP462" s="115"/>
      <c r="AQ462" s="17"/>
      <c r="AR462" s="247"/>
      <c r="AS462" s="247"/>
      <c r="AT462" s="247"/>
      <c r="AU462" s="17"/>
      <c r="AV462" s="17"/>
      <c r="AW462" s="17"/>
      <c r="AX462" s="247"/>
      <c r="AY462" s="247"/>
      <c r="AZ462" s="247"/>
      <c r="BA462" s="17"/>
      <c r="BB462" s="52"/>
      <c r="BC462" s="17"/>
      <c r="BD462" s="247"/>
      <c r="BE462" s="247"/>
      <c r="BF462" s="247"/>
      <c r="BG462" s="17"/>
      <c r="BH462" s="17"/>
      <c r="BI462" s="17"/>
      <c r="BJ462" s="247">
        <v>5300</v>
      </c>
      <c r="BK462" s="247">
        <f t="shared" si="154"/>
        <v>1007</v>
      </c>
      <c r="BL462" s="247">
        <f t="shared" si="155"/>
        <v>6307</v>
      </c>
      <c r="BM462" s="190" t="s">
        <v>375</v>
      </c>
      <c r="BN462" s="190" t="s">
        <v>1619</v>
      </c>
      <c r="BO462" s="17"/>
      <c r="BP462" s="247">
        <v>5500</v>
      </c>
      <c r="BQ462" s="247">
        <f>+BP462*19%</f>
        <v>1045</v>
      </c>
      <c r="BR462" s="247">
        <f>+BQ462+BP462</f>
        <v>6545</v>
      </c>
      <c r="BS462" s="17"/>
      <c r="BT462" s="17"/>
      <c r="BU462" s="17"/>
      <c r="BV462" s="195">
        <v>6010.3908000000001</v>
      </c>
      <c r="BW462" s="195">
        <f t="shared" si="166"/>
        <v>1141.974252</v>
      </c>
      <c r="BX462" s="246">
        <f t="shared" si="167"/>
        <v>7152.3650520000001</v>
      </c>
      <c r="BY462" s="190" t="s">
        <v>375</v>
      </c>
      <c r="BZ462" s="190" t="s">
        <v>1619</v>
      </c>
      <c r="CA462" s="190"/>
      <c r="CB462" s="247"/>
      <c r="CC462" s="247"/>
      <c r="CD462" s="247"/>
      <c r="CE462" s="17"/>
      <c r="CF462" s="17"/>
      <c r="CG462" s="17"/>
      <c r="CH462" s="247"/>
      <c r="CI462" s="247"/>
      <c r="CJ462" s="247"/>
      <c r="CK462" s="17"/>
      <c r="CL462" s="17"/>
      <c r="CM462" s="17"/>
      <c r="CN462" s="17"/>
      <c r="CO462" s="17"/>
      <c r="CP462" s="11"/>
      <c r="CQ462" s="11"/>
      <c r="CR462" s="11"/>
      <c r="CS462" s="11"/>
      <c r="CT462" s="247"/>
      <c r="CU462" s="247"/>
      <c r="CV462" s="247"/>
      <c r="CW462" s="11"/>
      <c r="CX462" s="11"/>
      <c r="CY462" s="11"/>
      <c r="CZ462" s="11"/>
      <c r="DA462" s="11"/>
      <c r="DB462" s="11"/>
      <c r="DC462" s="11"/>
      <c r="DD462" s="11"/>
      <c r="DE462" s="11"/>
      <c r="DF462" s="11"/>
      <c r="DG462" s="11"/>
      <c r="DH462" s="11"/>
      <c r="DI462" s="11"/>
      <c r="DJ462" s="11"/>
      <c r="DK462" s="11"/>
      <c r="DL462" s="247"/>
      <c r="DM462" s="247"/>
      <c r="DN462" s="247"/>
      <c r="DO462" s="247"/>
      <c r="DP462" s="247"/>
      <c r="DQ462" s="247"/>
      <c r="DR462" s="247"/>
      <c r="DS462" s="247"/>
      <c r="DT462" s="247"/>
      <c r="DU462" s="247"/>
      <c r="DV462" s="247"/>
      <c r="DW462" s="247"/>
      <c r="DX462" s="247"/>
      <c r="DY462" s="247"/>
      <c r="DZ462" s="247"/>
      <c r="EA462" s="247"/>
      <c r="EB462" s="247"/>
      <c r="EC462" s="247"/>
      <c r="ED462" s="17">
        <f t="shared" si="156"/>
        <v>31610.435052000001</v>
      </c>
      <c r="EE462" s="29">
        <f t="shared" si="157"/>
        <v>5</v>
      </c>
      <c r="EF462" s="17">
        <f t="shared" si="158"/>
        <v>6322.0870104000005</v>
      </c>
    </row>
    <row r="463" spans="1:136" ht="24" x14ac:dyDescent="0.25">
      <c r="A463" s="25">
        <f>Distribución_Elementos!A463</f>
        <v>461</v>
      </c>
      <c r="B463" s="22" t="str">
        <f>Distribución_Elementos!B463</f>
        <v>Recolector guardián de punzocortantes 1.4 lt</v>
      </c>
      <c r="C463" s="22" t="str">
        <f>Distribución_Elementos!C463</f>
        <v>Cualquier marca</v>
      </c>
      <c r="D463" s="22" t="str">
        <f>Distribución_Elementos!D463</f>
        <v>Unidad</v>
      </c>
      <c r="E463" s="224">
        <v>1</v>
      </c>
      <c r="F463" s="221">
        <v>0</v>
      </c>
      <c r="G463" s="221">
        <v>0</v>
      </c>
      <c r="H463" s="221">
        <v>5972.9193999999998</v>
      </c>
      <c r="I463" s="221">
        <v>5831</v>
      </c>
      <c r="J463" s="221">
        <v>20020.758333333335</v>
      </c>
      <c r="K463" s="221">
        <v>7735</v>
      </c>
      <c r="L463" s="247">
        <f>AVERAGE(H463,J463)</f>
        <v>12996.838866666667</v>
      </c>
      <c r="M463" s="247">
        <f>AVERAGE(I463,K463)*E1</f>
        <v>6986.49</v>
      </c>
      <c r="N463" s="227">
        <v>4800</v>
      </c>
      <c r="O463" s="119">
        <f t="shared" si="164"/>
        <v>912</v>
      </c>
      <c r="P463" s="119">
        <f t="shared" si="165"/>
        <v>5712</v>
      </c>
      <c r="Q463" s="11"/>
      <c r="R463" s="11"/>
      <c r="S463" s="31"/>
      <c r="T463" s="130"/>
      <c r="U463" s="247"/>
      <c r="V463" s="247"/>
      <c r="W463" s="17"/>
      <c r="X463" s="11"/>
      <c r="Y463" s="11"/>
      <c r="Z463" s="247"/>
      <c r="AA463" s="247"/>
      <c r="AB463" s="247"/>
      <c r="AC463" s="11"/>
      <c r="AD463" s="11"/>
      <c r="AE463" s="11"/>
      <c r="AF463" s="247"/>
      <c r="AG463" s="247"/>
      <c r="AH463" s="247"/>
      <c r="AI463" s="11"/>
      <c r="AJ463" s="11"/>
      <c r="AK463" s="11"/>
      <c r="AL463" s="102"/>
      <c r="AM463" s="102"/>
      <c r="AN463" s="102"/>
      <c r="AO463" s="44"/>
      <c r="AP463" s="44"/>
      <c r="AQ463" s="11"/>
      <c r="AR463" s="247"/>
      <c r="AS463" s="247"/>
      <c r="AT463" s="247"/>
      <c r="AU463" s="11"/>
      <c r="AV463" s="11"/>
      <c r="AW463" s="11"/>
      <c r="AX463" s="247"/>
      <c r="AY463" s="247"/>
      <c r="AZ463" s="247"/>
      <c r="BA463" s="6"/>
      <c r="BB463" s="52"/>
      <c r="BC463" s="17"/>
      <c r="BD463" s="247"/>
      <c r="BE463" s="247"/>
      <c r="BF463" s="247"/>
      <c r="BG463" s="11"/>
      <c r="BH463" s="11"/>
      <c r="BI463" s="11"/>
      <c r="BJ463" s="247">
        <v>17200</v>
      </c>
      <c r="BK463" s="247">
        <f t="shared" si="154"/>
        <v>3268</v>
      </c>
      <c r="BL463" s="247">
        <f t="shared" si="155"/>
        <v>20468</v>
      </c>
      <c r="BM463" s="190" t="s">
        <v>375</v>
      </c>
      <c r="BN463" s="190" t="s">
        <v>1754</v>
      </c>
      <c r="BO463" s="11"/>
      <c r="BP463" s="247">
        <v>6800</v>
      </c>
      <c r="BQ463" s="247">
        <f>+BP463*19%</f>
        <v>1292</v>
      </c>
      <c r="BR463" s="247">
        <f>+BQ463+BP463</f>
        <v>8092</v>
      </c>
      <c r="BS463" s="11"/>
      <c r="BT463" s="11"/>
      <c r="BU463" s="11"/>
      <c r="BV463" s="195">
        <v>19699.847999999998</v>
      </c>
      <c r="BW463" s="195">
        <f t="shared" si="166"/>
        <v>3742.9711199999997</v>
      </c>
      <c r="BX463" s="246">
        <f t="shared" si="167"/>
        <v>23442.819119999996</v>
      </c>
      <c r="BY463" s="190" t="s">
        <v>375</v>
      </c>
      <c r="BZ463" s="190" t="s">
        <v>1754</v>
      </c>
      <c r="CA463" s="190"/>
      <c r="CB463" s="247"/>
      <c r="CC463" s="247"/>
      <c r="CD463" s="247"/>
      <c r="CE463" s="11"/>
      <c r="CF463" s="11"/>
      <c r="CG463" s="11"/>
      <c r="CH463" s="247"/>
      <c r="CI463" s="247"/>
      <c r="CJ463" s="247"/>
      <c r="CK463" s="11"/>
      <c r="CL463" s="11"/>
      <c r="CM463" s="11"/>
      <c r="CN463" s="11"/>
      <c r="CO463" s="11"/>
      <c r="CP463" s="11"/>
      <c r="CQ463" s="11"/>
      <c r="CR463" s="11"/>
      <c r="CS463" s="11"/>
      <c r="CT463" s="247"/>
      <c r="CU463" s="247"/>
      <c r="CV463" s="247"/>
      <c r="CW463" s="11"/>
      <c r="CX463" s="11"/>
      <c r="CY463" s="11"/>
      <c r="CZ463" s="11"/>
      <c r="DA463" s="11"/>
      <c r="DB463" s="11"/>
      <c r="DC463" s="11"/>
      <c r="DD463" s="11"/>
      <c r="DE463" s="11"/>
      <c r="DF463" s="11"/>
      <c r="DG463" s="11"/>
      <c r="DH463" s="11"/>
      <c r="DI463" s="11"/>
      <c r="DJ463" s="11"/>
      <c r="DK463" s="11"/>
      <c r="DL463" s="247"/>
      <c r="DM463" s="247"/>
      <c r="DN463" s="247"/>
      <c r="DO463" s="247"/>
      <c r="DP463" s="247"/>
      <c r="DQ463" s="247"/>
      <c r="DR463" s="247"/>
      <c r="DS463" s="247"/>
      <c r="DT463" s="247"/>
      <c r="DU463" s="247"/>
      <c r="DV463" s="247"/>
      <c r="DW463" s="247"/>
      <c r="DX463" s="247"/>
      <c r="DY463" s="247"/>
      <c r="DZ463" s="247"/>
      <c r="EA463" s="247"/>
      <c r="EB463" s="247"/>
      <c r="EC463" s="247"/>
      <c r="ED463" s="17">
        <f t="shared" si="156"/>
        <v>64701.309119999991</v>
      </c>
      <c r="EE463" s="29">
        <f t="shared" si="157"/>
        <v>5</v>
      </c>
      <c r="EF463" s="17">
        <f t="shared" si="158"/>
        <v>12940.261823999997</v>
      </c>
    </row>
    <row r="464" spans="1:136" x14ac:dyDescent="0.25">
      <c r="A464" s="25">
        <f>Distribución_Elementos!A464</f>
        <v>462</v>
      </c>
      <c r="B464" s="22" t="str">
        <f>Distribución_Elementos!B464</f>
        <v>Recolector guardián de punzocortantes 3 lt</v>
      </c>
      <c r="C464" s="22" t="str">
        <f>Distribución_Elementos!C464</f>
        <v>Cualquier marca</v>
      </c>
      <c r="D464" s="22" t="str">
        <f>Distribución_Elementos!D464</f>
        <v>Unidad</v>
      </c>
      <c r="E464" s="224">
        <v>1</v>
      </c>
      <c r="F464" s="221">
        <v>0</v>
      </c>
      <c r="G464" s="221">
        <v>0</v>
      </c>
      <c r="H464" s="221">
        <v>8766.3333333333339</v>
      </c>
      <c r="I464" s="221">
        <v>8687</v>
      </c>
      <c r="J464" s="221">
        <v>12561.111111111111</v>
      </c>
      <c r="K464" s="221">
        <v>10710</v>
      </c>
      <c r="L464" s="247">
        <f>AVERAGE(H464,J464)</f>
        <v>10663.722222222223</v>
      </c>
      <c r="M464" s="247">
        <f>AVERAGE(I464,K464)*E1</f>
        <v>9989.4549999999999</v>
      </c>
      <c r="N464" s="227">
        <v>5000</v>
      </c>
      <c r="O464" s="119">
        <f t="shared" si="164"/>
        <v>950</v>
      </c>
      <c r="P464" s="119">
        <f t="shared" si="165"/>
        <v>5950</v>
      </c>
      <c r="Q464" s="11"/>
      <c r="R464" s="11"/>
      <c r="S464" s="31"/>
      <c r="T464" s="130"/>
      <c r="U464" s="247"/>
      <c r="V464" s="247"/>
      <c r="W464" s="17"/>
      <c r="X464" s="7"/>
      <c r="Y464" s="8"/>
      <c r="Z464" s="132"/>
      <c r="AA464" s="247"/>
      <c r="AB464" s="247"/>
      <c r="AC464" s="11"/>
      <c r="AD464" s="11"/>
      <c r="AE464" s="11"/>
      <c r="AF464" s="247"/>
      <c r="AG464" s="247"/>
      <c r="AH464" s="247"/>
      <c r="AI464" s="11"/>
      <c r="AJ464" s="11"/>
      <c r="AK464" s="11"/>
      <c r="AL464" s="102"/>
      <c r="AM464" s="102"/>
      <c r="AN464" s="102"/>
      <c r="AO464" s="44"/>
      <c r="AP464" s="44"/>
      <c r="AQ464" s="11"/>
      <c r="AR464" s="247"/>
      <c r="AS464" s="247"/>
      <c r="AT464" s="247"/>
      <c r="AU464" s="11"/>
      <c r="AV464" s="11"/>
      <c r="AW464" s="11"/>
      <c r="AX464" s="247"/>
      <c r="AY464" s="247"/>
      <c r="AZ464" s="247"/>
      <c r="BA464" s="11"/>
      <c r="BB464" s="52"/>
      <c r="BC464" s="17"/>
      <c r="BD464" s="247"/>
      <c r="BE464" s="247"/>
      <c r="BF464" s="247"/>
      <c r="BG464" s="11"/>
      <c r="BH464" s="11"/>
      <c r="BI464" s="11"/>
      <c r="BJ464" s="247">
        <v>8300</v>
      </c>
      <c r="BK464" s="247">
        <f t="shared" si="154"/>
        <v>1577</v>
      </c>
      <c r="BL464" s="247">
        <f t="shared" si="155"/>
        <v>9877</v>
      </c>
      <c r="BM464" s="190" t="s">
        <v>375</v>
      </c>
      <c r="BN464" s="190" t="s">
        <v>27</v>
      </c>
      <c r="BO464" s="11"/>
      <c r="BP464" s="247">
        <v>8500</v>
      </c>
      <c r="BQ464" s="247">
        <f>+BP464*19%</f>
        <v>1615</v>
      </c>
      <c r="BR464" s="247">
        <f>+BQ464+BP464</f>
        <v>10115</v>
      </c>
      <c r="BS464" s="11"/>
      <c r="BT464" s="11"/>
      <c r="BU464" s="11"/>
      <c r="BV464" s="195">
        <v>9515.0370000000021</v>
      </c>
      <c r="BW464" s="195">
        <f t="shared" si="166"/>
        <v>1807.8570300000003</v>
      </c>
      <c r="BX464" s="246">
        <f t="shared" si="167"/>
        <v>11322.894030000003</v>
      </c>
      <c r="BY464" s="190" t="s">
        <v>375</v>
      </c>
      <c r="BZ464" s="190" t="s">
        <v>27</v>
      </c>
      <c r="CA464" s="190"/>
      <c r="CB464" s="247"/>
      <c r="CC464" s="247"/>
      <c r="CD464" s="247"/>
      <c r="CE464" s="11"/>
      <c r="CF464" s="11"/>
      <c r="CG464" s="11"/>
      <c r="CH464" s="247"/>
      <c r="CI464" s="247"/>
      <c r="CJ464" s="247"/>
      <c r="CK464" s="11"/>
      <c r="CL464" s="11"/>
      <c r="CM464" s="11"/>
      <c r="CN464" s="11"/>
      <c r="CO464" s="11"/>
      <c r="CP464" s="11"/>
      <c r="CQ464" s="11"/>
      <c r="CR464" s="11"/>
      <c r="CS464" s="11"/>
      <c r="CT464" s="247"/>
      <c r="CU464" s="247"/>
      <c r="CV464" s="247"/>
      <c r="CW464" s="11"/>
      <c r="CX464" s="11"/>
      <c r="CY464" s="11"/>
      <c r="CZ464" s="11"/>
      <c r="DA464" s="11"/>
      <c r="DB464" s="11"/>
      <c r="DC464" s="11"/>
      <c r="DD464" s="11"/>
      <c r="DE464" s="11"/>
      <c r="DF464" s="11"/>
      <c r="DG464" s="11"/>
      <c r="DH464" s="11"/>
      <c r="DI464" s="11"/>
      <c r="DJ464" s="11"/>
      <c r="DK464" s="11"/>
      <c r="DL464" s="247"/>
      <c r="DM464" s="247"/>
      <c r="DN464" s="247"/>
      <c r="DO464" s="247"/>
      <c r="DP464" s="247"/>
      <c r="DQ464" s="247"/>
      <c r="DR464" s="247"/>
      <c r="DS464" s="247"/>
      <c r="DT464" s="247"/>
      <c r="DU464" s="247"/>
      <c r="DV464" s="247"/>
      <c r="DW464" s="247"/>
      <c r="DX464" s="247"/>
      <c r="DY464" s="247"/>
      <c r="DZ464" s="247"/>
      <c r="EA464" s="247"/>
      <c r="EB464" s="247"/>
      <c r="EC464" s="247"/>
      <c r="ED464" s="17">
        <f t="shared" si="156"/>
        <v>47254.349030000005</v>
      </c>
      <c r="EE464" s="29">
        <f t="shared" si="157"/>
        <v>5</v>
      </c>
      <c r="EF464" s="17">
        <f t="shared" si="158"/>
        <v>9450.8698060000006</v>
      </c>
    </row>
    <row r="465" spans="1:136" x14ac:dyDescent="0.25">
      <c r="A465" s="25">
        <f>Distribución_Elementos!A465</f>
        <v>463</v>
      </c>
      <c r="B465" s="22" t="str">
        <f>Distribución_Elementos!B465</f>
        <v>Recuperador de varilla de agitacion  eje flexible 43,2cm</v>
      </c>
      <c r="C465" s="22" t="str">
        <f>Distribución_Elementos!C465</f>
        <v>Cualquier marca</v>
      </c>
      <c r="D465" s="22" t="str">
        <f>Distribución_Elementos!D465</f>
        <v>Unidad</v>
      </c>
      <c r="E465" s="224">
        <v>1</v>
      </c>
      <c r="F465" s="221">
        <v>0</v>
      </c>
      <c r="G465" s="221">
        <v>0</v>
      </c>
      <c r="H465" s="221">
        <v>107100</v>
      </c>
      <c r="I465" s="221">
        <v>0</v>
      </c>
      <c r="J465" s="221">
        <v>0</v>
      </c>
      <c r="K465" s="221">
        <v>0</v>
      </c>
      <c r="L465" s="247">
        <f>H465</f>
        <v>107100</v>
      </c>
      <c r="M465" s="247"/>
      <c r="N465" s="227"/>
      <c r="O465" s="119"/>
      <c r="P465" s="119"/>
      <c r="Q465" s="115"/>
      <c r="R465" s="115"/>
      <c r="S465" s="11"/>
      <c r="T465" s="247"/>
      <c r="U465" s="247"/>
      <c r="V465" s="247"/>
      <c r="W465" s="17"/>
      <c r="X465" s="11"/>
      <c r="Y465" s="11"/>
      <c r="Z465" s="247"/>
      <c r="AA465" s="247"/>
      <c r="AB465" s="247"/>
      <c r="AC465" s="5"/>
      <c r="AD465" s="22"/>
      <c r="AE465" s="17"/>
      <c r="AF465" s="247"/>
      <c r="AG465" s="247"/>
      <c r="AH465" s="149"/>
      <c r="AI465" s="22"/>
      <c r="AJ465" s="17"/>
      <c r="AK465" s="17"/>
      <c r="AL465" s="102"/>
      <c r="AM465" s="132"/>
      <c r="AN465" s="161"/>
      <c r="AO465" s="115"/>
      <c r="AP465" s="115"/>
      <c r="AQ465" s="17"/>
      <c r="AR465" s="247"/>
      <c r="AS465" s="247"/>
      <c r="AT465" s="247"/>
      <c r="AU465" s="17"/>
      <c r="AV465" s="17"/>
      <c r="AW465" s="17"/>
      <c r="AX465" s="247"/>
      <c r="AY465" s="247"/>
      <c r="AZ465" s="247"/>
      <c r="BA465" s="17"/>
      <c r="BB465" s="52"/>
      <c r="BC465" s="17"/>
      <c r="BD465" s="247"/>
      <c r="BE465" s="247"/>
      <c r="BF465" s="247"/>
      <c r="BG465" s="17"/>
      <c r="BH465" s="17"/>
      <c r="BI465" s="17"/>
      <c r="BJ465" s="247">
        <v>101200</v>
      </c>
      <c r="BK465" s="247">
        <f t="shared" si="154"/>
        <v>19228</v>
      </c>
      <c r="BL465" s="247">
        <f t="shared" si="155"/>
        <v>120428</v>
      </c>
      <c r="BM465" s="190" t="s">
        <v>375</v>
      </c>
      <c r="BN465" s="190" t="s">
        <v>1755</v>
      </c>
      <c r="BO465" s="17"/>
      <c r="BP465" s="247">
        <v>65200</v>
      </c>
      <c r="BQ465" s="247">
        <f>+BP465*19%</f>
        <v>12388</v>
      </c>
      <c r="BR465" s="247">
        <f>+BQ465+BP465</f>
        <v>77588</v>
      </c>
      <c r="BS465" s="17"/>
      <c r="BT465" s="17"/>
      <c r="BU465" s="17"/>
      <c r="BV465" s="195">
        <v>121614.57000000004</v>
      </c>
      <c r="BW465" s="195">
        <f t="shared" si="166"/>
        <v>23106.768300000007</v>
      </c>
      <c r="BX465" s="246">
        <f t="shared" si="167"/>
        <v>144721.33830000003</v>
      </c>
      <c r="BY465" s="190" t="s">
        <v>375</v>
      </c>
      <c r="BZ465" s="190" t="s">
        <v>1755</v>
      </c>
      <c r="CA465" s="190"/>
      <c r="CB465" s="247"/>
      <c r="CC465" s="247"/>
      <c r="CD465" s="247"/>
      <c r="CE465" s="17"/>
      <c r="CF465" s="17"/>
      <c r="CG465" s="17"/>
      <c r="CH465" s="247"/>
      <c r="CI465" s="247"/>
      <c r="CJ465" s="247"/>
      <c r="CK465" s="17"/>
      <c r="CL465" s="17"/>
      <c r="CM465" s="17"/>
      <c r="CN465" s="17"/>
      <c r="CO465" s="17"/>
      <c r="CP465" s="11"/>
      <c r="CQ465" s="11"/>
      <c r="CR465" s="11"/>
      <c r="CS465" s="11"/>
      <c r="CT465" s="247"/>
      <c r="CU465" s="247"/>
      <c r="CV465" s="247"/>
      <c r="CW465" s="11"/>
      <c r="CX465" s="11"/>
      <c r="CY465" s="11"/>
      <c r="CZ465" s="11"/>
      <c r="DA465" s="11"/>
      <c r="DB465" s="11"/>
      <c r="DC465" s="11"/>
      <c r="DD465" s="11"/>
      <c r="DE465" s="11"/>
      <c r="DF465" s="11"/>
      <c r="DG465" s="11"/>
      <c r="DH465" s="11"/>
      <c r="DI465" s="11"/>
      <c r="DJ465" s="11"/>
      <c r="DK465" s="11"/>
      <c r="DL465" s="247"/>
      <c r="DM465" s="247"/>
      <c r="DN465" s="247"/>
      <c r="DO465" s="247"/>
      <c r="DP465" s="247"/>
      <c r="DQ465" s="247"/>
      <c r="DR465" s="247"/>
      <c r="DS465" s="247"/>
      <c r="DT465" s="247"/>
      <c r="DU465" s="247"/>
      <c r="DV465" s="247"/>
      <c r="DW465" s="247"/>
      <c r="DX465" s="247"/>
      <c r="DY465" s="247"/>
      <c r="DZ465" s="247"/>
      <c r="EA465" s="247"/>
      <c r="EB465" s="247"/>
      <c r="EC465" s="247"/>
      <c r="ED465" s="17">
        <f t="shared" si="156"/>
        <v>342737.33830000006</v>
      </c>
      <c r="EE465" s="29">
        <f t="shared" si="157"/>
        <v>3</v>
      </c>
      <c r="EF465" s="17">
        <f t="shared" si="158"/>
        <v>114245.77943333336</v>
      </c>
    </row>
    <row r="466" spans="1:136" x14ac:dyDescent="0.25">
      <c r="A466" s="25">
        <f>Distribución_Elementos!A466</f>
        <v>464</v>
      </c>
      <c r="B466" s="22" t="str">
        <f>Distribución_Elementos!B466</f>
        <v>Reservorio para reactivos capacidad de 50ml autoclavable</v>
      </c>
      <c r="C466" s="22" t="str">
        <f>Distribución_Elementos!C466</f>
        <v>Cualquier marca</v>
      </c>
      <c r="D466" s="22" t="str">
        <f>Distribución_Elementos!D466</f>
        <v xml:space="preserve">Paquete x 10 </v>
      </c>
      <c r="E466" s="224">
        <v>1</v>
      </c>
      <c r="F466" s="221">
        <v>0</v>
      </c>
      <c r="G466" s="221">
        <v>0</v>
      </c>
      <c r="H466" s="221">
        <v>0</v>
      </c>
      <c r="I466" s="221">
        <v>0</v>
      </c>
      <c r="J466" s="221">
        <v>181951</v>
      </c>
      <c r="K466" s="221">
        <v>0</v>
      </c>
      <c r="L466" s="247">
        <f>J466</f>
        <v>181951</v>
      </c>
      <c r="M466" s="247"/>
      <c r="N466" s="227"/>
      <c r="O466" s="119"/>
      <c r="P466" s="119"/>
      <c r="Q466" s="115"/>
      <c r="R466" s="115"/>
      <c r="S466" s="11"/>
      <c r="T466" s="247"/>
      <c r="U466" s="247"/>
      <c r="V466" s="247"/>
      <c r="W466" s="17"/>
      <c r="X466" s="11"/>
      <c r="Y466" s="11"/>
      <c r="Z466" s="247"/>
      <c r="AA466" s="247"/>
      <c r="AB466" s="247"/>
      <c r="AC466" s="5"/>
      <c r="AD466" s="22"/>
      <c r="AE466" s="17"/>
      <c r="AF466" s="247"/>
      <c r="AG466" s="247"/>
      <c r="AH466" s="149"/>
      <c r="AI466" s="4"/>
      <c r="AJ466" s="17"/>
      <c r="AK466" s="17"/>
      <c r="AL466" s="102"/>
      <c r="AM466" s="132"/>
      <c r="AN466" s="161"/>
      <c r="AO466" s="115"/>
      <c r="AP466" s="115"/>
      <c r="AQ466" s="17"/>
      <c r="AR466" s="247"/>
      <c r="AS466" s="247"/>
      <c r="AT466" s="247"/>
      <c r="AU466" s="17"/>
      <c r="AV466" s="17"/>
      <c r="AW466" s="17"/>
      <c r="AX466" s="247"/>
      <c r="AY466" s="247"/>
      <c r="AZ466" s="247"/>
      <c r="BA466" s="17"/>
      <c r="BB466" s="52"/>
      <c r="BC466" s="17"/>
      <c r="BD466" s="247"/>
      <c r="BE466" s="247"/>
      <c r="BF466" s="247"/>
      <c r="BG466" s="17"/>
      <c r="BH466" s="17"/>
      <c r="BI466" s="17"/>
      <c r="BJ466" s="252">
        <f>1282900/10</f>
        <v>128290</v>
      </c>
      <c r="BK466" s="247">
        <f t="shared" si="154"/>
        <v>24375.1</v>
      </c>
      <c r="BL466" s="247">
        <f t="shared" si="155"/>
        <v>152665.1</v>
      </c>
      <c r="BM466" s="190" t="s">
        <v>1496</v>
      </c>
      <c r="BN466" s="190" t="s">
        <v>1565</v>
      </c>
      <c r="BO466" s="17"/>
      <c r="BP466" s="247"/>
      <c r="BQ466" s="247"/>
      <c r="BR466" s="247"/>
      <c r="BS466" s="17"/>
      <c r="BT466" s="17"/>
      <c r="BU466" s="17"/>
      <c r="BV466" s="189">
        <f>1428945.336/10</f>
        <v>142894.5336</v>
      </c>
      <c r="BW466" s="195">
        <f t="shared" si="166"/>
        <v>27149.961383999998</v>
      </c>
      <c r="BX466" s="246">
        <f t="shared" si="167"/>
        <v>170044.49498399999</v>
      </c>
      <c r="BY466" s="190" t="s">
        <v>1496</v>
      </c>
      <c r="BZ466" s="190" t="s">
        <v>1565</v>
      </c>
      <c r="CA466" s="190"/>
      <c r="CB466" s="252"/>
      <c r="CC466" s="247"/>
      <c r="CD466" s="247"/>
      <c r="CE466" s="17"/>
      <c r="CF466" s="17"/>
      <c r="CG466" s="17"/>
      <c r="CH466" s="247"/>
      <c r="CI466" s="247"/>
      <c r="CJ466" s="247"/>
      <c r="CK466" s="17"/>
      <c r="CL466" s="17"/>
      <c r="CM466" s="17"/>
      <c r="CN466" s="17"/>
      <c r="CO466" s="17"/>
      <c r="CP466" s="11"/>
      <c r="CQ466" s="11"/>
      <c r="CR466" s="11"/>
      <c r="CS466" s="11"/>
      <c r="CT466" s="247"/>
      <c r="CU466" s="247"/>
      <c r="CV466" s="247"/>
      <c r="CW466" s="11"/>
      <c r="CX466" s="11"/>
      <c r="CY466" s="11"/>
      <c r="CZ466" s="11"/>
      <c r="DA466" s="11"/>
      <c r="DB466" s="11"/>
      <c r="DC466" s="11"/>
      <c r="DD466" s="11"/>
      <c r="DE466" s="11"/>
      <c r="DF466" s="11"/>
      <c r="DG466" s="11"/>
      <c r="DH466" s="11"/>
      <c r="DI466" s="11"/>
      <c r="DJ466" s="11"/>
      <c r="DK466" s="11"/>
      <c r="DL466" s="247"/>
      <c r="DM466" s="247"/>
      <c r="DN466" s="247"/>
      <c r="DO466" s="247"/>
      <c r="DP466" s="247"/>
      <c r="DQ466" s="247"/>
      <c r="DR466" s="247"/>
      <c r="DS466" s="247"/>
      <c r="DT466" s="247"/>
      <c r="DU466" s="247"/>
      <c r="DV466" s="247"/>
      <c r="DW466" s="247"/>
      <c r="DX466" s="247"/>
      <c r="DY466" s="247"/>
      <c r="DZ466" s="247"/>
      <c r="EA466" s="247"/>
      <c r="EB466" s="247"/>
      <c r="EC466" s="247"/>
      <c r="ED466" s="17">
        <f t="shared" si="156"/>
        <v>322709.59498399997</v>
      </c>
      <c r="EE466" s="29">
        <f t="shared" si="157"/>
        <v>2</v>
      </c>
      <c r="EF466" s="17">
        <f t="shared" si="158"/>
        <v>161354.79749199998</v>
      </c>
    </row>
    <row r="467" spans="1:136" ht="27" customHeight="1" x14ac:dyDescent="0.25">
      <c r="A467" s="25">
        <f>Distribución_Elementos!A467</f>
        <v>465</v>
      </c>
      <c r="B467" s="22" t="str">
        <f>Distribución_Elementos!B467</f>
        <v>Reservorio para reactivos capacidad de 50ml desechable</v>
      </c>
      <c r="C467" s="22" t="str">
        <f>Distribución_Elementos!C467</f>
        <v>Cualquier marca</v>
      </c>
      <c r="D467" s="22" t="str">
        <f>Distribución_Elementos!D467</f>
        <v>Paquete x 50</v>
      </c>
      <c r="E467" s="224">
        <v>1</v>
      </c>
      <c r="F467" s="221">
        <v>0</v>
      </c>
      <c r="G467" s="221">
        <v>0</v>
      </c>
      <c r="H467" s="221">
        <v>0</v>
      </c>
      <c r="I467" s="221">
        <v>0</v>
      </c>
      <c r="J467" s="221">
        <v>235620</v>
      </c>
      <c r="K467" s="221">
        <v>235620</v>
      </c>
      <c r="L467" s="247">
        <f>J467</f>
        <v>235620</v>
      </c>
      <c r="M467" s="247">
        <f>K467*E1</f>
        <v>242688.6</v>
      </c>
      <c r="N467" s="228"/>
      <c r="O467" s="119"/>
      <c r="P467" s="119"/>
      <c r="Q467" s="115"/>
      <c r="R467" s="115"/>
      <c r="S467" s="11"/>
      <c r="T467" s="247"/>
      <c r="U467" s="247"/>
      <c r="V467" s="247"/>
      <c r="W467" s="17"/>
      <c r="X467" s="11"/>
      <c r="Y467" s="11"/>
      <c r="Z467" s="247">
        <v>230000</v>
      </c>
      <c r="AA467" s="247">
        <f>+Z467*0.19</f>
        <v>43700</v>
      </c>
      <c r="AB467" s="247">
        <f>+Z467+AA467</f>
        <v>273700</v>
      </c>
      <c r="AC467" s="44" t="s">
        <v>1756</v>
      </c>
      <c r="AD467" s="22" t="s">
        <v>1579</v>
      </c>
      <c r="AE467" s="17"/>
      <c r="AF467" s="247"/>
      <c r="AG467" s="247"/>
      <c r="AH467" s="97"/>
      <c r="AI467" s="4"/>
      <c r="AJ467" s="17"/>
      <c r="AK467" s="17"/>
      <c r="AL467" s="102"/>
      <c r="AM467" s="132"/>
      <c r="AN467" s="161"/>
      <c r="AO467" s="115"/>
      <c r="AP467" s="115"/>
      <c r="AQ467" s="17"/>
      <c r="AR467" s="247"/>
      <c r="AS467" s="247"/>
      <c r="AT467" s="247"/>
      <c r="AU467" s="17"/>
      <c r="AV467" s="17"/>
      <c r="AW467" s="17"/>
      <c r="AX467" s="247"/>
      <c r="AY467" s="247"/>
      <c r="AZ467" s="247"/>
      <c r="BA467" s="17"/>
      <c r="BB467" s="52"/>
      <c r="BC467" s="17"/>
      <c r="BD467" s="247"/>
      <c r="BE467" s="247"/>
      <c r="BF467" s="247"/>
      <c r="BG467" s="17"/>
      <c r="BH467" s="17"/>
      <c r="BI467" s="17"/>
      <c r="BJ467" s="252">
        <f>1282900/2</f>
        <v>641450</v>
      </c>
      <c r="BK467" s="247">
        <f t="shared" si="154"/>
        <v>121875.5</v>
      </c>
      <c r="BL467" s="247">
        <f t="shared" si="155"/>
        <v>763325.5</v>
      </c>
      <c r="BM467" s="190" t="s">
        <v>1496</v>
      </c>
      <c r="BN467" s="190" t="s">
        <v>316</v>
      </c>
      <c r="BO467" s="17"/>
      <c r="BP467" s="247"/>
      <c r="BQ467" s="247"/>
      <c r="BR467" s="247"/>
      <c r="BS467" s="17"/>
      <c r="BT467" s="17"/>
      <c r="BU467" s="17"/>
      <c r="BV467" s="189"/>
      <c r="BW467" s="195"/>
      <c r="BX467" s="246"/>
      <c r="BY467" s="190"/>
      <c r="BZ467" s="190"/>
      <c r="CA467" s="190"/>
      <c r="CB467" s="252"/>
      <c r="CC467" s="247"/>
      <c r="CD467" s="247"/>
      <c r="CE467" s="17"/>
      <c r="CF467" s="17"/>
      <c r="CG467" s="17"/>
      <c r="CH467" s="252"/>
      <c r="CI467" s="252"/>
      <c r="CJ467" s="252"/>
      <c r="CK467" s="17"/>
      <c r="CL467" s="17"/>
      <c r="CM467" s="17"/>
      <c r="CN467" s="17"/>
      <c r="CO467" s="17"/>
      <c r="CP467" s="11"/>
      <c r="CQ467" s="11"/>
      <c r="CR467" s="11"/>
      <c r="CS467" s="11"/>
      <c r="CT467" s="247"/>
      <c r="CU467" s="247"/>
      <c r="CV467" s="247"/>
      <c r="CW467" s="11"/>
      <c r="CX467" s="11"/>
      <c r="CY467" s="11"/>
      <c r="CZ467" s="11"/>
      <c r="DA467" s="11"/>
      <c r="DB467" s="11"/>
      <c r="DC467" s="11"/>
      <c r="DD467" s="11"/>
      <c r="DE467" s="11"/>
      <c r="DF467" s="11"/>
      <c r="DG467" s="11"/>
      <c r="DH467" s="11"/>
      <c r="DI467" s="11"/>
      <c r="DJ467" s="11"/>
      <c r="DK467" s="11"/>
      <c r="DL467" s="247"/>
      <c r="DM467" s="247"/>
      <c r="DN467" s="247"/>
      <c r="DO467" s="247"/>
      <c r="DP467" s="247"/>
      <c r="DQ467" s="247"/>
      <c r="DR467" s="247"/>
      <c r="DS467" s="247"/>
      <c r="DT467" s="247"/>
      <c r="DU467" s="247"/>
      <c r="DV467" s="247"/>
      <c r="DW467" s="247"/>
      <c r="DX467" s="247"/>
      <c r="DY467" s="247"/>
      <c r="DZ467" s="247"/>
      <c r="EA467" s="247"/>
      <c r="EB467" s="247"/>
      <c r="EC467" s="247"/>
      <c r="ED467" s="17">
        <f t="shared" si="156"/>
        <v>1279714.1000000001</v>
      </c>
      <c r="EE467" s="29">
        <f t="shared" si="157"/>
        <v>3</v>
      </c>
      <c r="EF467" s="17">
        <f t="shared" si="158"/>
        <v>426571.3666666667</v>
      </c>
    </row>
    <row r="468" spans="1:136" ht="76.5" x14ac:dyDescent="0.25">
      <c r="A468" s="25">
        <f>Distribución_Elementos!A468</f>
        <v>466</v>
      </c>
      <c r="B468" s="22" t="str">
        <f>Distribución_Elementos!B468</f>
        <v>Respirador (KIT) media cara con cartucho contra vapores organicos y gases ácidos plástico circular, colocación de cartuchos y filtros tipo bayoneta sin guías, certificado por NIOSH 42CFR84. El respirador con arnes de cabeza ajustable de 3 puntos, cubierta de válvula de exhalación de fácil apertua. 100%  libre de PVC y metales.</v>
      </c>
      <c r="C468" s="22" t="str">
        <f>Distribución_Elementos!C468</f>
        <v>Moldex 7002+7300 (2)+8910 (2) +7020 (2); 3M o equivalente</v>
      </c>
      <c r="D468" s="22" t="str">
        <f>Distribución_Elementos!D468</f>
        <v>Pieza facial + un par de cartuchos + un par de prefiltros + un par de retenedores</v>
      </c>
      <c r="E468" s="224">
        <v>1</v>
      </c>
      <c r="F468" s="221">
        <v>0</v>
      </c>
      <c r="G468" s="221">
        <v>0</v>
      </c>
      <c r="H468" s="221">
        <v>0</v>
      </c>
      <c r="I468" s="221">
        <v>0</v>
      </c>
      <c r="J468" s="221">
        <v>0</v>
      </c>
      <c r="K468" s="221">
        <v>0</v>
      </c>
      <c r="L468" s="247"/>
      <c r="M468" s="247"/>
      <c r="N468" s="228"/>
      <c r="O468" s="119"/>
      <c r="P468" s="119"/>
      <c r="Q468" s="115"/>
      <c r="R468" s="115"/>
      <c r="S468" s="11"/>
      <c r="T468" s="247"/>
      <c r="U468" s="247"/>
      <c r="V468" s="247"/>
      <c r="W468" s="17"/>
      <c r="X468" s="11"/>
      <c r="Y468" s="11"/>
      <c r="Z468" s="247"/>
      <c r="AA468" s="247"/>
      <c r="AB468" s="247"/>
      <c r="AC468" s="44"/>
      <c r="AD468" s="23"/>
      <c r="AE468" s="17"/>
      <c r="AF468" s="247"/>
      <c r="AG468" s="247"/>
      <c r="AH468" s="97"/>
      <c r="AI468" s="24"/>
      <c r="AJ468" s="17"/>
      <c r="AK468" s="17"/>
      <c r="AL468" s="102"/>
      <c r="AM468" s="132"/>
      <c r="AN468" s="161"/>
      <c r="AO468" s="115"/>
      <c r="AP468" s="115"/>
      <c r="AQ468" s="17"/>
      <c r="AR468" s="247"/>
      <c r="AS468" s="247"/>
      <c r="AT468" s="247"/>
      <c r="AU468" s="17"/>
      <c r="AV468" s="17"/>
      <c r="AW468" s="17"/>
      <c r="AX468" s="247"/>
      <c r="AY468" s="247"/>
      <c r="AZ468" s="247"/>
      <c r="BA468" s="17"/>
      <c r="BB468" s="52"/>
      <c r="BC468" s="17"/>
      <c r="BD468" s="247"/>
      <c r="BE468" s="247"/>
      <c r="BF468" s="247"/>
      <c r="BG468" s="17"/>
      <c r="BH468" s="17"/>
      <c r="BI468" s="17"/>
      <c r="BJ468" s="247">
        <v>270800</v>
      </c>
      <c r="BK468" s="247">
        <f>+BJ468*0</f>
        <v>0</v>
      </c>
      <c r="BL468" s="247">
        <f t="shared" si="155"/>
        <v>270800</v>
      </c>
      <c r="BM468" s="190" t="s">
        <v>375</v>
      </c>
      <c r="BN468" s="190" t="s">
        <v>316</v>
      </c>
      <c r="BO468" s="17"/>
      <c r="BP468" s="247"/>
      <c r="BQ468" s="247"/>
      <c r="BR468" s="247"/>
      <c r="BS468" s="17"/>
      <c r="BT468" s="17"/>
      <c r="BU468" s="17"/>
      <c r="BV468" s="189">
        <v>290137.28640000004</v>
      </c>
      <c r="BW468" s="198">
        <f>+BV468*0</f>
        <v>0</v>
      </c>
      <c r="BX468" s="246">
        <f>+BV468+BW468</f>
        <v>290137.28640000004</v>
      </c>
      <c r="BY468" s="190" t="s">
        <v>375</v>
      </c>
      <c r="BZ468" s="190" t="s">
        <v>316</v>
      </c>
      <c r="CA468" s="190"/>
      <c r="CB468" s="252"/>
      <c r="CC468" s="247"/>
      <c r="CD468" s="247"/>
      <c r="CE468" s="17"/>
      <c r="CF468" s="17"/>
      <c r="CG468" s="17"/>
      <c r="CH468" s="252"/>
      <c r="CI468" s="252"/>
      <c r="CJ468" s="252"/>
      <c r="CK468" s="17"/>
      <c r="CL468" s="17"/>
      <c r="CM468" s="17"/>
      <c r="CN468" s="17"/>
      <c r="CO468" s="17"/>
      <c r="CP468" s="11"/>
      <c r="CQ468" s="11"/>
      <c r="CR468" s="11"/>
      <c r="CS468" s="11"/>
      <c r="CT468" s="247"/>
      <c r="CU468" s="247"/>
      <c r="CV468" s="247"/>
      <c r="CW468" s="11"/>
      <c r="CX468" s="11"/>
      <c r="CY468" s="11"/>
      <c r="CZ468" s="11"/>
      <c r="DA468" s="11"/>
      <c r="DB468" s="11"/>
      <c r="DC468" s="11"/>
      <c r="DD468" s="11"/>
      <c r="DE468" s="11"/>
      <c r="DF468" s="11"/>
      <c r="DG468" s="11"/>
      <c r="DH468" s="11"/>
      <c r="DI468" s="11"/>
      <c r="DJ468" s="11"/>
      <c r="DK468" s="11"/>
      <c r="DL468" s="247"/>
      <c r="DM468" s="247"/>
      <c r="DN468" s="247"/>
      <c r="DO468" s="247"/>
      <c r="DP468" s="247"/>
      <c r="DQ468" s="247"/>
      <c r="DR468" s="247"/>
      <c r="DS468" s="247"/>
      <c r="DT468" s="247"/>
      <c r="DU468" s="247"/>
      <c r="DV468" s="247"/>
      <c r="DW468" s="247"/>
      <c r="DX468" s="247"/>
      <c r="DY468" s="247"/>
      <c r="DZ468" s="247"/>
      <c r="EA468" s="247"/>
      <c r="EB468" s="247"/>
      <c r="EC468" s="247"/>
      <c r="ED468" s="17">
        <f t="shared" si="156"/>
        <v>560937.2864000001</v>
      </c>
      <c r="EE468" s="29">
        <f t="shared" si="157"/>
        <v>2</v>
      </c>
      <c r="EF468" s="17">
        <f t="shared" si="158"/>
        <v>280468.64320000005</v>
      </c>
    </row>
    <row r="469" spans="1:136" ht="102" x14ac:dyDescent="0.25">
      <c r="A469" s="25">
        <f>Distribución_Elementos!A469</f>
        <v>467</v>
      </c>
      <c r="B469" s="22" t="str">
        <f>Distribución_Elementos!B469</f>
        <v>Respirador de libre mantenimiento N95, preformado para mejor ajuste, diseño de ondas que permite expandirse y contraerse a través de pliegues que se encuentran en toda la estructura del respirador, con carbon activado contra vapores orgánicos. Malla retardante al calor y la flama, debe estar certificado por NIOSH 42CFR84 o normas equivalentes. Bandas textiles con ajuste de broche sobre la nuca para mayor comodidad. 100% libre de PVC y metales.</v>
      </c>
      <c r="C469" s="22" t="str">
        <f>Distribución_Elementos!C469</f>
        <v>Moldex 4800 N95</v>
      </c>
      <c r="D469" s="22" t="str">
        <f>Distribución_Elementos!D469</f>
        <v>Caja x 10</v>
      </c>
      <c r="E469" s="224">
        <v>1</v>
      </c>
      <c r="F469" s="221">
        <v>0</v>
      </c>
      <c r="G469" s="221">
        <v>0</v>
      </c>
      <c r="H469" s="221">
        <v>0</v>
      </c>
      <c r="I469" s="221">
        <v>0</v>
      </c>
      <c r="J469" s="221">
        <v>0</v>
      </c>
      <c r="K469" s="221">
        <v>0</v>
      </c>
      <c r="L469" s="247"/>
      <c r="M469" s="247"/>
      <c r="N469" s="228">
        <v>250000</v>
      </c>
      <c r="O469" s="119">
        <f>+N469*0.19</f>
        <v>47500</v>
      </c>
      <c r="P469" s="119">
        <f>+N469+O469</f>
        <v>297500</v>
      </c>
      <c r="Q469" s="115"/>
      <c r="R469" s="115"/>
      <c r="S469" s="11"/>
      <c r="T469" s="247"/>
      <c r="U469" s="247"/>
      <c r="V469" s="247"/>
      <c r="W469" s="17"/>
      <c r="X469" s="11"/>
      <c r="Y469" s="11"/>
      <c r="Z469" s="247"/>
      <c r="AA469" s="247"/>
      <c r="AB469" s="247"/>
      <c r="AC469" s="44"/>
      <c r="AD469" s="22"/>
      <c r="AE469" s="17"/>
      <c r="AF469" s="247"/>
      <c r="AG469" s="247"/>
      <c r="AH469" s="97"/>
      <c r="AI469" s="22"/>
      <c r="AJ469" s="17"/>
      <c r="AK469" s="17"/>
      <c r="AL469" s="102"/>
      <c r="AM469" s="132"/>
      <c r="AN469" s="161"/>
      <c r="AO469" s="115"/>
      <c r="AP469" s="115"/>
      <c r="AQ469" s="17"/>
      <c r="AR469" s="247"/>
      <c r="AS469" s="247"/>
      <c r="AT469" s="247"/>
      <c r="AU469" s="17"/>
      <c r="AV469" s="17"/>
      <c r="AW469" s="17"/>
      <c r="AX469" s="247"/>
      <c r="AY469" s="247"/>
      <c r="AZ469" s="247"/>
      <c r="BA469" s="17"/>
      <c r="BB469" s="52"/>
      <c r="BC469" s="17"/>
      <c r="BD469" s="247"/>
      <c r="BE469" s="247"/>
      <c r="BF469" s="247"/>
      <c r="BG469" s="17"/>
      <c r="BH469" s="17"/>
      <c r="BI469" s="17"/>
      <c r="BJ469" s="247">
        <v>210000</v>
      </c>
      <c r="BK469" s="247">
        <f>+BJ469*0</f>
        <v>0</v>
      </c>
      <c r="BL469" s="247">
        <f t="shared" si="155"/>
        <v>210000</v>
      </c>
      <c r="BM469" s="191" t="s">
        <v>638</v>
      </c>
      <c r="BN469" s="190" t="s">
        <v>1757</v>
      </c>
      <c r="BO469" s="17"/>
      <c r="BP469" s="247"/>
      <c r="BQ469" s="247"/>
      <c r="BR469" s="247"/>
      <c r="BS469" s="17"/>
      <c r="BT469" s="17"/>
      <c r="BU469" s="17"/>
      <c r="BV469" s="189">
        <v>240675.12000000002</v>
      </c>
      <c r="BW469" s="198">
        <f>+BV469*0</f>
        <v>0</v>
      </c>
      <c r="BX469" s="246">
        <f>+BV469+BW469</f>
        <v>240675.12000000002</v>
      </c>
      <c r="BY469" s="191" t="s">
        <v>638</v>
      </c>
      <c r="BZ469" s="190" t="s">
        <v>1757</v>
      </c>
      <c r="CA469" s="190"/>
      <c r="CB469" s="252"/>
      <c r="CC469" s="247"/>
      <c r="CD469" s="247"/>
      <c r="CE469" s="17"/>
      <c r="CF469" s="17"/>
      <c r="CG469" s="17"/>
      <c r="CH469" s="252"/>
      <c r="CI469" s="252"/>
      <c r="CJ469" s="252"/>
      <c r="CK469" s="17"/>
      <c r="CL469" s="17"/>
      <c r="CM469" s="17"/>
      <c r="CN469" s="17"/>
      <c r="CO469" s="17"/>
      <c r="CP469" s="11"/>
      <c r="CQ469" s="11"/>
      <c r="CR469" s="11"/>
      <c r="CS469" s="11"/>
      <c r="CT469" s="247"/>
      <c r="CU469" s="247"/>
      <c r="CV469" s="247"/>
      <c r="CW469" s="11"/>
      <c r="CX469" s="11"/>
      <c r="CY469" s="11"/>
      <c r="CZ469" s="11"/>
      <c r="DA469" s="11"/>
      <c r="DB469" s="11"/>
      <c r="DC469" s="11"/>
      <c r="DD469" s="11"/>
      <c r="DE469" s="11"/>
      <c r="DF469" s="11"/>
      <c r="DG469" s="11"/>
      <c r="DH469" s="11"/>
      <c r="DI469" s="11"/>
      <c r="DJ469" s="11"/>
      <c r="DK469" s="11"/>
      <c r="DL469" s="247"/>
      <c r="DM469" s="247"/>
      <c r="DN469" s="247"/>
      <c r="DO469" s="247"/>
      <c r="DP469" s="247"/>
      <c r="DQ469" s="247"/>
      <c r="DR469" s="247"/>
      <c r="DS469" s="247"/>
      <c r="DT469" s="247"/>
      <c r="DU469" s="247"/>
      <c r="DV469" s="247"/>
      <c r="DW469" s="247"/>
      <c r="DX469" s="247"/>
      <c r="DY469" s="247"/>
      <c r="DZ469" s="247"/>
      <c r="EA469" s="247"/>
      <c r="EB469" s="247"/>
      <c r="EC469" s="247"/>
      <c r="ED469" s="17">
        <f t="shared" si="156"/>
        <v>748175.12</v>
      </c>
      <c r="EE469" s="29">
        <f t="shared" si="157"/>
        <v>3</v>
      </c>
      <c r="EF469" s="17">
        <f t="shared" si="158"/>
        <v>249391.70666666667</v>
      </c>
    </row>
    <row r="470" spans="1:136" x14ac:dyDescent="0.25">
      <c r="A470" s="25">
        <f>Distribución_Elementos!A470</f>
        <v>468</v>
      </c>
      <c r="B470" s="22" t="str">
        <f>Distribución_Elementos!B470</f>
        <v>Rótulo adhesivo para control de inventarios 4 cm x 6 cm</v>
      </c>
      <c r="C470" s="22" t="str">
        <f>Distribución_Elementos!C470</f>
        <v>Cualquier marca</v>
      </c>
      <c r="D470" s="22" t="str">
        <f>Distribución_Elementos!D470</f>
        <v>Caja x 100</v>
      </c>
      <c r="E470" s="224">
        <v>1</v>
      </c>
      <c r="F470" s="221">
        <v>0</v>
      </c>
      <c r="G470" s="221">
        <v>0</v>
      </c>
      <c r="H470" s="221">
        <v>0</v>
      </c>
      <c r="I470" s="221">
        <v>0</v>
      </c>
      <c r="J470" s="221">
        <v>0</v>
      </c>
      <c r="K470" s="221">
        <v>0</v>
      </c>
      <c r="L470" s="247"/>
      <c r="M470" s="247"/>
      <c r="N470" s="227"/>
      <c r="O470" s="119"/>
      <c r="P470" s="119"/>
      <c r="Q470" s="115"/>
      <c r="R470" s="115"/>
      <c r="S470" s="11"/>
      <c r="T470" s="247"/>
      <c r="U470" s="247"/>
      <c r="V470" s="247"/>
      <c r="W470" s="17"/>
      <c r="X470" s="11"/>
      <c r="Y470" s="11"/>
      <c r="Z470" s="247"/>
      <c r="AA470" s="247"/>
      <c r="AB470" s="247"/>
      <c r="AC470" s="44"/>
      <c r="AD470" s="22"/>
      <c r="AE470" s="17"/>
      <c r="AF470" s="247"/>
      <c r="AG470" s="247"/>
      <c r="AH470" s="97"/>
      <c r="AI470" s="4"/>
      <c r="AJ470" s="17"/>
      <c r="AK470" s="17"/>
      <c r="AL470" s="102"/>
      <c r="AM470" s="132"/>
      <c r="AN470" s="161"/>
      <c r="AO470" s="115"/>
      <c r="AP470" s="115"/>
      <c r="AQ470" s="17"/>
      <c r="AR470" s="247"/>
      <c r="AS470" s="247"/>
      <c r="AT470" s="247"/>
      <c r="AU470" s="17"/>
      <c r="AV470" s="17"/>
      <c r="AW470" s="17"/>
      <c r="AX470" s="247"/>
      <c r="AY470" s="247"/>
      <c r="AZ470" s="247"/>
      <c r="BA470" s="17"/>
      <c r="BB470" s="52"/>
      <c r="BC470" s="17"/>
      <c r="BD470" s="247"/>
      <c r="BE470" s="247"/>
      <c r="BF470" s="247"/>
      <c r="BG470" s="17"/>
      <c r="BH470" s="17"/>
      <c r="BI470" s="17"/>
      <c r="BJ470" s="252">
        <f>246700/9</f>
        <v>27411.111111111109</v>
      </c>
      <c r="BK470" s="247">
        <f t="shared" si="154"/>
        <v>5208.1111111111113</v>
      </c>
      <c r="BL470" s="247">
        <f t="shared" si="155"/>
        <v>32619.222222222219</v>
      </c>
      <c r="BM470" s="190" t="s">
        <v>1758</v>
      </c>
      <c r="BN470" s="190"/>
      <c r="BO470" s="17"/>
      <c r="BP470" s="247"/>
      <c r="BQ470" s="247"/>
      <c r="BR470" s="247"/>
      <c r="BS470" s="17"/>
      <c r="BT470" s="17"/>
      <c r="BU470" s="17"/>
      <c r="BV470" s="189">
        <f>274784.328/9</f>
        <v>30531.591999999997</v>
      </c>
      <c r="BW470" s="195">
        <f>+BV470*0.19</f>
        <v>5801.0024799999992</v>
      </c>
      <c r="BX470" s="246">
        <f>+BV470+BW470</f>
        <v>36332.59448</v>
      </c>
      <c r="BY470" s="190" t="s">
        <v>1758</v>
      </c>
      <c r="BZ470" s="190"/>
      <c r="CA470" s="190"/>
      <c r="CB470" s="247"/>
      <c r="CC470" s="247"/>
      <c r="CD470" s="247"/>
      <c r="CE470" s="17"/>
      <c r="CF470" s="17"/>
      <c r="CG470" s="17"/>
      <c r="CH470" s="247"/>
      <c r="CI470" s="247"/>
      <c r="CJ470" s="247"/>
      <c r="CK470" s="17"/>
      <c r="CL470" s="17"/>
      <c r="CM470" s="17"/>
      <c r="CN470" s="17"/>
      <c r="CO470" s="17"/>
      <c r="CP470" s="11"/>
      <c r="CQ470" s="11"/>
      <c r="CR470" s="11"/>
      <c r="CS470" s="11"/>
      <c r="CT470" s="247"/>
      <c r="CU470" s="247"/>
      <c r="CV470" s="247"/>
      <c r="CW470" s="11"/>
      <c r="CX470" s="11"/>
      <c r="CY470" s="11"/>
      <c r="CZ470" s="11"/>
      <c r="DA470" s="11"/>
      <c r="DB470" s="11"/>
      <c r="DC470" s="11"/>
      <c r="DD470" s="11"/>
      <c r="DE470" s="11"/>
      <c r="DF470" s="11"/>
      <c r="DG470" s="11"/>
      <c r="DH470" s="11"/>
      <c r="DI470" s="11"/>
      <c r="DJ470" s="11"/>
      <c r="DK470" s="11"/>
      <c r="DL470" s="247"/>
      <c r="DM470" s="247"/>
      <c r="DN470" s="247"/>
      <c r="DO470" s="247"/>
      <c r="DP470" s="247"/>
      <c r="DQ470" s="247"/>
      <c r="DR470" s="247"/>
      <c r="DS470" s="247"/>
      <c r="DT470" s="247"/>
      <c r="DU470" s="247"/>
      <c r="DV470" s="247"/>
      <c r="DW470" s="247"/>
      <c r="DX470" s="247"/>
      <c r="DY470" s="247"/>
      <c r="DZ470" s="247"/>
      <c r="EA470" s="247"/>
      <c r="EB470" s="247"/>
      <c r="EC470" s="247"/>
      <c r="ED470" s="17">
        <f t="shared" si="156"/>
        <v>68951.816702222219</v>
      </c>
      <c r="EE470" s="29">
        <f t="shared" si="157"/>
        <v>2</v>
      </c>
      <c r="EF470" s="17">
        <f t="shared" si="158"/>
        <v>34475.908351111109</v>
      </c>
    </row>
    <row r="471" spans="1:136" x14ac:dyDescent="0.25">
      <c r="A471" s="25">
        <f>Distribución_Elementos!A471</f>
        <v>469</v>
      </c>
      <c r="B471" s="22" t="str">
        <f>Distribución_Elementos!B471</f>
        <v>Set de herramientas para micromontajes</v>
      </c>
      <c r="C471" s="22" t="str">
        <f>Distribución_Elementos!C471</f>
        <v>Bioquip 4831</v>
      </c>
      <c r="D471" s="22" t="str">
        <f>Distribución_Elementos!D471</f>
        <v xml:space="preserve">Set x tres </v>
      </c>
      <c r="E471" s="224">
        <v>1</v>
      </c>
      <c r="F471" s="221">
        <v>0</v>
      </c>
      <c r="G471" s="221">
        <v>0</v>
      </c>
      <c r="H471" s="221">
        <v>0</v>
      </c>
      <c r="I471" s="221">
        <v>0</v>
      </c>
      <c r="J471" s="221">
        <v>357000</v>
      </c>
      <c r="K471" s="221">
        <v>0</v>
      </c>
      <c r="L471" s="247">
        <f>J471</f>
        <v>357000</v>
      </c>
      <c r="M471" s="247"/>
      <c r="N471" s="227">
        <v>240000</v>
      </c>
      <c r="O471" s="119">
        <f>+N471*0.19</f>
        <v>45600</v>
      </c>
      <c r="P471" s="119">
        <f>+N471+O471</f>
        <v>285600</v>
      </c>
      <c r="Q471" s="115"/>
      <c r="R471" s="115"/>
      <c r="S471" s="11"/>
      <c r="T471" s="247"/>
      <c r="U471" s="247"/>
      <c r="V471" s="247"/>
      <c r="W471" s="17"/>
      <c r="X471" s="11"/>
      <c r="Y471" s="11"/>
      <c r="Z471" s="247"/>
      <c r="AA471" s="247"/>
      <c r="AB471" s="247"/>
      <c r="AC471" s="44"/>
      <c r="AD471" s="22"/>
      <c r="AE471" s="17"/>
      <c r="AF471" s="247"/>
      <c r="AG471" s="247"/>
      <c r="AH471" s="151"/>
      <c r="AI471" s="22"/>
      <c r="AJ471" s="17"/>
      <c r="AK471" s="17"/>
      <c r="AL471" s="102"/>
      <c r="AM471" s="132"/>
      <c r="AN471" s="161"/>
      <c r="AO471" s="115"/>
      <c r="AP471" s="115"/>
      <c r="AQ471" s="17"/>
      <c r="AR471" s="247"/>
      <c r="AS471" s="247"/>
      <c r="AT471" s="247"/>
      <c r="AU471" s="17"/>
      <c r="AV471" s="17"/>
      <c r="AW471" s="17"/>
      <c r="AX471" s="247"/>
      <c r="AY471" s="247"/>
      <c r="AZ471" s="247"/>
      <c r="BA471" s="17"/>
      <c r="BB471" s="52"/>
      <c r="BC471" s="17"/>
      <c r="BD471" s="247"/>
      <c r="BE471" s="247"/>
      <c r="BF471" s="247"/>
      <c r="BG471" s="17"/>
      <c r="BH471" s="17"/>
      <c r="BI471" s="17"/>
      <c r="BJ471" s="247"/>
      <c r="BK471" s="247"/>
      <c r="BL471" s="247"/>
      <c r="BM471" s="190"/>
      <c r="BN471" s="190"/>
      <c r="BO471" s="17"/>
      <c r="BP471" s="247"/>
      <c r="BQ471" s="247"/>
      <c r="BR471" s="247"/>
      <c r="BS471" s="17"/>
      <c r="BT471" s="17"/>
      <c r="BU471" s="17"/>
      <c r="BV471" s="189"/>
      <c r="BW471" s="196"/>
      <c r="BX471" s="246"/>
      <c r="BY471" s="190"/>
      <c r="BZ471" s="190"/>
      <c r="CA471" s="190"/>
      <c r="CB471" s="247"/>
      <c r="CC471" s="247"/>
      <c r="CD471" s="247"/>
      <c r="CE471" s="17"/>
      <c r="CF471" s="17"/>
      <c r="CG471" s="17"/>
      <c r="CH471" s="247"/>
      <c r="CI471" s="247"/>
      <c r="CJ471" s="247"/>
      <c r="CK471" s="17"/>
      <c r="CL471" s="17"/>
      <c r="CM471" s="17"/>
      <c r="CN471" s="17"/>
      <c r="CO471" s="17"/>
      <c r="CP471" s="11"/>
      <c r="CQ471" s="11"/>
      <c r="CR471" s="11"/>
      <c r="CS471" s="11"/>
      <c r="CT471" s="247"/>
      <c r="CU471" s="247"/>
      <c r="CV471" s="247"/>
      <c r="CW471" s="11"/>
      <c r="CX471" s="11"/>
      <c r="CY471" s="11"/>
      <c r="CZ471" s="11"/>
      <c r="DA471" s="96"/>
      <c r="DB471" s="55"/>
      <c r="DC471" s="55"/>
      <c r="DD471" s="54"/>
      <c r="DE471" s="54"/>
      <c r="DF471" s="54"/>
      <c r="DG471" s="54"/>
      <c r="DH471" s="54"/>
      <c r="DI471" s="54"/>
      <c r="DJ471" s="54"/>
      <c r="DK471" s="54"/>
      <c r="DL471" s="51"/>
      <c r="DM471" s="51"/>
      <c r="DN471" s="51"/>
      <c r="DO471" s="51"/>
      <c r="DP471" s="51"/>
      <c r="DQ471" s="51"/>
      <c r="DR471" s="51"/>
      <c r="DS471" s="51"/>
      <c r="DT471" s="51"/>
      <c r="DU471" s="51"/>
      <c r="DV471" s="51"/>
      <c r="DW471" s="51"/>
      <c r="DX471" s="51"/>
      <c r="DY471" s="51"/>
      <c r="DZ471" s="51"/>
      <c r="EA471" s="51"/>
      <c r="EB471" s="51"/>
      <c r="EC471" s="51"/>
      <c r="ED471" s="17">
        <f t="shared" si="156"/>
        <v>285600</v>
      </c>
      <c r="EE471" s="29">
        <f t="shared" si="157"/>
        <v>1</v>
      </c>
      <c r="EF471" s="17">
        <f t="shared" si="158"/>
        <v>285600</v>
      </c>
    </row>
    <row r="472" spans="1:136" x14ac:dyDescent="0.25">
      <c r="A472" s="25">
        <f>Distribución_Elementos!A472</f>
        <v>470</v>
      </c>
      <c r="B472" s="22" t="str">
        <f>Distribución_Elementos!B472</f>
        <v>Sílica gel indicador</v>
      </c>
      <c r="C472" s="22" t="str">
        <f>Distribución_Elementos!C472</f>
        <v>Cualquier marca</v>
      </c>
      <c r="D472" s="22" t="str">
        <f>Distribución_Elementos!D472</f>
        <v>Frasco x 1kg</v>
      </c>
      <c r="E472" s="224">
        <v>1</v>
      </c>
      <c r="F472" s="221">
        <v>123998</v>
      </c>
      <c r="G472" s="221">
        <v>49980</v>
      </c>
      <c r="H472" s="221">
        <v>0</v>
      </c>
      <c r="I472" s="221">
        <v>0</v>
      </c>
      <c r="J472" s="221">
        <v>145239.5</v>
      </c>
      <c r="K472" s="221">
        <v>145180</v>
      </c>
      <c r="L472" s="247">
        <f>AVERAGE(F472,J472)</f>
        <v>134618.75</v>
      </c>
      <c r="M472" s="247">
        <f>AVERAGE(G472,K472)*E1</f>
        <v>100507.40000000001</v>
      </c>
      <c r="N472" s="227">
        <v>200000</v>
      </c>
      <c r="O472" s="119">
        <f>+N472*0.19</f>
        <v>38000</v>
      </c>
      <c r="P472" s="119">
        <f>+N472+O472</f>
        <v>238000</v>
      </c>
      <c r="Q472" s="115"/>
      <c r="R472" s="115"/>
      <c r="S472" s="11"/>
      <c r="T472" s="247">
        <v>79200</v>
      </c>
      <c r="U472" s="247">
        <f>+T472*0.19</f>
        <v>15048</v>
      </c>
      <c r="V472" s="247">
        <f>+T472+U472</f>
        <v>94248</v>
      </c>
      <c r="W472" s="17" t="s">
        <v>99</v>
      </c>
      <c r="X472" s="11" t="s">
        <v>57</v>
      </c>
      <c r="Y472" s="11"/>
      <c r="Z472" s="247"/>
      <c r="AA472" s="247"/>
      <c r="AB472" s="247"/>
      <c r="AC472" s="44"/>
      <c r="AD472" s="22"/>
      <c r="AE472" s="17"/>
      <c r="AF472" s="247"/>
      <c r="AG472" s="247"/>
      <c r="AH472" s="151"/>
      <c r="AI472" s="22"/>
      <c r="AJ472" s="17"/>
      <c r="AK472" s="17"/>
      <c r="AL472" s="102"/>
      <c r="AM472" s="132"/>
      <c r="AN472" s="161"/>
      <c r="AO472" s="115"/>
      <c r="AP472" s="115"/>
      <c r="AQ472" s="17"/>
      <c r="AR472" s="247"/>
      <c r="AS472" s="247"/>
      <c r="AT472" s="247"/>
      <c r="AU472" s="17"/>
      <c r="AV472" s="17"/>
      <c r="AW472" s="17"/>
      <c r="AX472" s="247"/>
      <c r="AY472" s="247"/>
      <c r="AZ472" s="247"/>
      <c r="BA472" s="17"/>
      <c r="BB472" s="52"/>
      <c r="BC472" s="17"/>
      <c r="BD472" s="247"/>
      <c r="BE472" s="247"/>
      <c r="BF472" s="247"/>
      <c r="BG472" s="17"/>
      <c r="BH472" s="17"/>
      <c r="BI472" s="17"/>
      <c r="BJ472" s="247">
        <v>686000</v>
      </c>
      <c r="BK472" s="247">
        <f t="shared" si="154"/>
        <v>130340</v>
      </c>
      <c r="BL472" s="247">
        <f t="shared" si="155"/>
        <v>816340</v>
      </c>
      <c r="BM472" s="190" t="s">
        <v>375</v>
      </c>
      <c r="BN472" s="190" t="s">
        <v>52</v>
      </c>
      <c r="BO472" s="17"/>
      <c r="BP472" s="247"/>
      <c r="BQ472" s="247"/>
      <c r="BR472" s="247"/>
      <c r="BS472" s="17"/>
      <c r="BT472" s="17"/>
      <c r="BU472" s="17"/>
      <c r="BV472" s="189">
        <v>749328.09</v>
      </c>
      <c r="BW472" s="195">
        <f>+BV472*0.19</f>
        <v>142372.3371</v>
      </c>
      <c r="BX472" s="246">
        <f>+BV472+BW472</f>
        <v>891700.42709999997</v>
      </c>
      <c r="BY472" s="190" t="s">
        <v>375</v>
      </c>
      <c r="BZ472" s="190" t="s">
        <v>52</v>
      </c>
      <c r="CA472" s="190"/>
      <c r="CB472" s="247"/>
      <c r="CC472" s="247"/>
      <c r="CD472" s="247"/>
      <c r="CE472" s="17"/>
      <c r="CF472" s="17"/>
      <c r="CG472" s="17"/>
      <c r="CH472" s="247"/>
      <c r="CI472" s="247"/>
      <c r="CJ472" s="247"/>
      <c r="CK472" s="17"/>
      <c r="CL472" s="17"/>
      <c r="CM472" s="17"/>
      <c r="CN472" s="17"/>
      <c r="CO472" s="17"/>
      <c r="CP472" s="11"/>
      <c r="CQ472" s="11"/>
      <c r="CR472" s="11"/>
      <c r="CS472" s="11"/>
      <c r="CT472" s="247"/>
      <c r="CU472" s="247"/>
      <c r="CV472" s="247"/>
      <c r="CW472" s="11"/>
      <c r="CX472" s="11"/>
      <c r="CY472" s="11"/>
      <c r="CZ472" s="11"/>
      <c r="DA472" s="96"/>
      <c r="DB472" s="55"/>
      <c r="DC472" s="55"/>
      <c r="DD472" s="54"/>
      <c r="DE472" s="54"/>
      <c r="DF472" s="54"/>
      <c r="DG472" s="54"/>
      <c r="DH472" s="54"/>
      <c r="DI472" s="54"/>
      <c r="DJ472" s="54"/>
      <c r="DK472" s="54"/>
      <c r="DL472" s="51"/>
      <c r="DM472" s="51"/>
      <c r="DN472" s="51"/>
      <c r="DO472" s="51"/>
      <c r="DP472" s="51"/>
      <c r="DQ472" s="51"/>
      <c r="DR472" s="51"/>
      <c r="DS472" s="51"/>
      <c r="DT472" s="51"/>
      <c r="DU472" s="51"/>
      <c r="DV472" s="51"/>
      <c r="DW472" s="51"/>
      <c r="DX472" s="51"/>
      <c r="DY472" s="51"/>
      <c r="DZ472" s="51"/>
      <c r="EA472" s="51"/>
      <c r="EB472" s="51"/>
      <c r="EC472" s="51"/>
      <c r="ED472" s="17">
        <f t="shared" si="156"/>
        <v>2140795.8270999999</v>
      </c>
      <c r="EE472" s="29">
        <f t="shared" si="157"/>
        <v>5</v>
      </c>
      <c r="EF472" s="17">
        <f t="shared" si="158"/>
        <v>428159.16541999998</v>
      </c>
    </row>
    <row r="473" spans="1:136" ht="25.5" x14ac:dyDescent="0.25">
      <c r="A473" s="25">
        <f>Distribución_Elementos!A473</f>
        <v>471</v>
      </c>
      <c r="B473" s="22" t="str">
        <f>Distribución_Elementos!B473</f>
        <v xml:space="preserve">Sistema de  25 perlas en  criovial para  preservación de bacterias  rojo </v>
      </c>
      <c r="C473" s="22" t="str">
        <f>Distribución_Elementos!C473</f>
        <v>Criobank</v>
      </c>
      <c r="D473" s="22" t="str">
        <f>Distribución_Elementos!D473</f>
        <v>Vial</v>
      </c>
      <c r="E473" s="224">
        <v>1</v>
      </c>
      <c r="F473" s="221">
        <v>0</v>
      </c>
      <c r="G473" s="221">
        <v>0</v>
      </c>
      <c r="H473" s="221">
        <v>0</v>
      </c>
      <c r="I473" s="221">
        <v>0</v>
      </c>
      <c r="J473" s="221">
        <v>0</v>
      </c>
      <c r="K473" s="221">
        <v>0</v>
      </c>
      <c r="L473" s="247"/>
      <c r="M473" s="247"/>
      <c r="N473" s="227"/>
      <c r="O473" s="119"/>
      <c r="P473" s="119"/>
      <c r="Q473" s="115"/>
      <c r="R473" s="115"/>
      <c r="S473" s="11"/>
      <c r="T473" s="247"/>
      <c r="U473" s="247"/>
      <c r="V473" s="247"/>
      <c r="W473" s="17"/>
      <c r="X473" s="11"/>
      <c r="Y473" s="11"/>
      <c r="Z473" s="247"/>
      <c r="AA473" s="247"/>
      <c r="AB473" s="247"/>
      <c r="AC473" s="5"/>
      <c r="AD473" s="5"/>
      <c r="AE473" s="17"/>
      <c r="AF473" s="247"/>
      <c r="AG473" s="247"/>
      <c r="AH473" s="149"/>
      <c r="AI473" s="5"/>
      <c r="AJ473" s="17"/>
      <c r="AK473" s="17"/>
      <c r="AL473" s="102"/>
      <c r="AM473" s="132"/>
      <c r="AN473" s="161"/>
      <c r="AO473" s="115"/>
      <c r="AP473" s="115"/>
      <c r="AQ473" s="17"/>
      <c r="AR473" s="247"/>
      <c r="AS473" s="247"/>
      <c r="AT473" s="247"/>
      <c r="AU473" s="17"/>
      <c r="AV473" s="17"/>
      <c r="AW473" s="17"/>
      <c r="AX473" s="247"/>
      <c r="AY473" s="247"/>
      <c r="AZ473" s="247"/>
      <c r="BA473" s="17"/>
      <c r="BB473" s="52"/>
      <c r="BC473" s="17"/>
      <c r="BD473" s="247"/>
      <c r="BE473" s="247"/>
      <c r="BF473" s="247"/>
      <c r="BG473" s="17"/>
      <c r="BH473" s="17"/>
      <c r="BI473" s="17"/>
      <c r="BJ473" s="247"/>
      <c r="BK473" s="247"/>
      <c r="BL473" s="247"/>
      <c r="BM473" s="190"/>
      <c r="BN473" s="190"/>
      <c r="BO473" s="17"/>
      <c r="BP473" s="247">
        <v>26500</v>
      </c>
      <c r="BQ473" s="247">
        <f>+BP473*19%</f>
        <v>5035</v>
      </c>
      <c r="BR473" s="247">
        <f>+BQ473+BP473</f>
        <v>31535</v>
      </c>
      <c r="BS473" s="17"/>
      <c r="BT473" s="17"/>
      <c r="BU473" s="17"/>
      <c r="BV473" s="189"/>
      <c r="BW473" s="196"/>
      <c r="BX473" s="246"/>
      <c r="BY473" s="190"/>
      <c r="BZ473" s="190"/>
      <c r="CA473" s="190"/>
      <c r="CB473" s="247"/>
      <c r="CC473" s="247"/>
      <c r="CD473" s="247"/>
      <c r="CE473" s="17"/>
      <c r="CF473" s="17"/>
      <c r="CG473" s="17"/>
      <c r="CH473" s="247"/>
      <c r="CI473" s="247"/>
      <c r="CJ473" s="247"/>
      <c r="CK473" s="17"/>
      <c r="CL473" s="17"/>
      <c r="CM473" s="17"/>
      <c r="CN473" s="17"/>
      <c r="CO473" s="17"/>
      <c r="CP473" s="11"/>
      <c r="CQ473" s="11"/>
      <c r="CR473" s="11"/>
      <c r="CS473" s="11"/>
      <c r="CT473" s="247"/>
      <c r="CU473" s="247"/>
      <c r="CV473" s="247"/>
      <c r="CW473" s="11"/>
      <c r="CX473" s="11"/>
      <c r="CY473" s="11"/>
      <c r="CZ473" s="11"/>
      <c r="DA473" s="11"/>
      <c r="DB473" s="11"/>
      <c r="DC473" s="11"/>
      <c r="DD473" s="11"/>
      <c r="DE473" s="11"/>
      <c r="DF473" s="11"/>
      <c r="DG473" s="11"/>
      <c r="DH473" s="11"/>
      <c r="DI473" s="11"/>
      <c r="DJ473" s="11"/>
      <c r="DK473" s="11"/>
      <c r="DL473" s="247"/>
      <c r="DM473" s="247"/>
      <c r="DN473" s="247"/>
      <c r="DO473" s="247"/>
      <c r="DP473" s="247"/>
      <c r="DQ473" s="247"/>
      <c r="DR473" s="247"/>
      <c r="DS473" s="247"/>
      <c r="DT473" s="247"/>
      <c r="DU473" s="247"/>
      <c r="DV473" s="247"/>
      <c r="DW473" s="247"/>
      <c r="DX473" s="247"/>
      <c r="DY473" s="247"/>
      <c r="DZ473" s="247"/>
      <c r="EA473" s="247"/>
      <c r="EB473" s="247"/>
      <c r="EC473" s="247"/>
      <c r="ED473" s="17">
        <f t="shared" si="156"/>
        <v>31535</v>
      </c>
      <c r="EE473" s="29">
        <f t="shared" si="157"/>
        <v>1</v>
      </c>
      <c r="EF473" s="17">
        <f t="shared" si="158"/>
        <v>31535</v>
      </c>
    </row>
    <row r="474" spans="1:136" ht="25.5" x14ac:dyDescent="0.25">
      <c r="A474" s="25">
        <f>Distribución_Elementos!A474</f>
        <v>472</v>
      </c>
      <c r="B474" s="22" t="str">
        <f>Distribución_Elementos!B474</f>
        <v xml:space="preserve">Sistema de 25 perlas en  criovial para preservación de bacterias  azul </v>
      </c>
      <c r="C474" s="22" t="str">
        <f>Distribución_Elementos!C474</f>
        <v>Criobank</v>
      </c>
      <c r="D474" s="22" t="str">
        <f>Distribución_Elementos!D474</f>
        <v>Vial</v>
      </c>
      <c r="E474" s="224">
        <v>1</v>
      </c>
      <c r="F474" s="221">
        <v>0</v>
      </c>
      <c r="G474" s="221">
        <v>0</v>
      </c>
      <c r="H474" s="221">
        <v>0</v>
      </c>
      <c r="I474" s="221">
        <v>0</v>
      </c>
      <c r="J474" s="221">
        <v>0</v>
      </c>
      <c r="K474" s="221">
        <v>0</v>
      </c>
      <c r="L474" s="247"/>
      <c r="M474" s="247"/>
      <c r="N474" s="227"/>
      <c r="O474" s="121"/>
      <c r="P474" s="119"/>
      <c r="Q474" s="115"/>
      <c r="R474" s="115"/>
      <c r="S474" s="11"/>
      <c r="T474" s="247"/>
      <c r="U474" s="247"/>
      <c r="V474" s="247"/>
      <c r="W474" s="17"/>
      <c r="X474" s="11"/>
      <c r="Y474" s="11"/>
      <c r="Z474" s="247"/>
      <c r="AA474" s="247"/>
      <c r="AB474" s="247"/>
      <c r="AC474" s="44"/>
      <c r="AD474" s="22"/>
      <c r="AE474" s="17"/>
      <c r="AF474" s="247"/>
      <c r="AG474" s="247"/>
      <c r="AH474" s="151"/>
      <c r="AI474" s="4"/>
      <c r="AJ474" s="17"/>
      <c r="AK474" s="17"/>
      <c r="AL474" s="102"/>
      <c r="AM474" s="132"/>
      <c r="AN474" s="132"/>
      <c r="AO474" s="115"/>
      <c r="AP474" s="115"/>
      <c r="AQ474" s="17"/>
      <c r="AR474" s="247"/>
      <c r="AS474" s="247"/>
      <c r="AT474" s="247"/>
      <c r="AU474" s="17"/>
      <c r="AV474" s="17"/>
      <c r="AW474" s="17"/>
      <c r="AX474" s="247"/>
      <c r="AY474" s="247"/>
      <c r="AZ474" s="247"/>
      <c r="BA474" s="17"/>
      <c r="BB474" s="52"/>
      <c r="BC474" s="17"/>
      <c r="BD474" s="247"/>
      <c r="BE474" s="247"/>
      <c r="BF474" s="247"/>
      <c r="BG474" s="17"/>
      <c r="BH474" s="17"/>
      <c r="BI474" s="17"/>
      <c r="BJ474" s="247"/>
      <c r="BK474" s="247"/>
      <c r="BL474" s="247"/>
      <c r="BM474" s="190"/>
      <c r="BN474" s="190"/>
      <c r="BO474" s="17"/>
      <c r="BP474" s="247">
        <v>26500</v>
      </c>
      <c r="BQ474" s="247">
        <f>+BP474*19%</f>
        <v>5035</v>
      </c>
      <c r="BR474" s="247">
        <f>+BQ474+BP474</f>
        <v>31535</v>
      </c>
      <c r="BS474" s="17"/>
      <c r="BT474" s="17"/>
      <c r="BU474" s="17"/>
      <c r="BV474" s="189"/>
      <c r="BW474" s="196"/>
      <c r="BX474" s="246"/>
      <c r="BY474" s="190"/>
      <c r="BZ474" s="190"/>
      <c r="CA474" s="190"/>
      <c r="CB474" s="247"/>
      <c r="CC474" s="247"/>
      <c r="CD474" s="247"/>
      <c r="CE474" s="17"/>
      <c r="CF474" s="17"/>
      <c r="CG474" s="17"/>
      <c r="CH474" s="247"/>
      <c r="CI474" s="247"/>
      <c r="CJ474" s="247"/>
      <c r="CK474" s="17"/>
      <c r="CL474" s="17"/>
      <c r="CM474" s="17"/>
      <c r="CN474" s="17"/>
      <c r="CO474" s="17"/>
      <c r="CP474" s="11"/>
      <c r="CQ474" s="11"/>
      <c r="CR474" s="11"/>
      <c r="CS474" s="11"/>
      <c r="CT474" s="247"/>
      <c r="CU474" s="247"/>
      <c r="CV474" s="247"/>
      <c r="CW474" s="11"/>
      <c r="CX474" s="11"/>
      <c r="CY474" s="11"/>
      <c r="CZ474" s="11"/>
      <c r="DA474" s="11"/>
      <c r="DB474" s="11"/>
      <c r="DC474" s="11"/>
      <c r="DD474" s="11"/>
      <c r="DE474" s="11"/>
      <c r="DF474" s="11"/>
      <c r="DG474" s="11"/>
      <c r="DH474" s="11"/>
      <c r="DI474" s="11"/>
      <c r="DJ474" s="11"/>
      <c r="DK474" s="11"/>
      <c r="DL474" s="247"/>
      <c r="DM474" s="247"/>
      <c r="DN474" s="247"/>
      <c r="DO474" s="247"/>
      <c r="DP474" s="247"/>
      <c r="DQ474" s="247"/>
      <c r="DR474" s="247"/>
      <c r="DS474" s="247"/>
      <c r="DT474" s="247"/>
      <c r="DU474" s="247"/>
      <c r="DV474" s="247"/>
      <c r="DW474" s="247"/>
      <c r="DX474" s="247"/>
      <c r="DY474" s="247"/>
      <c r="DZ474" s="247"/>
      <c r="EA474" s="247"/>
      <c r="EB474" s="247"/>
      <c r="EC474" s="247"/>
      <c r="ED474" s="17">
        <f t="shared" si="156"/>
        <v>31535</v>
      </c>
      <c r="EE474" s="29">
        <f t="shared" si="157"/>
        <v>1</v>
      </c>
      <c r="EF474" s="17">
        <f t="shared" si="158"/>
        <v>31535</v>
      </c>
    </row>
    <row r="475" spans="1:136" ht="25.5" x14ac:dyDescent="0.25">
      <c r="A475" s="25">
        <f>Distribución_Elementos!A475</f>
        <v>473</v>
      </c>
      <c r="B475" s="22" t="str">
        <f>Distribución_Elementos!B475</f>
        <v xml:space="preserve">Sistema de 25 perlas en criovial para  preservación de bacterias amarillo </v>
      </c>
      <c r="C475" s="22" t="str">
        <f>Distribución_Elementos!C475</f>
        <v>Criobank</v>
      </c>
      <c r="D475" s="22" t="str">
        <f>Distribución_Elementos!D475</f>
        <v>Vial</v>
      </c>
      <c r="E475" s="224">
        <v>1</v>
      </c>
      <c r="F475" s="221">
        <v>0</v>
      </c>
      <c r="G475" s="221">
        <v>0</v>
      </c>
      <c r="H475" s="221">
        <v>0</v>
      </c>
      <c r="I475" s="221">
        <v>0</v>
      </c>
      <c r="J475" s="221">
        <v>0</v>
      </c>
      <c r="K475" s="221">
        <v>0</v>
      </c>
      <c r="L475" s="247"/>
      <c r="M475" s="247"/>
      <c r="N475" s="227"/>
      <c r="O475" s="121"/>
      <c r="P475" s="119"/>
      <c r="Q475" s="115"/>
      <c r="R475" s="115"/>
      <c r="S475" s="11"/>
      <c r="T475" s="247"/>
      <c r="U475" s="247"/>
      <c r="V475" s="247"/>
      <c r="W475" s="17"/>
      <c r="X475" s="11"/>
      <c r="Y475" s="11"/>
      <c r="Z475" s="247"/>
      <c r="AA475" s="247"/>
      <c r="AB475" s="247"/>
      <c r="AC475" s="44"/>
      <c r="AD475" s="22"/>
      <c r="AE475" s="17"/>
      <c r="AF475" s="247"/>
      <c r="AG475" s="247"/>
      <c r="AH475" s="151"/>
      <c r="AI475" s="22"/>
      <c r="AJ475" s="17"/>
      <c r="AK475" s="17"/>
      <c r="AL475" s="102"/>
      <c r="AM475" s="132"/>
      <c r="AN475" s="161"/>
      <c r="AO475" s="115"/>
      <c r="AP475" s="115"/>
      <c r="AQ475" s="17"/>
      <c r="AR475" s="247"/>
      <c r="AS475" s="247"/>
      <c r="AT475" s="247"/>
      <c r="AU475" s="17"/>
      <c r="AV475" s="17"/>
      <c r="AW475" s="17"/>
      <c r="AX475" s="247"/>
      <c r="AY475" s="247"/>
      <c r="AZ475" s="247"/>
      <c r="BA475" s="17"/>
      <c r="BB475" s="52"/>
      <c r="BC475" s="17"/>
      <c r="BD475" s="247"/>
      <c r="BE475" s="247"/>
      <c r="BF475" s="247"/>
      <c r="BG475" s="17"/>
      <c r="BH475" s="17"/>
      <c r="BI475" s="17"/>
      <c r="BJ475" s="247"/>
      <c r="BK475" s="247"/>
      <c r="BL475" s="247"/>
      <c r="BM475" s="190"/>
      <c r="BN475" s="190"/>
      <c r="BO475" s="17"/>
      <c r="BP475" s="247">
        <v>26500</v>
      </c>
      <c r="BQ475" s="247">
        <f>+BP475*19%</f>
        <v>5035</v>
      </c>
      <c r="BR475" s="247">
        <f>+BQ475+BP475</f>
        <v>31535</v>
      </c>
      <c r="BS475" s="17"/>
      <c r="BT475" s="17"/>
      <c r="BU475" s="17"/>
      <c r="BV475" s="189"/>
      <c r="BW475" s="196"/>
      <c r="BX475" s="246"/>
      <c r="BY475" s="190"/>
      <c r="BZ475" s="190"/>
      <c r="CA475" s="190"/>
      <c r="CB475" s="247"/>
      <c r="CC475" s="247"/>
      <c r="CD475" s="247"/>
      <c r="CE475" s="17"/>
      <c r="CF475" s="17"/>
      <c r="CG475" s="17"/>
      <c r="CH475" s="247"/>
      <c r="CI475" s="247"/>
      <c r="CJ475" s="247"/>
      <c r="CK475" s="17"/>
      <c r="CL475" s="17"/>
      <c r="CM475" s="17"/>
      <c r="CN475" s="17"/>
      <c r="CO475" s="17"/>
      <c r="CP475" s="11"/>
      <c r="CQ475" s="11"/>
      <c r="CR475" s="11"/>
      <c r="CS475" s="11"/>
      <c r="CT475" s="247"/>
      <c r="CU475" s="247"/>
      <c r="CV475" s="247"/>
      <c r="CW475" s="11"/>
      <c r="CX475" s="11"/>
      <c r="CY475" s="11"/>
      <c r="CZ475" s="11"/>
      <c r="DA475" s="11"/>
      <c r="DB475" s="11"/>
      <c r="DC475" s="11"/>
      <c r="DD475" s="11"/>
      <c r="DE475" s="11"/>
      <c r="DF475" s="11"/>
      <c r="DG475" s="11"/>
      <c r="DH475" s="11"/>
      <c r="DI475" s="11"/>
      <c r="DJ475" s="11"/>
      <c r="DK475" s="11"/>
      <c r="DL475" s="247"/>
      <c r="DM475" s="247"/>
      <c r="DN475" s="247"/>
      <c r="DO475" s="247"/>
      <c r="DP475" s="247"/>
      <c r="DQ475" s="247"/>
      <c r="DR475" s="247"/>
      <c r="DS475" s="247"/>
      <c r="DT475" s="247"/>
      <c r="DU475" s="247"/>
      <c r="DV475" s="247"/>
      <c r="DW475" s="247"/>
      <c r="DX475" s="247"/>
      <c r="DY475" s="247"/>
      <c r="DZ475" s="247"/>
      <c r="EA475" s="247"/>
      <c r="EB475" s="247"/>
      <c r="EC475" s="247"/>
      <c r="ED475" s="17">
        <f t="shared" si="156"/>
        <v>31535</v>
      </c>
      <c r="EE475" s="29">
        <f t="shared" si="157"/>
        <v>1</v>
      </c>
      <c r="EF475" s="17">
        <f t="shared" si="158"/>
        <v>31535</v>
      </c>
    </row>
    <row r="476" spans="1:136" ht="25.5" x14ac:dyDescent="0.25">
      <c r="A476" s="25">
        <f>Distribución_Elementos!A476</f>
        <v>474</v>
      </c>
      <c r="B476" s="22" t="str">
        <f>Distribución_Elementos!B476</f>
        <v>Soporte de mesa para 6 transferpipetas S tipo digital</v>
      </c>
      <c r="C476" s="22" t="str">
        <f>Distribución_Elementos!C476</f>
        <v>Brand 704807</v>
      </c>
      <c r="D476" s="22" t="str">
        <f>Distribución_Elementos!D476</f>
        <v>Unidad</v>
      </c>
      <c r="E476" s="224">
        <v>1</v>
      </c>
      <c r="F476" s="221">
        <v>409558.33333333337</v>
      </c>
      <c r="G476" s="221">
        <v>397222</v>
      </c>
      <c r="H476" s="221">
        <v>410728.23820000002</v>
      </c>
      <c r="I476" s="221">
        <v>410550</v>
      </c>
      <c r="J476" s="221">
        <v>649541.1906666666</v>
      </c>
      <c r="K476" s="221">
        <v>648550</v>
      </c>
      <c r="L476" s="247">
        <f>AVERAGE(F476,H476,J476)</f>
        <v>489942.58740000002</v>
      </c>
      <c r="M476" s="247">
        <f>AVERAGE(G476,I476,K476)*E1</f>
        <v>500003.88666666672</v>
      </c>
      <c r="N476" s="227">
        <v>350000</v>
      </c>
      <c r="O476" s="119">
        <f>+N476*0.19</f>
        <v>66500</v>
      </c>
      <c r="P476" s="119">
        <f>+N476+O476</f>
        <v>416500</v>
      </c>
      <c r="Q476" s="115"/>
      <c r="R476" s="115"/>
      <c r="S476" s="11"/>
      <c r="T476" s="247"/>
      <c r="U476" s="247"/>
      <c r="V476" s="247"/>
      <c r="W476" s="17"/>
      <c r="X476" s="11"/>
      <c r="Y476" s="11"/>
      <c r="Z476" s="247">
        <v>910000</v>
      </c>
      <c r="AA476" s="247">
        <f>+Z476*0.19</f>
        <v>172900</v>
      </c>
      <c r="AB476" s="247">
        <f>+Z476+AA476</f>
        <v>1082900</v>
      </c>
      <c r="AC476" s="44" t="s">
        <v>140</v>
      </c>
      <c r="AD476" s="22" t="s">
        <v>1579</v>
      </c>
      <c r="AE476" s="17"/>
      <c r="AF476" s="247"/>
      <c r="AG476" s="247"/>
      <c r="AH476" s="151"/>
      <c r="AI476" s="4"/>
      <c r="AJ476" s="17"/>
      <c r="AK476" s="17"/>
      <c r="AL476" s="102"/>
      <c r="AM476" s="132"/>
      <c r="AN476" s="161"/>
      <c r="AO476" s="115"/>
      <c r="AP476" s="115"/>
      <c r="AQ476" s="17"/>
      <c r="AR476" s="247"/>
      <c r="AS476" s="247"/>
      <c r="AT476" s="247"/>
      <c r="AU476" s="17"/>
      <c r="AV476" s="17"/>
      <c r="AW476" s="17"/>
      <c r="AX476" s="247"/>
      <c r="AY476" s="247"/>
      <c r="AZ476" s="247"/>
      <c r="BA476" s="17"/>
      <c r="BB476" s="52"/>
      <c r="BC476" s="17"/>
      <c r="BD476" s="247"/>
      <c r="BE476" s="247"/>
      <c r="BF476" s="247"/>
      <c r="BG476" s="17"/>
      <c r="BH476" s="17"/>
      <c r="BI476" s="17"/>
      <c r="BJ476" s="247">
        <v>499100</v>
      </c>
      <c r="BK476" s="247">
        <f t="shared" ref="BK476:BK501" si="168">+BJ476*0.19</f>
        <v>94829</v>
      </c>
      <c r="BL476" s="247">
        <f t="shared" ref="BL476:BL501" si="169">+BJ476+BK476</f>
        <v>593929</v>
      </c>
      <c r="BM476" s="190" t="s">
        <v>375</v>
      </c>
      <c r="BN476" s="190" t="s">
        <v>1759</v>
      </c>
      <c r="BO476" s="17"/>
      <c r="BP476" s="247">
        <v>496000</v>
      </c>
      <c r="BQ476" s="247">
        <f t="shared" ref="BQ476:BQ501" si="170">+BP476*19%</f>
        <v>94240</v>
      </c>
      <c r="BR476" s="247">
        <f>+BQ476+BP476</f>
        <v>590240</v>
      </c>
      <c r="BS476" s="17"/>
      <c r="BT476" s="17"/>
      <c r="BU476" s="17"/>
      <c r="BV476" s="195">
        <v>588722.38879999996</v>
      </c>
      <c r="BW476" s="195">
        <f>+BV476*0.19</f>
        <v>111857.25387199999</v>
      </c>
      <c r="BX476" s="246">
        <f>+BV476+BW476</f>
        <v>700579.64267199999</v>
      </c>
      <c r="BY476" s="190" t="s">
        <v>375</v>
      </c>
      <c r="BZ476" s="190" t="s">
        <v>1759</v>
      </c>
      <c r="CA476" s="190"/>
      <c r="CB476" s="247"/>
      <c r="CC476" s="247"/>
      <c r="CD476" s="247"/>
      <c r="CE476" s="17"/>
      <c r="CF476" s="17"/>
      <c r="CG476" s="17"/>
      <c r="CH476" s="247"/>
      <c r="CI476" s="247"/>
      <c r="CJ476" s="247"/>
      <c r="CK476" s="17"/>
      <c r="CL476" s="17"/>
      <c r="CM476" s="17"/>
      <c r="CN476" s="17"/>
      <c r="CO476" s="17"/>
      <c r="CP476" s="11"/>
      <c r="CQ476" s="11"/>
      <c r="CR476" s="11"/>
      <c r="CS476" s="11"/>
      <c r="CT476" s="247"/>
      <c r="CU476" s="247"/>
      <c r="CV476" s="247"/>
      <c r="CW476" s="11"/>
      <c r="CX476" s="11"/>
      <c r="CY476" s="11"/>
      <c r="CZ476" s="11"/>
      <c r="DA476" s="11"/>
      <c r="DB476" s="11"/>
      <c r="DC476" s="11"/>
      <c r="DD476" s="11"/>
      <c r="DE476" s="11"/>
      <c r="DF476" s="11"/>
      <c r="DG476" s="11"/>
      <c r="DH476" s="11"/>
      <c r="DI476" s="11"/>
      <c r="DJ476" s="11"/>
      <c r="DK476" s="11"/>
      <c r="DL476" s="247"/>
      <c r="DM476" s="247"/>
      <c r="DN476" s="247"/>
      <c r="DO476" s="247"/>
      <c r="DP476" s="247"/>
      <c r="DQ476" s="247"/>
      <c r="DR476" s="247"/>
      <c r="DS476" s="247"/>
      <c r="DT476" s="247"/>
      <c r="DU476" s="247"/>
      <c r="DV476" s="247"/>
      <c r="DW476" s="247"/>
      <c r="DX476" s="247"/>
      <c r="DY476" s="247"/>
      <c r="DZ476" s="247"/>
      <c r="EA476" s="247"/>
      <c r="EB476" s="247"/>
      <c r="EC476" s="247"/>
      <c r="ED476" s="17">
        <f t="shared" ref="ED476:ED501" si="171">SUM(M476,P476,V476,AB476,AH476,AN476,AT476,AZ476,BF476,BL476,BR476,BX476,CD476,CJ476,CP476,CV476,DB476,DH476,DN476,DT476,DZ476)</f>
        <v>3884152.5293386667</v>
      </c>
      <c r="EE476" s="29">
        <f t="shared" ref="EE476:EE501" si="172">COUNTA(M476,N476,T476,Z476,AF476,AL476,AR476,AX476,BD476,BJ476,BP476,BV476,CB476,CH476,CN476,CT476,CZ476,DF476,DL476,DR476,DX476)</f>
        <v>6</v>
      </c>
      <c r="EF476" s="17">
        <f t="shared" ref="EF476:EF501" si="173">IFERROR(ED476/EE476," ")</f>
        <v>647358.75488977775</v>
      </c>
    </row>
    <row r="477" spans="1:136" ht="25.5" x14ac:dyDescent="0.25">
      <c r="A477" s="25">
        <f>Distribución_Elementos!A477</f>
        <v>475</v>
      </c>
      <c r="B477" s="22" t="str">
        <f>Distribución_Elementos!B477</f>
        <v>Soporte lineal para micropipetas</v>
      </c>
      <c r="C477" s="22" t="str">
        <f>Distribución_Elementos!C477</f>
        <v>Brand o equivalente</v>
      </c>
      <c r="D477" s="22" t="str">
        <f>Distribución_Elementos!D477</f>
        <v>Unidad</v>
      </c>
      <c r="E477" s="224">
        <v>1</v>
      </c>
      <c r="F477" s="221">
        <v>192423</v>
      </c>
      <c r="G477" s="221">
        <v>189448</v>
      </c>
      <c r="H477" s="221">
        <v>167909</v>
      </c>
      <c r="I477" s="221">
        <v>117810</v>
      </c>
      <c r="J477" s="221">
        <v>426129.48</v>
      </c>
      <c r="K477" s="221">
        <v>264061</v>
      </c>
      <c r="L477" s="247">
        <f>AVERAGE(F477,H477,J477)</f>
        <v>262153.82666666666</v>
      </c>
      <c r="M477" s="247">
        <f>AVERAGE(G477,I477,K477)*E1</f>
        <v>196152.85666666666</v>
      </c>
      <c r="N477" s="228">
        <v>120000</v>
      </c>
      <c r="O477" s="119">
        <f>+N477*0.19</f>
        <v>22800</v>
      </c>
      <c r="P477" s="119">
        <f>+N477+O477</f>
        <v>142800</v>
      </c>
      <c r="Q477" s="115"/>
      <c r="R477" s="115"/>
      <c r="S477" s="11"/>
      <c r="T477" s="247">
        <v>118800.00000000001</v>
      </c>
      <c r="U477" s="247">
        <f>+T477*0.19</f>
        <v>22572.000000000004</v>
      </c>
      <c r="V477" s="247">
        <f>+T477+U477</f>
        <v>141372.00000000003</v>
      </c>
      <c r="W477" s="17" t="s">
        <v>140</v>
      </c>
      <c r="X477" s="11" t="s">
        <v>1760</v>
      </c>
      <c r="Y477" s="11"/>
      <c r="Z477" s="247">
        <v>910000</v>
      </c>
      <c r="AA477" s="247">
        <f>+Z477*0.19</f>
        <v>172900</v>
      </c>
      <c r="AB477" s="247">
        <f>+Z477+AA477</f>
        <v>1082900</v>
      </c>
      <c r="AC477" s="44" t="s">
        <v>140</v>
      </c>
      <c r="AD477" s="22" t="s">
        <v>1579</v>
      </c>
      <c r="AE477" s="17"/>
      <c r="AF477" s="247"/>
      <c r="AG477" s="247"/>
      <c r="AH477" s="124"/>
      <c r="AI477" s="4"/>
      <c r="AJ477" s="17"/>
      <c r="AK477" s="17"/>
      <c r="AL477" s="102"/>
      <c r="AM477" s="132"/>
      <c r="AN477" s="161"/>
      <c r="AO477" s="115"/>
      <c r="AP477" s="115"/>
      <c r="AQ477" s="17"/>
      <c r="AR477" s="247"/>
      <c r="AS477" s="247"/>
      <c r="AT477" s="247"/>
      <c r="AU477" s="17"/>
      <c r="AV477" s="17"/>
      <c r="AW477" s="17"/>
      <c r="AX477" s="247"/>
      <c r="AY477" s="247"/>
      <c r="AZ477" s="247"/>
      <c r="BA477" s="17"/>
      <c r="BB477" s="52"/>
      <c r="BC477" s="17"/>
      <c r="BD477" s="247"/>
      <c r="BE477" s="247"/>
      <c r="BF477" s="247"/>
      <c r="BG477" s="17"/>
      <c r="BH477" s="17"/>
      <c r="BI477" s="17"/>
      <c r="BJ477" s="247">
        <v>451000</v>
      </c>
      <c r="BK477" s="247">
        <f t="shared" si="168"/>
        <v>85690</v>
      </c>
      <c r="BL477" s="247">
        <f t="shared" si="169"/>
        <v>536690</v>
      </c>
      <c r="BM477" s="190" t="s">
        <v>375</v>
      </c>
      <c r="BN477" s="190" t="s">
        <v>1565</v>
      </c>
      <c r="BO477" s="17"/>
      <c r="BP477" s="247">
        <v>465000</v>
      </c>
      <c r="BQ477" s="247">
        <f t="shared" si="170"/>
        <v>88350</v>
      </c>
      <c r="BR477" s="247">
        <f t="shared" ref="BR477:BR503" si="174">+BQ477+BP477</f>
        <v>553350</v>
      </c>
      <c r="BS477" s="17"/>
      <c r="BT477" s="17"/>
      <c r="BU477" s="17"/>
      <c r="BV477" s="189">
        <v>502154.22400000005</v>
      </c>
      <c r="BW477" s="195">
        <f>+BV477*0.19</f>
        <v>95409.302560000011</v>
      </c>
      <c r="BX477" s="246">
        <f>+BV477+BW477</f>
        <v>597563.52656000003</v>
      </c>
      <c r="BY477" s="190" t="s">
        <v>375</v>
      </c>
      <c r="BZ477" s="190" t="s">
        <v>1565</v>
      </c>
      <c r="CA477" s="190"/>
      <c r="CB477" s="247"/>
      <c r="CC477" s="247"/>
      <c r="CD477" s="247"/>
      <c r="CE477" s="17"/>
      <c r="CF477" s="17"/>
      <c r="CG477" s="17"/>
      <c r="CH477" s="252"/>
      <c r="CI477" s="252"/>
      <c r="CJ477" s="252"/>
      <c r="CK477" s="17"/>
      <c r="CL477" s="17"/>
      <c r="CM477" s="17"/>
      <c r="CN477" s="17"/>
      <c r="CO477" s="17"/>
      <c r="CP477" s="11"/>
      <c r="CQ477" s="11"/>
      <c r="CR477" s="11"/>
      <c r="CS477" s="11"/>
      <c r="CT477" s="247"/>
      <c r="CU477" s="247"/>
      <c r="CV477" s="247"/>
      <c r="CW477" s="11"/>
      <c r="CX477" s="11"/>
      <c r="CY477" s="11"/>
      <c r="CZ477" s="11"/>
      <c r="DA477" s="11"/>
      <c r="DB477" s="11"/>
      <c r="DC477" s="11"/>
      <c r="DD477" s="11"/>
      <c r="DE477" s="11"/>
      <c r="DF477" s="11"/>
      <c r="DG477" s="11"/>
      <c r="DH477" s="11"/>
      <c r="DI477" s="11"/>
      <c r="DJ477" s="11"/>
      <c r="DK477" s="11"/>
      <c r="DL477" s="247"/>
      <c r="DM477" s="247"/>
      <c r="DN477" s="247"/>
      <c r="DO477" s="247"/>
      <c r="DP477" s="247"/>
      <c r="DQ477" s="247"/>
      <c r="DR477" s="247"/>
      <c r="DS477" s="247"/>
      <c r="DT477" s="247"/>
      <c r="DU477" s="247"/>
      <c r="DV477" s="247"/>
      <c r="DW477" s="247"/>
      <c r="DX477" s="247"/>
      <c r="DY477" s="247"/>
      <c r="DZ477" s="247"/>
      <c r="EA477" s="247"/>
      <c r="EB477" s="247"/>
      <c r="EC477" s="247"/>
      <c r="ED477" s="17">
        <f t="shared" si="171"/>
        <v>3250828.3832266666</v>
      </c>
      <c r="EE477" s="29">
        <f t="shared" si="172"/>
        <v>7</v>
      </c>
      <c r="EF477" s="17">
        <f t="shared" si="173"/>
        <v>464404.05474666663</v>
      </c>
    </row>
    <row r="478" spans="1:136" ht="25.5" x14ac:dyDescent="0.25">
      <c r="A478" s="25">
        <f>Distribución_Elementos!A478</f>
        <v>476</v>
      </c>
      <c r="B478" s="22" t="str">
        <f>Distribución_Elementos!B478</f>
        <v>Tamices metálicos con luz de malla de 4mm, 2mm, 1mm, y 500 um; más tapa y base</v>
      </c>
      <c r="C478" s="22" t="str">
        <f>Distribución_Elementos!C478</f>
        <v>Pinzuar o equivalente</v>
      </c>
      <c r="D478" s="22" t="str">
        <f>Distribución_Elementos!D478</f>
        <v>Unidad</v>
      </c>
      <c r="E478" s="224">
        <v>1</v>
      </c>
      <c r="F478" s="221">
        <v>0</v>
      </c>
      <c r="G478" s="221">
        <v>0</v>
      </c>
      <c r="H478" s="221">
        <v>535500</v>
      </c>
      <c r="I478" s="221">
        <v>0</v>
      </c>
      <c r="J478" s="221">
        <v>1482145</v>
      </c>
      <c r="K478" s="221">
        <v>0</v>
      </c>
      <c r="L478" s="247">
        <f>AVERAGE(H478,J478)</f>
        <v>1008822.5</v>
      </c>
      <c r="M478" s="247"/>
      <c r="N478" s="227"/>
      <c r="O478" s="119"/>
      <c r="P478" s="119"/>
      <c r="Q478" s="115"/>
      <c r="R478" s="115"/>
      <c r="S478" s="11"/>
      <c r="T478" s="247"/>
      <c r="U478" s="247"/>
      <c r="V478" s="247"/>
      <c r="W478" s="17"/>
      <c r="X478" s="11"/>
      <c r="Y478" s="11"/>
      <c r="Z478" s="247"/>
      <c r="AA478" s="247"/>
      <c r="AB478" s="247"/>
      <c r="AC478" s="46"/>
      <c r="AD478" s="22"/>
      <c r="AE478" s="17"/>
      <c r="AF478" s="247"/>
      <c r="AG478" s="247"/>
      <c r="AH478" s="152"/>
      <c r="AI478" s="22"/>
      <c r="AJ478" s="17"/>
      <c r="AK478" s="17"/>
      <c r="AL478" s="102"/>
      <c r="AM478" s="132"/>
      <c r="AN478" s="161"/>
      <c r="AO478" s="115"/>
      <c r="AP478" s="115"/>
      <c r="AQ478" s="17"/>
      <c r="AR478" s="247">
        <v>1645000</v>
      </c>
      <c r="AS478" s="247">
        <f>+AR478*0.19</f>
        <v>312550</v>
      </c>
      <c r="AT478" s="247">
        <f>+AR478+AS478</f>
        <v>1957550</v>
      </c>
      <c r="AU478" s="17"/>
      <c r="AV478" s="17"/>
      <c r="AW478" s="17"/>
      <c r="AX478" s="247"/>
      <c r="AY478" s="247"/>
      <c r="AZ478" s="247"/>
      <c r="BA478" s="17"/>
      <c r="BB478" s="52"/>
      <c r="BC478" s="17"/>
      <c r="BD478" s="247"/>
      <c r="BE478" s="247"/>
      <c r="BF478" s="247"/>
      <c r="BG478" s="17"/>
      <c r="BH478" s="17"/>
      <c r="BI478" s="17"/>
      <c r="BJ478" s="247"/>
      <c r="BK478" s="247"/>
      <c r="BL478" s="247"/>
      <c r="BM478" s="190"/>
      <c r="BN478" s="190"/>
      <c r="BO478" s="17"/>
      <c r="BP478" s="247">
        <f>260000*6</f>
        <v>1560000</v>
      </c>
      <c r="BQ478" s="247">
        <f t="shared" si="170"/>
        <v>296400</v>
      </c>
      <c r="BR478" s="247">
        <f t="shared" si="174"/>
        <v>1856400</v>
      </c>
      <c r="BS478" s="17"/>
      <c r="BT478" s="17"/>
      <c r="BU478" s="17"/>
      <c r="BV478" s="189"/>
      <c r="BW478" s="196"/>
      <c r="BX478" s="246"/>
      <c r="BY478" s="190"/>
      <c r="BZ478" s="190"/>
      <c r="CA478" s="190"/>
      <c r="CB478" s="247"/>
      <c r="CC478" s="247"/>
      <c r="CD478" s="247"/>
      <c r="CE478" s="17"/>
      <c r="CF478" s="17"/>
      <c r="CG478" s="17"/>
      <c r="CH478" s="247"/>
      <c r="CI478" s="247"/>
      <c r="CJ478" s="247"/>
      <c r="CK478" s="17"/>
      <c r="CL478" s="17"/>
      <c r="CM478" s="17"/>
      <c r="CN478" s="17"/>
      <c r="CO478" s="17"/>
      <c r="CP478" s="11"/>
      <c r="CQ478" s="11"/>
      <c r="CR478" s="11"/>
      <c r="CS478" s="11"/>
      <c r="CT478" s="247"/>
      <c r="CU478" s="247"/>
      <c r="CV478" s="247"/>
      <c r="CW478" s="11"/>
      <c r="CX478" s="11"/>
      <c r="CY478" s="11"/>
      <c r="CZ478" s="11"/>
      <c r="DA478" s="11"/>
      <c r="DB478" s="11"/>
      <c r="DC478" s="11"/>
      <c r="DD478" s="11"/>
      <c r="DE478" s="11"/>
      <c r="DF478" s="11"/>
      <c r="DG478" s="11"/>
      <c r="DH478" s="11"/>
      <c r="DI478" s="11"/>
      <c r="DJ478" s="11"/>
      <c r="DK478" s="11"/>
      <c r="DL478" s="247"/>
      <c r="DM478" s="247"/>
      <c r="DN478" s="247"/>
      <c r="DO478" s="247"/>
      <c r="DP478" s="247"/>
      <c r="DQ478" s="247"/>
      <c r="DR478" s="247"/>
      <c r="DS478" s="247"/>
      <c r="DT478" s="247"/>
      <c r="DU478" s="247"/>
      <c r="DV478" s="247"/>
      <c r="DW478" s="247"/>
      <c r="DX478" s="247"/>
      <c r="DY478" s="247"/>
      <c r="DZ478" s="247"/>
      <c r="EA478" s="247"/>
      <c r="EB478" s="247"/>
      <c r="EC478" s="247"/>
      <c r="ED478" s="17">
        <f t="shared" si="171"/>
        <v>3813950</v>
      </c>
      <c r="EE478" s="29">
        <f t="shared" si="172"/>
        <v>2</v>
      </c>
      <c r="EF478" s="17">
        <f t="shared" si="173"/>
        <v>1906975</v>
      </c>
    </row>
    <row r="479" spans="1:136" ht="36" x14ac:dyDescent="0.25">
      <c r="A479" s="25">
        <f>Distribución_Elementos!A479</f>
        <v>477</v>
      </c>
      <c r="B479" s="22" t="str">
        <f>Distribución_Elementos!B479</f>
        <v>Tapa para vial con septa preperforada 9mm JGF ROY CAP T/S SLIT</v>
      </c>
      <c r="C479" s="22" t="str">
        <f>Distribución_Elementos!C479</f>
        <v>Cualquier marca</v>
      </c>
      <c r="D479" s="22" t="str">
        <f>Distribución_Elementos!D479</f>
        <v xml:space="preserve">Bolsa  x 100 tapas </v>
      </c>
      <c r="E479" s="224">
        <v>1</v>
      </c>
      <c r="F479" s="221">
        <v>0</v>
      </c>
      <c r="G479" s="221">
        <v>0</v>
      </c>
      <c r="H479" s="221">
        <v>0</v>
      </c>
      <c r="I479" s="221">
        <v>0</v>
      </c>
      <c r="J479" s="221">
        <v>90440</v>
      </c>
      <c r="K479" s="221">
        <v>90440</v>
      </c>
      <c r="L479" s="247">
        <f>J479</f>
        <v>90440</v>
      </c>
      <c r="M479" s="247">
        <f>K479*E1</f>
        <v>93153.2</v>
      </c>
      <c r="N479" s="228"/>
      <c r="O479" s="119"/>
      <c r="P479" s="119"/>
      <c r="Q479" s="115"/>
      <c r="R479" s="115"/>
      <c r="S479" s="11"/>
      <c r="T479" s="247"/>
      <c r="U479" s="247"/>
      <c r="V479" s="247"/>
      <c r="W479" s="17"/>
      <c r="X479" s="11"/>
      <c r="Y479" s="11"/>
      <c r="Z479" s="247"/>
      <c r="AA479" s="247"/>
      <c r="AB479" s="247"/>
      <c r="AC479" s="44"/>
      <c r="AD479" s="22"/>
      <c r="AE479" s="17"/>
      <c r="AF479" s="247"/>
      <c r="AG479" s="247"/>
      <c r="AH479" s="151"/>
      <c r="AI479" s="4"/>
      <c r="AJ479" s="17"/>
      <c r="AK479" s="17"/>
      <c r="AL479" s="102"/>
      <c r="AM479" s="132"/>
      <c r="AN479" s="161"/>
      <c r="AO479" s="115"/>
      <c r="AP479" s="115"/>
      <c r="AQ479" s="17"/>
      <c r="AR479" s="247"/>
      <c r="AS479" s="247"/>
      <c r="AT479" s="247"/>
      <c r="AU479" s="17"/>
      <c r="AV479" s="17"/>
      <c r="AW479" s="17"/>
      <c r="AX479" s="247"/>
      <c r="AY479" s="247"/>
      <c r="AZ479" s="247"/>
      <c r="BA479" s="17"/>
      <c r="BB479" s="52"/>
      <c r="BC479" s="17"/>
      <c r="BD479" s="247"/>
      <c r="BE479" s="247"/>
      <c r="BF479" s="247"/>
      <c r="BG479" s="17"/>
      <c r="BH479" s="17"/>
      <c r="BI479" s="17"/>
      <c r="BJ479" s="247">
        <v>424100</v>
      </c>
      <c r="BK479" s="247">
        <f t="shared" si="168"/>
        <v>80579</v>
      </c>
      <c r="BL479" s="247">
        <f t="shared" si="169"/>
        <v>504679</v>
      </c>
      <c r="BM479" s="191" t="s">
        <v>1761</v>
      </c>
      <c r="BN479" s="190" t="s">
        <v>418</v>
      </c>
      <c r="BO479" s="17"/>
      <c r="BP479" s="247">
        <v>165000</v>
      </c>
      <c r="BQ479" s="247">
        <f t="shared" si="170"/>
        <v>31350</v>
      </c>
      <c r="BR479" s="247">
        <f t="shared" si="174"/>
        <v>196350</v>
      </c>
      <c r="BS479" s="17"/>
      <c r="BT479" s="17"/>
      <c r="BU479" s="17"/>
      <c r="BV479" s="189">
        <v>477010.71600000001</v>
      </c>
      <c r="BW479" s="195">
        <f>+BV479*0.19</f>
        <v>90632.036040000006</v>
      </c>
      <c r="BX479" s="246">
        <f t="shared" ref="BX479:BX487" si="175">+BV479+BW479</f>
        <v>567642.75204000005</v>
      </c>
      <c r="BY479" s="191" t="s">
        <v>1761</v>
      </c>
      <c r="BZ479" s="190" t="s">
        <v>418</v>
      </c>
      <c r="CA479" s="190"/>
      <c r="CB479" s="247"/>
      <c r="CC479" s="247"/>
      <c r="CD479" s="247"/>
      <c r="CE479" s="17"/>
      <c r="CF479" s="17"/>
      <c r="CG479" s="17"/>
      <c r="CH479" s="252"/>
      <c r="CI479" s="252"/>
      <c r="CJ479" s="252"/>
      <c r="CK479" s="17"/>
      <c r="CL479" s="17"/>
      <c r="CM479" s="17"/>
      <c r="CN479" s="17"/>
      <c r="CO479" s="17"/>
      <c r="CP479" s="11"/>
      <c r="CQ479" s="11"/>
      <c r="CR479" s="11"/>
      <c r="CS479" s="11"/>
      <c r="CT479" s="247"/>
      <c r="CU479" s="247"/>
      <c r="CV479" s="247"/>
      <c r="CW479" s="11"/>
      <c r="CX479" s="11"/>
      <c r="CY479" s="11"/>
      <c r="CZ479" s="11"/>
      <c r="DA479" s="11"/>
      <c r="DB479" s="11"/>
      <c r="DC479" s="11"/>
      <c r="DD479" s="11"/>
      <c r="DE479" s="11"/>
      <c r="DF479" s="11"/>
      <c r="DG479" s="11"/>
      <c r="DH479" s="11"/>
      <c r="DI479" s="11"/>
      <c r="DJ479" s="11"/>
      <c r="DK479" s="11"/>
      <c r="DL479" s="247"/>
      <c r="DM479" s="247"/>
      <c r="DN479" s="247"/>
      <c r="DO479" s="247"/>
      <c r="DP479" s="247"/>
      <c r="DQ479" s="247"/>
      <c r="DR479" s="247"/>
      <c r="DS479" s="247"/>
      <c r="DT479" s="247"/>
      <c r="DU479" s="247"/>
      <c r="DV479" s="247"/>
      <c r="DW479" s="247"/>
      <c r="DX479" s="247"/>
      <c r="DY479" s="247"/>
      <c r="DZ479" s="247"/>
      <c r="EA479" s="247"/>
      <c r="EB479" s="247"/>
      <c r="EC479" s="247"/>
      <c r="ED479" s="17">
        <f t="shared" si="171"/>
        <v>1361824.9520399999</v>
      </c>
      <c r="EE479" s="29">
        <f t="shared" si="172"/>
        <v>4</v>
      </c>
      <c r="EF479" s="17">
        <f t="shared" si="173"/>
        <v>340456.23800999997</v>
      </c>
    </row>
    <row r="480" spans="1:136" ht="51" x14ac:dyDescent="0.25">
      <c r="A480" s="25">
        <f>Distribución_Elementos!A480</f>
        <v>478</v>
      </c>
      <c r="B480" s="22" t="str">
        <f>Distribución_Elementos!B480</f>
        <v>Tapabocas quirúrgico con ajuste en resorte y pinza de tabique nasal, elaborados en 100% polipropileno y 3 capas, Capa externa: 27 g/m2 (±2%), Capa interna: 18 g/m2 (±2%), Elemento filtrante: 20 g/m2 (±2%). Caja por 50 Unidades.</v>
      </c>
      <c r="C480" s="22" t="str">
        <f>Distribución_Elementos!C480</f>
        <v>Cualquier marca</v>
      </c>
      <c r="D480" s="22" t="str">
        <f>Distribución_Elementos!D480</f>
        <v xml:space="preserve">Caja x 50 </v>
      </c>
      <c r="E480" s="224">
        <v>1</v>
      </c>
      <c r="F480" s="221">
        <v>15127.875</v>
      </c>
      <c r="G480" s="221">
        <v>14637</v>
      </c>
      <c r="H480" s="221">
        <v>13574.683033333335</v>
      </c>
      <c r="I480" s="221">
        <v>0</v>
      </c>
      <c r="J480" s="221">
        <v>20630.633333333331</v>
      </c>
      <c r="K480" s="221">
        <v>0</v>
      </c>
      <c r="L480" s="247">
        <f>AVERAGE(F480,H480,J480)</f>
        <v>16444.397122222221</v>
      </c>
      <c r="M480" s="247">
        <f>G480*E1</f>
        <v>15076.11</v>
      </c>
      <c r="N480" s="227">
        <v>20000</v>
      </c>
      <c r="O480" s="119">
        <f>+N480*0.19</f>
        <v>3800</v>
      </c>
      <c r="P480" s="119">
        <f>+N480+O480</f>
        <v>23800</v>
      </c>
      <c r="Q480" s="115"/>
      <c r="R480" s="115"/>
      <c r="S480" s="11"/>
      <c r="T480" s="247"/>
      <c r="U480" s="247"/>
      <c r="V480" s="247"/>
      <c r="W480" s="17"/>
      <c r="X480" s="11"/>
      <c r="Y480" s="11"/>
      <c r="Z480" s="247"/>
      <c r="AA480" s="247"/>
      <c r="AB480" s="247"/>
      <c r="AC480" s="44"/>
      <c r="AD480" s="22"/>
      <c r="AE480" s="17"/>
      <c r="AF480" s="247"/>
      <c r="AG480" s="247"/>
      <c r="AH480" s="151"/>
      <c r="AI480" s="22"/>
      <c r="AJ480" s="17"/>
      <c r="AK480" s="17"/>
      <c r="AL480" s="102"/>
      <c r="AM480" s="132"/>
      <c r="AN480" s="161"/>
      <c r="AO480" s="115"/>
      <c r="AP480" s="115"/>
      <c r="AQ480" s="17"/>
      <c r="AR480" s="247"/>
      <c r="AS480" s="247"/>
      <c r="AT480" s="247"/>
      <c r="AU480" s="17"/>
      <c r="AV480" s="17"/>
      <c r="AW480" s="17"/>
      <c r="AX480" s="247"/>
      <c r="AY480" s="247"/>
      <c r="AZ480" s="247"/>
      <c r="BA480" s="17"/>
      <c r="BB480" s="52"/>
      <c r="BC480" s="17"/>
      <c r="BD480" s="247"/>
      <c r="BE480" s="247"/>
      <c r="BF480" s="247"/>
      <c r="BG480" s="17"/>
      <c r="BH480" s="17"/>
      <c r="BI480" s="17"/>
      <c r="BJ480" s="247">
        <v>60000</v>
      </c>
      <c r="BK480" s="247">
        <f>+BJ480*0</f>
        <v>0</v>
      </c>
      <c r="BL480" s="247">
        <f t="shared" si="169"/>
        <v>60000</v>
      </c>
      <c r="BM480" s="191" t="s">
        <v>1635</v>
      </c>
      <c r="BN480" s="190" t="s">
        <v>1762</v>
      </c>
      <c r="BO480" s="17"/>
      <c r="BP480" s="247">
        <v>15500</v>
      </c>
      <c r="BQ480" s="247">
        <f t="shared" si="170"/>
        <v>2945</v>
      </c>
      <c r="BR480" s="247">
        <f t="shared" si="174"/>
        <v>18445</v>
      </c>
      <c r="BS480" s="17"/>
      <c r="BT480" s="17"/>
      <c r="BU480" s="17"/>
      <c r="BV480" s="195">
        <v>73476.900000000023</v>
      </c>
      <c r="BW480" s="198">
        <f>+BV480*0</f>
        <v>0</v>
      </c>
      <c r="BX480" s="246">
        <f t="shared" si="175"/>
        <v>73476.900000000023</v>
      </c>
      <c r="BY480" s="191" t="s">
        <v>1635</v>
      </c>
      <c r="BZ480" s="190" t="s">
        <v>1762</v>
      </c>
      <c r="CA480" s="190"/>
      <c r="CB480" s="247"/>
      <c r="CC480" s="247"/>
      <c r="CD480" s="247"/>
      <c r="CE480" s="17"/>
      <c r="CF480" s="17"/>
      <c r="CG480" s="17"/>
      <c r="CH480" s="247"/>
      <c r="CI480" s="247"/>
      <c r="CJ480" s="247"/>
      <c r="CK480" s="17"/>
      <c r="CL480" s="17"/>
      <c r="CM480" s="17"/>
      <c r="CN480" s="17"/>
      <c r="CO480" s="17"/>
      <c r="CP480" s="11"/>
      <c r="CQ480" s="11"/>
      <c r="CR480" s="11"/>
      <c r="CS480" s="11"/>
      <c r="CT480" s="247"/>
      <c r="CU480" s="247"/>
      <c r="CV480" s="247"/>
      <c r="CW480" s="11"/>
      <c r="CX480" s="11"/>
      <c r="CY480" s="11"/>
      <c r="CZ480" s="11"/>
      <c r="DA480" s="11"/>
      <c r="DB480" s="11"/>
      <c r="DC480" s="11"/>
      <c r="DD480" s="11"/>
      <c r="DE480" s="11"/>
      <c r="DF480" s="11"/>
      <c r="DG480" s="11"/>
      <c r="DH480" s="11"/>
      <c r="DI480" s="11"/>
      <c r="DJ480" s="11"/>
      <c r="DK480" s="11"/>
      <c r="DL480" s="247"/>
      <c r="DM480" s="247"/>
      <c r="DN480" s="247"/>
      <c r="DO480" s="247"/>
      <c r="DP480" s="247"/>
      <c r="DQ480" s="247"/>
      <c r="DR480" s="247"/>
      <c r="DS480" s="247"/>
      <c r="DT480" s="247"/>
      <c r="DU480" s="247"/>
      <c r="DV480" s="247"/>
      <c r="DW480" s="247"/>
      <c r="DX480" s="247"/>
      <c r="DY480" s="247"/>
      <c r="DZ480" s="247"/>
      <c r="EA480" s="247"/>
      <c r="EB480" s="247"/>
      <c r="EC480" s="247"/>
      <c r="ED480" s="17">
        <f t="shared" si="171"/>
        <v>190798.01</v>
      </c>
      <c r="EE480" s="29">
        <f t="shared" si="172"/>
        <v>5</v>
      </c>
      <c r="EF480" s="17">
        <f t="shared" si="173"/>
        <v>38159.601999999999</v>
      </c>
    </row>
    <row r="481" spans="1:136" ht="165.75" x14ac:dyDescent="0.25">
      <c r="A481" s="25">
        <f>Distribución_Elementos!A481</f>
        <v>479</v>
      </c>
      <c r="B481" s="22" t="str">
        <f>Distribución_Elementos!B481</f>
        <v>Termohigrobarómetro Digital, portátil, pantalla LCD y tres medidas simultáneas de humedad relativa, temperatura ambiente y presión atmosférica. Para realizar medidas y guardarlas en memoria . Que pueda memorizar datos de los tres parámetros a la vez. Incorpora función de fecha y hora para el control de las medidas. Resolución: 0,1 para cada una de las magnitudes. Rangos: Humedad relativa: de 10% a 90% Temperatura: de 0ºC a 50ºC Presión atmosférica: desde 00hPa  Duración del tiempo de registro: Programable con certificado de calibracion de laboratorio acreditado o laboratorio nacional reconicido.
Con certificado de calibración emitido por un laboratorio certificado por el ONAC.</v>
      </c>
      <c r="C481" s="22" t="str">
        <f>Distribución_Elementos!C481</f>
        <v>Cualquier marca</v>
      </c>
      <c r="D481" s="22" t="str">
        <f>Distribución_Elementos!D481</f>
        <v>Unidad</v>
      </c>
      <c r="E481" s="224">
        <v>1</v>
      </c>
      <c r="F481" s="221">
        <v>0</v>
      </c>
      <c r="G481" s="221">
        <v>0</v>
      </c>
      <c r="H481" s="221">
        <v>0</v>
      </c>
      <c r="I481" s="221">
        <v>0</v>
      </c>
      <c r="J481" s="221">
        <v>0</v>
      </c>
      <c r="K481" s="221">
        <v>0</v>
      </c>
      <c r="L481" s="247"/>
      <c r="M481" s="247"/>
      <c r="N481" s="228"/>
      <c r="O481" s="119"/>
      <c r="P481" s="119"/>
      <c r="Q481" s="115"/>
      <c r="R481" s="115"/>
      <c r="S481" s="11"/>
      <c r="T481" s="247"/>
      <c r="U481" s="247"/>
      <c r="V481" s="247"/>
      <c r="W481" s="17"/>
      <c r="X481" s="11"/>
      <c r="Y481" s="11"/>
      <c r="Z481" s="247"/>
      <c r="AA481" s="247"/>
      <c r="AB481" s="247"/>
      <c r="AC481" s="44"/>
      <c r="AD481" s="22"/>
      <c r="AE481" s="17"/>
      <c r="AF481" s="247"/>
      <c r="AG481" s="247"/>
      <c r="AH481" s="151"/>
      <c r="AI481" s="4"/>
      <c r="AJ481" s="17"/>
      <c r="AK481" s="17"/>
      <c r="AL481" s="102"/>
      <c r="AM481" s="132"/>
      <c r="AN481" s="161"/>
      <c r="AO481" s="115"/>
      <c r="AP481" s="115"/>
      <c r="AQ481" s="17"/>
      <c r="AR481" s="247"/>
      <c r="AS481" s="247"/>
      <c r="AT481" s="247"/>
      <c r="AU481" s="17"/>
      <c r="AV481" s="17"/>
      <c r="AW481" s="17"/>
      <c r="AX481" s="247"/>
      <c r="AY481" s="247"/>
      <c r="AZ481" s="247"/>
      <c r="BA481" s="17"/>
      <c r="BB481" s="52"/>
      <c r="BC481" s="17"/>
      <c r="BD481" s="247"/>
      <c r="BE481" s="247"/>
      <c r="BF481" s="247"/>
      <c r="BG481" s="17"/>
      <c r="BH481" s="17"/>
      <c r="BI481" s="17"/>
      <c r="BJ481" s="247">
        <v>2197800</v>
      </c>
      <c r="BK481" s="247">
        <f t="shared" si="168"/>
        <v>417582</v>
      </c>
      <c r="BL481" s="247">
        <f t="shared" si="169"/>
        <v>2615382</v>
      </c>
      <c r="BM481" s="192" t="s">
        <v>140</v>
      </c>
      <c r="BN481" s="190" t="s">
        <v>418</v>
      </c>
      <c r="BO481" s="17"/>
      <c r="BP481" s="247">
        <v>490000</v>
      </c>
      <c r="BQ481" s="247">
        <f t="shared" si="170"/>
        <v>93100</v>
      </c>
      <c r="BR481" s="247">
        <f t="shared" si="174"/>
        <v>583100</v>
      </c>
      <c r="BS481" s="17"/>
      <c r="BT481" s="17"/>
      <c r="BU481" s="17"/>
      <c r="BV481" s="189">
        <v>2495997.5040000002</v>
      </c>
      <c r="BW481" s="195">
        <f>+BV481*0.19</f>
        <v>474239.52576000005</v>
      </c>
      <c r="BX481" s="246">
        <f t="shared" si="175"/>
        <v>2970237.0297600003</v>
      </c>
      <c r="BY481" s="192" t="s">
        <v>140</v>
      </c>
      <c r="BZ481" s="190" t="s">
        <v>418</v>
      </c>
      <c r="CA481" s="190"/>
      <c r="CB481" s="247"/>
      <c r="CC481" s="247"/>
      <c r="CD481" s="247"/>
      <c r="CE481" s="17"/>
      <c r="CF481" s="17"/>
      <c r="CG481" s="17"/>
      <c r="CH481" s="252"/>
      <c r="CI481" s="252"/>
      <c r="CJ481" s="252"/>
      <c r="CK481" s="17"/>
      <c r="CL481" s="17"/>
      <c r="CM481" s="17"/>
      <c r="CN481" s="17"/>
      <c r="CO481" s="17"/>
      <c r="CP481" s="11"/>
      <c r="CQ481" s="11"/>
      <c r="CR481" s="11"/>
      <c r="CS481" s="11"/>
      <c r="CT481" s="247"/>
      <c r="CU481" s="247"/>
      <c r="CV481" s="247"/>
      <c r="CW481" s="11"/>
      <c r="CX481" s="11"/>
      <c r="CY481" s="11"/>
      <c r="CZ481" s="11"/>
      <c r="DA481" s="11"/>
      <c r="DB481" s="11"/>
      <c r="DC481" s="11"/>
      <c r="DD481" s="11"/>
      <c r="DE481" s="11"/>
      <c r="DF481" s="11"/>
      <c r="DG481" s="11"/>
      <c r="DH481" s="11"/>
      <c r="DI481" s="11"/>
      <c r="DJ481" s="11"/>
      <c r="DK481" s="11"/>
      <c r="DL481" s="247"/>
      <c r="DM481" s="247"/>
      <c r="DN481" s="247"/>
      <c r="DO481" s="247"/>
      <c r="DP481" s="247"/>
      <c r="DQ481" s="247"/>
      <c r="DR481" s="247"/>
      <c r="DS481" s="247"/>
      <c r="DT481" s="247"/>
      <c r="DU481" s="247"/>
      <c r="DV481" s="247"/>
      <c r="DW481" s="247"/>
      <c r="DX481" s="247"/>
      <c r="DY481" s="247"/>
      <c r="DZ481" s="247"/>
      <c r="EA481" s="247"/>
      <c r="EB481" s="247"/>
      <c r="EC481" s="247"/>
      <c r="ED481" s="17">
        <f t="shared" si="171"/>
        <v>6168719.0297600003</v>
      </c>
      <c r="EE481" s="29">
        <f t="shared" si="172"/>
        <v>3</v>
      </c>
      <c r="EF481" s="17">
        <f t="shared" si="173"/>
        <v>2056239.6765866668</v>
      </c>
    </row>
    <row r="482" spans="1:136" ht="76.5" x14ac:dyDescent="0.25">
      <c r="A482" s="25">
        <f>Distribución_Elementos!A482</f>
        <v>480</v>
      </c>
      <c r="B482" s="22" t="str">
        <f>Distribución_Elementos!B482</f>
        <v xml:space="preserve">Termohigrómetro con datalogger digital de lectura simultánea. Rangos: 0 a 50°C y 20 a 90% de humedad relativa, resolución de 0.1°C y de 1%.Trazable a  NIST. Calibrado y Con certificado de calibración emitido por un laboratorio certificado por el ONAC.
</v>
      </c>
      <c r="C482" s="22" t="str">
        <f>Distribución_Elementos!C482</f>
        <v>Fisher 06-662-4 o marca equivalente.</v>
      </c>
      <c r="D482" s="22" t="str">
        <f>Distribución_Elementos!D482</f>
        <v>Unidad</v>
      </c>
      <c r="E482" s="224">
        <v>1</v>
      </c>
      <c r="F482" s="221">
        <v>0</v>
      </c>
      <c r="G482" s="221">
        <v>0</v>
      </c>
      <c r="H482" s="221">
        <v>0</v>
      </c>
      <c r="I482" s="221">
        <v>0</v>
      </c>
      <c r="J482" s="221">
        <v>1368500</v>
      </c>
      <c r="K482" s="221">
        <v>1368500</v>
      </c>
      <c r="L482" s="247">
        <f>J482</f>
        <v>1368500</v>
      </c>
      <c r="M482" s="247">
        <f>K482*E1</f>
        <v>1409555</v>
      </c>
      <c r="N482" s="227"/>
      <c r="O482" s="119"/>
      <c r="P482" s="119"/>
      <c r="Q482" s="115"/>
      <c r="R482" s="115"/>
      <c r="S482" s="11"/>
      <c r="T482" s="247"/>
      <c r="U482" s="247"/>
      <c r="V482" s="247"/>
      <c r="W482" s="17"/>
      <c r="X482" s="11"/>
      <c r="Y482" s="11"/>
      <c r="Z482" s="247"/>
      <c r="AA482" s="247"/>
      <c r="AB482" s="247"/>
      <c r="AC482" s="44"/>
      <c r="AD482" s="22"/>
      <c r="AE482" s="17"/>
      <c r="AF482" s="247"/>
      <c r="AG482" s="247"/>
      <c r="AH482" s="151"/>
      <c r="AI482" s="4"/>
      <c r="AJ482" s="17"/>
      <c r="AK482" s="17"/>
      <c r="AL482" s="102"/>
      <c r="AM482" s="132"/>
      <c r="AN482" s="161"/>
      <c r="AO482" s="115"/>
      <c r="AP482" s="115"/>
      <c r="AQ482" s="17"/>
      <c r="AR482" s="247"/>
      <c r="AS482" s="247"/>
      <c r="AT482" s="247"/>
      <c r="AU482" s="17"/>
      <c r="AV482" s="17"/>
      <c r="AW482" s="17"/>
      <c r="AX482" s="247"/>
      <c r="AY482" s="247"/>
      <c r="AZ482" s="247"/>
      <c r="BA482" s="17"/>
      <c r="BB482" s="52"/>
      <c r="BC482" s="17"/>
      <c r="BD482" s="247"/>
      <c r="BE482" s="247"/>
      <c r="BF482" s="247"/>
      <c r="BG482" s="17"/>
      <c r="BH482" s="17"/>
      <c r="BI482" s="17"/>
      <c r="BJ482" s="247">
        <v>677500</v>
      </c>
      <c r="BK482" s="247">
        <f t="shared" si="168"/>
        <v>128725</v>
      </c>
      <c r="BL482" s="247">
        <f t="shared" si="169"/>
        <v>806225</v>
      </c>
      <c r="BM482" s="192" t="s">
        <v>140</v>
      </c>
      <c r="BN482" s="190" t="s">
        <v>316</v>
      </c>
      <c r="BO482" s="17"/>
      <c r="BP482" s="247">
        <v>498000</v>
      </c>
      <c r="BQ482" s="247">
        <f t="shared" si="170"/>
        <v>94620</v>
      </c>
      <c r="BR482" s="247">
        <f t="shared" si="174"/>
        <v>592620</v>
      </c>
      <c r="BS482" s="17"/>
      <c r="BT482" s="17"/>
      <c r="BU482" s="17"/>
      <c r="BV482" s="195">
        <v>761813.52</v>
      </c>
      <c r="BW482" s="195">
        <f>+BV482*0.19</f>
        <v>144744.56880000001</v>
      </c>
      <c r="BX482" s="246">
        <f t="shared" si="175"/>
        <v>906558.08880000003</v>
      </c>
      <c r="BY482" s="192" t="s">
        <v>140</v>
      </c>
      <c r="BZ482" s="190" t="s">
        <v>316</v>
      </c>
      <c r="CA482" s="190"/>
      <c r="CB482" s="247"/>
      <c r="CC482" s="247"/>
      <c r="CD482" s="247"/>
      <c r="CE482" s="17"/>
      <c r="CF482" s="17"/>
      <c r="CG482" s="17"/>
      <c r="CH482" s="247"/>
      <c r="CI482" s="247"/>
      <c r="CJ482" s="247"/>
      <c r="CK482" s="17"/>
      <c r="CL482" s="17"/>
      <c r="CM482" s="17"/>
      <c r="CN482" s="17"/>
      <c r="CO482" s="17"/>
      <c r="CP482" s="11"/>
      <c r="CQ482" s="11"/>
      <c r="CR482" s="11"/>
      <c r="CS482" s="11"/>
      <c r="CT482" s="247"/>
      <c r="CU482" s="247"/>
      <c r="CV482" s="247"/>
      <c r="CW482" s="11"/>
      <c r="CX482" s="11"/>
      <c r="CY482" s="11"/>
      <c r="CZ482" s="11"/>
      <c r="DA482" s="11"/>
      <c r="DB482" s="11"/>
      <c r="DC482" s="11"/>
      <c r="DD482" s="11"/>
      <c r="DE482" s="11"/>
      <c r="DF482" s="11"/>
      <c r="DG482" s="11"/>
      <c r="DH482" s="11"/>
      <c r="DI482" s="11"/>
      <c r="DJ482" s="11"/>
      <c r="DK482" s="11"/>
      <c r="DL482" s="247"/>
      <c r="DM482" s="247"/>
      <c r="DN482" s="247"/>
      <c r="DO482" s="247"/>
      <c r="DP482" s="247"/>
      <c r="DQ482" s="247"/>
      <c r="DR482" s="247"/>
      <c r="DS482" s="247"/>
      <c r="DT482" s="247"/>
      <c r="DU482" s="247"/>
      <c r="DV482" s="247"/>
      <c r="DW482" s="247"/>
      <c r="DX482" s="247"/>
      <c r="DY482" s="247"/>
      <c r="DZ482" s="247"/>
      <c r="EA482" s="247"/>
      <c r="EB482" s="247"/>
      <c r="EC482" s="247"/>
      <c r="ED482" s="17">
        <f t="shared" si="171"/>
        <v>3714958.0888</v>
      </c>
      <c r="EE482" s="29">
        <f t="shared" si="172"/>
        <v>4</v>
      </c>
      <c r="EF482" s="17">
        <f t="shared" si="173"/>
        <v>928739.52220000001</v>
      </c>
    </row>
    <row r="483" spans="1:136" ht="127.5" x14ac:dyDescent="0.25">
      <c r="A483" s="25">
        <f>Distribución_Elementos!A483</f>
        <v>481</v>
      </c>
      <c r="B483" s="22" t="str">
        <f>Distribución_Elementos!B483</f>
        <v>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
Con certificado de calibración emitido por un laboratorio certificado por el ONAC.</v>
      </c>
      <c r="C483" s="22" t="str">
        <f>Distribución_Elementos!C483</f>
        <v>Cualquier marca</v>
      </c>
      <c r="D483" s="22" t="str">
        <f>Distribución_Elementos!D483</f>
        <v xml:space="preserve">Unidad </v>
      </c>
      <c r="E483" s="224">
        <v>1</v>
      </c>
      <c r="F483" s="221">
        <v>0</v>
      </c>
      <c r="G483" s="221">
        <v>0</v>
      </c>
      <c r="H483" s="221">
        <v>0</v>
      </c>
      <c r="I483" s="221">
        <v>0</v>
      </c>
      <c r="J483" s="221">
        <v>0</v>
      </c>
      <c r="K483" s="221">
        <v>0</v>
      </c>
      <c r="L483" s="247"/>
      <c r="M483" s="247"/>
      <c r="N483" s="227"/>
      <c r="O483" s="119"/>
      <c r="P483" s="119"/>
      <c r="Q483" s="115"/>
      <c r="R483" s="115"/>
      <c r="S483" s="11"/>
      <c r="T483" s="247"/>
      <c r="U483" s="102"/>
      <c r="V483" s="102"/>
      <c r="W483" s="115"/>
      <c r="X483" s="11"/>
      <c r="Y483" s="11"/>
      <c r="Z483" s="247"/>
      <c r="AA483" s="247"/>
      <c r="AB483" s="247"/>
      <c r="AC483" s="44"/>
      <c r="AD483" s="22"/>
      <c r="AE483" s="17"/>
      <c r="AF483" s="247"/>
      <c r="AG483" s="247"/>
      <c r="AH483" s="151"/>
      <c r="AI483" s="4"/>
      <c r="AJ483" s="17"/>
      <c r="AK483" s="17"/>
      <c r="AL483" s="102"/>
      <c r="AM483" s="132"/>
      <c r="AN483" s="161"/>
      <c r="AO483" s="115"/>
      <c r="AP483" s="115"/>
      <c r="AQ483" s="17"/>
      <c r="AR483" s="247"/>
      <c r="AS483" s="247"/>
      <c r="AT483" s="247"/>
      <c r="AU483" s="17"/>
      <c r="AV483" s="17"/>
      <c r="AW483" s="17"/>
      <c r="AX483" s="247"/>
      <c r="AY483" s="247"/>
      <c r="AZ483" s="247"/>
      <c r="BA483" s="17"/>
      <c r="BB483" s="52"/>
      <c r="BC483" s="17"/>
      <c r="BD483" s="247"/>
      <c r="BE483" s="247"/>
      <c r="BF483" s="247"/>
      <c r="BG483" s="17"/>
      <c r="BH483" s="17"/>
      <c r="BI483" s="17"/>
      <c r="BJ483" s="247">
        <v>677500</v>
      </c>
      <c r="BK483" s="247">
        <f t="shared" si="168"/>
        <v>128725</v>
      </c>
      <c r="BL483" s="247">
        <f t="shared" si="169"/>
        <v>806225</v>
      </c>
      <c r="BM483" s="192" t="s">
        <v>140</v>
      </c>
      <c r="BN483" s="190" t="s">
        <v>316</v>
      </c>
      <c r="BO483" s="17"/>
      <c r="BP483" s="247">
        <v>586000</v>
      </c>
      <c r="BQ483" s="247">
        <f t="shared" si="170"/>
        <v>111340</v>
      </c>
      <c r="BR483" s="247">
        <f t="shared" si="174"/>
        <v>697340</v>
      </c>
      <c r="BS483" s="17"/>
      <c r="BT483" s="17"/>
      <c r="BU483" s="17"/>
      <c r="BV483" s="195">
        <v>740252.76</v>
      </c>
      <c r="BW483" s="195">
        <f>+BV483*0.19</f>
        <v>140648.02439999999</v>
      </c>
      <c r="BX483" s="246">
        <f t="shared" si="175"/>
        <v>880900.7844</v>
      </c>
      <c r="BY483" s="192" t="s">
        <v>140</v>
      </c>
      <c r="BZ483" s="190" t="s">
        <v>316</v>
      </c>
      <c r="CA483" s="190"/>
      <c r="CB483" s="247"/>
      <c r="CC483" s="247"/>
      <c r="CD483" s="247"/>
      <c r="CE483" s="17"/>
      <c r="CF483" s="17"/>
      <c r="CG483" s="17"/>
      <c r="CH483" s="247"/>
      <c r="CI483" s="247"/>
      <c r="CJ483" s="247"/>
      <c r="CK483" s="17"/>
      <c r="CL483" s="17"/>
      <c r="CM483" s="17"/>
      <c r="CN483" s="17"/>
      <c r="CO483" s="17"/>
      <c r="CP483" s="11"/>
      <c r="CQ483" s="11"/>
      <c r="CR483" s="11"/>
      <c r="CS483" s="11"/>
      <c r="CT483" s="247"/>
      <c r="CU483" s="247"/>
      <c r="CV483" s="247"/>
      <c r="CW483" s="11"/>
      <c r="CX483" s="11"/>
      <c r="CY483" s="11"/>
      <c r="CZ483" s="11"/>
      <c r="DA483" s="11"/>
      <c r="DB483" s="11"/>
      <c r="DC483" s="11"/>
      <c r="DD483" s="11"/>
      <c r="DE483" s="11"/>
      <c r="DF483" s="11"/>
      <c r="DG483" s="11"/>
      <c r="DH483" s="11"/>
      <c r="DI483" s="11"/>
      <c r="DJ483" s="11"/>
      <c r="DK483" s="11"/>
      <c r="DL483" s="247"/>
      <c r="DM483" s="247"/>
      <c r="DN483" s="247"/>
      <c r="DO483" s="247"/>
      <c r="DP483" s="247"/>
      <c r="DQ483" s="247"/>
      <c r="DR483" s="247"/>
      <c r="DS483" s="247"/>
      <c r="DT483" s="247"/>
      <c r="DU483" s="247"/>
      <c r="DV483" s="247"/>
      <c r="DW483" s="247"/>
      <c r="DX483" s="247"/>
      <c r="DY483" s="247"/>
      <c r="DZ483" s="247"/>
      <c r="EA483" s="247"/>
      <c r="EB483" s="247"/>
      <c r="EC483" s="247"/>
      <c r="ED483" s="17">
        <f t="shared" si="171"/>
        <v>2384465.7844000002</v>
      </c>
      <c r="EE483" s="29">
        <f t="shared" si="172"/>
        <v>3</v>
      </c>
      <c r="EF483" s="17">
        <f t="shared" si="173"/>
        <v>794821.92813333345</v>
      </c>
    </row>
    <row r="484" spans="1:136" ht="63.75" x14ac:dyDescent="0.25">
      <c r="A484" s="25">
        <f>Distribución_Elementos!A484</f>
        <v>482</v>
      </c>
      <c r="B484" s="22" t="str">
        <f>Distribución_Elementos!B484</f>
        <v>Termohigrómetro  para máximas y mínimas con rango de temperatura entre 0 y 50 grados centígrados y humedad relativa menor a 95% con sonda
Con certificado de calibración emitido por un laboratorio certificado por el ONAC.</v>
      </c>
      <c r="C484" s="22" t="str">
        <f>Distribución_Elementos!C484</f>
        <v>Cualquier marca</v>
      </c>
      <c r="D484" s="22" t="str">
        <f>Distribución_Elementos!D484</f>
        <v>Unidad</v>
      </c>
      <c r="E484" s="224">
        <v>1</v>
      </c>
      <c r="F484" s="221">
        <v>0</v>
      </c>
      <c r="G484" s="221">
        <v>0</v>
      </c>
      <c r="H484" s="221">
        <v>0</v>
      </c>
      <c r="I484" s="221">
        <v>0</v>
      </c>
      <c r="J484" s="221">
        <v>0</v>
      </c>
      <c r="K484" s="221">
        <v>0</v>
      </c>
      <c r="L484" s="247"/>
      <c r="M484" s="247"/>
      <c r="N484" s="227"/>
      <c r="O484" s="119"/>
      <c r="P484" s="119"/>
      <c r="Q484" s="115"/>
      <c r="R484" s="115"/>
      <c r="S484" s="11"/>
      <c r="T484" s="247"/>
      <c r="U484" s="247"/>
      <c r="V484" s="247"/>
      <c r="W484" s="17"/>
      <c r="X484" s="11"/>
      <c r="Y484" s="11"/>
      <c r="Z484" s="247"/>
      <c r="AA484" s="247"/>
      <c r="AB484" s="247"/>
      <c r="AC484" s="44"/>
      <c r="AD484" s="22"/>
      <c r="AE484" s="17"/>
      <c r="AF484" s="247"/>
      <c r="AG484" s="247"/>
      <c r="AH484" s="151"/>
      <c r="AI484" s="4"/>
      <c r="AJ484" s="17"/>
      <c r="AK484" s="17"/>
      <c r="AL484" s="102"/>
      <c r="AM484" s="132"/>
      <c r="AN484" s="161"/>
      <c r="AO484" s="115"/>
      <c r="AP484" s="115"/>
      <c r="AQ484" s="17"/>
      <c r="AR484" s="247"/>
      <c r="AS484" s="247"/>
      <c r="AT484" s="247"/>
      <c r="AU484" s="17"/>
      <c r="AV484" s="17"/>
      <c r="AW484" s="17"/>
      <c r="AX484" s="247"/>
      <c r="AY484" s="247"/>
      <c r="AZ484" s="247"/>
      <c r="BA484" s="17"/>
      <c r="BB484" s="52"/>
      <c r="BC484" s="17"/>
      <c r="BD484" s="247"/>
      <c r="BE484" s="247"/>
      <c r="BF484" s="247"/>
      <c r="BG484" s="17"/>
      <c r="BH484" s="17"/>
      <c r="BI484" s="17"/>
      <c r="BJ484" s="247">
        <v>1698900</v>
      </c>
      <c r="BK484" s="247">
        <f t="shared" si="168"/>
        <v>322791</v>
      </c>
      <c r="BL484" s="247">
        <f t="shared" si="169"/>
        <v>2021691</v>
      </c>
      <c r="BM484" s="192" t="s">
        <v>140</v>
      </c>
      <c r="BN484" s="190" t="s">
        <v>316</v>
      </c>
      <c r="BO484" s="17"/>
      <c r="BP484" s="247"/>
      <c r="BQ484" s="247"/>
      <c r="BR484" s="247"/>
      <c r="BS484" s="17"/>
      <c r="BT484" s="17"/>
      <c r="BU484" s="17"/>
      <c r="BV484" s="195">
        <v>1928346.6384000003</v>
      </c>
      <c r="BW484" s="195">
        <f>+BV484*0.19</f>
        <v>366385.86129600008</v>
      </c>
      <c r="BX484" s="246">
        <f t="shared" si="175"/>
        <v>2294732.4996960005</v>
      </c>
      <c r="BY484" s="192" t="s">
        <v>140</v>
      </c>
      <c r="BZ484" s="190" t="s">
        <v>316</v>
      </c>
      <c r="CA484" s="190"/>
      <c r="CB484" s="247"/>
      <c r="CC484" s="247"/>
      <c r="CD484" s="247"/>
      <c r="CE484" s="17"/>
      <c r="CF484" s="17"/>
      <c r="CG484" s="17"/>
      <c r="CH484" s="247"/>
      <c r="CI484" s="247"/>
      <c r="CJ484" s="247"/>
      <c r="CK484" s="17"/>
      <c r="CL484" s="17"/>
      <c r="CM484" s="17"/>
      <c r="CN484" s="17"/>
      <c r="CO484" s="17"/>
      <c r="CP484" s="11"/>
      <c r="CQ484" s="11"/>
      <c r="CR484" s="11"/>
      <c r="CS484" s="11"/>
      <c r="CT484" s="247"/>
      <c r="CU484" s="247"/>
      <c r="CV484" s="247"/>
      <c r="CW484" s="11"/>
      <c r="CX484" s="11"/>
      <c r="CY484" s="11"/>
      <c r="CZ484" s="11"/>
      <c r="DA484" s="11"/>
      <c r="DB484" s="11"/>
      <c r="DC484" s="11"/>
      <c r="DD484" s="11"/>
      <c r="DE484" s="11"/>
      <c r="DF484" s="11"/>
      <c r="DG484" s="11"/>
      <c r="DH484" s="11"/>
      <c r="DI484" s="11"/>
      <c r="DJ484" s="11"/>
      <c r="DK484" s="11"/>
      <c r="DL484" s="247"/>
      <c r="DM484" s="247"/>
      <c r="DN484" s="247"/>
      <c r="DO484" s="247"/>
      <c r="DP484" s="247"/>
      <c r="DQ484" s="247"/>
      <c r="DR484" s="247"/>
      <c r="DS484" s="247"/>
      <c r="DT484" s="247"/>
      <c r="DU484" s="247"/>
      <c r="DV484" s="247"/>
      <c r="DW484" s="247"/>
      <c r="DX484" s="247"/>
      <c r="DY484" s="247"/>
      <c r="DZ484" s="247"/>
      <c r="EA484" s="247"/>
      <c r="EB484" s="247"/>
      <c r="EC484" s="247"/>
      <c r="ED484" s="17">
        <f t="shared" si="171"/>
        <v>4316423.4996960005</v>
      </c>
      <c r="EE484" s="29">
        <f t="shared" si="172"/>
        <v>2</v>
      </c>
      <c r="EF484" s="17">
        <f t="shared" si="173"/>
        <v>2158211.7498480002</v>
      </c>
    </row>
    <row r="485" spans="1:136" ht="51" x14ac:dyDescent="0.25">
      <c r="A485" s="25">
        <f>Distribución_Elementos!A485</f>
        <v>483</v>
      </c>
      <c r="B485" s="22" t="str">
        <f>Distribución_Elementos!B485</f>
        <v>Termómetro de 0 a 50°C con resolución de 0.1°C con certificado 
Con certificado de calibración emitido por un laboratorio certificado por el ONAC.</v>
      </c>
      <c r="C485" s="22" t="str">
        <f>Distribución_Elementos!C485</f>
        <v>Cualquier marca</v>
      </c>
      <c r="D485" s="22" t="str">
        <f>Distribución_Elementos!D485</f>
        <v>Unidad</v>
      </c>
      <c r="E485" s="224">
        <v>1</v>
      </c>
      <c r="F485" s="221">
        <v>0</v>
      </c>
      <c r="G485" s="221">
        <v>0</v>
      </c>
      <c r="H485" s="221">
        <v>0</v>
      </c>
      <c r="I485" s="221">
        <v>0</v>
      </c>
      <c r="J485" s="221">
        <v>1130500</v>
      </c>
      <c r="K485" s="221">
        <v>1130500</v>
      </c>
      <c r="L485" s="247">
        <f>J485</f>
        <v>1130500</v>
      </c>
      <c r="M485" s="247">
        <f>K485*E1</f>
        <v>1164415</v>
      </c>
      <c r="N485" s="228"/>
      <c r="O485" s="119"/>
      <c r="P485" s="119"/>
      <c r="Q485" s="115"/>
      <c r="R485" s="115"/>
      <c r="S485" s="11"/>
      <c r="T485" s="247"/>
      <c r="U485" s="247"/>
      <c r="V485" s="247"/>
      <c r="W485" s="17"/>
      <c r="X485" s="11"/>
      <c r="Y485" s="11"/>
      <c r="Z485" s="247"/>
      <c r="AA485" s="247"/>
      <c r="AB485" s="247"/>
      <c r="AC485" s="44"/>
      <c r="AD485" s="23"/>
      <c r="AE485" s="17"/>
      <c r="AF485" s="247"/>
      <c r="AG485" s="247"/>
      <c r="AH485" s="151"/>
      <c r="AI485" s="24"/>
      <c r="AJ485" s="17"/>
      <c r="AK485" s="17"/>
      <c r="AL485" s="102"/>
      <c r="AM485" s="132"/>
      <c r="AN485" s="161"/>
      <c r="AO485" s="115"/>
      <c r="AP485" s="115"/>
      <c r="AQ485" s="17"/>
      <c r="AR485" s="247"/>
      <c r="AS485" s="247"/>
      <c r="AT485" s="247"/>
      <c r="AU485" s="17"/>
      <c r="AV485" s="17"/>
      <c r="AW485" s="17"/>
      <c r="AX485" s="247"/>
      <c r="AY485" s="247"/>
      <c r="AZ485" s="247"/>
      <c r="BA485" s="17"/>
      <c r="BB485" s="52"/>
      <c r="BC485" s="17"/>
      <c r="BD485" s="247"/>
      <c r="BE485" s="247"/>
      <c r="BF485" s="247"/>
      <c r="BG485" s="17"/>
      <c r="BH485" s="17"/>
      <c r="BI485" s="17"/>
      <c r="BJ485" s="247">
        <v>668500</v>
      </c>
      <c r="BK485" s="247">
        <f>+BJ485*0</f>
        <v>0</v>
      </c>
      <c r="BL485" s="247">
        <f t="shared" si="169"/>
        <v>668500</v>
      </c>
      <c r="BM485" s="192" t="s">
        <v>140</v>
      </c>
      <c r="BN485" s="190" t="s">
        <v>316</v>
      </c>
      <c r="BO485" s="17"/>
      <c r="BP485" s="247">
        <v>569000</v>
      </c>
      <c r="BQ485" s="247">
        <f t="shared" si="170"/>
        <v>108110</v>
      </c>
      <c r="BR485" s="247">
        <f t="shared" si="174"/>
        <v>677110</v>
      </c>
      <c r="BS485" s="17"/>
      <c r="BT485" s="17"/>
      <c r="BU485" s="17"/>
      <c r="BV485" s="189">
        <v>723123.13500000001</v>
      </c>
      <c r="BW485" s="198">
        <f>+BV485*0</f>
        <v>0</v>
      </c>
      <c r="BX485" s="246">
        <f t="shared" si="175"/>
        <v>723123.13500000001</v>
      </c>
      <c r="BY485" s="192" t="s">
        <v>140</v>
      </c>
      <c r="BZ485" s="190" t="s">
        <v>316</v>
      </c>
      <c r="CA485" s="190"/>
      <c r="CB485" s="247"/>
      <c r="CC485" s="247"/>
      <c r="CD485" s="247"/>
      <c r="CE485" s="17"/>
      <c r="CF485" s="17"/>
      <c r="CG485" s="17"/>
      <c r="CH485" s="252"/>
      <c r="CI485" s="252"/>
      <c r="CJ485" s="252"/>
      <c r="CK485" s="17"/>
      <c r="CL485" s="17"/>
      <c r="CM485" s="17"/>
      <c r="CN485" s="17"/>
      <c r="CO485" s="17"/>
      <c r="CP485" s="11"/>
      <c r="CQ485" s="11"/>
      <c r="CR485" s="11"/>
      <c r="CS485" s="11"/>
      <c r="CT485" s="247"/>
      <c r="CU485" s="247"/>
      <c r="CV485" s="247"/>
      <c r="CW485" s="11"/>
      <c r="CX485" s="11"/>
      <c r="CY485" s="11"/>
      <c r="CZ485" s="11"/>
      <c r="DA485" s="11"/>
      <c r="DB485" s="11"/>
      <c r="DC485" s="11"/>
      <c r="DD485" s="11"/>
      <c r="DE485" s="11"/>
      <c r="DF485" s="11"/>
      <c r="DG485" s="11"/>
      <c r="DH485" s="11"/>
      <c r="DI485" s="11"/>
      <c r="DJ485" s="11"/>
      <c r="DK485" s="11"/>
      <c r="DL485" s="247"/>
      <c r="DM485" s="247"/>
      <c r="DN485" s="247"/>
      <c r="DO485" s="247"/>
      <c r="DP485" s="247"/>
      <c r="DQ485" s="247"/>
      <c r="DR485" s="247"/>
      <c r="DS485" s="247"/>
      <c r="DT485" s="247"/>
      <c r="DU485" s="247"/>
      <c r="DV485" s="247"/>
      <c r="DW485" s="247"/>
      <c r="DX485" s="247"/>
      <c r="DY485" s="247"/>
      <c r="DZ485" s="247"/>
      <c r="EA485" s="247"/>
      <c r="EB485" s="247"/>
      <c r="EC485" s="247"/>
      <c r="ED485" s="17">
        <f t="shared" si="171"/>
        <v>3233148.1349999998</v>
      </c>
      <c r="EE485" s="29">
        <f t="shared" si="172"/>
        <v>4</v>
      </c>
      <c r="EF485" s="17">
        <f t="shared" si="173"/>
        <v>808287.03374999994</v>
      </c>
    </row>
    <row r="486" spans="1:136" ht="114.75" x14ac:dyDescent="0.25">
      <c r="A486" s="25">
        <f>Distribución_Elementos!A486</f>
        <v>484</v>
      </c>
      <c r="B486" s="22" t="str">
        <f>Distribución_Elementos!B486</f>
        <v>Termómetro digital con 4 sondas termopar de 2m de longitud, con capacidad de grabar y almacenar hasta 16000 datos, Pantalla LCD con iluminacion de fondo, que indique los datos de las 4 sondas simultaneamente. Division de escala mínimo de 0,1 °C. Rango de medicion de -100°C a 300°C.  Alimentación con adapatador de Voltaje y baterias. Con certificado de calibracion de ente acreditado nacional o internacional. Calibrado en los siguientes puntos calibrados:  -80°C,-20°C, 0°C, 5°C, 20°C.</v>
      </c>
      <c r="C486" s="22" t="str">
        <f>Distribución_Elementos!C486</f>
        <v>Cualquier marca</v>
      </c>
      <c r="D486" s="22" t="str">
        <f>Distribución_Elementos!D486</f>
        <v xml:space="preserve">Unidad </v>
      </c>
      <c r="E486" s="224">
        <v>1</v>
      </c>
      <c r="F486" s="221">
        <v>0</v>
      </c>
      <c r="G486" s="221">
        <v>0</v>
      </c>
      <c r="H486" s="221">
        <v>0</v>
      </c>
      <c r="I486" s="221">
        <v>0</v>
      </c>
      <c r="J486" s="221">
        <v>0</v>
      </c>
      <c r="K486" s="221">
        <v>0</v>
      </c>
      <c r="L486" s="247"/>
      <c r="M486" s="247"/>
      <c r="N486" s="228"/>
      <c r="O486" s="119"/>
      <c r="P486" s="119"/>
      <c r="Q486" s="115"/>
      <c r="R486" s="115"/>
      <c r="S486" s="11"/>
      <c r="T486" s="247"/>
      <c r="U486" s="247"/>
      <c r="V486" s="247"/>
      <c r="W486" s="17"/>
      <c r="X486" s="11"/>
      <c r="Y486" s="11"/>
      <c r="Z486" s="247"/>
      <c r="AA486" s="247"/>
      <c r="AB486" s="247"/>
      <c r="AC486" s="44"/>
      <c r="AD486" s="22"/>
      <c r="AE486" s="17"/>
      <c r="AF486" s="247"/>
      <c r="AG486" s="247"/>
      <c r="AH486" s="151"/>
      <c r="AI486" s="4"/>
      <c r="AJ486" s="17"/>
      <c r="AK486" s="17"/>
      <c r="AL486" s="102"/>
      <c r="AM486" s="132"/>
      <c r="AN486" s="161"/>
      <c r="AO486" s="115"/>
      <c r="AP486" s="115"/>
      <c r="AQ486" s="17"/>
      <c r="AR486" s="247"/>
      <c r="AS486" s="247"/>
      <c r="AT486" s="247"/>
      <c r="AU486" s="17"/>
      <c r="AV486" s="17"/>
      <c r="AW486" s="17"/>
      <c r="AX486" s="247"/>
      <c r="AY486" s="247"/>
      <c r="AZ486" s="247"/>
      <c r="BA486" s="17"/>
      <c r="BB486" s="52"/>
      <c r="BC486" s="17"/>
      <c r="BD486" s="247"/>
      <c r="BE486" s="247"/>
      <c r="BF486" s="247"/>
      <c r="BG486" s="17"/>
      <c r="BH486" s="17"/>
      <c r="BI486" s="17"/>
      <c r="BJ486" s="247">
        <v>7507800</v>
      </c>
      <c r="BK486" s="247">
        <f>+BJ486*0</f>
        <v>0</v>
      </c>
      <c r="BL486" s="247">
        <f t="shared" si="169"/>
        <v>7507800</v>
      </c>
      <c r="BM486" s="192" t="s">
        <v>140</v>
      </c>
      <c r="BN486" s="190" t="s">
        <v>1763</v>
      </c>
      <c r="BO486" s="17"/>
      <c r="BP486" s="247"/>
      <c r="BQ486" s="247"/>
      <c r="BR486" s="247"/>
      <c r="BS486" s="17"/>
      <c r="BT486" s="17"/>
      <c r="BU486" s="17"/>
      <c r="BV486" s="189">
        <v>8439743.2139999997</v>
      </c>
      <c r="BW486" s="198">
        <f>+BV486*0</f>
        <v>0</v>
      </c>
      <c r="BX486" s="246">
        <f t="shared" si="175"/>
        <v>8439743.2139999997</v>
      </c>
      <c r="BY486" s="192" t="s">
        <v>140</v>
      </c>
      <c r="BZ486" s="190" t="s">
        <v>1763</v>
      </c>
      <c r="CA486" s="190"/>
      <c r="CB486" s="247"/>
      <c r="CC486" s="247"/>
      <c r="CD486" s="247"/>
      <c r="CE486" s="17"/>
      <c r="CF486" s="17"/>
      <c r="CG486" s="17"/>
      <c r="CH486" s="252"/>
      <c r="CI486" s="252"/>
      <c r="CJ486" s="252"/>
      <c r="CK486" s="17"/>
      <c r="CL486" s="17"/>
      <c r="CM486" s="17"/>
      <c r="CN486" s="17"/>
      <c r="CO486" s="17"/>
      <c r="CP486" s="11"/>
      <c r="CQ486" s="11"/>
      <c r="CR486" s="11"/>
      <c r="CS486" s="11"/>
      <c r="CT486" s="247"/>
      <c r="CU486" s="247"/>
      <c r="CV486" s="247"/>
      <c r="CW486" s="11"/>
      <c r="CX486" s="11"/>
      <c r="CY486" s="11"/>
      <c r="CZ486" s="11"/>
      <c r="DA486" s="11"/>
      <c r="DB486" s="11"/>
      <c r="DC486" s="11"/>
      <c r="DD486" s="11"/>
      <c r="DE486" s="11"/>
      <c r="DF486" s="11"/>
      <c r="DG486" s="11"/>
      <c r="DH486" s="11"/>
      <c r="DI486" s="11"/>
      <c r="DJ486" s="11"/>
      <c r="DK486" s="11"/>
      <c r="DL486" s="247"/>
      <c r="DM486" s="247"/>
      <c r="DN486" s="247"/>
      <c r="DO486" s="247"/>
      <c r="DP486" s="247"/>
      <c r="DQ486" s="247"/>
      <c r="DR486" s="247"/>
      <c r="DS486" s="247"/>
      <c r="DT486" s="247"/>
      <c r="DU486" s="247"/>
      <c r="DV486" s="247"/>
      <c r="DW486" s="247"/>
      <c r="DX486" s="247"/>
      <c r="DY486" s="247"/>
      <c r="DZ486" s="247"/>
      <c r="EA486" s="247"/>
      <c r="EB486" s="247"/>
      <c r="EC486" s="247"/>
      <c r="ED486" s="17">
        <f t="shared" si="171"/>
        <v>15947543.214</v>
      </c>
      <c r="EE486" s="29">
        <f t="shared" si="172"/>
        <v>2</v>
      </c>
      <c r="EF486" s="17">
        <f t="shared" si="173"/>
        <v>7973771.6069999998</v>
      </c>
    </row>
    <row r="487" spans="1:136" ht="25.5" x14ac:dyDescent="0.25">
      <c r="A487" s="25">
        <f>Distribución_Elementos!A487</f>
        <v>485</v>
      </c>
      <c r="B487" s="22" t="str">
        <f>Distribución_Elementos!B487</f>
        <v>Termometro Digital para toma de temperatura en grandes animales</v>
      </c>
      <c r="C487" s="22" t="str">
        <f>Distribución_Elementos!C487</f>
        <v>Cualquier marca</v>
      </c>
      <c r="D487" s="22" t="str">
        <f>Distribución_Elementos!D487</f>
        <v>Unidad</v>
      </c>
      <c r="E487" s="224">
        <v>1</v>
      </c>
      <c r="F487" s="221">
        <v>0</v>
      </c>
      <c r="G487" s="221">
        <v>0</v>
      </c>
      <c r="H487" s="221">
        <v>23800</v>
      </c>
      <c r="I487" s="221">
        <v>0</v>
      </c>
      <c r="J487" s="221">
        <v>2497860.773333333</v>
      </c>
      <c r="K487" s="221">
        <v>2380000</v>
      </c>
      <c r="L487" s="247">
        <f>AVERAGE(H487,J487)</f>
        <v>1260830.3866666665</v>
      </c>
      <c r="M487" s="247">
        <f>K487*E1</f>
        <v>2451400</v>
      </c>
      <c r="N487" s="227"/>
      <c r="O487" s="119"/>
      <c r="P487" s="119"/>
      <c r="Q487" s="115"/>
      <c r="R487" s="115"/>
      <c r="S487" s="11"/>
      <c r="T487" s="247"/>
      <c r="U487" s="247"/>
      <c r="V487" s="247"/>
      <c r="W487" s="17"/>
      <c r="X487" s="11"/>
      <c r="Y487" s="11"/>
      <c r="Z487" s="247"/>
      <c r="AA487" s="247"/>
      <c r="AB487" s="247"/>
      <c r="AC487" s="44"/>
      <c r="AD487" s="23"/>
      <c r="AE487" s="17"/>
      <c r="AF487" s="247"/>
      <c r="AG487" s="247"/>
      <c r="AH487" s="151"/>
      <c r="AI487" s="24"/>
      <c r="AJ487" s="17"/>
      <c r="AK487" s="17"/>
      <c r="AL487" s="102"/>
      <c r="AM487" s="132"/>
      <c r="AN487" s="161"/>
      <c r="AO487" s="115"/>
      <c r="AP487" s="115"/>
      <c r="AQ487" s="17"/>
      <c r="AR487" s="247"/>
      <c r="AS487" s="247"/>
      <c r="AT487" s="247"/>
      <c r="AU487" s="17"/>
      <c r="AV487" s="17"/>
      <c r="AW487" s="17"/>
      <c r="AX487" s="247"/>
      <c r="AY487" s="247"/>
      <c r="AZ487" s="247"/>
      <c r="BA487" s="17"/>
      <c r="BB487" s="52"/>
      <c r="BC487" s="17"/>
      <c r="BD487" s="247"/>
      <c r="BE487" s="247"/>
      <c r="BF487" s="247"/>
      <c r="BG487" s="17"/>
      <c r="BH487" s="17"/>
      <c r="BI487" s="17"/>
      <c r="BJ487" s="247">
        <v>958000</v>
      </c>
      <c r="BK487" s="247">
        <f t="shared" si="168"/>
        <v>182020</v>
      </c>
      <c r="BL487" s="247">
        <f t="shared" si="169"/>
        <v>1140020</v>
      </c>
      <c r="BM487" s="192" t="s">
        <v>140</v>
      </c>
      <c r="BN487" s="190" t="s">
        <v>153</v>
      </c>
      <c r="BO487" s="17"/>
      <c r="BP487" s="247"/>
      <c r="BQ487" s="247"/>
      <c r="BR487" s="247"/>
      <c r="BS487" s="17"/>
      <c r="BT487" s="17"/>
      <c r="BU487" s="17"/>
      <c r="BV487" s="195">
        <v>1087383.6480000003</v>
      </c>
      <c r="BW487" s="195">
        <f>+BV487*0.19</f>
        <v>206602.89312000005</v>
      </c>
      <c r="BX487" s="246">
        <f t="shared" si="175"/>
        <v>1293986.5411200004</v>
      </c>
      <c r="BY487" s="192" t="s">
        <v>140</v>
      </c>
      <c r="BZ487" s="190" t="s">
        <v>153</v>
      </c>
      <c r="CA487" s="190"/>
      <c r="CB487" s="247"/>
      <c r="CC487" s="247"/>
      <c r="CD487" s="247"/>
      <c r="CE487" s="17"/>
      <c r="CF487" s="17"/>
      <c r="CG487" s="17"/>
      <c r="CH487" s="247"/>
      <c r="CI487" s="247"/>
      <c r="CJ487" s="247"/>
      <c r="CK487" s="17"/>
      <c r="CL487" s="17"/>
      <c r="CM487" s="17"/>
      <c r="CN487" s="17"/>
      <c r="CO487" s="17"/>
      <c r="CP487" s="11"/>
      <c r="CQ487" s="11"/>
      <c r="CR487" s="11"/>
      <c r="CS487" s="11"/>
      <c r="CT487" s="247"/>
      <c r="CU487" s="247"/>
      <c r="CV487" s="247"/>
      <c r="CW487" s="11"/>
      <c r="CX487" s="11"/>
      <c r="CY487" s="11"/>
      <c r="CZ487" s="11"/>
      <c r="DA487" s="11"/>
      <c r="DB487" s="11"/>
      <c r="DC487" s="11"/>
      <c r="DD487" s="11"/>
      <c r="DE487" s="11"/>
      <c r="DF487" s="11"/>
      <c r="DG487" s="11"/>
      <c r="DH487" s="11"/>
      <c r="DI487" s="11"/>
      <c r="DJ487" s="11"/>
      <c r="DK487" s="11"/>
      <c r="DL487" s="247"/>
      <c r="DM487" s="247"/>
      <c r="DN487" s="247"/>
      <c r="DO487" s="247"/>
      <c r="DP487" s="247"/>
      <c r="DQ487" s="247"/>
      <c r="DR487" s="247"/>
      <c r="DS487" s="247"/>
      <c r="DT487" s="247"/>
      <c r="DU487" s="247"/>
      <c r="DV487" s="247"/>
      <c r="DW487" s="247"/>
      <c r="DX487" s="247"/>
      <c r="DY487" s="247"/>
      <c r="DZ487" s="247"/>
      <c r="EA487" s="247"/>
      <c r="EB487" s="247"/>
      <c r="EC487" s="247"/>
      <c r="ED487" s="17">
        <f t="shared" si="171"/>
        <v>4885406.5411200002</v>
      </c>
      <c r="EE487" s="29">
        <f t="shared" si="172"/>
        <v>3</v>
      </c>
      <c r="EF487" s="17">
        <f t="shared" si="173"/>
        <v>1628468.8470400001</v>
      </c>
    </row>
    <row r="488" spans="1:136" x14ac:dyDescent="0.25">
      <c r="A488" s="25">
        <f>Distribución_Elementos!A488</f>
        <v>486</v>
      </c>
      <c r="B488" s="22" t="str">
        <f>Distribución_Elementos!B488</f>
        <v>Tijera de 13 - 15  cm en acero inoxidable rectas</v>
      </c>
      <c r="C488" s="22" t="str">
        <f>Distribución_Elementos!C488</f>
        <v>Cualquier marca</v>
      </c>
      <c r="D488" s="22" t="str">
        <f>Distribución_Elementos!D488</f>
        <v>Unidad</v>
      </c>
      <c r="E488" s="224">
        <v>1</v>
      </c>
      <c r="F488" s="221">
        <v>9520</v>
      </c>
      <c r="G488" s="221">
        <v>0</v>
      </c>
      <c r="H488" s="221">
        <v>0</v>
      </c>
      <c r="I488" s="221">
        <v>0</v>
      </c>
      <c r="J488" s="221">
        <v>16957.5</v>
      </c>
      <c r="K488" s="221">
        <v>13804</v>
      </c>
      <c r="L488" s="247">
        <f>AVERAGE(F488,J488)</f>
        <v>13238.75</v>
      </c>
      <c r="M488" s="247">
        <f>K488*E1</f>
        <v>14218.12</v>
      </c>
      <c r="N488" s="227">
        <v>9000</v>
      </c>
      <c r="O488" s="119">
        <f t="shared" ref="O488:O500" si="176">+N488*0.19</f>
        <v>1710</v>
      </c>
      <c r="P488" s="119">
        <f t="shared" ref="P488:P497" si="177">+N488+O488</f>
        <v>10710</v>
      </c>
      <c r="Q488" s="115"/>
      <c r="R488" s="115"/>
      <c r="S488" s="11"/>
      <c r="T488" s="247"/>
      <c r="U488" s="247"/>
      <c r="V488" s="247"/>
      <c r="W488" s="17"/>
      <c r="X488" s="11"/>
      <c r="Y488" s="11"/>
      <c r="Z488" s="247"/>
      <c r="AA488" s="247"/>
      <c r="AB488" s="247"/>
      <c r="AC488" s="44"/>
      <c r="AD488" s="22"/>
      <c r="AE488" s="17"/>
      <c r="AF488" s="247"/>
      <c r="AG488" s="247"/>
      <c r="AH488" s="151"/>
      <c r="AI488" s="4"/>
      <c r="AJ488" s="17"/>
      <c r="AK488" s="17"/>
      <c r="AL488" s="102"/>
      <c r="AM488" s="132"/>
      <c r="AN488" s="161"/>
      <c r="AO488" s="115"/>
      <c r="AP488" s="115"/>
      <c r="AQ488" s="17"/>
      <c r="AR488" s="247">
        <v>11800</v>
      </c>
      <c r="AS488" s="247">
        <f t="shared" ref="AS488:AS495" si="178">+AR488*0.19</f>
        <v>2242</v>
      </c>
      <c r="AT488" s="247">
        <f>+AR488+AS488</f>
        <v>14042</v>
      </c>
      <c r="AU488" s="17"/>
      <c r="AV488" s="17"/>
      <c r="AW488" s="17"/>
      <c r="AX488" s="247"/>
      <c r="AY488" s="247"/>
      <c r="AZ488" s="247"/>
      <c r="BA488" s="17"/>
      <c r="BB488" s="52"/>
      <c r="BC488" s="17"/>
      <c r="BD488" s="247"/>
      <c r="BE488" s="247"/>
      <c r="BF488" s="247"/>
      <c r="BG488" s="17"/>
      <c r="BH488" s="17"/>
      <c r="BI488" s="17"/>
      <c r="BJ488" s="247"/>
      <c r="BK488" s="247"/>
      <c r="BL488" s="247"/>
      <c r="BM488" s="190"/>
      <c r="BN488" s="190"/>
      <c r="BO488" s="17"/>
      <c r="BP488" s="247">
        <v>38500</v>
      </c>
      <c r="BQ488" s="247">
        <f t="shared" si="170"/>
        <v>7315</v>
      </c>
      <c r="BR488" s="247">
        <f t="shared" si="174"/>
        <v>45815</v>
      </c>
      <c r="BS488" s="17"/>
      <c r="BT488" s="17"/>
      <c r="BU488" s="17"/>
      <c r="BV488" s="189"/>
      <c r="BW488" s="196"/>
      <c r="BX488" s="246"/>
      <c r="BY488" s="190"/>
      <c r="BZ488" s="190"/>
      <c r="CA488" s="190"/>
      <c r="CB488" s="247"/>
      <c r="CC488" s="247"/>
      <c r="CD488" s="247"/>
      <c r="CE488" s="17"/>
      <c r="CF488" s="17"/>
      <c r="CG488" s="17"/>
      <c r="CH488" s="247"/>
      <c r="CI488" s="247"/>
      <c r="CJ488" s="247"/>
      <c r="CK488" s="17"/>
      <c r="CL488" s="17"/>
      <c r="CM488" s="17"/>
      <c r="CN488" s="17"/>
      <c r="CO488" s="17"/>
      <c r="CP488" s="11"/>
      <c r="CQ488" s="11"/>
      <c r="CR488" s="11"/>
      <c r="CS488" s="11"/>
      <c r="CT488" s="247"/>
      <c r="CU488" s="247"/>
      <c r="CV488" s="247"/>
      <c r="CW488" s="11"/>
      <c r="CX488" s="11"/>
      <c r="CY488" s="11"/>
      <c r="CZ488" s="11"/>
      <c r="DA488" s="11"/>
      <c r="DB488" s="11"/>
      <c r="DC488" s="11"/>
      <c r="DD488" s="11"/>
      <c r="DE488" s="11"/>
      <c r="DF488" s="11"/>
      <c r="DG488" s="11"/>
      <c r="DH488" s="11"/>
      <c r="DI488" s="11"/>
      <c r="DJ488" s="11"/>
      <c r="DK488" s="11"/>
      <c r="DL488" s="247"/>
      <c r="DM488" s="247"/>
      <c r="DN488" s="247"/>
      <c r="DO488" s="247"/>
      <c r="DP488" s="247"/>
      <c r="DQ488" s="247"/>
      <c r="DR488" s="247"/>
      <c r="DS488" s="247"/>
      <c r="DT488" s="247"/>
      <c r="DU488" s="247"/>
      <c r="DV488" s="247"/>
      <c r="DW488" s="247"/>
      <c r="DX488" s="247"/>
      <c r="DY488" s="247"/>
      <c r="DZ488" s="247"/>
      <c r="EA488" s="247"/>
      <c r="EB488" s="247"/>
      <c r="EC488" s="247"/>
      <c r="ED488" s="17">
        <f t="shared" si="171"/>
        <v>84785.12</v>
      </c>
      <c r="EE488" s="29">
        <f t="shared" si="172"/>
        <v>4</v>
      </c>
      <c r="EF488" s="17">
        <f t="shared" si="173"/>
        <v>21196.28</v>
      </c>
    </row>
    <row r="489" spans="1:136" x14ac:dyDescent="0.25">
      <c r="A489" s="25">
        <f>Distribución_Elementos!A489</f>
        <v>487</v>
      </c>
      <c r="B489" s="22" t="str">
        <f>Distribución_Elementos!B489</f>
        <v>Tijera de 13 - 15 cm en acero inoxidable punta curva</v>
      </c>
      <c r="C489" s="22" t="str">
        <f>Distribución_Elementos!C489</f>
        <v>Cualquier marca</v>
      </c>
      <c r="D489" s="22" t="str">
        <f>Distribución_Elementos!D489</f>
        <v>Unidad</v>
      </c>
      <c r="E489" s="224">
        <v>1</v>
      </c>
      <c r="F489" s="221">
        <v>9520</v>
      </c>
      <c r="G489" s="221">
        <v>9282</v>
      </c>
      <c r="H489" s="221">
        <v>11503.593150000001</v>
      </c>
      <c r="I489" s="221">
        <v>11424</v>
      </c>
      <c r="J489" s="221">
        <v>14553.699999999999</v>
      </c>
      <c r="K489" s="221">
        <v>13804</v>
      </c>
      <c r="L489" s="247">
        <f>AVERAGE(F489,H489,J489)</f>
        <v>11859.097716666665</v>
      </c>
      <c r="M489" s="247">
        <f>AVERAGE(G489,I489,K489)*E1</f>
        <v>11848.433333333334</v>
      </c>
      <c r="N489" s="227">
        <v>9000</v>
      </c>
      <c r="O489" s="119">
        <f t="shared" si="176"/>
        <v>1710</v>
      </c>
      <c r="P489" s="119">
        <f t="shared" si="177"/>
        <v>10710</v>
      </c>
      <c r="Q489" s="115"/>
      <c r="R489" s="115"/>
      <c r="S489" s="11"/>
      <c r="T489" s="247"/>
      <c r="U489" s="247"/>
      <c r="V489" s="247"/>
      <c r="W489" s="17"/>
      <c r="X489" s="11"/>
      <c r="Y489" s="11"/>
      <c r="Z489" s="247"/>
      <c r="AA489" s="247"/>
      <c r="AB489" s="247"/>
      <c r="AC489" s="44"/>
      <c r="AD489" s="22"/>
      <c r="AE489" s="17"/>
      <c r="AF489" s="247"/>
      <c r="AG489" s="247"/>
      <c r="AH489" s="151"/>
      <c r="AI489" s="22"/>
      <c r="AJ489" s="17"/>
      <c r="AK489" s="17"/>
      <c r="AL489" s="102"/>
      <c r="AM489" s="132"/>
      <c r="AN489" s="161"/>
      <c r="AO489" s="115"/>
      <c r="AP489" s="115"/>
      <c r="AQ489" s="17"/>
      <c r="AR489" s="247">
        <v>11800</v>
      </c>
      <c r="AS489" s="247">
        <f t="shared" si="178"/>
        <v>2242</v>
      </c>
      <c r="AT489" s="247">
        <f>+AR489+AS489</f>
        <v>14042</v>
      </c>
      <c r="AU489" s="17"/>
      <c r="AV489" s="17"/>
      <c r="AW489" s="17"/>
      <c r="AX489" s="247"/>
      <c r="AY489" s="247"/>
      <c r="AZ489" s="247"/>
      <c r="BA489" s="17"/>
      <c r="BB489" s="52"/>
      <c r="BC489" s="17"/>
      <c r="BD489" s="247"/>
      <c r="BE489" s="247"/>
      <c r="BF489" s="247"/>
      <c r="BG489" s="17"/>
      <c r="BH489" s="17"/>
      <c r="BI489" s="17"/>
      <c r="BJ489" s="247"/>
      <c r="BK489" s="247"/>
      <c r="BL489" s="247"/>
      <c r="BM489" s="190"/>
      <c r="BN489" s="190"/>
      <c r="BO489" s="17"/>
      <c r="BP489" s="247">
        <v>36500</v>
      </c>
      <c r="BQ489" s="247">
        <f t="shared" si="170"/>
        <v>6935</v>
      </c>
      <c r="BR489" s="247">
        <f t="shared" si="174"/>
        <v>43435</v>
      </c>
      <c r="BS489" s="17"/>
      <c r="BT489" s="17"/>
      <c r="BU489" s="17"/>
      <c r="BV489" s="189"/>
      <c r="BW489" s="196"/>
      <c r="BX489" s="246"/>
      <c r="BY489" s="190"/>
      <c r="BZ489" s="190"/>
      <c r="CA489" s="190"/>
      <c r="CB489" s="247"/>
      <c r="CC489" s="247"/>
      <c r="CD489" s="247"/>
      <c r="CE489" s="17"/>
      <c r="CF489" s="17"/>
      <c r="CG489" s="17"/>
      <c r="CH489" s="247"/>
      <c r="CI489" s="247"/>
      <c r="CJ489" s="247"/>
      <c r="CK489" s="17"/>
      <c r="CL489" s="17"/>
      <c r="CM489" s="17"/>
      <c r="CN489" s="17"/>
      <c r="CO489" s="17"/>
      <c r="CP489" s="11"/>
      <c r="CQ489" s="11"/>
      <c r="CR489" s="11"/>
      <c r="CS489" s="11"/>
      <c r="CT489" s="247"/>
      <c r="CU489" s="247"/>
      <c r="CV489" s="247"/>
      <c r="CW489" s="11"/>
      <c r="CX489" s="11"/>
      <c r="CY489" s="11"/>
      <c r="CZ489" s="11"/>
      <c r="DA489" s="11"/>
      <c r="DB489" s="11"/>
      <c r="DC489" s="11"/>
      <c r="DD489" s="11"/>
      <c r="DE489" s="11"/>
      <c r="DF489" s="11"/>
      <c r="DG489" s="11"/>
      <c r="DH489" s="11"/>
      <c r="DI489" s="11"/>
      <c r="DJ489" s="11"/>
      <c r="DK489" s="11"/>
      <c r="DL489" s="247"/>
      <c r="DM489" s="247"/>
      <c r="DN489" s="247"/>
      <c r="DO489" s="247"/>
      <c r="DP489" s="247"/>
      <c r="DQ489" s="247"/>
      <c r="DR489" s="247"/>
      <c r="DS489" s="247"/>
      <c r="DT489" s="247"/>
      <c r="DU489" s="247"/>
      <c r="DV489" s="247"/>
      <c r="DW489" s="247"/>
      <c r="DX489" s="247"/>
      <c r="DY489" s="247"/>
      <c r="DZ489" s="247"/>
      <c r="EA489" s="247"/>
      <c r="EB489" s="247"/>
      <c r="EC489" s="247"/>
      <c r="ED489" s="17">
        <f t="shared" si="171"/>
        <v>80035.433333333334</v>
      </c>
      <c r="EE489" s="29">
        <f t="shared" si="172"/>
        <v>4</v>
      </c>
      <c r="EF489" s="17">
        <f t="shared" si="173"/>
        <v>20008.858333333334</v>
      </c>
    </row>
    <row r="490" spans="1:136" x14ac:dyDescent="0.25">
      <c r="A490" s="25">
        <f>Distribución_Elementos!A490</f>
        <v>488</v>
      </c>
      <c r="B490" s="22" t="str">
        <f>Distribución_Elementos!B490</f>
        <v xml:space="preserve">Tijera de disección micro tijera tipo pinza 7.5cm </v>
      </c>
      <c r="C490" s="22" t="str">
        <f>Distribución_Elementos!C490</f>
        <v>Cualquier marca</v>
      </c>
      <c r="D490" s="22" t="str">
        <f>Distribución_Elementos!D490</f>
        <v>Unidad</v>
      </c>
      <c r="E490" s="224">
        <v>1</v>
      </c>
      <c r="F490" s="221">
        <v>0</v>
      </c>
      <c r="G490" s="221">
        <v>0</v>
      </c>
      <c r="H490" s="221">
        <v>182466.66666666666</v>
      </c>
      <c r="I490" s="221">
        <v>0</v>
      </c>
      <c r="J490" s="221">
        <v>65450</v>
      </c>
      <c r="K490" s="221">
        <v>0</v>
      </c>
      <c r="L490" s="247">
        <f>AVERAGE(H490,J490)</f>
        <v>123958.33333333333</v>
      </c>
      <c r="M490" s="247"/>
      <c r="N490" s="227">
        <v>55000</v>
      </c>
      <c r="O490" s="119">
        <f t="shared" si="176"/>
        <v>10450</v>
      </c>
      <c r="P490" s="119">
        <f t="shared" si="177"/>
        <v>65450</v>
      </c>
      <c r="Q490" s="115"/>
      <c r="R490" s="115"/>
      <c r="S490" s="11"/>
      <c r="T490" s="247"/>
      <c r="U490" s="247"/>
      <c r="V490" s="247"/>
      <c r="W490" s="17"/>
      <c r="X490" s="11"/>
      <c r="Y490" s="11"/>
      <c r="Z490" s="247"/>
      <c r="AA490" s="247"/>
      <c r="AB490" s="247"/>
      <c r="AC490" s="44"/>
      <c r="AD490" s="22"/>
      <c r="AE490" s="17"/>
      <c r="AF490" s="247"/>
      <c r="AG490" s="247"/>
      <c r="AH490" s="151"/>
      <c r="AI490" s="4"/>
      <c r="AJ490" s="17"/>
      <c r="AK490" s="17"/>
      <c r="AL490" s="102"/>
      <c r="AM490" s="132"/>
      <c r="AN490" s="161"/>
      <c r="AO490" s="115"/>
      <c r="AP490" s="115"/>
      <c r="AQ490" s="17"/>
      <c r="AR490" s="247">
        <v>18000</v>
      </c>
      <c r="AS490" s="247">
        <f t="shared" si="178"/>
        <v>3420</v>
      </c>
      <c r="AT490" s="247">
        <f>+AR490+AS490</f>
        <v>21420</v>
      </c>
      <c r="AU490" s="17"/>
      <c r="AV490" s="17"/>
      <c r="AW490" s="17"/>
      <c r="AX490" s="247"/>
      <c r="AY490" s="247"/>
      <c r="AZ490" s="247"/>
      <c r="BA490" s="17"/>
      <c r="BB490" s="52"/>
      <c r="BC490" s="17"/>
      <c r="BD490" s="247"/>
      <c r="BE490" s="247"/>
      <c r="BF490" s="247"/>
      <c r="BG490" s="17"/>
      <c r="BH490" s="17"/>
      <c r="BI490" s="17"/>
      <c r="BJ490" s="247"/>
      <c r="BK490" s="247"/>
      <c r="BL490" s="247"/>
      <c r="BM490" s="190"/>
      <c r="BN490" s="190"/>
      <c r="BO490" s="17"/>
      <c r="BP490" s="247">
        <v>38500</v>
      </c>
      <c r="BQ490" s="247">
        <f t="shared" si="170"/>
        <v>7315</v>
      </c>
      <c r="BR490" s="247">
        <f t="shared" si="174"/>
        <v>45815</v>
      </c>
      <c r="BS490" s="17"/>
      <c r="BT490" s="17"/>
      <c r="BU490" s="17"/>
      <c r="BV490" s="189"/>
      <c r="BW490" s="196"/>
      <c r="BX490" s="246"/>
      <c r="BY490" s="190"/>
      <c r="BZ490" s="190"/>
      <c r="CA490" s="190"/>
      <c r="CB490" s="247"/>
      <c r="CC490" s="247"/>
      <c r="CD490" s="247"/>
      <c r="CE490" s="17"/>
      <c r="CF490" s="17"/>
      <c r="CG490" s="17"/>
      <c r="CH490" s="247"/>
      <c r="CI490" s="247"/>
      <c r="CJ490" s="247"/>
      <c r="CK490" s="17"/>
      <c r="CL490" s="17"/>
      <c r="CM490" s="17"/>
      <c r="CN490" s="17"/>
      <c r="CO490" s="17"/>
      <c r="CP490" s="11"/>
      <c r="CQ490" s="11"/>
      <c r="CR490" s="11"/>
      <c r="CS490" s="11"/>
      <c r="CT490" s="247"/>
      <c r="CU490" s="247"/>
      <c r="CV490" s="247"/>
      <c r="CW490" s="11"/>
      <c r="CX490" s="11"/>
      <c r="CY490" s="11"/>
      <c r="CZ490" s="11"/>
      <c r="DA490" s="11"/>
      <c r="DB490" s="11"/>
      <c r="DC490" s="11"/>
      <c r="DD490" s="11"/>
      <c r="DE490" s="11"/>
      <c r="DF490" s="11"/>
      <c r="DG490" s="11"/>
      <c r="DH490" s="11"/>
      <c r="DI490" s="11"/>
      <c r="DJ490" s="11"/>
      <c r="DK490" s="11"/>
      <c r="DL490" s="247"/>
      <c r="DM490" s="247"/>
      <c r="DN490" s="247"/>
      <c r="DO490" s="247"/>
      <c r="DP490" s="247"/>
      <c r="DQ490" s="247"/>
      <c r="DR490" s="247"/>
      <c r="DS490" s="247"/>
      <c r="DT490" s="247"/>
      <c r="DU490" s="247"/>
      <c r="DV490" s="247"/>
      <c r="DW490" s="247"/>
      <c r="DX490" s="247"/>
      <c r="DY490" s="247"/>
      <c r="DZ490" s="247"/>
      <c r="EA490" s="247"/>
      <c r="EB490" s="247"/>
      <c r="EC490" s="247"/>
      <c r="ED490" s="17">
        <f t="shared" si="171"/>
        <v>132685</v>
      </c>
      <c r="EE490" s="29">
        <f t="shared" si="172"/>
        <v>3</v>
      </c>
      <c r="EF490" s="17">
        <f t="shared" si="173"/>
        <v>44228.333333333336</v>
      </c>
    </row>
    <row r="491" spans="1:136" ht="25.5" x14ac:dyDescent="0.25">
      <c r="A491" s="25">
        <f>Distribución_Elementos!A491</f>
        <v>489</v>
      </c>
      <c r="B491" s="22" t="str">
        <f>Distribución_Elementos!B491</f>
        <v>Tijera iris para microcirugía en acero inoxidable de 11 cm de longitud, con punta extradelgada y hoja inferior aserrada</v>
      </c>
      <c r="C491" s="22" t="str">
        <f>Distribución_Elementos!C491</f>
        <v>Westcott</v>
      </c>
      <c r="D491" s="22" t="str">
        <f>Distribución_Elementos!D491</f>
        <v>Unidad</v>
      </c>
      <c r="E491" s="224">
        <v>1</v>
      </c>
      <c r="F491" s="221">
        <v>0</v>
      </c>
      <c r="G491" s="221">
        <v>0</v>
      </c>
      <c r="H491" s="221">
        <v>39190.666666666664</v>
      </c>
      <c r="I491" s="221">
        <v>39032</v>
      </c>
      <c r="J491" s="221">
        <v>29750</v>
      </c>
      <c r="K491" s="221">
        <v>10353</v>
      </c>
      <c r="L491" s="247">
        <f>AVERAGE(H491,J491)</f>
        <v>34470.333333333328</v>
      </c>
      <c r="M491" s="247">
        <f>AVERAGE(I491,K491)*E1</f>
        <v>25433.275000000001</v>
      </c>
      <c r="N491" s="227">
        <v>30000</v>
      </c>
      <c r="O491" s="119">
        <f t="shared" si="176"/>
        <v>5700</v>
      </c>
      <c r="P491" s="119">
        <f t="shared" si="177"/>
        <v>35700</v>
      </c>
      <c r="Q491" s="115"/>
      <c r="R491" s="115"/>
      <c r="S491" s="11"/>
      <c r="T491" s="247"/>
      <c r="U491" s="247"/>
      <c r="V491" s="247"/>
      <c r="W491" s="17"/>
      <c r="X491" s="11"/>
      <c r="Y491" s="11"/>
      <c r="Z491" s="247"/>
      <c r="AA491" s="247"/>
      <c r="AB491" s="247"/>
      <c r="AC491" s="44"/>
      <c r="AD491" s="22"/>
      <c r="AE491" s="17"/>
      <c r="AF491" s="247"/>
      <c r="AG491" s="247"/>
      <c r="AH491" s="151"/>
      <c r="AI491" s="4"/>
      <c r="AJ491" s="17"/>
      <c r="AK491" s="17"/>
      <c r="AL491" s="102"/>
      <c r="AM491" s="132"/>
      <c r="AN491" s="161"/>
      <c r="AO491" s="115"/>
      <c r="AP491" s="115"/>
      <c r="AQ491" s="17"/>
      <c r="AR491" s="247"/>
      <c r="AS491" s="247"/>
      <c r="AT491" s="247"/>
      <c r="AU491" s="17"/>
      <c r="AV491" s="17"/>
      <c r="AW491" s="17"/>
      <c r="AX491" s="247"/>
      <c r="AY491" s="247"/>
      <c r="AZ491" s="247"/>
      <c r="BA491" s="17"/>
      <c r="BB491" s="52"/>
      <c r="BC491" s="17"/>
      <c r="BD491" s="247"/>
      <c r="BE491" s="247"/>
      <c r="BF491" s="247"/>
      <c r="BG491" s="17"/>
      <c r="BH491" s="17"/>
      <c r="BI491" s="17"/>
      <c r="BJ491" s="247"/>
      <c r="BK491" s="247"/>
      <c r="BL491" s="247"/>
      <c r="BM491" s="190"/>
      <c r="BN491" s="190"/>
      <c r="BO491" s="17"/>
      <c r="BP491" s="247"/>
      <c r="BQ491" s="247"/>
      <c r="BR491" s="247"/>
      <c r="BS491" s="17"/>
      <c r="BT491" s="17"/>
      <c r="BU491" s="17"/>
      <c r="BV491" s="189"/>
      <c r="BW491" s="196"/>
      <c r="BX491" s="246"/>
      <c r="BY491" s="190"/>
      <c r="BZ491" s="190"/>
      <c r="CA491" s="190"/>
      <c r="CB491" s="247"/>
      <c r="CC491" s="247"/>
      <c r="CD491" s="247"/>
      <c r="CE491" s="17"/>
      <c r="CF491" s="17"/>
      <c r="CG491" s="17"/>
      <c r="CH491" s="247"/>
      <c r="CI491" s="247"/>
      <c r="CJ491" s="247"/>
      <c r="CK491" s="17"/>
      <c r="CL491" s="17"/>
      <c r="CM491" s="17"/>
      <c r="CN491" s="17"/>
      <c r="CO491" s="17"/>
      <c r="CP491" s="11"/>
      <c r="CQ491" s="11"/>
      <c r="CR491" s="11"/>
      <c r="CS491" s="11"/>
      <c r="CT491" s="247"/>
      <c r="CU491" s="247"/>
      <c r="CV491" s="247"/>
      <c r="CW491" s="11"/>
      <c r="CX491" s="11"/>
      <c r="CY491" s="11"/>
      <c r="CZ491" s="11"/>
      <c r="DA491" s="11"/>
      <c r="DB491" s="11"/>
      <c r="DC491" s="11"/>
      <c r="DD491" s="11"/>
      <c r="DE491" s="11"/>
      <c r="DF491" s="11"/>
      <c r="DG491" s="11"/>
      <c r="DH491" s="11"/>
      <c r="DI491" s="11"/>
      <c r="DJ491" s="11"/>
      <c r="DK491" s="11"/>
      <c r="DL491" s="247"/>
      <c r="DM491" s="247"/>
      <c r="DN491" s="247"/>
      <c r="DO491" s="247"/>
      <c r="DP491" s="247"/>
      <c r="DQ491" s="247"/>
      <c r="DR491" s="247"/>
      <c r="DS491" s="247"/>
      <c r="DT491" s="247"/>
      <c r="DU491" s="247"/>
      <c r="DV491" s="247"/>
      <c r="DW491" s="247"/>
      <c r="DX491" s="247"/>
      <c r="DY491" s="247"/>
      <c r="DZ491" s="247"/>
      <c r="EA491" s="247"/>
      <c r="EB491" s="247"/>
      <c r="EC491" s="247"/>
      <c r="ED491" s="17">
        <f t="shared" si="171"/>
        <v>61133.275000000001</v>
      </c>
      <c r="EE491" s="29">
        <f t="shared" si="172"/>
        <v>2</v>
      </c>
      <c r="EF491" s="17">
        <f t="shared" si="173"/>
        <v>30566.637500000001</v>
      </c>
    </row>
    <row r="492" spans="1:136" x14ac:dyDescent="0.25">
      <c r="A492" s="25">
        <f>Distribución_Elementos!A492</f>
        <v>490</v>
      </c>
      <c r="B492" s="22" t="str">
        <f>Distribución_Elementos!B492</f>
        <v>Tijera mayo recta 15.2 cm</v>
      </c>
      <c r="C492" s="22" t="str">
        <f>Distribución_Elementos!C492</f>
        <v>Cualquier marca</v>
      </c>
      <c r="D492" s="22" t="str">
        <f>Distribución_Elementos!D492</f>
        <v>Unidad</v>
      </c>
      <c r="E492" s="224">
        <v>1</v>
      </c>
      <c r="F492" s="221">
        <v>0</v>
      </c>
      <c r="G492" s="221">
        <v>0</v>
      </c>
      <c r="H492" s="221">
        <v>0</v>
      </c>
      <c r="I492" s="221">
        <v>0</v>
      </c>
      <c r="J492" s="221">
        <v>0</v>
      </c>
      <c r="K492" s="221">
        <v>0</v>
      </c>
      <c r="L492" s="247"/>
      <c r="M492" s="247"/>
      <c r="N492" s="227">
        <v>12000</v>
      </c>
      <c r="O492" s="119">
        <f t="shared" si="176"/>
        <v>2280</v>
      </c>
      <c r="P492" s="119">
        <f t="shared" si="177"/>
        <v>14280</v>
      </c>
      <c r="Q492" s="115"/>
      <c r="R492" s="115"/>
      <c r="S492" s="11"/>
      <c r="T492" s="247"/>
      <c r="U492" s="247"/>
      <c r="V492" s="247"/>
      <c r="W492" s="17"/>
      <c r="X492" s="11"/>
      <c r="Y492" s="11"/>
      <c r="Z492" s="247"/>
      <c r="AA492" s="247"/>
      <c r="AB492" s="247"/>
      <c r="AC492" s="50"/>
      <c r="AD492" s="23"/>
      <c r="AE492" s="17"/>
      <c r="AF492" s="247"/>
      <c r="AG492" s="247"/>
      <c r="AH492" s="159"/>
      <c r="AI492" s="24"/>
      <c r="AJ492" s="17"/>
      <c r="AK492" s="17"/>
      <c r="AL492" s="102"/>
      <c r="AM492" s="132"/>
      <c r="AN492" s="161"/>
      <c r="AO492" s="115"/>
      <c r="AP492" s="115"/>
      <c r="AQ492" s="17"/>
      <c r="AR492" s="247">
        <v>18000</v>
      </c>
      <c r="AS492" s="247">
        <f t="shared" si="178"/>
        <v>3420</v>
      </c>
      <c r="AT492" s="247">
        <f>+AR492+AS492</f>
        <v>21420</v>
      </c>
      <c r="AU492" s="17"/>
      <c r="AV492" s="17"/>
      <c r="AW492" s="17"/>
      <c r="AX492" s="247"/>
      <c r="AY492" s="247"/>
      <c r="AZ492" s="247"/>
      <c r="BA492" s="17"/>
      <c r="BB492" s="52"/>
      <c r="BC492" s="17"/>
      <c r="BD492" s="247"/>
      <c r="BE492" s="247"/>
      <c r="BF492" s="247"/>
      <c r="BG492" s="17"/>
      <c r="BH492" s="17"/>
      <c r="BI492" s="17"/>
      <c r="BJ492" s="247">
        <v>13100</v>
      </c>
      <c r="BK492" s="247">
        <f t="shared" si="168"/>
        <v>2489</v>
      </c>
      <c r="BL492" s="247">
        <f t="shared" si="169"/>
        <v>15589</v>
      </c>
      <c r="BM492" s="190" t="s">
        <v>375</v>
      </c>
      <c r="BN492" s="190" t="s">
        <v>1642</v>
      </c>
      <c r="BO492" s="17"/>
      <c r="BP492" s="247">
        <v>52500</v>
      </c>
      <c r="BQ492" s="247">
        <f t="shared" si="170"/>
        <v>9975</v>
      </c>
      <c r="BR492" s="247">
        <f t="shared" si="174"/>
        <v>62475</v>
      </c>
      <c r="BS492" s="17"/>
      <c r="BT492" s="17"/>
      <c r="BU492" s="17"/>
      <c r="BV492" s="195">
        <v>15155.180399999999</v>
      </c>
      <c r="BW492" s="195">
        <f>+BV492*0.19</f>
        <v>2879.4842759999997</v>
      </c>
      <c r="BX492" s="246">
        <f>+BV492+BW492</f>
        <v>18034.664676</v>
      </c>
      <c r="BY492" s="190" t="s">
        <v>375</v>
      </c>
      <c r="BZ492" s="190" t="s">
        <v>1642</v>
      </c>
      <c r="CA492" s="190"/>
      <c r="CB492" s="247"/>
      <c r="CC492" s="247"/>
      <c r="CD492" s="247"/>
      <c r="CE492" s="17"/>
      <c r="CF492" s="17"/>
      <c r="CG492" s="17"/>
      <c r="CH492" s="247"/>
      <c r="CI492" s="247"/>
      <c r="CJ492" s="247"/>
      <c r="CK492" s="17"/>
      <c r="CL492" s="17"/>
      <c r="CM492" s="17"/>
      <c r="CN492" s="17"/>
      <c r="CO492" s="17"/>
      <c r="CP492" s="11"/>
      <c r="CQ492" s="11"/>
      <c r="CR492" s="11"/>
      <c r="CS492" s="11"/>
      <c r="CT492" s="247"/>
      <c r="CU492" s="247"/>
      <c r="CV492" s="247"/>
      <c r="CW492" s="11"/>
      <c r="CX492" s="11"/>
      <c r="CY492" s="11"/>
      <c r="CZ492" s="11"/>
      <c r="DA492" s="11"/>
      <c r="DB492" s="11"/>
      <c r="DC492" s="11"/>
      <c r="DD492" s="11"/>
      <c r="DE492" s="11"/>
      <c r="DF492" s="11"/>
      <c r="DG492" s="11"/>
      <c r="DH492" s="11"/>
      <c r="DI492" s="11"/>
      <c r="DJ492" s="11"/>
      <c r="DK492" s="11"/>
      <c r="DL492" s="247"/>
      <c r="DM492" s="247"/>
      <c r="DN492" s="247"/>
      <c r="DO492" s="247"/>
      <c r="DP492" s="247"/>
      <c r="DQ492" s="247"/>
      <c r="DR492" s="247"/>
      <c r="DS492" s="247"/>
      <c r="DT492" s="247"/>
      <c r="DU492" s="247"/>
      <c r="DV492" s="247"/>
      <c r="DW492" s="247"/>
      <c r="DX492" s="247"/>
      <c r="DY492" s="247"/>
      <c r="DZ492" s="247"/>
      <c r="EA492" s="247"/>
      <c r="EB492" s="247"/>
      <c r="EC492" s="247"/>
      <c r="ED492" s="17">
        <f t="shared" si="171"/>
        <v>131798.66467600001</v>
      </c>
      <c r="EE492" s="29">
        <f t="shared" si="172"/>
        <v>5</v>
      </c>
      <c r="EF492" s="17">
        <f t="shared" si="173"/>
        <v>26359.732935200002</v>
      </c>
    </row>
    <row r="493" spans="1:136" x14ac:dyDescent="0.25">
      <c r="A493" s="25">
        <f>Distribución_Elementos!A493</f>
        <v>491</v>
      </c>
      <c r="B493" s="22" t="str">
        <f>Distribución_Elementos!B493</f>
        <v>Tijera para tejidos curva Metzembaum  de 15 cm </v>
      </c>
      <c r="C493" s="22" t="str">
        <f>Distribución_Elementos!C493</f>
        <v>Cualquier marca</v>
      </c>
      <c r="D493" s="22" t="str">
        <f>Distribución_Elementos!D493</f>
        <v>Unidad</v>
      </c>
      <c r="E493" s="224">
        <v>1</v>
      </c>
      <c r="F493" s="221">
        <v>59500</v>
      </c>
      <c r="G493" s="221">
        <v>0</v>
      </c>
      <c r="H493" s="221">
        <v>0</v>
      </c>
      <c r="I493" s="221">
        <v>0</v>
      </c>
      <c r="J493" s="221">
        <v>137841.66666666666</v>
      </c>
      <c r="K493" s="221">
        <v>57120</v>
      </c>
      <c r="L493" s="247">
        <f>AVERAGE(F493,J493)</f>
        <v>98670.833333333328</v>
      </c>
      <c r="M493" s="247">
        <f>K493*E1</f>
        <v>58833.599999999999</v>
      </c>
      <c r="N493" s="227">
        <v>65000</v>
      </c>
      <c r="O493" s="119">
        <f t="shared" si="176"/>
        <v>12350</v>
      </c>
      <c r="P493" s="119">
        <f t="shared" si="177"/>
        <v>77350</v>
      </c>
      <c r="Q493" s="115"/>
      <c r="R493" s="115"/>
      <c r="S493" s="11"/>
      <c r="T493" s="247"/>
      <c r="U493" s="247"/>
      <c r="V493" s="247"/>
      <c r="W493" s="17"/>
      <c r="X493" s="11"/>
      <c r="Y493" s="11"/>
      <c r="Z493" s="247"/>
      <c r="AA493" s="247"/>
      <c r="AB493" s="247"/>
      <c r="AC493" s="44"/>
      <c r="AD493" s="22"/>
      <c r="AE493" s="17"/>
      <c r="AF493" s="247"/>
      <c r="AG493" s="247"/>
      <c r="AH493" s="151"/>
      <c r="AI493" s="4"/>
      <c r="AJ493" s="17"/>
      <c r="AK493" s="17"/>
      <c r="AL493" s="102"/>
      <c r="AM493" s="132"/>
      <c r="AN493" s="161"/>
      <c r="AO493" s="115"/>
      <c r="AP493" s="115"/>
      <c r="AQ493" s="17"/>
      <c r="AR493" s="247">
        <v>48000</v>
      </c>
      <c r="AS493" s="247">
        <f t="shared" si="178"/>
        <v>9120</v>
      </c>
      <c r="AT493" s="247">
        <f>+AR493+AS493</f>
        <v>57120</v>
      </c>
      <c r="AU493" s="17"/>
      <c r="AV493" s="17"/>
      <c r="AW493" s="17"/>
      <c r="AX493" s="247"/>
      <c r="AY493" s="247"/>
      <c r="AZ493" s="247"/>
      <c r="BA493" s="17"/>
      <c r="BB493" s="52"/>
      <c r="BC493" s="17"/>
      <c r="BD493" s="247"/>
      <c r="BE493" s="247"/>
      <c r="BF493" s="247"/>
      <c r="BG493" s="17"/>
      <c r="BH493" s="17"/>
      <c r="BI493" s="17"/>
      <c r="BJ493" s="247">
        <v>103500</v>
      </c>
      <c r="BK493" s="247">
        <f t="shared" si="168"/>
        <v>19665</v>
      </c>
      <c r="BL493" s="247">
        <f t="shared" si="169"/>
        <v>123165</v>
      </c>
      <c r="BM493" s="190" t="s">
        <v>375</v>
      </c>
      <c r="BN493" s="190" t="s">
        <v>1642</v>
      </c>
      <c r="BO493" s="17"/>
      <c r="BP493" s="247"/>
      <c r="BQ493" s="247"/>
      <c r="BR493" s="247"/>
      <c r="BS493" s="17"/>
      <c r="BT493" s="17"/>
      <c r="BU493" s="17"/>
      <c r="BV493" s="195">
        <v>124367.25600000002</v>
      </c>
      <c r="BW493" s="195">
        <f>+BV493*0.19</f>
        <v>23629.778640000004</v>
      </c>
      <c r="BX493" s="246">
        <f>+BV493+BW493</f>
        <v>147997.03464000003</v>
      </c>
      <c r="BY493" s="190" t="s">
        <v>375</v>
      </c>
      <c r="BZ493" s="190" t="s">
        <v>1642</v>
      </c>
      <c r="CA493" s="190"/>
      <c r="CB493" s="247"/>
      <c r="CC493" s="247"/>
      <c r="CD493" s="247"/>
      <c r="CE493" s="17"/>
      <c r="CF493" s="17"/>
      <c r="CG493" s="17"/>
      <c r="CH493" s="247"/>
      <c r="CI493" s="247"/>
      <c r="CJ493" s="247"/>
      <c r="CK493" s="17"/>
      <c r="CL493" s="17"/>
      <c r="CM493" s="17"/>
      <c r="CN493" s="17"/>
      <c r="CO493" s="17"/>
      <c r="CP493" s="11"/>
      <c r="CQ493" s="11"/>
      <c r="CR493" s="11"/>
      <c r="CS493" s="11"/>
      <c r="CT493" s="247"/>
      <c r="CU493" s="247"/>
      <c r="CV493" s="247"/>
      <c r="CW493" s="11"/>
      <c r="CX493" s="11"/>
      <c r="CY493" s="11"/>
      <c r="CZ493" s="11"/>
      <c r="DA493" s="11"/>
      <c r="DB493" s="11"/>
      <c r="DC493" s="11"/>
      <c r="DD493" s="11"/>
      <c r="DE493" s="11"/>
      <c r="DF493" s="11"/>
      <c r="DG493" s="11"/>
      <c r="DH493" s="11"/>
      <c r="DI493" s="11"/>
      <c r="DJ493" s="11"/>
      <c r="DK493" s="11"/>
      <c r="DL493" s="247"/>
      <c r="DM493" s="247"/>
      <c r="DN493" s="247"/>
      <c r="DO493" s="247"/>
      <c r="DP493" s="247"/>
      <c r="DQ493" s="247"/>
      <c r="DR493" s="247"/>
      <c r="DS493" s="247"/>
      <c r="DT493" s="247"/>
      <c r="DU493" s="247"/>
      <c r="DV493" s="247"/>
      <c r="DW493" s="247"/>
      <c r="DX493" s="247"/>
      <c r="DY493" s="247"/>
      <c r="DZ493" s="247"/>
      <c r="EA493" s="247"/>
      <c r="EB493" s="247"/>
      <c r="EC493" s="247"/>
      <c r="ED493" s="17">
        <f t="shared" si="171"/>
        <v>464465.63464</v>
      </c>
      <c r="EE493" s="29">
        <f t="shared" si="172"/>
        <v>5</v>
      </c>
      <c r="EF493" s="17">
        <f t="shared" si="173"/>
        <v>92893.126927999998</v>
      </c>
    </row>
    <row r="494" spans="1:136" ht="24" x14ac:dyDescent="0.25">
      <c r="A494" s="25">
        <f>Distribución_Elementos!A494</f>
        <v>492</v>
      </c>
      <c r="B494" s="22" t="str">
        <f>Distribución_Elementos!B494</f>
        <v>Tijera podadora</v>
      </c>
      <c r="C494" s="22" t="str">
        <f>Distribución_Elementos!C494</f>
        <v>Cualquier marca</v>
      </c>
      <c r="D494" s="22" t="str">
        <f>Distribución_Elementos!D494</f>
        <v>Unidad</v>
      </c>
      <c r="E494" s="224">
        <v>1</v>
      </c>
      <c r="F494" s="221">
        <v>0</v>
      </c>
      <c r="G494" s="221">
        <v>0</v>
      </c>
      <c r="H494" s="221">
        <v>65450</v>
      </c>
      <c r="I494" s="221">
        <v>65331</v>
      </c>
      <c r="J494" s="221">
        <v>84292.425000000003</v>
      </c>
      <c r="K494" s="221">
        <v>59262</v>
      </c>
      <c r="L494" s="247">
        <f>AVERAGE(H494,J494)</f>
        <v>74871.212499999994</v>
      </c>
      <c r="M494" s="247">
        <f>AVERAGE(I494,K494)*E1</f>
        <v>64165.395000000004</v>
      </c>
      <c r="N494" s="227">
        <v>75000</v>
      </c>
      <c r="O494" s="119">
        <f t="shared" si="176"/>
        <v>14250</v>
      </c>
      <c r="P494" s="119">
        <f t="shared" si="177"/>
        <v>89250</v>
      </c>
      <c r="Q494" s="115"/>
      <c r="R494" s="115"/>
      <c r="S494" s="11"/>
      <c r="T494" s="247"/>
      <c r="U494" s="247"/>
      <c r="V494" s="247"/>
      <c r="W494" s="17"/>
      <c r="X494" s="11"/>
      <c r="Y494" s="11"/>
      <c r="Z494" s="247"/>
      <c r="AA494" s="247"/>
      <c r="AB494" s="247"/>
      <c r="AC494" s="44"/>
      <c r="AD494" s="22"/>
      <c r="AE494" s="17"/>
      <c r="AF494" s="247"/>
      <c r="AG494" s="247"/>
      <c r="AH494" s="151"/>
      <c r="AI494" s="4"/>
      <c r="AJ494" s="17"/>
      <c r="AK494" s="17"/>
      <c r="AL494" s="102"/>
      <c r="AM494" s="132"/>
      <c r="AN494" s="161"/>
      <c r="AO494" s="115"/>
      <c r="AP494" s="115"/>
      <c r="AQ494" s="17"/>
      <c r="AR494" s="247">
        <v>35000</v>
      </c>
      <c r="AS494" s="247">
        <f t="shared" si="178"/>
        <v>6650</v>
      </c>
      <c r="AT494" s="247">
        <f>+AR494+AS494</f>
        <v>41650</v>
      </c>
      <c r="AU494" s="17"/>
      <c r="AV494" s="17"/>
      <c r="AW494" s="17"/>
      <c r="AX494" s="247"/>
      <c r="AY494" s="247"/>
      <c r="AZ494" s="247"/>
      <c r="BA494" s="17"/>
      <c r="BB494" s="52"/>
      <c r="BC494" s="17"/>
      <c r="BD494" s="247"/>
      <c r="BE494" s="247"/>
      <c r="BF494" s="247"/>
      <c r="BG494" s="17"/>
      <c r="BH494" s="17"/>
      <c r="BI494" s="17"/>
      <c r="BJ494" s="247">
        <v>106900</v>
      </c>
      <c r="BK494" s="247">
        <f t="shared" si="168"/>
        <v>20311</v>
      </c>
      <c r="BL494" s="247">
        <f t="shared" si="169"/>
        <v>127211</v>
      </c>
      <c r="BM494" s="190" t="s">
        <v>375</v>
      </c>
      <c r="BN494" s="190" t="s">
        <v>1764</v>
      </c>
      <c r="BO494" s="17"/>
      <c r="BP494" s="247">
        <v>65200</v>
      </c>
      <c r="BQ494" s="247">
        <f t="shared" si="170"/>
        <v>12388</v>
      </c>
      <c r="BR494" s="247">
        <f t="shared" si="174"/>
        <v>77588</v>
      </c>
      <c r="BS494" s="17"/>
      <c r="BT494" s="17"/>
      <c r="BU494" s="17"/>
      <c r="BV494" s="195">
        <v>122471.48160000001</v>
      </c>
      <c r="BW494" s="195">
        <f>+BV494*0.19</f>
        <v>23269.581504000002</v>
      </c>
      <c r="BX494" s="246">
        <f>+BV494+BW494</f>
        <v>145741.063104</v>
      </c>
      <c r="BY494" s="190" t="s">
        <v>375</v>
      </c>
      <c r="BZ494" s="190" t="s">
        <v>1764</v>
      </c>
      <c r="CA494" s="190"/>
      <c r="CB494" s="247"/>
      <c r="CC494" s="247"/>
      <c r="CD494" s="247"/>
      <c r="CE494" s="17"/>
      <c r="CF494" s="17"/>
      <c r="CG494" s="17"/>
      <c r="CH494" s="247"/>
      <c r="CI494" s="247"/>
      <c r="CJ494" s="247"/>
      <c r="CK494" s="17"/>
      <c r="CL494" s="17"/>
      <c r="CM494" s="17"/>
      <c r="CN494" s="17"/>
      <c r="CO494" s="17"/>
      <c r="CP494" s="11"/>
      <c r="CQ494" s="11"/>
      <c r="CR494" s="11"/>
      <c r="CS494" s="11"/>
      <c r="CT494" s="247"/>
      <c r="CU494" s="247"/>
      <c r="CV494" s="247"/>
      <c r="CW494" s="11"/>
      <c r="CX494" s="11"/>
      <c r="CY494" s="11"/>
      <c r="CZ494" s="11"/>
      <c r="DA494" s="11"/>
      <c r="DB494" s="11"/>
      <c r="DC494" s="11"/>
      <c r="DD494" s="11"/>
      <c r="DE494" s="11"/>
      <c r="DF494" s="11"/>
      <c r="DG494" s="11"/>
      <c r="DH494" s="11"/>
      <c r="DI494" s="11"/>
      <c r="DJ494" s="11"/>
      <c r="DK494" s="11"/>
      <c r="DL494" s="247"/>
      <c r="DM494" s="247"/>
      <c r="DN494" s="247"/>
      <c r="DO494" s="247"/>
      <c r="DP494" s="247"/>
      <c r="DQ494" s="247"/>
      <c r="DR494" s="247"/>
      <c r="DS494" s="247"/>
      <c r="DT494" s="247"/>
      <c r="DU494" s="247"/>
      <c r="DV494" s="247"/>
      <c r="DW494" s="247"/>
      <c r="DX494" s="247"/>
      <c r="DY494" s="247"/>
      <c r="DZ494" s="247"/>
      <c r="EA494" s="247"/>
      <c r="EB494" s="247"/>
      <c r="EC494" s="247"/>
      <c r="ED494" s="17">
        <f t="shared" si="171"/>
        <v>545605.45810399996</v>
      </c>
      <c r="EE494" s="29">
        <f t="shared" si="172"/>
        <v>6</v>
      </c>
      <c r="EF494" s="17">
        <f t="shared" si="173"/>
        <v>90934.243017333327</v>
      </c>
    </row>
    <row r="495" spans="1:136" x14ac:dyDescent="0.25">
      <c r="A495" s="25">
        <f>Distribución_Elementos!A495</f>
        <v>493</v>
      </c>
      <c r="B495" s="22" t="str">
        <f>Distribución_Elementos!B495</f>
        <v>Tijera trincha aves en acero inoxidable de 9.5 "</v>
      </c>
      <c r="C495" s="22" t="str">
        <f>Distribución_Elementos!C495</f>
        <v>Tramontina o equivalente</v>
      </c>
      <c r="D495" s="22" t="str">
        <f>Distribución_Elementos!D495</f>
        <v>Unidad</v>
      </c>
      <c r="E495" s="224">
        <v>1</v>
      </c>
      <c r="F495" s="221">
        <v>47600</v>
      </c>
      <c r="G495" s="221">
        <v>0</v>
      </c>
      <c r="H495" s="221">
        <v>223208.3</v>
      </c>
      <c r="I495" s="221">
        <v>0</v>
      </c>
      <c r="J495" s="221">
        <v>212481.11111111112</v>
      </c>
      <c r="K495" s="221">
        <v>208250</v>
      </c>
      <c r="L495" s="247">
        <f>AVERAGE(F495,H495,J495)</f>
        <v>161096.47037037037</v>
      </c>
      <c r="M495" s="247">
        <f>K495*E1</f>
        <v>214497.5</v>
      </c>
      <c r="N495" s="227">
        <v>80000</v>
      </c>
      <c r="O495" s="119">
        <f t="shared" si="176"/>
        <v>15200</v>
      </c>
      <c r="P495" s="119">
        <f t="shared" si="177"/>
        <v>95200</v>
      </c>
      <c r="Q495" s="115"/>
      <c r="R495" s="115"/>
      <c r="S495" s="11"/>
      <c r="T495" s="247"/>
      <c r="U495" s="247"/>
      <c r="V495" s="247"/>
      <c r="W495" s="17"/>
      <c r="X495" s="11"/>
      <c r="Y495" s="11"/>
      <c r="Z495" s="247"/>
      <c r="AA495" s="247"/>
      <c r="AB495" s="247"/>
      <c r="AC495" s="44"/>
      <c r="AD495" s="22"/>
      <c r="AE495" s="17"/>
      <c r="AF495" s="247"/>
      <c r="AG495" s="247"/>
      <c r="AH495" s="151"/>
      <c r="AI495" s="22"/>
      <c r="AJ495" s="17"/>
      <c r="AK495" s="17"/>
      <c r="AL495" s="102"/>
      <c r="AM495" s="132"/>
      <c r="AN495" s="161"/>
      <c r="AO495" s="115"/>
      <c r="AP495" s="115"/>
      <c r="AQ495" s="17"/>
      <c r="AR495" s="247">
        <v>190000</v>
      </c>
      <c r="AS495" s="247">
        <f t="shared" si="178"/>
        <v>36100</v>
      </c>
      <c r="AT495" s="247">
        <f>+AR495+AS495</f>
        <v>226100</v>
      </c>
      <c r="AU495" s="17"/>
      <c r="AV495" s="17"/>
      <c r="AW495" s="17"/>
      <c r="AX495" s="247"/>
      <c r="AY495" s="247"/>
      <c r="AZ495" s="247"/>
      <c r="BA495" s="17"/>
      <c r="BB495" s="52"/>
      <c r="BC495" s="17"/>
      <c r="BD495" s="247"/>
      <c r="BE495" s="247"/>
      <c r="BF495" s="247"/>
      <c r="BG495" s="17"/>
      <c r="BH495" s="17"/>
      <c r="BI495" s="17"/>
      <c r="BJ495" s="247">
        <v>641700</v>
      </c>
      <c r="BK495" s="247">
        <f t="shared" si="168"/>
        <v>121923</v>
      </c>
      <c r="BL495" s="247">
        <f t="shared" si="169"/>
        <v>763623</v>
      </c>
      <c r="BM495" s="190" t="s">
        <v>375</v>
      </c>
      <c r="BN495" s="190" t="s">
        <v>1765</v>
      </c>
      <c r="BO495" s="17"/>
      <c r="BP495" s="247">
        <v>125000</v>
      </c>
      <c r="BQ495" s="247">
        <f t="shared" si="170"/>
        <v>23750</v>
      </c>
      <c r="BR495" s="247">
        <f t="shared" si="174"/>
        <v>148750</v>
      </c>
      <c r="BS495" s="17"/>
      <c r="BT495" s="17"/>
      <c r="BU495" s="17"/>
      <c r="BV495" s="195">
        <v>742780.58400000003</v>
      </c>
      <c r="BW495" s="195">
        <f>+BV495*0.19</f>
        <v>141128.31096</v>
      </c>
      <c r="BX495" s="246">
        <f>+BV495+BW495</f>
        <v>883908.89496000006</v>
      </c>
      <c r="BY495" s="190" t="s">
        <v>375</v>
      </c>
      <c r="BZ495" s="190" t="s">
        <v>1765</v>
      </c>
      <c r="CA495" s="190"/>
      <c r="CB495" s="247"/>
      <c r="CC495" s="247"/>
      <c r="CD495" s="247"/>
      <c r="CE495" s="17"/>
      <c r="CF495" s="17"/>
      <c r="CG495" s="17"/>
      <c r="CH495" s="247"/>
      <c r="CI495" s="247"/>
      <c r="CJ495" s="247"/>
      <c r="CK495" s="17"/>
      <c r="CL495" s="17"/>
      <c r="CM495" s="17"/>
      <c r="CN495" s="17"/>
      <c r="CO495" s="17"/>
      <c r="CP495" s="11"/>
      <c r="CQ495" s="11"/>
      <c r="CR495" s="11"/>
      <c r="CS495" s="11"/>
      <c r="CT495" s="247"/>
      <c r="CU495" s="247"/>
      <c r="CV495" s="247"/>
      <c r="CW495" s="11"/>
      <c r="CX495" s="11"/>
      <c r="CY495" s="11"/>
      <c r="CZ495" s="11"/>
      <c r="DA495" s="11"/>
      <c r="DB495" s="11"/>
      <c r="DC495" s="11"/>
      <c r="DD495" s="11"/>
      <c r="DE495" s="11"/>
      <c r="DF495" s="11"/>
      <c r="DG495" s="11"/>
      <c r="DH495" s="11"/>
      <c r="DI495" s="11"/>
      <c r="DJ495" s="11"/>
      <c r="DK495" s="11"/>
      <c r="DL495" s="247"/>
      <c r="DM495" s="247"/>
      <c r="DN495" s="247"/>
      <c r="DO495" s="247"/>
      <c r="DP495" s="247"/>
      <c r="DQ495" s="247"/>
      <c r="DR495" s="247"/>
      <c r="DS495" s="247"/>
      <c r="DT495" s="247"/>
      <c r="DU495" s="247"/>
      <c r="DV495" s="247"/>
      <c r="DW495" s="247"/>
      <c r="DX495" s="247"/>
      <c r="DY495" s="247"/>
      <c r="DZ495" s="247"/>
      <c r="EA495" s="247"/>
      <c r="EB495" s="247"/>
      <c r="EC495" s="247"/>
      <c r="ED495" s="17">
        <f t="shared" si="171"/>
        <v>2332079.3949600002</v>
      </c>
      <c r="EE495" s="29">
        <f t="shared" si="172"/>
        <v>6</v>
      </c>
      <c r="EF495" s="17">
        <f t="shared" si="173"/>
        <v>388679.89916000003</v>
      </c>
    </row>
    <row r="496" spans="1:136" x14ac:dyDescent="0.25">
      <c r="A496" s="25">
        <f>Distribución_Elementos!A496</f>
        <v>494</v>
      </c>
      <c r="B496" s="22" t="str">
        <f>Distribución_Elementos!B496</f>
        <v>Tijeras para necropsia de aves</v>
      </c>
      <c r="C496" s="22" t="str">
        <f>Distribución_Elementos!C496</f>
        <v>Avinstrumentosmentos</v>
      </c>
      <c r="D496" s="22" t="str">
        <f>Distribución_Elementos!D496</f>
        <v>Unidad</v>
      </c>
      <c r="E496" s="224">
        <v>1</v>
      </c>
      <c r="F496" s="221">
        <v>0</v>
      </c>
      <c r="G496" s="221">
        <v>0</v>
      </c>
      <c r="H496" s="221">
        <v>119000</v>
      </c>
      <c r="I496" s="221">
        <v>0</v>
      </c>
      <c r="J496" s="221">
        <v>130900</v>
      </c>
      <c r="K496" s="221">
        <v>130900</v>
      </c>
      <c r="L496" s="247">
        <f>AVERAGE(H496,J496)</f>
        <v>124950</v>
      </c>
      <c r="M496" s="247">
        <f>K496*E1</f>
        <v>134827</v>
      </c>
      <c r="N496" s="227">
        <v>110000</v>
      </c>
      <c r="O496" s="119">
        <f t="shared" si="176"/>
        <v>20900</v>
      </c>
      <c r="P496" s="119">
        <f t="shared" si="177"/>
        <v>130900</v>
      </c>
      <c r="Q496" s="115"/>
      <c r="R496" s="115"/>
      <c r="S496" s="11"/>
      <c r="T496" s="247"/>
      <c r="U496" s="247"/>
      <c r="V496" s="247"/>
      <c r="W496" s="17"/>
      <c r="X496" s="11"/>
      <c r="Y496" s="11"/>
      <c r="Z496" s="247"/>
      <c r="AA496" s="247"/>
      <c r="AB496" s="247"/>
      <c r="AC496" s="44"/>
      <c r="AD496" s="22"/>
      <c r="AE496" s="17"/>
      <c r="AF496" s="247"/>
      <c r="AG496" s="247"/>
      <c r="AH496" s="151"/>
      <c r="AI496" s="4"/>
      <c r="AJ496" s="17"/>
      <c r="AK496" s="17"/>
      <c r="AL496" s="102"/>
      <c r="AM496" s="132"/>
      <c r="AN496" s="161"/>
      <c r="AO496" s="115"/>
      <c r="AP496" s="115"/>
      <c r="AQ496" s="17"/>
      <c r="AR496" s="247"/>
      <c r="AS496" s="247"/>
      <c r="AT496" s="247"/>
      <c r="AU496" s="17"/>
      <c r="AV496" s="17"/>
      <c r="AW496" s="17"/>
      <c r="AX496" s="247"/>
      <c r="AY496" s="247"/>
      <c r="AZ496" s="247"/>
      <c r="BA496" s="17"/>
      <c r="BB496" s="52"/>
      <c r="BC496" s="17"/>
      <c r="BD496" s="247"/>
      <c r="BE496" s="247"/>
      <c r="BF496" s="247"/>
      <c r="BG496" s="17"/>
      <c r="BH496" s="17"/>
      <c r="BI496" s="17"/>
      <c r="BJ496" s="247"/>
      <c r="BK496" s="247"/>
      <c r="BL496" s="247"/>
      <c r="BM496" s="190"/>
      <c r="BN496" s="190"/>
      <c r="BO496" s="17"/>
      <c r="BP496" s="247"/>
      <c r="BQ496" s="247"/>
      <c r="BR496" s="247"/>
      <c r="BS496" s="17"/>
      <c r="BT496" s="17"/>
      <c r="BU496" s="17"/>
      <c r="BV496" s="189"/>
      <c r="BW496" s="196"/>
      <c r="BX496" s="246"/>
      <c r="BY496" s="190"/>
      <c r="BZ496" s="190"/>
      <c r="CA496" s="190"/>
      <c r="CB496" s="247"/>
      <c r="CC496" s="247"/>
      <c r="CD496" s="247"/>
      <c r="CE496" s="17"/>
      <c r="CF496" s="17"/>
      <c r="CG496" s="17"/>
      <c r="CH496" s="247"/>
      <c r="CI496" s="247"/>
      <c r="CJ496" s="247"/>
      <c r="CK496" s="17"/>
      <c r="CL496" s="17"/>
      <c r="CM496" s="17"/>
      <c r="CN496" s="17"/>
      <c r="CO496" s="17"/>
      <c r="CP496" s="11"/>
      <c r="CQ496" s="11"/>
      <c r="CR496" s="11"/>
      <c r="CS496" s="11"/>
      <c r="CT496" s="247"/>
      <c r="CU496" s="247"/>
      <c r="CV496" s="247"/>
      <c r="CW496" s="11"/>
      <c r="CX496" s="11"/>
      <c r="CY496" s="11"/>
      <c r="CZ496" s="11"/>
      <c r="DA496" s="11"/>
      <c r="DB496" s="11"/>
      <c r="DC496" s="11"/>
      <c r="DD496" s="11"/>
      <c r="DE496" s="11"/>
      <c r="DF496" s="11"/>
      <c r="DG496" s="11"/>
      <c r="DH496" s="11"/>
      <c r="DI496" s="11"/>
      <c r="DJ496" s="11"/>
      <c r="DK496" s="11"/>
      <c r="DL496" s="247"/>
      <c r="DM496" s="247"/>
      <c r="DN496" s="247"/>
      <c r="DO496" s="247"/>
      <c r="DP496" s="247"/>
      <c r="DQ496" s="247"/>
      <c r="DR496" s="247"/>
      <c r="DS496" s="247"/>
      <c r="DT496" s="247"/>
      <c r="DU496" s="247"/>
      <c r="DV496" s="247"/>
      <c r="DW496" s="247"/>
      <c r="DX496" s="247"/>
      <c r="DY496" s="247"/>
      <c r="DZ496" s="247"/>
      <c r="EA496" s="247"/>
      <c r="EB496" s="247"/>
      <c r="EC496" s="247"/>
      <c r="ED496" s="17">
        <f t="shared" si="171"/>
        <v>265727</v>
      </c>
      <c r="EE496" s="29">
        <f t="shared" si="172"/>
        <v>2</v>
      </c>
      <c r="EF496" s="17">
        <f t="shared" si="173"/>
        <v>132863.5</v>
      </c>
    </row>
    <row r="497" spans="1:136" x14ac:dyDescent="0.25">
      <c r="A497" s="25">
        <f>Distribución_Elementos!A497</f>
        <v>495</v>
      </c>
      <c r="B497" s="22" t="str">
        <f>Distribución_Elementos!B497</f>
        <v>Timer digital 4 canales</v>
      </c>
      <c r="C497" s="22" t="str">
        <f>Distribución_Elementos!C497</f>
        <v>Cualquier marca</v>
      </c>
      <c r="D497" s="22" t="str">
        <f>Distribución_Elementos!D497</f>
        <v>Unidad</v>
      </c>
      <c r="E497" s="224">
        <v>1</v>
      </c>
      <c r="F497" s="221">
        <v>113050</v>
      </c>
      <c r="G497" s="221">
        <v>111265</v>
      </c>
      <c r="H497" s="221">
        <v>239904</v>
      </c>
      <c r="I497" s="221">
        <v>239785</v>
      </c>
      <c r="J497" s="221">
        <v>235549.88916666669</v>
      </c>
      <c r="K497" s="221">
        <v>220150</v>
      </c>
      <c r="L497" s="247">
        <f>AVERAGE(F497,H497,J497)</f>
        <v>196167.96305555556</v>
      </c>
      <c r="M497" s="247">
        <f>AVERAGE(G497,I497,K497)*E1</f>
        <v>196112</v>
      </c>
      <c r="N497" s="227">
        <v>190000</v>
      </c>
      <c r="O497" s="119">
        <f t="shared" si="176"/>
        <v>36100</v>
      </c>
      <c r="P497" s="119">
        <f t="shared" si="177"/>
        <v>226100</v>
      </c>
      <c r="Q497" s="11"/>
      <c r="R497" s="11"/>
      <c r="S497" s="25"/>
      <c r="T497" s="128"/>
      <c r="U497" s="247"/>
      <c r="V497" s="247"/>
      <c r="W497" s="17"/>
      <c r="X497" s="11"/>
      <c r="Y497" s="11"/>
      <c r="Z497" s="247"/>
      <c r="AA497" s="247"/>
      <c r="AB497" s="247"/>
      <c r="AC497" s="11"/>
      <c r="AD497" s="11"/>
      <c r="AE497" s="11"/>
      <c r="AF497" s="247"/>
      <c r="AG497" s="247"/>
      <c r="AH497" s="247"/>
      <c r="AI497" s="11"/>
      <c r="AJ497" s="11"/>
      <c r="AK497" s="11"/>
      <c r="AL497" s="102"/>
      <c r="AM497" s="102"/>
      <c r="AN497" s="102"/>
      <c r="AO497" s="44"/>
      <c r="AP497" s="44"/>
      <c r="AQ497" s="11"/>
      <c r="AR497" s="247"/>
      <c r="AS497" s="247"/>
      <c r="AT497" s="247"/>
      <c r="AU497" s="11"/>
      <c r="AV497" s="11"/>
      <c r="AW497" s="11"/>
      <c r="AX497" s="247"/>
      <c r="AY497" s="247"/>
      <c r="AZ497" s="247"/>
      <c r="BA497" s="16"/>
      <c r="BB497" s="52"/>
      <c r="BC497" s="17"/>
      <c r="BD497" s="247"/>
      <c r="BE497" s="247"/>
      <c r="BF497" s="247"/>
      <c r="BG497" s="11"/>
      <c r="BH497" s="11"/>
      <c r="BI497" s="11"/>
      <c r="BJ497" s="247">
        <v>293200</v>
      </c>
      <c r="BK497" s="247">
        <f t="shared" si="168"/>
        <v>55708</v>
      </c>
      <c r="BL497" s="247">
        <f t="shared" si="169"/>
        <v>348908</v>
      </c>
      <c r="BM497" s="190" t="s">
        <v>375</v>
      </c>
      <c r="BN497" s="190" t="s">
        <v>316</v>
      </c>
      <c r="BO497" s="6"/>
      <c r="BP497" s="247">
        <v>165000</v>
      </c>
      <c r="BQ497" s="247">
        <f t="shared" si="170"/>
        <v>31350</v>
      </c>
      <c r="BR497" s="247">
        <f t="shared" si="174"/>
        <v>196350</v>
      </c>
      <c r="BS497" s="6"/>
      <c r="BT497" s="6"/>
      <c r="BU497" s="6"/>
      <c r="BV497" s="195">
        <v>355701.44400000002</v>
      </c>
      <c r="BW497" s="195">
        <f>+BV497*0.19</f>
        <v>67583.27436000001</v>
      </c>
      <c r="BX497" s="246">
        <f>+BV497+BW497</f>
        <v>423284.71836000006</v>
      </c>
      <c r="BY497" s="190" t="s">
        <v>375</v>
      </c>
      <c r="BZ497" s="190" t="s">
        <v>316</v>
      </c>
      <c r="CA497" s="190"/>
      <c r="CB497" s="247"/>
      <c r="CC497" s="247"/>
      <c r="CD497" s="247"/>
      <c r="CE497" s="11"/>
      <c r="CF497" s="11"/>
      <c r="CG497" s="11"/>
      <c r="CH497" s="247"/>
      <c r="CI497" s="247"/>
      <c r="CJ497" s="247"/>
      <c r="CK497" s="11"/>
      <c r="CL497" s="11"/>
      <c r="CM497" s="11"/>
      <c r="CN497" s="11"/>
      <c r="CO497" s="11"/>
      <c r="CP497" s="11"/>
      <c r="CQ497" s="11"/>
      <c r="CR497" s="11"/>
      <c r="CS497" s="11"/>
      <c r="CT497" s="247"/>
      <c r="CU497" s="247"/>
      <c r="CV497" s="247"/>
      <c r="CW497" s="11"/>
      <c r="CX497" s="11"/>
      <c r="CY497" s="11"/>
      <c r="CZ497" s="11"/>
      <c r="DA497" s="11"/>
      <c r="DB497" s="11"/>
      <c r="DC497" s="11"/>
      <c r="DD497" s="11"/>
      <c r="DE497" s="11"/>
      <c r="DF497" s="11"/>
      <c r="DG497" s="11"/>
      <c r="DH497" s="11"/>
      <c r="DI497" s="11"/>
      <c r="DJ497" s="11"/>
      <c r="DK497" s="11"/>
      <c r="DL497" s="247"/>
      <c r="DM497" s="247"/>
      <c r="DN497" s="247"/>
      <c r="DO497" s="247"/>
      <c r="DP497" s="247"/>
      <c r="DQ497" s="247"/>
      <c r="DR497" s="247"/>
      <c r="DS497" s="247"/>
      <c r="DT497" s="247"/>
      <c r="DU497" s="247"/>
      <c r="DV497" s="247"/>
      <c r="DW497" s="247"/>
      <c r="DX497" s="247"/>
      <c r="DY497" s="247"/>
      <c r="DZ497" s="247"/>
      <c r="EA497" s="247"/>
      <c r="EB497" s="247"/>
      <c r="EC497" s="247"/>
      <c r="ED497" s="17">
        <f t="shared" si="171"/>
        <v>1390754.7183600001</v>
      </c>
      <c r="EE497" s="29">
        <f t="shared" si="172"/>
        <v>5</v>
      </c>
      <c r="EF497" s="17">
        <f t="shared" si="173"/>
        <v>278150.94367200002</v>
      </c>
    </row>
    <row r="498" spans="1:136" ht="25.5" x14ac:dyDescent="0.25">
      <c r="A498" s="25">
        <f>Distribución_Elementos!A498</f>
        <v>496</v>
      </c>
      <c r="B498" s="22" t="str">
        <f>Distribución_Elementos!B498</f>
        <v>Tinta brady (TLS 2200/TLS PC Link portable thermal Ribbons Black )</v>
      </c>
      <c r="C498" s="22" t="str">
        <f>Distribución_Elementos!C498</f>
        <v>R4310 Ptr Ribbon</v>
      </c>
      <c r="D498" s="22" t="str">
        <f>Distribución_Elementos!D498</f>
        <v>Unidad</v>
      </c>
      <c r="E498" s="224">
        <v>1</v>
      </c>
      <c r="F498" s="221">
        <v>225345.54</v>
      </c>
      <c r="G498" s="221">
        <v>221935</v>
      </c>
      <c r="H498" s="221">
        <v>0</v>
      </c>
      <c r="I498" s="221">
        <v>0</v>
      </c>
      <c r="J498" s="221">
        <v>612349.20833333337</v>
      </c>
      <c r="K498" s="221">
        <v>583100</v>
      </c>
      <c r="L498" s="247">
        <f>AVERAGE(F498,J498)</f>
        <v>418847.3741666667</v>
      </c>
      <c r="M498" s="247">
        <f>AVERAGE(G498,K498)*E1</f>
        <v>414593.02500000002</v>
      </c>
      <c r="N498" s="227"/>
      <c r="O498" s="119"/>
      <c r="P498" s="119"/>
      <c r="Q498" s="115"/>
      <c r="R498" s="115"/>
      <c r="S498" s="11"/>
      <c r="T498" s="247"/>
      <c r="U498" s="247"/>
      <c r="V498" s="247"/>
      <c r="W498" s="17"/>
      <c r="X498" s="11"/>
      <c r="Y498" s="11"/>
      <c r="Z498" s="247"/>
      <c r="AA498" s="247"/>
      <c r="AB498" s="247"/>
      <c r="AC498" s="44"/>
      <c r="AD498" s="22"/>
      <c r="AE498" s="17"/>
      <c r="AF498" s="247"/>
      <c r="AG498" s="247"/>
      <c r="AH498" s="151"/>
      <c r="AI498" s="22"/>
      <c r="AJ498" s="17"/>
      <c r="AK498" s="17"/>
      <c r="AL498" s="102"/>
      <c r="AM498" s="132"/>
      <c r="AN498" s="161"/>
      <c r="AO498" s="115"/>
      <c r="AP498" s="115"/>
      <c r="AQ498" s="17"/>
      <c r="AR498" s="247"/>
      <c r="AS498" s="247"/>
      <c r="AT498" s="247"/>
      <c r="AU498" s="17"/>
      <c r="AV498" s="17"/>
      <c r="AW498" s="17"/>
      <c r="AX498" s="247"/>
      <c r="AY498" s="247"/>
      <c r="AZ498" s="247"/>
      <c r="BA498" s="17"/>
      <c r="BB498" s="52"/>
      <c r="BC498" s="17"/>
      <c r="BD498" s="247"/>
      <c r="BE498" s="247"/>
      <c r="BF498" s="247"/>
      <c r="BG498" s="17"/>
      <c r="BH498" s="17"/>
      <c r="BI498" s="17"/>
      <c r="BJ498" s="247">
        <v>486600</v>
      </c>
      <c r="BK498" s="247">
        <f t="shared" si="168"/>
        <v>92454</v>
      </c>
      <c r="BL498" s="247">
        <f t="shared" si="169"/>
        <v>579054</v>
      </c>
      <c r="BM498" s="190" t="s">
        <v>375</v>
      </c>
      <c r="BN498" s="190" t="s">
        <v>1766</v>
      </c>
      <c r="BO498" s="17"/>
      <c r="BP498" s="247"/>
      <c r="BQ498" s="247"/>
      <c r="BR498" s="247"/>
      <c r="BS498" s="17"/>
      <c r="BT498" s="17"/>
      <c r="BU498" s="17"/>
      <c r="BV498" s="195">
        <v>573561.25920000009</v>
      </c>
      <c r="BW498" s="195">
        <f>+BV498*0.19</f>
        <v>108976.63924800002</v>
      </c>
      <c r="BX498" s="246">
        <f>+BV498+BW498</f>
        <v>682537.89844800008</v>
      </c>
      <c r="BY498" s="190" t="s">
        <v>375</v>
      </c>
      <c r="BZ498" s="190" t="s">
        <v>1766</v>
      </c>
      <c r="CA498" s="190"/>
      <c r="CB498" s="252"/>
      <c r="CC498" s="247"/>
      <c r="CD498" s="247"/>
      <c r="CE498" s="17"/>
      <c r="CF498" s="17"/>
      <c r="CG498" s="17"/>
      <c r="CH498" s="247"/>
      <c r="CI498" s="247"/>
      <c r="CJ498" s="247"/>
      <c r="CK498" s="17"/>
      <c r="CL498" s="17"/>
      <c r="CM498" s="17"/>
      <c r="CN498" s="17"/>
      <c r="CO498" s="17"/>
      <c r="CP498" s="11"/>
      <c r="CQ498" s="11"/>
      <c r="CR498" s="11"/>
      <c r="CS498" s="11"/>
      <c r="CT498" s="247"/>
      <c r="CU498" s="247"/>
      <c r="CV498" s="247"/>
      <c r="CW498" s="11"/>
      <c r="CX498" s="11"/>
      <c r="CY498" s="11"/>
      <c r="CZ498" s="11"/>
      <c r="DA498" s="11"/>
      <c r="DB498" s="11"/>
      <c r="DC498" s="11"/>
      <c r="DD498" s="11"/>
      <c r="DE498" s="11"/>
      <c r="DF498" s="11"/>
      <c r="DG498" s="11"/>
      <c r="DH498" s="11"/>
      <c r="DI498" s="11"/>
      <c r="DJ498" s="11"/>
      <c r="DK498" s="11"/>
      <c r="DL498" s="247"/>
      <c r="DM498" s="247"/>
      <c r="DN498" s="247"/>
      <c r="DO498" s="247"/>
      <c r="DP498" s="247"/>
      <c r="DQ498" s="247"/>
      <c r="DR498" s="247"/>
      <c r="DS498" s="247"/>
      <c r="DT498" s="247"/>
      <c r="DU498" s="247"/>
      <c r="DV498" s="247"/>
      <c r="DW498" s="247"/>
      <c r="DX498" s="247"/>
      <c r="DY498" s="247"/>
      <c r="DZ498" s="247"/>
      <c r="EA498" s="247"/>
      <c r="EB498" s="247"/>
      <c r="EC498" s="247"/>
      <c r="ED498" s="17">
        <f t="shared" si="171"/>
        <v>1676184.9234480001</v>
      </c>
      <c r="EE498" s="29">
        <f t="shared" si="172"/>
        <v>3</v>
      </c>
      <c r="EF498" s="17">
        <f t="shared" si="173"/>
        <v>558728.30781600007</v>
      </c>
    </row>
    <row r="499" spans="1:136" ht="25.5" x14ac:dyDescent="0.25">
      <c r="A499" s="25">
        <f>Distribución_Elementos!A499</f>
        <v>497</v>
      </c>
      <c r="B499" s="22" t="str">
        <f>Distribución_Elementos!B499</f>
        <v xml:space="preserve">Toalla absorbente multiusos reutilizable, presentación en rollo por mínimo 64 toallas  </v>
      </c>
      <c r="C499" s="22" t="str">
        <f>Distribución_Elementos!C499</f>
        <v>Scott, familia o equivalente</v>
      </c>
      <c r="D499" s="22" t="str">
        <f>Distribución_Elementos!D499</f>
        <v>Rollo</v>
      </c>
      <c r="E499" s="224">
        <v>1</v>
      </c>
      <c r="F499" s="221">
        <v>0</v>
      </c>
      <c r="G499" s="221">
        <v>0</v>
      </c>
      <c r="H499" s="221">
        <v>0</v>
      </c>
      <c r="I499" s="221">
        <v>0</v>
      </c>
      <c r="J499" s="221">
        <v>10341.6</v>
      </c>
      <c r="K499" s="221">
        <v>10234</v>
      </c>
      <c r="L499" s="247">
        <f>J499</f>
        <v>10341.6</v>
      </c>
      <c r="M499" s="247">
        <f>K499*E1</f>
        <v>10541.02</v>
      </c>
      <c r="N499" s="228">
        <v>10000</v>
      </c>
      <c r="O499" s="119">
        <f t="shared" si="176"/>
        <v>1900</v>
      </c>
      <c r="P499" s="119">
        <f>+N499+O499</f>
        <v>11900</v>
      </c>
      <c r="Q499" s="115"/>
      <c r="R499" s="115"/>
      <c r="S499" s="11"/>
      <c r="T499" s="247"/>
      <c r="U499" s="247"/>
      <c r="V499" s="247"/>
      <c r="W499" s="17"/>
      <c r="X499" s="11"/>
      <c r="Y499" s="11"/>
      <c r="Z499" s="247"/>
      <c r="AA499" s="247"/>
      <c r="AB499" s="247"/>
      <c r="AC499" s="46"/>
      <c r="AD499" s="23"/>
      <c r="AE499" s="17"/>
      <c r="AF499" s="247"/>
      <c r="AG499" s="247"/>
      <c r="AH499" s="152"/>
      <c r="AI499" s="24"/>
      <c r="AJ499" s="17"/>
      <c r="AK499" s="17"/>
      <c r="AL499" s="102"/>
      <c r="AM499" s="132"/>
      <c r="AN499" s="161"/>
      <c r="AO499" s="115"/>
      <c r="AP499" s="115"/>
      <c r="AQ499" s="17"/>
      <c r="AR499" s="247"/>
      <c r="AS499" s="247"/>
      <c r="AT499" s="247"/>
      <c r="AU499" s="17"/>
      <c r="AV499" s="17"/>
      <c r="AW499" s="17"/>
      <c r="AX499" s="247"/>
      <c r="AY499" s="247"/>
      <c r="AZ499" s="247"/>
      <c r="BA499" s="17"/>
      <c r="BB499" s="52"/>
      <c r="BC499" s="17"/>
      <c r="BD499" s="247"/>
      <c r="BE499" s="247"/>
      <c r="BF499" s="247"/>
      <c r="BG499" s="17"/>
      <c r="BH499" s="17"/>
      <c r="BI499" s="17"/>
      <c r="BJ499" s="247">
        <v>71500</v>
      </c>
      <c r="BK499" s="247">
        <f t="shared" si="168"/>
        <v>13585</v>
      </c>
      <c r="BL499" s="247">
        <f t="shared" si="169"/>
        <v>85085</v>
      </c>
      <c r="BM499" s="190" t="s">
        <v>1767</v>
      </c>
      <c r="BN499" s="190" t="s">
        <v>1768</v>
      </c>
      <c r="BO499" s="17"/>
      <c r="BP499" s="247">
        <v>8600</v>
      </c>
      <c r="BQ499" s="247">
        <f t="shared" si="170"/>
        <v>1634</v>
      </c>
      <c r="BR499" s="247">
        <f t="shared" si="174"/>
        <v>10234</v>
      </c>
      <c r="BS499" s="17"/>
      <c r="BT499" s="17"/>
      <c r="BU499" s="17"/>
      <c r="BV499" s="189">
        <v>75869.078999999998</v>
      </c>
      <c r="BW499" s="195">
        <f>+BV499*0.19</f>
        <v>14415.12501</v>
      </c>
      <c r="BX499" s="246">
        <f>+BV499+BW499</f>
        <v>90284.204010000001</v>
      </c>
      <c r="BY499" s="190" t="s">
        <v>1767</v>
      </c>
      <c r="BZ499" s="190" t="s">
        <v>1768</v>
      </c>
      <c r="CA499" s="190"/>
      <c r="CB499" s="247"/>
      <c r="CC499" s="247"/>
      <c r="CD499" s="247"/>
      <c r="CE499" s="17"/>
      <c r="CF499" s="17"/>
      <c r="CG499" s="17"/>
      <c r="CH499" s="252"/>
      <c r="CI499" s="252"/>
      <c r="CJ499" s="252"/>
      <c r="CK499" s="17"/>
      <c r="CL499" s="17"/>
      <c r="CM499" s="17"/>
      <c r="CN499" s="17"/>
      <c r="CO499" s="17"/>
      <c r="CP499" s="11"/>
      <c r="CQ499" s="11"/>
      <c r="CR499" s="11"/>
      <c r="CS499" s="11"/>
      <c r="CT499" s="247"/>
      <c r="CU499" s="247"/>
      <c r="CV499" s="247"/>
      <c r="CW499" s="11"/>
      <c r="CX499" s="11"/>
      <c r="CY499" s="11"/>
      <c r="CZ499" s="11"/>
      <c r="DA499" s="11"/>
      <c r="DB499" s="11"/>
      <c r="DC499" s="11"/>
      <c r="DD499" s="11"/>
      <c r="DE499" s="11"/>
      <c r="DF499" s="11"/>
      <c r="DG499" s="11"/>
      <c r="DH499" s="11"/>
      <c r="DI499" s="11"/>
      <c r="DJ499" s="11"/>
      <c r="DK499" s="11"/>
      <c r="DL499" s="247"/>
      <c r="DM499" s="247"/>
      <c r="DN499" s="247"/>
      <c r="DO499" s="247"/>
      <c r="DP499" s="247"/>
      <c r="DQ499" s="247"/>
      <c r="DR499" s="247"/>
      <c r="DS499" s="247"/>
      <c r="DT499" s="247"/>
      <c r="DU499" s="247"/>
      <c r="DV499" s="247"/>
      <c r="DW499" s="247"/>
      <c r="DX499" s="247"/>
      <c r="DY499" s="247"/>
      <c r="DZ499" s="247"/>
      <c r="EA499" s="247"/>
      <c r="EB499" s="247"/>
      <c r="EC499" s="247"/>
      <c r="ED499" s="17">
        <f t="shared" si="171"/>
        <v>208044.22401000001</v>
      </c>
      <c r="EE499" s="29">
        <f t="shared" si="172"/>
        <v>5</v>
      </c>
      <c r="EF499" s="17">
        <f t="shared" si="173"/>
        <v>41608.844802</v>
      </c>
    </row>
    <row r="500" spans="1:136" ht="24" x14ac:dyDescent="0.25">
      <c r="A500" s="25">
        <f>Distribución_Elementos!A500</f>
        <v>498</v>
      </c>
      <c r="B500" s="22" t="str">
        <f>Distribución_Elementos!B500</f>
        <v>Toalla de manos doblada en Z Natural Hoja Triple</v>
      </c>
      <c r="C500" s="22" t="str">
        <f>Distribución_Elementos!C500</f>
        <v>Familia 73547 o equivalente</v>
      </c>
      <c r="D500" s="22" t="str">
        <f>Distribución_Elementos!D500</f>
        <v>Caja x 24 paquetes</v>
      </c>
      <c r="E500" s="224">
        <v>1</v>
      </c>
      <c r="F500" s="221">
        <v>99960</v>
      </c>
      <c r="G500" s="221">
        <v>97461</v>
      </c>
      <c r="H500" s="221">
        <v>271601.30410000001</v>
      </c>
      <c r="I500" s="221">
        <v>271439</v>
      </c>
      <c r="J500" s="221">
        <v>158267.02499999999</v>
      </c>
      <c r="K500" s="221">
        <v>158000</v>
      </c>
      <c r="L500" s="247">
        <f>AVERAGE(F500,H500,J500)</f>
        <v>176609.44303333331</v>
      </c>
      <c r="M500" s="247">
        <f>AVERAGE(G500,I500,K500)*E1</f>
        <v>180902.33333333334</v>
      </c>
      <c r="N500" s="227">
        <v>200000</v>
      </c>
      <c r="O500" s="119">
        <f t="shared" si="176"/>
        <v>38000</v>
      </c>
      <c r="P500" s="119">
        <f>+N500+O500</f>
        <v>238000</v>
      </c>
      <c r="Q500" s="11"/>
      <c r="R500" s="11"/>
      <c r="S500" s="11"/>
      <c r="T500" s="247"/>
      <c r="U500" s="247"/>
      <c r="V500" s="247"/>
      <c r="W500" s="11"/>
      <c r="X500" s="11"/>
      <c r="Y500" s="11"/>
      <c r="Z500" s="247"/>
      <c r="AA500" s="247"/>
      <c r="AB500" s="247"/>
      <c r="AC500" s="11"/>
      <c r="AD500" s="11"/>
      <c r="AE500" s="11"/>
      <c r="AF500" s="247"/>
      <c r="AG500" s="247"/>
      <c r="AH500" s="247"/>
      <c r="AI500" s="11"/>
      <c r="AJ500" s="11"/>
      <c r="AK500" s="11"/>
      <c r="AL500" s="102"/>
      <c r="AM500" s="102"/>
      <c r="AN500" s="102"/>
      <c r="AO500" s="44"/>
      <c r="AP500" s="44"/>
      <c r="AQ500" s="11"/>
      <c r="AR500" s="247"/>
      <c r="AS500" s="247"/>
      <c r="AT500" s="247"/>
      <c r="AU500" s="11"/>
      <c r="AV500" s="11"/>
      <c r="AW500" s="11"/>
      <c r="AX500" s="247"/>
      <c r="AY500" s="247"/>
      <c r="AZ500" s="247"/>
      <c r="BA500" s="11"/>
      <c r="BB500" s="11"/>
      <c r="BC500" s="11"/>
      <c r="BD500" s="247"/>
      <c r="BE500" s="247"/>
      <c r="BF500" s="247"/>
      <c r="BG500" s="11"/>
      <c r="BH500" s="11"/>
      <c r="BI500" s="11"/>
      <c r="BJ500" s="247">
        <v>418000</v>
      </c>
      <c r="BK500" s="247">
        <f t="shared" si="168"/>
        <v>79420</v>
      </c>
      <c r="BL500" s="247">
        <f t="shared" si="169"/>
        <v>497420</v>
      </c>
      <c r="BM500" s="191" t="s">
        <v>1769</v>
      </c>
      <c r="BN500" s="190" t="s">
        <v>1768</v>
      </c>
      <c r="BO500" s="11"/>
      <c r="BP500" s="247">
        <v>165000</v>
      </c>
      <c r="BQ500" s="247">
        <f t="shared" si="170"/>
        <v>31350</v>
      </c>
      <c r="BR500" s="247">
        <f t="shared" si="174"/>
        <v>196350</v>
      </c>
      <c r="BS500" s="11"/>
      <c r="BT500" s="11"/>
      <c r="BU500" s="11"/>
      <c r="BV500" s="195">
        <v>465585.12</v>
      </c>
      <c r="BW500" s="195">
        <f>+BV500*0.19</f>
        <v>88461.1728</v>
      </c>
      <c r="BX500" s="246">
        <f>+BV500+BW500</f>
        <v>554046.29279999994</v>
      </c>
      <c r="BY500" s="191" t="s">
        <v>1769</v>
      </c>
      <c r="BZ500" s="190" t="s">
        <v>1768</v>
      </c>
      <c r="CA500" s="190"/>
      <c r="CB500" s="247"/>
      <c r="CC500" s="247"/>
      <c r="CD500" s="247"/>
      <c r="CE500" s="11"/>
      <c r="CF500" s="11"/>
      <c r="CG500" s="11"/>
      <c r="CH500" s="247"/>
      <c r="CI500" s="247"/>
      <c r="CJ500" s="247"/>
      <c r="CK500" s="11"/>
      <c r="CL500" s="11"/>
      <c r="CM500" s="11"/>
      <c r="CN500" s="11"/>
      <c r="CO500" s="11"/>
      <c r="CP500" s="11"/>
      <c r="CQ500" s="11"/>
      <c r="CR500" s="11"/>
      <c r="CS500" s="11"/>
      <c r="CT500" s="247"/>
      <c r="CU500" s="247"/>
      <c r="CV500" s="247"/>
      <c r="CW500" s="11"/>
      <c r="CX500" s="11"/>
      <c r="CY500" s="11"/>
      <c r="CZ500" s="11"/>
      <c r="DA500" s="11"/>
      <c r="DB500" s="11"/>
      <c r="DC500" s="11"/>
      <c r="DD500" s="11"/>
      <c r="DE500" s="11"/>
      <c r="DF500" s="11"/>
      <c r="DG500" s="11"/>
      <c r="DH500" s="11"/>
      <c r="DI500" s="11"/>
      <c r="DJ500" s="11"/>
      <c r="DK500" s="11"/>
      <c r="DL500" s="247"/>
      <c r="DM500" s="247"/>
      <c r="DN500" s="247"/>
      <c r="DO500" s="247"/>
      <c r="DP500" s="247"/>
      <c r="DQ500" s="247"/>
      <c r="DR500" s="247"/>
      <c r="DS500" s="247"/>
      <c r="DT500" s="247"/>
      <c r="DU500" s="247"/>
      <c r="DV500" s="247"/>
      <c r="DW500" s="247"/>
      <c r="DX500" s="247"/>
      <c r="DY500" s="247"/>
      <c r="DZ500" s="247"/>
      <c r="EA500" s="247"/>
      <c r="EB500" s="247"/>
      <c r="EC500" s="247"/>
      <c r="ED500" s="17">
        <f t="shared" si="171"/>
        <v>1666718.6261333334</v>
      </c>
      <c r="EE500" s="29">
        <f t="shared" si="172"/>
        <v>5</v>
      </c>
      <c r="EF500" s="17">
        <f t="shared" si="173"/>
        <v>333343.72522666666</v>
      </c>
    </row>
    <row r="501" spans="1:136" ht="51" x14ac:dyDescent="0.25">
      <c r="A501" s="25">
        <f>Distribución_Elementos!A501</f>
        <v>499</v>
      </c>
      <c r="B501" s="22" t="str">
        <f>Distribución_Elementos!B501</f>
        <v>Tubo 2.0 ml fondo cónico</v>
      </c>
      <c r="C501" s="22" t="str">
        <f>Distribución_Elementos!C501</f>
        <v>Axygen</v>
      </c>
      <c r="D501" s="22" t="str">
        <f>Distribución_Elementos!D501</f>
        <v>Bolsa X 500</v>
      </c>
      <c r="E501" s="224">
        <v>1</v>
      </c>
      <c r="F501" s="221">
        <v>108986.15</v>
      </c>
      <c r="G501" s="221">
        <v>105672</v>
      </c>
      <c r="H501" s="221">
        <v>98074.944799999997</v>
      </c>
      <c r="I501" s="221">
        <v>73185</v>
      </c>
      <c r="J501" s="221">
        <v>208773.60156531306</v>
      </c>
      <c r="K501" s="221">
        <v>190162</v>
      </c>
      <c r="L501" s="247">
        <f>AVERAGE(F501,H501,J501)</f>
        <v>138611.56545510434</v>
      </c>
      <c r="M501" s="247">
        <f>AVERAGE(G501,I501,K501)*E1</f>
        <v>126696.52333333333</v>
      </c>
      <c r="N501" s="227"/>
      <c r="O501" s="119"/>
      <c r="P501" s="119"/>
      <c r="Q501" s="115"/>
      <c r="R501" s="115"/>
      <c r="S501" s="11"/>
      <c r="T501" s="247">
        <f>76780/2</f>
        <v>38390</v>
      </c>
      <c r="U501" s="247">
        <f>+T501*0.19</f>
        <v>7294.1</v>
      </c>
      <c r="V501" s="247">
        <f>+T501+U501</f>
        <v>45684.1</v>
      </c>
      <c r="W501" s="17" t="s">
        <v>1770</v>
      </c>
      <c r="X501" s="11" t="s">
        <v>1648</v>
      </c>
      <c r="Y501" s="11"/>
      <c r="Z501" s="247"/>
      <c r="AA501" s="247"/>
      <c r="AB501" s="247"/>
      <c r="AC501" s="44"/>
      <c r="AD501" s="22"/>
      <c r="AE501" s="17"/>
      <c r="AF501" s="247"/>
      <c r="AG501" s="247"/>
      <c r="AH501" s="151"/>
      <c r="AI501" s="4"/>
      <c r="AJ501" s="17"/>
      <c r="AK501" s="17"/>
      <c r="AL501" s="102"/>
      <c r="AM501" s="132"/>
      <c r="AN501" s="161"/>
      <c r="AO501" s="115"/>
      <c r="AP501" s="115"/>
      <c r="AQ501" s="17"/>
      <c r="AR501" s="247"/>
      <c r="AS501" s="247"/>
      <c r="AT501" s="247"/>
      <c r="AU501" s="17"/>
      <c r="AV501" s="17"/>
      <c r="AW501" s="17"/>
      <c r="AX501" s="247"/>
      <c r="AY501" s="247"/>
      <c r="AZ501" s="247"/>
      <c r="BA501" s="17"/>
      <c r="BB501" s="52"/>
      <c r="BC501" s="17"/>
      <c r="BD501" s="102">
        <v>67980</v>
      </c>
      <c r="BE501" s="247">
        <f>+BD501*0.19</f>
        <v>12916.2</v>
      </c>
      <c r="BF501" s="247">
        <f>+BD501+BE501</f>
        <v>80896.2</v>
      </c>
      <c r="BG501" s="25" t="s">
        <v>1525</v>
      </c>
      <c r="BH501" s="5" t="s">
        <v>1771</v>
      </c>
      <c r="BI501" s="5" t="s">
        <v>1772</v>
      </c>
      <c r="BJ501" s="247">
        <v>379900</v>
      </c>
      <c r="BK501" s="247">
        <f t="shared" si="168"/>
        <v>72181</v>
      </c>
      <c r="BL501" s="247">
        <f t="shared" si="169"/>
        <v>452081</v>
      </c>
      <c r="BM501" s="191" t="s">
        <v>1773</v>
      </c>
      <c r="BN501" s="190" t="s">
        <v>1774</v>
      </c>
      <c r="BO501" s="17"/>
      <c r="BP501" s="247">
        <v>395000</v>
      </c>
      <c r="BQ501" s="247">
        <f t="shared" si="170"/>
        <v>75050</v>
      </c>
      <c r="BR501" s="247">
        <f t="shared" si="174"/>
        <v>470050</v>
      </c>
      <c r="BS501" s="17"/>
      <c r="BT501" s="17"/>
      <c r="BU501" s="17"/>
      <c r="BV501" s="189">
        <v>435553.83040000004</v>
      </c>
      <c r="BW501" s="195">
        <f>+BV501*0.19</f>
        <v>82755.227776000014</v>
      </c>
      <c r="BX501" s="246">
        <f>+BV501+BW501</f>
        <v>518309.05817600002</v>
      </c>
      <c r="BY501" s="191" t="s">
        <v>1773</v>
      </c>
      <c r="BZ501" s="190" t="s">
        <v>1774</v>
      </c>
      <c r="CA501" s="190"/>
      <c r="CB501" s="247"/>
      <c r="CC501" s="247"/>
      <c r="CD501" s="247"/>
      <c r="CE501" s="17"/>
      <c r="CF501" s="17"/>
      <c r="CG501" s="17"/>
      <c r="CH501" s="247"/>
      <c r="CI501" s="247"/>
      <c r="CJ501" s="247"/>
      <c r="CK501" s="17"/>
      <c r="CL501" s="17"/>
      <c r="CM501" s="17"/>
      <c r="CN501" s="17"/>
      <c r="CO501" s="17"/>
      <c r="CP501" s="11"/>
      <c r="CQ501" s="11"/>
      <c r="CR501" s="11"/>
      <c r="CS501" s="11"/>
      <c r="CT501" s="247"/>
      <c r="CU501" s="247"/>
      <c r="CV501" s="247"/>
      <c r="CW501" s="11"/>
      <c r="CX501" s="11"/>
      <c r="CY501" s="11"/>
      <c r="CZ501" s="11"/>
      <c r="DA501" s="11"/>
      <c r="DB501" s="11"/>
      <c r="DC501" s="11"/>
      <c r="DD501" s="11"/>
      <c r="DE501" s="11"/>
      <c r="DF501" s="11"/>
      <c r="DG501" s="11"/>
      <c r="DH501" s="11"/>
      <c r="DI501" s="11"/>
      <c r="DJ501" s="11"/>
      <c r="DK501" s="11"/>
      <c r="DL501" s="247"/>
      <c r="DM501" s="247"/>
      <c r="DN501" s="247"/>
      <c r="DO501" s="247"/>
      <c r="DP501" s="247"/>
      <c r="DQ501" s="247"/>
      <c r="DR501" s="247"/>
      <c r="DS501" s="247"/>
      <c r="DT501" s="247"/>
      <c r="DU501" s="247"/>
      <c r="DV501" s="247"/>
      <c r="DW501" s="247"/>
      <c r="DX501" s="247"/>
      <c r="DY501" s="247"/>
      <c r="DZ501" s="247"/>
      <c r="EA501" s="247"/>
      <c r="EB501" s="247"/>
      <c r="EC501" s="247"/>
      <c r="ED501" s="17">
        <f t="shared" si="171"/>
        <v>1693716.8815093334</v>
      </c>
      <c r="EE501" s="29">
        <f t="shared" si="172"/>
        <v>6</v>
      </c>
      <c r="EF501" s="17">
        <f t="shared" si="173"/>
        <v>282286.14691822225</v>
      </c>
    </row>
    <row r="502" spans="1:136" ht="114.75" x14ac:dyDescent="0.25">
      <c r="A502" s="25">
        <f>Distribución_Elementos!A502</f>
        <v>500</v>
      </c>
      <c r="B502" s="22" t="str">
        <f>Distribución_Elementos!B502</f>
        <v>Tubo de centrífuga de 15 ml en polipropileno, estéril, tapa rosca, fondo cónico, velocidad de centrífugación 12000 RPM, autoclavable (sin la tapa), rango de temperatura de -40 a +80º C, con graduación impresa.</v>
      </c>
      <c r="C502" s="22" t="str">
        <f>Distribución_Elementos!C502</f>
        <v>Falcon 352095 Fisher 11889640
MP BIOMEDICALS  
Corning
equivalentes</v>
      </c>
      <c r="D502" s="22" t="str">
        <f>Distribución_Elementos!D502</f>
        <v>Caja x 500</v>
      </c>
      <c r="E502" s="224">
        <v>1</v>
      </c>
      <c r="F502" s="221">
        <v>783622.93333333335</v>
      </c>
      <c r="G502" s="221">
        <v>763980</v>
      </c>
      <c r="H502" s="221">
        <v>608760.71311743534</v>
      </c>
      <c r="I502" s="221">
        <v>0</v>
      </c>
      <c r="J502" s="221">
        <v>448383.27333333337</v>
      </c>
      <c r="K502" s="221">
        <v>0</v>
      </c>
      <c r="L502" s="247">
        <f>AVERAGE(F502,H502,J502)</f>
        <v>613588.97326136741</v>
      </c>
      <c r="M502" s="247">
        <f>G502*E1</f>
        <v>786899.4</v>
      </c>
      <c r="N502" s="227">
        <v>700000</v>
      </c>
      <c r="O502" s="119">
        <f>+N502*0.19</f>
        <v>133000</v>
      </c>
      <c r="P502" s="119">
        <f>+N502+O502</f>
        <v>833000</v>
      </c>
      <c r="Q502" s="115"/>
      <c r="R502" s="115"/>
      <c r="S502" s="11"/>
      <c r="T502" s="247"/>
      <c r="U502" s="247"/>
      <c r="V502" s="247"/>
      <c r="W502" s="17"/>
      <c r="X502" s="11"/>
      <c r="Y502" s="11"/>
      <c r="Z502" s="247">
        <f>53000*10</f>
        <v>530000</v>
      </c>
      <c r="AA502" s="247">
        <f>+Z502*0.19</f>
        <v>100700</v>
      </c>
      <c r="AB502" s="247">
        <f>+Z502+AA502</f>
        <v>630700</v>
      </c>
      <c r="AC502" s="133" t="s">
        <v>1775</v>
      </c>
      <c r="AD502" s="22" t="s">
        <v>1539</v>
      </c>
      <c r="AE502" s="17"/>
      <c r="AF502" s="247"/>
      <c r="AG502" s="247"/>
      <c r="AH502" s="151"/>
      <c r="AI502" s="4"/>
      <c r="AJ502" s="17"/>
      <c r="AK502" s="17"/>
      <c r="AL502" s="102"/>
      <c r="AM502" s="132"/>
      <c r="AN502" s="161"/>
      <c r="AO502" s="115"/>
      <c r="AP502" s="115"/>
      <c r="AQ502" s="17"/>
      <c r="AR502" s="247"/>
      <c r="AS502" s="247"/>
      <c r="AT502" s="247"/>
      <c r="AU502" s="17"/>
      <c r="AV502" s="17"/>
      <c r="AW502" s="17"/>
      <c r="AX502" s="247"/>
      <c r="AY502" s="247"/>
      <c r="AZ502" s="247"/>
      <c r="BA502" s="17"/>
      <c r="BB502" s="52"/>
      <c r="BC502" s="17"/>
      <c r="BD502" s="102">
        <v>404106</v>
      </c>
      <c r="BE502" s="247">
        <f>+BD502*0.19</f>
        <v>76780.14</v>
      </c>
      <c r="BF502" s="247">
        <f>+BD502+BE502</f>
        <v>480886.14</v>
      </c>
      <c r="BG502" s="25" t="s">
        <v>1525</v>
      </c>
      <c r="BH502" s="5" t="s">
        <v>1776</v>
      </c>
      <c r="BI502" s="5" t="s">
        <v>1777</v>
      </c>
      <c r="BJ502" s="252"/>
      <c r="BK502" s="252"/>
      <c r="BL502" s="252"/>
      <c r="BM502" s="190"/>
      <c r="BN502" s="190"/>
      <c r="BO502" s="17"/>
      <c r="BP502" s="247">
        <v>652000</v>
      </c>
      <c r="BQ502" s="247">
        <f t="shared" ref="BQ502:BQ545" si="179">+BP502*19%</f>
        <v>123880</v>
      </c>
      <c r="BR502" s="247">
        <f t="shared" si="174"/>
        <v>775880</v>
      </c>
      <c r="BS502" s="17"/>
      <c r="BT502" s="17"/>
      <c r="BU502" s="17"/>
      <c r="BV502" s="195"/>
      <c r="BW502" s="195"/>
      <c r="BX502" s="246"/>
      <c r="BY502" s="190"/>
      <c r="BZ502" s="190"/>
      <c r="CA502" s="190"/>
      <c r="CB502" s="247"/>
      <c r="CC502" s="247"/>
      <c r="CD502" s="247"/>
      <c r="CE502" s="17"/>
      <c r="CF502" s="17"/>
      <c r="CG502" s="17"/>
      <c r="CH502" s="247"/>
      <c r="CI502" s="247"/>
      <c r="CJ502" s="247"/>
      <c r="CK502" s="17"/>
      <c r="CL502" s="17"/>
      <c r="CM502" s="17"/>
      <c r="CN502" s="17"/>
      <c r="CO502" s="17"/>
      <c r="CP502" s="11"/>
      <c r="CQ502" s="11"/>
      <c r="CR502" s="11"/>
      <c r="CS502" s="11"/>
      <c r="CT502" s="247"/>
      <c r="CU502" s="247"/>
      <c r="CV502" s="247"/>
      <c r="CW502" s="11"/>
      <c r="CX502" s="11"/>
      <c r="CY502" s="11"/>
      <c r="CZ502" s="11"/>
      <c r="DA502" s="11"/>
      <c r="DB502" s="11"/>
      <c r="DC502" s="11"/>
      <c r="DD502" s="11"/>
      <c r="DE502" s="11"/>
      <c r="DF502" s="11"/>
      <c r="DG502" s="11"/>
      <c r="DH502" s="11"/>
      <c r="DI502" s="11"/>
      <c r="DJ502" s="11"/>
      <c r="DK502" s="11"/>
      <c r="DL502" s="247"/>
      <c r="DM502" s="247"/>
      <c r="DN502" s="247"/>
      <c r="DO502" s="247"/>
      <c r="DP502" s="247"/>
      <c r="DQ502" s="247"/>
      <c r="DR502" s="247"/>
      <c r="DS502" s="247"/>
      <c r="DT502" s="247"/>
      <c r="DU502" s="247"/>
      <c r="DV502" s="247"/>
      <c r="DW502" s="247"/>
      <c r="DX502" s="247"/>
      <c r="DY502" s="247"/>
      <c r="DZ502" s="247"/>
      <c r="EA502" s="247"/>
      <c r="EB502" s="247"/>
      <c r="EC502" s="247"/>
      <c r="ED502" s="17">
        <f t="shared" ref="ED502:ED546" si="180">SUM(M502,P502,V502,AB502,AH502,AN502,AT502,AZ502,BF502,BL502,BR502,BX502,CD502,CJ502,CP502,CV502,DB502,DH502,DN502,DT502,DZ502)</f>
        <v>3507365.54</v>
      </c>
      <c r="EE502" s="29">
        <f t="shared" ref="EE502:EE546" si="181">COUNTA(M502,N502,T502,Z502,AF502,AL502,AR502,AX502,BD502,BJ502,BP502,BV502,CB502,CH502,CN502,CT502,CZ502,DF502,DL502,DR502,DX502)</f>
        <v>5</v>
      </c>
      <c r="EF502" s="17">
        <f t="shared" ref="EF502:EF546" si="182">IFERROR(ED502/EE502," ")</f>
        <v>701473.10800000001</v>
      </c>
    </row>
    <row r="503" spans="1:136" ht="63.75" x14ac:dyDescent="0.25">
      <c r="A503" s="25">
        <f>Distribución_Elementos!A503</f>
        <v>501</v>
      </c>
      <c r="B503" s="22" t="str">
        <f>Distribución_Elementos!B503</f>
        <v>Tubo de centrífuga de 50 ml en polipropileno con tapa rosca, Stand up</v>
      </c>
      <c r="C503" s="22" t="str">
        <f>Distribución_Elementos!C503</f>
        <v>Thomas Scientific 2602A42 Corning 430921</v>
      </c>
      <c r="D503" s="22" t="str">
        <f>Distribución_Elementos!D503</f>
        <v>Caja x 500</v>
      </c>
      <c r="E503" s="224">
        <v>1</v>
      </c>
      <c r="F503" s="221">
        <v>825146</v>
      </c>
      <c r="G503" s="221">
        <v>825146</v>
      </c>
      <c r="H503" s="221">
        <v>1156481.6666666667</v>
      </c>
      <c r="I503" s="221">
        <v>559300</v>
      </c>
      <c r="J503" s="221">
        <v>829609.58458710264</v>
      </c>
      <c r="K503" s="221">
        <v>0</v>
      </c>
      <c r="L503" s="247">
        <f>AVERAGE(F503,H503,J503)</f>
        <v>937079.08375125646</v>
      </c>
      <c r="M503" s="247">
        <f>AVERAGE(G503,I503)*E1</f>
        <v>712989.69000000006</v>
      </c>
      <c r="N503" s="227">
        <v>1300000</v>
      </c>
      <c r="O503" s="119">
        <f>+N503*0.19</f>
        <v>247000</v>
      </c>
      <c r="P503" s="119">
        <f>+N503+O503</f>
        <v>1547000</v>
      </c>
      <c r="Q503" s="115"/>
      <c r="R503" s="115"/>
      <c r="S503" s="11"/>
      <c r="T503" s="247">
        <f>101200*5</f>
        <v>506000</v>
      </c>
      <c r="U503" s="247">
        <f>+T503*0.19</f>
        <v>96140</v>
      </c>
      <c r="V503" s="247">
        <f>+T503+U503</f>
        <v>602140</v>
      </c>
      <c r="W503" s="17" t="s">
        <v>1756</v>
      </c>
      <c r="X503" s="11" t="s">
        <v>1517</v>
      </c>
      <c r="Y503" s="11"/>
      <c r="Z503" s="247"/>
      <c r="AA503" s="247"/>
      <c r="AB503" s="247"/>
      <c r="AC503" s="44"/>
      <c r="AD503" s="22"/>
      <c r="AE503" s="17"/>
      <c r="AF503" s="247"/>
      <c r="AG503" s="247"/>
      <c r="AH503" s="151"/>
      <c r="AI503" s="22"/>
      <c r="AJ503" s="17"/>
      <c r="AK503" s="17"/>
      <c r="AL503" s="102"/>
      <c r="AM503" s="132"/>
      <c r="AN503" s="161"/>
      <c r="AO503" s="115"/>
      <c r="AP503" s="115"/>
      <c r="AQ503" s="17"/>
      <c r="AR503" s="247"/>
      <c r="AS503" s="247"/>
      <c r="AT503" s="247"/>
      <c r="AU503" s="17"/>
      <c r="AV503" s="17"/>
      <c r="AW503" s="17"/>
      <c r="AX503" s="247"/>
      <c r="AY503" s="247"/>
      <c r="AZ503" s="247"/>
      <c r="BA503" s="17"/>
      <c r="BB503" s="52"/>
      <c r="BC503" s="17"/>
      <c r="BD503" s="102">
        <v>683284</v>
      </c>
      <c r="BE503" s="247">
        <f>+BD503*0.19</f>
        <v>129823.96</v>
      </c>
      <c r="BF503" s="247">
        <f>+BD503+BE503</f>
        <v>813107.96</v>
      </c>
      <c r="BG503" s="25" t="s">
        <v>1525</v>
      </c>
      <c r="BH503" s="5" t="s">
        <v>1778</v>
      </c>
      <c r="BI503" s="5" t="s">
        <v>1779</v>
      </c>
      <c r="BJ503" s="252"/>
      <c r="BK503" s="252"/>
      <c r="BL503" s="252"/>
      <c r="BM503" s="190"/>
      <c r="BN503" s="190"/>
      <c r="BO503" s="17"/>
      <c r="BP503" s="247">
        <v>1985000</v>
      </c>
      <c r="BQ503" s="247">
        <f t="shared" si="179"/>
        <v>377150</v>
      </c>
      <c r="BR503" s="247">
        <f t="shared" si="174"/>
        <v>2362150</v>
      </c>
      <c r="BS503" s="17"/>
      <c r="BT503" s="17"/>
      <c r="BU503" s="17"/>
      <c r="BV503" s="195"/>
      <c r="BW503" s="195"/>
      <c r="BX503" s="246"/>
      <c r="BY503" s="190"/>
      <c r="BZ503" s="190"/>
      <c r="CA503" s="190"/>
      <c r="CB503" s="247"/>
      <c r="CC503" s="247"/>
      <c r="CD503" s="247"/>
      <c r="CE503" s="17"/>
      <c r="CF503" s="17"/>
      <c r="CG503" s="17"/>
      <c r="CH503" s="247"/>
      <c r="CI503" s="247"/>
      <c r="CJ503" s="247"/>
      <c r="CK503" s="17"/>
      <c r="CL503" s="17"/>
      <c r="CM503" s="17"/>
      <c r="CN503" s="17"/>
      <c r="CO503" s="17"/>
      <c r="CP503" s="11"/>
      <c r="CQ503" s="11"/>
      <c r="CR503" s="11"/>
      <c r="CS503" s="11"/>
      <c r="CT503" s="247"/>
      <c r="CU503" s="247"/>
      <c r="CV503" s="247"/>
      <c r="CW503" s="11"/>
      <c r="CX503" s="11"/>
      <c r="CY503" s="11"/>
      <c r="CZ503" s="11"/>
      <c r="DA503" s="11"/>
      <c r="DB503" s="11"/>
      <c r="DC503" s="11"/>
      <c r="DD503" s="11"/>
      <c r="DE503" s="11"/>
      <c r="DF503" s="11"/>
      <c r="DG503" s="11"/>
      <c r="DH503" s="11"/>
      <c r="DI503" s="11"/>
      <c r="DJ503" s="11"/>
      <c r="DK503" s="11"/>
      <c r="DL503" s="247"/>
      <c r="DM503" s="247"/>
      <c r="DN503" s="247"/>
      <c r="DO503" s="247"/>
      <c r="DP503" s="247"/>
      <c r="DQ503" s="247"/>
      <c r="DR503" s="247"/>
      <c r="DS503" s="247"/>
      <c r="DT503" s="247"/>
      <c r="DU503" s="247"/>
      <c r="DV503" s="247"/>
      <c r="DW503" s="247"/>
      <c r="DX503" s="247"/>
      <c r="DY503" s="247"/>
      <c r="DZ503" s="247"/>
      <c r="EA503" s="247"/>
      <c r="EB503" s="247"/>
      <c r="EC503" s="247"/>
      <c r="ED503" s="17">
        <f t="shared" si="180"/>
        <v>6037387.6500000004</v>
      </c>
      <c r="EE503" s="29">
        <f t="shared" si="181"/>
        <v>5</v>
      </c>
      <c r="EF503" s="17">
        <f t="shared" si="182"/>
        <v>1207477.53</v>
      </c>
    </row>
    <row r="504" spans="1:136" ht="127.5" x14ac:dyDescent="0.25">
      <c r="A504" s="25">
        <f>Distribución_Elementos!A504</f>
        <v>502</v>
      </c>
      <c r="B504" s="22" t="str">
        <f>Distribución_Elementos!B504</f>
        <v>Tubo de centrífuga de 50 ml en polipropileno con tapa y sello de tapón, fondo cónico, estéril, graduado, velocidad de centrífugación 12000 RPM, autoclavable (sin la tapa), rango de temperatura de -40 a +80º C, con graduación impresa.</v>
      </c>
      <c r="C504" s="22" t="str">
        <f>Distribución_Elementos!C504</f>
        <v>Corning 430290 o equivalente</v>
      </c>
      <c r="D504" s="22" t="str">
        <f>Distribución_Elementos!D504</f>
        <v>Caja x 500</v>
      </c>
      <c r="E504" s="224">
        <v>1</v>
      </c>
      <c r="F504" s="221">
        <v>980639.33333333326</v>
      </c>
      <c r="G504" s="221">
        <v>965923</v>
      </c>
      <c r="H504" s="221">
        <v>900701.30716388614</v>
      </c>
      <c r="I504" s="221">
        <v>0</v>
      </c>
      <c r="J504" s="221">
        <v>563318.63</v>
      </c>
      <c r="K504" s="221">
        <v>0</v>
      </c>
      <c r="L504" s="247">
        <f>AVERAGE(F504,H504,J504)</f>
        <v>814886.42349907302</v>
      </c>
      <c r="M504" s="247">
        <f>G504*E1</f>
        <v>994900.69000000006</v>
      </c>
      <c r="N504" s="227">
        <v>1650000</v>
      </c>
      <c r="O504" s="119">
        <f>+N504*0.19</f>
        <v>313500</v>
      </c>
      <c r="P504" s="119">
        <f>+N504+O504</f>
        <v>1963500</v>
      </c>
      <c r="Q504" s="115"/>
      <c r="R504" s="115"/>
      <c r="S504" s="11"/>
      <c r="T504" s="247"/>
      <c r="U504" s="247"/>
      <c r="V504" s="247"/>
      <c r="W504" s="17"/>
      <c r="X504" s="11"/>
      <c r="Y504" s="11"/>
      <c r="Z504" s="247">
        <f>42000*20</f>
        <v>840000</v>
      </c>
      <c r="AA504" s="247">
        <f>+Z504*0.19</f>
        <v>159600</v>
      </c>
      <c r="AB504" s="247">
        <f>+Z504+AA504</f>
        <v>999600</v>
      </c>
      <c r="AC504" s="133" t="s">
        <v>1780</v>
      </c>
      <c r="AD504" s="22" t="s">
        <v>1539</v>
      </c>
      <c r="AE504" s="17"/>
      <c r="AF504" s="247"/>
      <c r="AG504" s="247"/>
      <c r="AH504" s="151"/>
      <c r="AI504" s="4"/>
      <c r="AJ504" s="17"/>
      <c r="AK504" s="17"/>
      <c r="AL504" s="102"/>
      <c r="AM504" s="132"/>
      <c r="AN504" s="161"/>
      <c r="AO504" s="115"/>
      <c r="AP504" s="115"/>
      <c r="AQ504" s="17"/>
      <c r="AR504" s="247"/>
      <c r="AS504" s="247"/>
      <c r="AT504" s="247"/>
      <c r="AU504" s="17"/>
      <c r="AV504" s="17"/>
      <c r="AW504" s="17"/>
      <c r="AX504" s="247"/>
      <c r="AY504" s="247"/>
      <c r="AZ504" s="247"/>
      <c r="BA504" s="17"/>
      <c r="BB504" s="52"/>
      <c r="BC504" s="17"/>
      <c r="BD504" s="102">
        <v>559630</v>
      </c>
      <c r="BE504" s="247">
        <f>+BD504*0.19</f>
        <v>106329.7</v>
      </c>
      <c r="BF504" s="247">
        <f>+BD504+BE504</f>
        <v>665959.69999999995</v>
      </c>
      <c r="BG504" s="25" t="s">
        <v>1525</v>
      </c>
      <c r="BH504" s="5" t="s">
        <v>1781</v>
      </c>
      <c r="BI504" s="5" t="s">
        <v>1782</v>
      </c>
      <c r="BJ504" s="252"/>
      <c r="BK504" s="252"/>
      <c r="BL504" s="252"/>
      <c r="BM504" s="190"/>
      <c r="BN504" s="190"/>
      <c r="BO504" s="17"/>
      <c r="BP504" s="247">
        <v>1985000</v>
      </c>
      <c r="BQ504" s="247">
        <f t="shared" si="179"/>
        <v>377150</v>
      </c>
      <c r="BR504" s="247">
        <f t="shared" ref="BR504:BR545" si="183">+BQ504+BP504</f>
        <v>2362150</v>
      </c>
      <c r="BS504" s="17"/>
      <c r="BT504" s="17"/>
      <c r="BU504" s="17"/>
      <c r="BV504" s="195"/>
      <c r="BW504" s="195"/>
      <c r="BX504" s="246"/>
      <c r="BY504" s="190"/>
      <c r="BZ504" s="190"/>
      <c r="CA504" s="190"/>
      <c r="CB504" s="247"/>
      <c r="CC504" s="247"/>
      <c r="CD504" s="247"/>
      <c r="CE504" s="17"/>
      <c r="CF504" s="17"/>
      <c r="CG504" s="17"/>
      <c r="CH504" s="247"/>
      <c r="CI504" s="247"/>
      <c r="CJ504" s="247"/>
      <c r="CK504" s="17"/>
      <c r="CL504" s="17"/>
      <c r="CM504" s="17"/>
      <c r="CN504" s="17"/>
      <c r="CO504" s="17"/>
      <c r="CP504" s="11"/>
      <c r="CQ504" s="11"/>
      <c r="CR504" s="11"/>
      <c r="CS504" s="11"/>
      <c r="CT504" s="247"/>
      <c r="CU504" s="247"/>
      <c r="CV504" s="247"/>
      <c r="CW504" s="11"/>
      <c r="CX504" s="11"/>
      <c r="CY504" s="11"/>
      <c r="CZ504" s="11"/>
      <c r="DA504" s="11"/>
      <c r="DB504" s="11"/>
      <c r="DC504" s="11"/>
      <c r="DD504" s="11"/>
      <c r="DE504" s="11"/>
      <c r="DF504" s="11"/>
      <c r="DG504" s="11"/>
      <c r="DH504" s="11"/>
      <c r="DI504" s="11"/>
      <c r="DJ504" s="11"/>
      <c r="DK504" s="11"/>
      <c r="DL504" s="247"/>
      <c r="DM504" s="247"/>
      <c r="DN504" s="247"/>
      <c r="DO504" s="247"/>
      <c r="DP504" s="247"/>
      <c r="DQ504" s="247"/>
      <c r="DR504" s="247"/>
      <c r="DS504" s="247"/>
      <c r="DT504" s="247"/>
      <c r="DU504" s="247"/>
      <c r="DV504" s="247"/>
      <c r="DW504" s="247"/>
      <c r="DX504" s="247"/>
      <c r="DY504" s="247"/>
      <c r="DZ504" s="247"/>
      <c r="EA504" s="247"/>
      <c r="EB504" s="247"/>
      <c r="EC504" s="247"/>
      <c r="ED504" s="17">
        <f t="shared" si="180"/>
        <v>6986110.3899999997</v>
      </c>
      <c r="EE504" s="29">
        <f t="shared" si="181"/>
        <v>5</v>
      </c>
      <c r="EF504" s="17">
        <f t="shared" si="182"/>
        <v>1397222.078</v>
      </c>
    </row>
    <row r="505" spans="1:136" ht="51" x14ac:dyDescent="0.25">
      <c r="A505" s="25">
        <f>Distribución_Elementos!A505</f>
        <v>503</v>
      </c>
      <c r="B505" s="22" t="str">
        <f>Distribución_Elementos!B505</f>
        <v>Tubo de centrífuga de 50 ml Oak Ridge,  fondo redondo, traslúcidos resistente a ácidos, bases y disolventes, capacidad para soportar fuerzas de hasta 50000xg, esterilizable en autoclave, 29,0*107,2 mm,  centrifigue FEP</v>
      </c>
      <c r="C505" s="22" t="str">
        <f>Distribución_Elementos!C505</f>
        <v>Nalgene®</v>
      </c>
      <c r="D505" s="22" t="str">
        <f>Distribución_Elementos!D505</f>
        <v xml:space="preserve">Bolsa  X 10 </v>
      </c>
      <c r="E505" s="224">
        <v>1</v>
      </c>
      <c r="F505" s="221">
        <v>0</v>
      </c>
      <c r="G505" s="221">
        <v>0</v>
      </c>
      <c r="H505" s="221">
        <v>0</v>
      </c>
      <c r="I505" s="221">
        <v>0</v>
      </c>
      <c r="J505" s="221">
        <v>0</v>
      </c>
      <c r="K505" s="221">
        <v>0</v>
      </c>
      <c r="L505" s="247"/>
      <c r="M505" s="247"/>
      <c r="N505" s="227"/>
      <c r="O505" s="119"/>
      <c r="P505" s="119"/>
      <c r="Q505" s="115"/>
      <c r="R505" s="115"/>
      <c r="S505" s="11"/>
      <c r="T505" s="247"/>
      <c r="U505" s="247"/>
      <c r="V505" s="247"/>
      <c r="W505" s="17"/>
      <c r="X505" s="11"/>
      <c r="Y505" s="11"/>
      <c r="Z505" s="247"/>
      <c r="AA505" s="247"/>
      <c r="AB505" s="247"/>
      <c r="AC505" s="44"/>
      <c r="AD505" s="22"/>
      <c r="AE505" s="17"/>
      <c r="AF505" s="247"/>
      <c r="AG505" s="247"/>
      <c r="AH505" s="151"/>
      <c r="AI505" s="4"/>
      <c r="AJ505" s="17"/>
      <c r="AK505" s="17"/>
      <c r="AL505" s="102"/>
      <c r="AM505" s="132"/>
      <c r="AN505" s="161"/>
      <c r="AO505" s="115"/>
      <c r="AP505" s="115"/>
      <c r="AQ505" s="17"/>
      <c r="AR505" s="247"/>
      <c r="AS505" s="247"/>
      <c r="AT505" s="247"/>
      <c r="AU505" s="17"/>
      <c r="AV505" s="17"/>
      <c r="AW505" s="17"/>
      <c r="AX505" s="247"/>
      <c r="AY505" s="247"/>
      <c r="AZ505" s="247"/>
      <c r="BA505" s="17"/>
      <c r="BB505" s="52"/>
      <c r="BC505" s="17"/>
      <c r="BD505" s="102"/>
      <c r="BE505" s="247"/>
      <c r="BF505" s="247"/>
      <c r="BG505" s="25"/>
      <c r="BH505" s="5"/>
      <c r="BI505" s="5"/>
      <c r="BJ505" s="247">
        <v>1171000</v>
      </c>
      <c r="BK505" s="247">
        <f t="shared" ref="BK505:BK546" si="184">+BJ505*0.19</f>
        <v>222490</v>
      </c>
      <c r="BL505" s="247">
        <f t="shared" ref="BL505:BL546" si="185">+BJ505+BK505</f>
        <v>1393490</v>
      </c>
      <c r="BM505" s="191" t="s">
        <v>1783</v>
      </c>
      <c r="BN505" s="190" t="s">
        <v>1677</v>
      </c>
      <c r="BO505" s="17"/>
      <c r="BP505" s="247">
        <v>985600</v>
      </c>
      <c r="BQ505" s="247">
        <f t="shared" si="179"/>
        <v>187264</v>
      </c>
      <c r="BR505" s="247">
        <f t="shared" si="183"/>
        <v>1172864</v>
      </c>
      <c r="BS505" s="17"/>
      <c r="BT505" s="17"/>
      <c r="BU505" s="17"/>
      <c r="BV505" s="189">
        <v>1353966.4080000001</v>
      </c>
      <c r="BW505" s="195">
        <f t="shared" ref="BW505:BW511" si="186">+BV505*0.19</f>
        <v>257253.61752</v>
      </c>
      <c r="BX505" s="246">
        <f t="shared" ref="BX505:BX511" si="187">+BV505+BW505</f>
        <v>1611220.0255200001</v>
      </c>
      <c r="BY505" s="191" t="s">
        <v>1783</v>
      </c>
      <c r="BZ505" s="190" t="s">
        <v>1677</v>
      </c>
      <c r="CA505" s="190"/>
      <c r="CB505" s="247"/>
      <c r="CC505" s="247"/>
      <c r="CD505" s="247"/>
      <c r="CE505" s="17"/>
      <c r="CF505" s="17"/>
      <c r="CG505" s="17"/>
      <c r="CH505" s="247"/>
      <c r="CI505" s="247"/>
      <c r="CJ505" s="247"/>
      <c r="CK505" s="17"/>
      <c r="CL505" s="17"/>
      <c r="CM505" s="17"/>
      <c r="CN505" s="17"/>
      <c r="CO505" s="17"/>
      <c r="CP505" s="11"/>
      <c r="CQ505" s="11"/>
      <c r="CR505" s="11"/>
      <c r="CS505" s="11"/>
      <c r="CT505" s="247"/>
      <c r="CU505" s="247"/>
      <c r="CV505" s="247"/>
      <c r="CW505" s="11"/>
      <c r="CX505" s="11"/>
      <c r="CY505" s="11"/>
      <c r="CZ505" s="11"/>
      <c r="DA505" s="11"/>
      <c r="DB505" s="11"/>
      <c r="DC505" s="11"/>
      <c r="DD505" s="11"/>
      <c r="DE505" s="11"/>
      <c r="DF505" s="11"/>
      <c r="DG505" s="11"/>
      <c r="DH505" s="11"/>
      <c r="DI505" s="11"/>
      <c r="DJ505" s="11"/>
      <c r="DK505" s="11"/>
      <c r="DL505" s="247"/>
      <c r="DM505" s="247"/>
      <c r="DN505" s="247"/>
      <c r="DO505" s="247"/>
      <c r="DP505" s="247"/>
      <c r="DQ505" s="247"/>
      <c r="DR505" s="247"/>
      <c r="DS505" s="247"/>
      <c r="DT505" s="247"/>
      <c r="DU505" s="247"/>
      <c r="DV505" s="247"/>
      <c r="DW505" s="247"/>
      <c r="DX505" s="247"/>
      <c r="DY505" s="247"/>
      <c r="DZ505" s="247"/>
      <c r="EA505" s="247"/>
      <c r="EB505" s="247"/>
      <c r="EC505" s="247"/>
      <c r="ED505" s="17">
        <f t="shared" si="180"/>
        <v>4177574.0255200001</v>
      </c>
      <c r="EE505" s="29">
        <f t="shared" si="181"/>
        <v>3</v>
      </c>
      <c r="EF505" s="17">
        <f t="shared" si="182"/>
        <v>1392524.6751733334</v>
      </c>
    </row>
    <row r="506" spans="1:136" ht="24" x14ac:dyDescent="0.25">
      <c r="A506" s="25">
        <f>Distribución_Elementos!A506</f>
        <v>504</v>
      </c>
      <c r="B506" s="22" t="str">
        <f>Distribución_Elementos!B506</f>
        <v>Tubo de ensayo de vidrio 13x75 mm, sin reborde</v>
      </c>
      <c r="C506" s="22" t="str">
        <f>Distribución_Elementos!C506</f>
        <v>Pyrex, Brand 9820 o similar</v>
      </c>
      <c r="D506" s="22" t="str">
        <f>Distribución_Elementos!D506</f>
        <v>Paquete x 72</v>
      </c>
      <c r="E506" s="224">
        <v>1</v>
      </c>
      <c r="F506" s="221">
        <v>0</v>
      </c>
      <c r="G506" s="221">
        <v>0</v>
      </c>
      <c r="H506" s="221">
        <v>95707.733333333337</v>
      </c>
      <c r="I506" s="221">
        <v>0</v>
      </c>
      <c r="J506" s="221">
        <v>317577.68</v>
      </c>
      <c r="K506" s="221">
        <v>197421</v>
      </c>
      <c r="L506" s="247">
        <f>AVERAGE(H506,J506)</f>
        <v>206642.70666666667</v>
      </c>
      <c r="M506" s="247">
        <f>K506*E1</f>
        <v>203343.63</v>
      </c>
      <c r="N506" s="227"/>
      <c r="O506" s="119"/>
      <c r="P506" s="119"/>
      <c r="Q506" s="115"/>
      <c r="R506" s="115"/>
      <c r="S506" s="11"/>
      <c r="T506" s="247"/>
      <c r="U506" s="247"/>
      <c r="V506" s="247"/>
      <c r="W506" s="17"/>
      <c r="X506" s="11"/>
      <c r="Y506" s="11"/>
      <c r="Z506" s="247"/>
      <c r="AA506" s="247"/>
      <c r="AB506" s="247"/>
      <c r="AC506" s="44"/>
      <c r="AD506" s="22"/>
      <c r="AE506" s="17"/>
      <c r="AF506" s="247"/>
      <c r="AG506" s="247"/>
      <c r="AH506" s="151"/>
      <c r="AI506" s="4"/>
      <c r="AJ506" s="17"/>
      <c r="AK506" s="17"/>
      <c r="AL506" s="102"/>
      <c r="AM506" s="132"/>
      <c r="AN506" s="161"/>
      <c r="AO506" s="115"/>
      <c r="AP506" s="115"/>
      <c r="AQ506" s="17"/>
      <c r="AR506" s="247"/>
      <c r="AS506" s="247"/>
      <c r="AT506" s="247"/>
      <c r="AU506" s="17"/>
      <c r="AV506" s="17"/>
      <c r="AW506" s="17"/>
      <c r="AX506" s="247"/>
      <c r="AY506" s="247"/>
      <c r="AZ506" s="247"/>
      <c r="BA506" s="17"/>
      <c r="BB506" s="52"/>
      <c r="BC506" s="17"/>
      <c r="BD506" s="247"/>
      <c r="BE506" s="247"/>
      <c r="BF506" s="247"/>
      <c r="BG506" s="17"/>
      <c r="BH506" s="17"/>
      <c r="BI506" s="17"/>
      <c r="BJ506" s="247">
        <f>+(403600/1000)*72</f>
        <v>29059.200000000001</v>
      </c>
      <c r="BK506" s="247">
        <f t="shared" si="184"/>
        <v>5521.2480000000005</v>
      </c>
      <c r="BL506" s="247">
        <f t="shared" si="185"/>
        <v>34580.448000000004</v>
      </c>
      <c r="BM506" s="190" t="s">
        <v>1784</v>
      </c>
      <c r="BN506" s="190" t="s">
        <v>1785</v>
      </c>
      <c r="BO506" s="17"/>
      <c r="BP506" s="247">
        <v>369000</v>
      </c>
      <c r="BQ506" s="247">
        <f t="shared" si="179"/>
        <v>70110</v>
      </c>
      <c r="BR506" s="247">
        <f t="shared" si="183"/>
        <v>439110</v>
      </c>
      <c r="BS506" s="17"/>
      <c r="BT506" s="17"/>
      <c r="BU506" s="17"/>
      <c r="BV506" s="195">
        <f>+(462683.004/1000)*72</f>
        <v>33313.176288000002</v>
      </c>
      <c r="BW506" s="195">
        <f t="shared" si="186"/>
        <v>6329.5034947200002</v>
      </c>
      <c r="BX506" s="246">
        <f t="shared" si="187"/>
        <v>39642.679782720006</v>
      </c>
      <c r="BY506" s="190" t="s">
        <v>1784</v>
      </c>
      <c r="BZ506" s="190" t="s">
        <v>1785</v>
      </c>
      <c r="CA506" s="190"/>
      <c r="CB506" s="247"/>
      <c r="CC506" s="247"/>
      <c r="CD506" s="247"/>
      <c r="CE506" s="17"/>
      <c r="CF506" s="17"/>
      <c r="CG506" s="17"/>
      <c r="CH506" s="247"/>
      <c r="CI506" s="247"/>
      <c r="CJ506" s="247"/>
      <c r="CK506" s="17"/>
      <c r="CL506" s="17"/>
      <c r="CM506" s="17"/>
      <c r="CN506" s="17"/>
      <c r="CO506" s="17"/>
      <c r="CP506" s="11"/>
      <c r="CQ506" s="11"/>
      <c r="CR506" s="11"/>
      <c r="CS506" s="11"/>
      <c r="CT506" s="247"/>
      <c r="CU506" s="247"/>
      <c r="CV506" s="247"/>
      <c r="CW506" s="11"/>
      <c r="CX506" s="11"/>
      <c r="CY506" s="11"/>
      <c r="CZ506" s="11"/>
      <c r="DA506" s="11"/>
      <c r="DB506" s="11"/>
      <c r="DC506" s="11"/>
      <c r="DD506" s="11"/>
      <c r="DE506" s="11"/>
      <c r="DF506" s="11"/>
      <c r="DG506" s="11"/>
      <c r="DH506" s="11"/>
      <c r="DI506" s="11"/>
      <c r="DJ506" s="11"/>
      <c r="DK506" s="11"/>
      <c r="DL506" s="247"/>
      <c r="DM506" s="247"/>
      <c r="DN506" s="247"/>
      <c r="DO506" s="247"/>
      <c r="DP506" s="247"/>
      <c r="DQ506" s="247"/>
      <c r="DR506" s="247"/>
      <c r="DS506" s="247"/>
      <c r="DT506" s="247"/>
      <c r="DU506" s="247"/>
      <c r="DV506" s="247"/>
      <c r="DW506" s="247"/>
      <c r="DX506" s="247"/>
      <c r="DY506" s="247"/>
      <c r="DZ506" s="247"/>
      <c r="EA506" s="247"/>
      <c r="EB506" s="247"/>
      <c r="EC506" s="247"/>
      <c r="ED506" s="17">
        <f t="shared" si="180"/>
        <v>716676.75778272003</v>
      </c>
      <c r="EE506" s="29">
        <f t="shared" si="181"/>
        <v>4</v>
      </c>
      <c r="EF506" s="17">
        <f t="shared" si="182"/>
        <v>179169.18944568001</v>
      </c>
    </row>
    <row r="507" spans="1:136" ht="25.5" x14ac:dyDescent="0.25">
      <c r="A507" s="25">
        <f>Distribución_Elementos!A507</f>
        <v>505</v>
      </c>
      <c r="B507" s="22" t="str">
        <f>Distribución_Elementos!B507</f>
        <v>Tubo de ensayo de vidrio Plain Disposable Borosilicate 16x100 mm</v>
      </c>
      <c r="C507" s="22" t="str">
        <f>Distribución_Elementos!C507</f>
        <v>Fisherbrand 03-341-4, DWK life sciences o equivalente</v>
      </c>
      <c r="D507" s="22" t="str">
        <f>Distribución_Elementos!D507</f>
        <v>Caja x 1000</v>
      </c>
      <c r="E507" s="224">
        <v>1</v>
      </c>
      <c r="F507" s="221">
        <v>0</v>
      </c>
      <c r="G507" s="221">
        <v>0</v>
      </c>
      <c r="H507" s="221">
        <v>584684.68333333335</v>
      </c>
      <c r="I507" s="221">
        <v>0</v>
      </c>
      <c r="J507" s="221">
        <v>612255</v>
      </c>
      <c r="K507" s="221">
        <v>593810</v>
      </c>
      <c r="L507" s="247">
        <f>AVERAGE(H507,J507)</f>
        <v>598469.84166666667</v>
      </c>
      <c r="M507" s="247">
        <f>K507*E1</f>
        <v>611624.30000000005</v>
      </c>
      <c r="N507" s="227"/>
      <c r="O507" s="119"/>
      <c r="P507" s="119"/>
      <c r="Q507" s="115"/>
      <c r="R507" s="115"/>
      <c r="S507" s="11"/>
      <c r="T507" s="247"/>
      <c r="U507" s="247"/>
      <c r="V507" s="247"/>
      <c r="W507" s="17"/>
      <c r="X507" s="11"/>
      <c r="Y507" s="11"/>
      <c r="Z507" s="247"/>
      <c r="AA507" s="247"/>
      <c r="AB507" s="247"/>
      <c r="AC507" s="44"/>
      <c r="AD507" s="22"/>
      <c r="AE507" s="17"/>
      <c r="AF507" s="247"/>
      <c r="AG507" s="247"/>
      <c r="AH507" s="151"/>
      <c r="AI507" s="4"/>
      <c r="AJ507" s="17"/>
      <c r="AK507" s="17"/>
      <c r="AL507" s="102"/>
      <c r="AM507" s="132"/>
      <c r="AN507" s="161"/>
      <c r="AO507" s="115"/>
      <c r="AP507" s="115"/>
      <c r="AQ507" s="17"/>
      <c r="AR507" s="247"/>
      <c r="AS507" s="247"/>
      <c r="AT507" s="247"/>
      <c r="AU507" s="17"/>
      <c r="AV507" s="17"/>
      <c r="AW507" s="17"/>
      <c r="AX507" s="247"/>
      <c r="AY507" s="247"/>
      <c r="AZ507" s="247"/>
      <c r="BA507" s="17"/>
      <c r="BB507" s="52"/>
      <c r="BC507" s="17"/>
      <c r="BD507" s="247"/>
      <c r="BE507" s="247"/>
      <c r="BF507" s="247"/>
      <c r="BG507" s="17"/>
      <c r="BH507" s="17"/>
      <c r="BI507" s="17"/>
      <c r="BJ507" s="247">
        <f>+(744300/576)*1000</f>
        <v>1292187.5</v>
      </c>
      <c r="BK507" s="247">
        <f t="shared" si="184"/>
        <v>245515.625</v>
      </c>
      <c r="BL507" s="247">
        <f t="shared" si="185"/>
        <v>1537703.125</v>
      </c>
      <c r="BM507" s="190" t="s">
        <v>1786</v>
      </c>
      <c r="BN507" s="190" t="s">
        <v>1592</v>
      </c>
      <c r="BO507" s="17"/>
      <c r="BP507" s="247">
        <v>1950000</v>
      </c>
      <c r="BQ507" s="247">
        <f t="shared" si="179"/>
        <v>370500</v>
      </c>
      <c r="BR507" s="247">
        <f t="shared" si="183"/>
        <v>2320500</v>
      </c>
      <c r="BS507" s="17"/>
      <c r="BT507" s="17"/>
      <c r="BU507" s="17"/>
      <c r="BV507" s="195">
        <f>+(869747.2992/576)*1000</f>
        <v>1509977.95</v>
      </c>
      <c r="BW507" s="195">
        <f t="shared" si="186"/>
        <v>286895.81050000002</v>
      </c>
      <c r="BX507" s="246">
        <f t="shared" si="187"/>
        <v>1796873.7604999999</v>
      </c>
      <c r="BY507" s="190" t="s">
        <v>1786</v>
      </c>
      <c r="BZ507" s="190" t="s">
        <v>1592</v>
      </c>
      <c r="CA507" s="190"/>
      <c r="CB507" s="247"/>
      <c r="CC507" s="247"/>
      <c r="CD507" s="247"/>
      <c r="CE507" s="17"/>
      <c r="CF507" s="17"/>
      <c r="CG507" s="17"/>
      <c r="CH507" s="247"/>
      <c r="CI507" s="247"/>
      <c r="CJ507" s="247"/>
      <c r="CK507" s="17"/>
      <c r="CL507" s="17"/>
      <c r="CM507" s="17"/>
      <c r="CN507" s="17"/>
      <c r="CO507" s="17"/>
      <c r="CP507" s="11"/>
      <c r="CQ507" s="11"/>
      <c r="CR507" s="11"/>
      <c r="CS507" s="11"/>
      <c r="CT507" s="247"/>
      <c r="CU507" s="247"/>
      <c r="CV507" s="247"/>
      <c r="CW507" s="11"/>
      <c r="CX507" s="11"/>
      <c r="CY507" s="11"/>
      <c r="CZ507" s="11"/>
      <c r="DA507" s="11"/>
      <c r="DB507" s="11"/>
      <c r="DC507" s="11"/>
      <c r="DD507" s="11"/>
      <c r="DE507" s="11"/>
      <c r="DF507" s="11"/>
      <c r="DG507" s="11"/>
      <c r="DH507" s="11"/>
      <c r="DI507" s="11"/>
      <c r="DJ507" s="11"/>
      <c r="DK507" s="11"/>
      <c r="DL507" s="247"/>
      <c r="DM507" s="247"/>
      <c r="DN507" s="247"/>
      <c r="DO507" s="247"/>
      <c r="DP507" s="247"/>
      <c r="DQ507" s="247"/>
      <c r="DR507" s="247"/>
      <c r="DS507" s="247"/>
      <c r="DT507" s="247"/>
      <c r="DU507" s="247"/>
      <c r="DV507" s="247"/>
      <c r="DW507" s="247"/>
      <c r="DX507" s="247"/>
      <c r="DY507" s="247"/>
      <c r="DZ507" s="247"/>
      <c r="EA507" s="247"/>
      <c r="EB507" s="247"/>
      <c r="EC507" s="247"/>
      <c r="ED507" s="17">
        <f t="shared" si="180"/>
        <v>6266701.1854999997</v>
      </c>
      <c r="EE507" s="29">
        <f t="shared" si="181"/>
        <v>4</v>
      </c>
      <c r="EF507" s="17">
        <f t="shared" si="182"/>
        <v>1566675.2963749999</v>
      </c>
    </row>
    <row r="508" spans="1:136" ht="24" x14ac:dyDescent="0.25">
      <c r="A508" s="25">
        <f>Distribución_Elementos!A508</f>
        <v>506</v>
      </c>
      <c r="B508" s="22" t="str">
        <f>Distribución_Elementos!B508</f>
        <v>Tubo de microdilución de 1.1 ml</v>
      </c>
      <c r="C508" s="22" t="str">
        <f>Distribución_Elementos!C508</f>
        <v>Thermo o equivalente</v>
      </c>
      <c r="D508" s="22" t="str">
        <f>Distribución_Elementos!D508</f>
        <v>Bolsa x 960</v>
      </c>
      <c r="E508" s="224">
        <v>1</v>
      </c>
      <c r="F508" s="221">
        <v>595595</v>
      </c>
      <c r="G508" s="221">
        <v>577626</v>
      </c>
      <c r="H508" s="221">
        <v>760588.19059999997</v>
      </c>
      <c r="I508" s="221">
        <v>760410</v>
      </c>
      <c r="J508" s="221">
        <v>1004260.4366666666</v>
      </c>
      <c r="K508" s="221">
        <v>1003170</v>
      </c>
      <c r="L508" s="247">
        <f>AVERAGE(F508,H508,J508)</f>
        <v>786814.54242222209</v>
      </c>
      <c r="M508" s="247">
        <f>AVERAGE(G508,I508,K508)*E1</f>
        <v>803814.06</v>
      </c>
      <c r="N508" s="227"/>
      <c r="O508" s="119"/>
      <c r="P508" s="119"/>
      <c r="Q508" s="115"/>
      <c r="R508" s="115"/>
      <c r="S508" s="11"/>
      <c r="T508" s="247"/>
      <c r="U508" s="247"/>
      <c r="V508" s="247"/>
      <c r="W508" s="17"/>
      <c r="X508" s="11"/>
      <c r="Y508" s="11"/>
      <c r="Z508" s="247"/>
      <c r="AA508" s="247"/>
      <c r="AB508" s="247"/>
      <c r="AC508" s="44"/>
      <c r="AD508" s="22"/>
      <c r="AE508" s="17"/>
      <c r="AF508" s="247"/>
      <c r="AG508" s="247"/>
      <c r="AH508" s="151"/>
      <c r="AI508" s="4"/>
      <c r="AJ508" s="17"/>
      <c r="AK508" s="17"/>
      <c r="AL508" s="102"/>
      <c r="AM508" s="132"/>
      <c r="AN508" s="161"/>
      <c r="AO508" s="115"/>
      <c r="AP508" s="115"/>
      <c r="AQ508" s="17"/>
      <c r="AR508" s="247"/>
      <c r="AS508" s="247"/>
      <c r="AT508" s="247"/>
      <c r="AU508" s="17"/>
      <c r="AV508" s="17"/>
      <c r="AW508" s="17"/>
      <c r="AX508" s="247"/>
      <c r="AY508" s="247"/>
      <c r="AZ508" s="247"/>
      <c r="BA508" s="17"/>
      <c r="BB508" s="52"/>
      <c r="BC508" s="17"/>
      <c r="BD508" s="247"/>
      <c r="BE508" s="247"/>
      <c r="BF508" s="247"/>
      <c r="BG508" s="17"/>
      <c r="BH508" s="17"/>
      <c r="BI508" s="17"/>
      <c r="BJ508" s="247">
        <v>806700</v>
      </c>
      <c r="BK508" s="247">
        <f t="shared" si="184"/>
        <v>153273</v>
      </c>
      <c r="BL508" s="247">
        <f t="shared" si="185"/>
        <v>959973</v>
      </c>
      <c r="BM508" s="190" t="s">
        <v>1787</v>
      </c>
      <c r="BN508" s="190" t="s">
        <v>387</v>
      </c>
      <c r="BO508" s="17"/>
      <c r="BP508" s="247">
        <v>1365000</v>
      </c>
      <c r="BQ508" s="247">
        <f t="shared" si="179"/>
        <v>259350</v>
      </c>
      <c r="BR508" s="247">
        <f t="shared" si="183"/>
        <v>1624350</v>
      </c>
      <c r="BS508" s="17"/>
      <c r="BT508" s="17"/>
      <c r="BU508" s="17"/>
      <c r="BV508" s="195">
        <v>872615.45700000005</v>
      </c>
      <c r="BW508" s="195">
        <f t="shared" si="186"/>
        <v>165796.93683000002</v>
      </c>
      <c r="BX508" s="246">
        <f t="shared" si="187"/>
        <v>1038412.3938300001</v>
      </c>
      <c r="BY508" s="190" t="s">
        <v>1787</v>
      </c>
      <c r="BZ508" s="190" t="s">
        <v>387</v>
      </c>
      <c r="CA508" s="190"/>
      <c r="CB508" s="247"/>
      <c r="CC508" s="247"/>
      <c r="CD508" s="247"/>
      <c r="CE508" s="17"/>
      <c r="CF508" s="17"/>
      <c r="CG508" s="17"/>
      <c r="CH508" s="247"/>
      <c r="CI508" s="247"/>
      <c r="CJ508" s="247"/>
      <c r="CK508" s="17"/>
      <c r="CL508" s="17"/>
      <c r="CM508" s="17"/>
      <c r="CN508" s="17"/>
      <c r="CO508" s="17"/>
      <c r="CP508" s="11"/>
      <c r="CQ508" s="11"/>
      <c r="CR508" s="11"/>
      <c r="CS508" s="11"/>
      <c r="CT508" s="247"/>
      <c r="CU508" s="247"/>
      <c r="CV508" s="247"/>
      <c r="CW508" s="11"/>
      <c r="CX508" s="11"/>
      <c r="CY508" s="11"/>
      <c r="CZ508" s="11"/>
      <c r="DA508" s="11"/>
      <c r="DB508" s="11"/>
      <c r="DC508" s="11"/>
      <c r="DD508" s="11"/>
      <c r="DE508" s="11"/>
      <c r="DF508" s="11"/>
      <c r="DG508" s="11"/>
      <c r="DH508" s="11"/>
      <c r="DI508" s="11"/>
      <c r="DJ508" s="11"/>
      <c r="DK508" s="11"/>
      <c r="DL508" s="247"/>
      <c r="DM508" s="247"/>
      <c r="DN508" s="247"/>
      <c r="DO508" s="247"/>
      <c r="DP508" s="247"/>
      <c r="DQ508" s="247"/>
      <c r="DR508" s="247"/>
      <c r="DS508" s="247"/>
      <c r="DT508" s="247"/>
      <c r="DU508" s="247"/>
      <c r="DV508" s="247"/>
      <c r="DW508" s="247"/>
      <c r="DX508" s="247"/>
      <c r="DY508" s="247"/>
      <c r="DZ508" s="247"/>
      <c r="EA508" s="247"/>
      <c r="EB508" s="247"/>
      <c r="EC508" s="247"/>
      <c r="ED508" s="17">
        <f t="shared" si="180"/>
        <v>4426549.45383</v>
      </c>
      <c r="EE508" s="29">
        <f t="shared" si="181"/>
        <v>4</v>
      </c>
      <c r="EF508" s="17">
        <f t="shared" si="182"/>
        <v>1106637.3634575</v>
      </c>
    </row>
    <row r="509" spans="1:136" ht="25.5" x14ac:dyDescent="0.25">
      <c r="A509" s="25">
        <f>Distribución_Elementos!A509</f>
        <v>507</v>
      </c>
      <c r="B509" s="22" t="str">
        <f>Distribución_Elementos!B509</f>
        <v xml:space="preserve">Tubo de vidrio refractario tapa rosca 16x150 mm capacidad 20 ml </v>
      </c>
      <c r="C509" s="22" t="str">
        <f>Distribución_Elementos!C509</f>
        <v>Cualquier marca</v>
      </c>
      <c r="D509" s="22" t="str">
        <f>Distribución_Elementos!D509</f>
        <v>Caja x 100</v>
      </c>
      <c r="E509" s="224">
        <v>1</v>
      </c>
      <c r="F509" s="221">
        <v>286730.5</v>
      </c>
      <c r="G509" s="221">
        <v>278103</v>
      </c>
      <c r="H509" s="221">
        <v>146965</v>
      </c>
      <c r="I509" s="221">
        <v>0</v>
      </c>
      <c r="J509" s="221">
        <v>199147.16111111114</v>
      </c>
      <c r="K509" s="221">
        <v>176358</v>
      </c>
      <c r="L509" s="247">
        <f>AVERAGE(F509,H509,J509)</f>
        <v>210947.55370370371</v>
      </c>
      <c r="M509" s="247">
        <f>AVERAGE(G509,K509)*E1</f>
        <v>234047.41500000001</v>
      </c>
      <c r="N509" s="227">
        <v>260000</v>
      </c>
      <c r="O509" s="119">
        <f>+N509*0.19</f>
        <v>49400</v>
      </c>
      <c r="P509" s="119">
        <f>+N509+O509</f>
        <v>309400</v>
      </c>
      <c r="Q509" s="115"/>
      <c r="R509" s="115"/>
      <c r="S509" s="11"/>
      <c r="T509" s="247"/>
      <c r="U509" s="247"/>
      <c r="V509" s="247"/>
      <c r="W509" s="17"/>
      <c r="X509" s="11"/>
      <c r="Y509" s="11"/>
      <c r="Z509" s="247"/>
      <c r="AA509" s="247"/>
      <c r="AB509" s="247"/>
      <c r="AC509" s="44"/>
      <c r="AD509" s="22"/>
      <c r="AE509" s="17"/>
      <c r="AF509" s="247"/>
      <c r="AG509" s="247"/>
      <c r="AH509" s="151"/>
      <c r="AI509" s="22"/>
      <c r="AJ509" s="17"/>
      <c r="AK509" s="17"/>
      <c r="AL509" s="102"/>
      <c r="AM509" s="132"/>
      <c r="AN509" s="161"/>
      <c r="AO509" s="115"/>
      <c r="AP509" s="115"/>
      <c r="AQ509" s="17"/>
      <c r="AR509" s="247"/>
      <c r="AS509" s="247"/>
      <c r="AT509" s="247"/>
      <c r="AU509" s="17"/>
      <c r="AV509" s="17"/>
      <c r="AW509" s="17"/>
      <c r="AX509" s="247"/>
      <c r="AY509" s="247"/>
      <c r="AZ509" s="247"/>
      <c r="BA509" s="17"/>
      <c r="BB509" s="52"/>
      <c r="BC509" s="17"/>
      <c r="BD509" s="247"/>
      <c r="BE509" s="247"/>
      <c r="BF509" s="247"/>
      <c r="BG509" s="17"/>
      <c r="BH509" s="17"/>
      <c r="BI509" s="17"/>
      <c r="BJ509" s="247">
        <f>+(420000/576)*100</f>
        <v>72916.666666666657</v>
      </c>
      <c r="BK509" s="247">
        <f t="shared" si="184"/>
        <v>13854.166666666664</v>
      </c>
      <c r="BL509" s="247">
        <f t="shared" si="185"/>
        <v>86770.833333333314</v>
      </c>
      <c r="BM509" s="190" t="s">
        <v>1786</v>
      </c>
      <c r="BN509" s="190" t="s">
        <v>1592</v>
      </c>
      <c r="BO509" s="17"/>
      <c r="BP509" s="247">
        <v>280000</v>
      </c>
      <c r="BQ509" s="247">
        <f t="shared" si="179"/>
        <v>53200</v>
      </c>
      <c r="BR509" s="247">
        <f t="shared" si="183"/>
        <v>333200</v>
      </c>
      <c r="BS509" s="17"/>
      <c r="BT509" s="17"/>
      <c r="BU509" s="17"/>
      <c r="BV509" s="195">
        <f>+(467727.12/576)*100</f>
        <v>81202.625</v>
      </c>
      <c r="BW509" s="195">
        <f t="shared" si="186"/>
        <v>15428.498750000001</v>
      </c>
      <c r="BX509" s="246">
        <f t="shared" si="187"/>
        <v>96631.123749999999</v>
      </c>
      <c r="BY509" s="190" t="s">
        <v>1786</v>
      </c>
      <c r="BZ509" s="190" t="s">
        <v>1592</v>
      </c>
      <c r="CA509" s="190"/>
      <c r="CB509" s="247"/>
      <c r="CC509" s="247"/>
      <c r="CD509" s="247"/>
      <c r="CE509" s="17"/>
      <c r="CF509" s="17"/>
      <c r="CG509" s="17"/>
      <c r="CH509" s="247"/>
      <c r="CI509" s="247"/>
      <c r="CJ509" s="247"/>
      <c r="CK509" s="17"/>
      <c r="CL509" s="17"/>
      <c r="CM509" s="17"/>
      <c r="CN509" s="17"/>
      <c r="CO509" s="17"/>
      <c r="CP509" s="11"/>
      <c r="CQ509" s="11"/>
      <c r="CR509" s="11"/>
      <c r="CS509" s="11"/>
      <c r="CT509" s="247"/>
      <c r="CU509" s="247"/>
      <c r="CV509" s="247"/>
      <c r="CW509" s="11"/>
      <c r="CX509" s="11"/>
      <c r="CY509" s="11"/>
      <c r="CZ509" s="11"/>
      <c r="DA509" s="11"/>
      <c r="DB509" s="11"/>
      <c r="DC509" s="11"/>
      <c r="DD509" s="11"/>
      <c r="DE509" s="11"/>
      <c r="DF509" s="11"/>
      <c r="DG509" s="11"/>
      <c r="DH509" s="11"/>
      <c r="DI509" s="11"/>
      <c r="DJ509" s="11"/>
      <c r="DK509" s="11"/>
      <c r="DL509" s="247"/>
      <c r="DM509" s="247"/>
      <c r="DN509" s="247"/>
      <c r="DO509" s="247"/>
      <c r="DP509" s="247"/>
      <c r="DQ509" s="247"/>
      <c r="DR509" s="247"/>
      <c r="DS509" s="247"/>
      <c r="DT509" s="247"/>
      <c r="DU509" s="247"/>
      <c r="DV509" s="247"/>
      <c r="DW509" s="247"/>
      <c r="DX509" s="247"/>
      <c r="DY509" s="247"/>
      <c r="DZ509" s="247"/>
      <c r="EA509" s="247"/>
      <c r="EB509" s="247"/>
      <c r="EC509" s="247"/>
      <c r="ED509" s="17">
        <f t="shared" si="180"/>
        <v>1060049.3720833333</v>
      </c>
      <c r="EE509" s="29">
        <f t="shared" si="181"/>
        <v>5</v>
      </c>
      <c r="EF509" s="17">
        <f t="shared" si="182"/>
        <v>212009.87441666666</v>
      </c>
    </row>
    <row r="510" spans="1:136" ht="25.5" x14ac:dyDescent="0.25">
      <c r="A510" s="25">
        <f>Distribución_Elementos!A510</f>
        <v>508</v>
      </c>
      <c r="B510" s="22" t="str">
        <f>Distribución_Elementos!B510</f>
        <v>Tubo de vidrio tapa rosca 13x100 mm</v>
      </c>
      <c r="C510" s="22" t="str">
        <f>Distribución_Elementos!C510</f>
        <v>Pyrex Plus, Sigma o equivalente</v>
      </c>
      <c r="D510" s="22" t="str">
        <f>Distribución_Elementos!D510</f>
        <v>Unidad</v>
      </c>
      <c r="E510" s="224">
        <v>1</v>
      </c>
      <c r="F510" s="221">
        <v>2328.83</v>
      </c>
      <c r="G510" s="221">
        <v>2261</v>
      </c>
      <c r="H510" s="221">
        <v>1807.4881583251554</v>
      </c>
      <c r="I510" s="221">
        <v>1666</v>
      </c>
      <c r="J510" s="221">
        <v>10103.9925</v>
      </c>
      <c r="K510" s="221">
        <v>4046</v>
      </c>
      <c r="L510" s="247">
        <f>AVERAGE(F510,H510,J510)</f>
        <v>4746.7702194417188</v>
      </c>
      <c r="M510" s="247">
        <f>AVERAGE(G510,I510,K510)*E1</f>
        <v>2737.3966666666665</v>
      </c>
      <c r="N510" s="227">
        <v>2300</v>
      </c>
      <c r="O510" s="119">
        <f>+N510*0.19</f>
        <v>437</v>
      </c>
      <c r="P510" s="119">
        <f>+N510+O510</f>
        <v>2737</v>
      </c>
      <c r="Q510" s="115"/>
      <c r="R510" s="115"/>
      <c r="S510" s="11"/>
      <c r="T510" s="247">
        <v>1540.0000000000002</v>
      </c>
      <c r="U510" s="247">
        <f>+T510*0.19</f>
        <v>292.60000000000002</v>
      </c>
      <c r="V510" s="247">
        <f>+T510+U510</f>
        <v>1832.6000000000004</v>
      </c>
      <c r="W510" s="17" t="s">
        <v>140</v>
      </c>
      <c r="X510" s="11" t="s">
        <v>1648</v>
      </c>
      <c r="Y510" s="11"/>
      <c r="Z510" s="247"/>
      <c r="AA510" s="247"/>
      <c r="AB510" s="247"/>
      <c r="AC510" s="44"/>
      <c r="AD510" s="22"/>
      <c r="AE510" s="17"/>
      <c r="AF510" s="247"/>
      <c r="AG510" s="247"/>
      <c r="AH510" s="151"/>
      <c r="AI510" s="4"/>
      <c r="AJ510" s="17"/>
      <c r="AK510" s="17"/>
      <c r="AL510" s="102"/>
      <c r="AM510" s="132"/>
      <c r="AN510" s="161"/>
      <c r="AO510" s="115"/>
      <c r="AP510" s="115"/>
      <c r="AQ510" s="17"/>
      <c r="AR510" s="247"/>
      <c r="AS510" s="247"/>
      <c r="AT510" s="247"/>
      <c r="AU510" s="17"/>
      <c r="AV510" s="17"/>
      <c r="AW510" s="17"/>
      <c r="AX510" s="247"/>
      <c r="AY510" s="247"/>
      <c r="AZ510" s="247"/>
      <c r="BA510" s="17"/>
      <c r="BB510" s="52"/>
      <c r="BC510" s="17"/>
      <c r="BD510" s="247"/>
      <c r="BE510" s="247"/>
      <c r="BF510" s="247"/>
      <c r="BG510" s="17"/>
      <c r="BH510" s="17"/>
      <c r="BI510" s="17"/>
      <c r="BJ510" s="247">
        <v>1200</v>
      </c>
      <c r="BK510" s="247">
        <f t="shared" si="184"/>
        <v>228</v>
      </c>
      <c r="BL510" s="247">
        <f t="shared" si="185"/>
        <v>1428</v>
      </c>
      <c r="BM510" s="190" t="s">
        <v>375</v>
      </c>
      <c r="BN510" s="190" t="s">
        <v>1788</v>
      </c>
      <c r="BO510" s="17"/>
      <c r="BP510" s="247">
        <v>350000</v>
      </c>
      <c r="BQ510" s="247">
        <f t="shared" si="179"/>
        <v>66500</v>
      </c>
      <c r="BR510" s="247">
        <f t="shared" si="183"/>
        <v>416500</v>
      </c>
      <c r="BS510" s="17"/>
      <c r="BT510" s="17"/>
      <c r="BU510" s="17"/>
      <c r="BV510" s="195">
        <v>1360.7123999999999</v>
      </c>
      <c r="BW510" s="195">
        <f t="shared" si="186"/>
        <v>258.53535599999998</v>
      </c>
      <c r="BX510" s="246">
        <f t="shared" si="187"/>
        <v>1619.2477559999998</v>
      </c>
      <c r="BY510" s="190" t="s">
        <v>375</v>
      </c>
      <c r="BZ510" s="190" t="s">
        <v>1788</v>
      </c>
      <c r="CA510" s="190"/>
      <c r="CB510" s="247"/>
      <c r="CC510" s="247"/>
      <c r="CD510" s="247"/>
      <c r="CE510" s="17"/>
      <c r="CF510" s="17"/>
      <c r="CG510" s="17"/>
      <c r="CH510" s="247"/>
      <c r="CI510" s="247"/>
      <c r="CJ510" s="247"/>
      <c r="CK510" s="17"/>
      <c r="CL510" s="17"/>
      <c r="CM510" s="17"/>
      <c r="CN510" s="17"/>
      <c r="CO510" s="17"/>
      <c r="CP510" s="11"/>
      <c r="CQ510" s="11"/>
      <c r="CR510" s="11"/>
      <c r="CS510" s="11"/>
      <c r="CT510" s="247"/>
      <c r="CU510" s="247"/>
      <c r="CV510" s="247"/>
      <c r="CW510" s="11"/>
      <c r="CX510" s="11"/>
      <c r="CY510" s="11"/>
      <c r="CZ510" s="11"/>
      <c r="DA510" s="11"/>
      <c r="DB510" s="11"/>
      <c r="DC510" s="11"/>
      <c r="DD510" s="11"/>
      <c r="DE510" s="11"/>
      <c r="DF510" s="11"/>
      <c r="DG510" s="11"/>
      <c r="DH510" s="11"/>
      <c r="DI510" s="11"/>
      <c r="DJ510" s="11"/>
      <c r="DK510" s="11"/>
      <c r="DL510" s="247"/>
      <c r="DM510" s="247"/>
      <c r="DN510" s="247"/>
      <c r="DO510" s="247"/>
      <c r="DP510" s="247"/>
      <c r="DQ510" s="247"/>
      <c r="DR510" s="247"/>
      <c r="DS510" s="247"/>
      <c r="DT510" s="247"/>
      <c r="DU510" s="247"/>
      <c r="DV510" s="247"/>
      <c r="DW510" s="247"/>
      <c r="DX510" s="247"/>
      <c r="DY510" s="247"/>
      <c r="DZ510" s="247"/>
      <c r="EA510" s="247"/>
      <c r="EB510" s="247"/>
      <c r="EC510" s="247"/>
      <c r="ED510" s="17">
        <f t="shared" si="180"/>
        <v>426854.24442266667</v>
      </c>
      <c r="EE510" s="29">
        <f t="shared" si="181"/>
        <v>6</v>
      </c>
      <c r="EF510" s="17">
        <f t="shared" si="182"/>
        <v>71142.37407044445</v>
      </c>
    </row>
    <row r="511" spans="1:136" x14ac:dyDescent="0.25">
      <c r="A511" s="25">
        <f>Distribución_Elementos!A511</f>
        <v>509</v>
      </c>
      <c r="B511" s="22" t="str">
        <f>Distribución_Elementos!B511</f>
        <v>Tubo de vidrio tapa rosca 9 ml</v>
      </c>
      <c r="C511" s="22" t="str">
        <f>Distribución_Elementos!C511</f>
        <v>Enthos o Bioequipos</v>
      </c>
      <c r="D511" s="22" t="str">
        <f>Distribución_Elementos!D511</f>
        <v>Caja x 100</v>
      </c>
      <c r="E511" s="224">
        <v>1</v>
      </c>
      <c r="F511" s="221">
        <v>0</v>
      </c>
      <c r="G511" s="221">
        <v>0</v>
      </c>
      <c r="H511" s="221">
        <v>190400</v>
      </c>
      <c r="I511" s="221">
        <v>148750</v>
      </c>
      <c r="J511" s="221">
        <v>174189.80000000002</v>
      </c>
      <c r="K511" s="221">
        <v>0</v>
      </c>
      <c r="L511" s="247">
        <f>AVERAGE(H511,J511)</f>
        <v>182294.90000000002</v>
      </c>
      <c r="M511" s="247">
        <f>I511*E1</f>
        <v>153212.5</v>
      </c>
      <c r="N511" s="227">
        <v>220000</v>
      </c>
      <c r="O511" s="119">
        <f>+N511*0.19</f>
        <v>41800</v>
      </c>
      <c r="P511" s="119">
        <f>+N511+O511</f>
        <v>261800</v>
      </c>
      <c r="Q511" s="115"/>
      <c r="R511" s="115"/>
      <c r="S511" s="11"/>
      <c r="T511" s="247"/>
      <c r="U511" s="247"/>
      <c r="V511" s="247"/>
      <c r="W511" s="17"/>
      <c r="X511" s="11"/>
      <c r="Y511" s="11"/>
      <c r="Z511" s="247"/>
      <c r="AA511" s="247"/>
      <c r="AB511" s="247"/>
      <c r="AC511" s="44"/>
      <c r="AD511" s="22"/>
      <c r="AE511" s="17"/>
      <c r="AF511" s="247"/>
      <c r="AG511" s="247"/>
      <c r="AH511" s="151"/>
      <c r="AI511" s="4"/>
      <c r="AJ511" s="17"/>
      <c r="AK511" s="17"/>
      <c r="AL511" s="102"/>
      <c r="AM511" s="132"/>
      <c r="AN511" s="161"/>
      <c r="AO511" s="115"/>
      <c r="AP511" s="115"/>
      <c r="AQ511" s="17"/>
      <c r="AR511" s="247"/>
      <c r="AS511" s="247"/>
      <c r="AT511" s="247"/>
      <c r="AU511" s="17"/>
      <c r="AV511" s="17"/>
      <c r="AW511" s="17"/>
      <c r="AX511" s="247"/>
      <c r="AY511" s="247"/>
      <c r="AZ511" s="247"/>
      <c r="BA511" s="17"/>
      <c r="BB511" s="52"/>
      <c r="BC511" s="17"/>
      <c r="BD511" s="247"/>
      <c r="BE511" s="247"/>
      <c r="BF511" s="247"/>
      <c r="BG511" s="17"/>
      <c r="BH511" s="17"/>
      <c r="BI511" s="17"/>
      <c r="BJ511" s="247">
        <v>560000</v>
      </c>
      <c r="BK511" s="247">
        <f t="shared" si="184"/>
        <v>106400</v>
      </c>
      <c r="BL511" s="247">
        <f t="shared" si="185"/>
        <v>666400</v>
      </c>
      <c r="BM511" s="191" t="s">
        <v>1061</v>
      </c>
      <c r="BN511" s="190"/>
      <c r="BO511" s="17"/>
      <c r="BP511" s="247">
        <v>450000</v>
      </c>
      <c r="BQ511" s="247">
        <f t="shared" si="179"/>
        <v>85500</v>
      </c>
      <c r="BR511" s="247">
        <f t="shared" si="183"/>
        <v>535500</v>
      </c>
      <c r="BS511" s="17"/>
      <c r="BT511" s="17"/>
      <c r="BU511" s="17"/>
      <c r="BV511" s="189">
        <v>666789.76</v>
      </c>
      <c r="BW511" s="195">
        <f t="shared" si="186"/>
        <v>126690.05440000001</v>
      </c>
      <c r="BX511" s="246">
        <f t="shared" si="187"/>
        <v>793479.81440000003</v>
      </c>
      <c r="BY511" s="191" t="s">
        <v>1061</v>
      </c>
      <c r="BZ511" s="190"/>
      <c r="CA511" s="190"/>
      <c r="CB511" s="247"/>
      <c r="CC511" s="247"/>
      <c r="CD511" s="247"/>
      <c r="CE511" s="17"/>
      <c r="CF511" s="17"/>
      <c r="CG511" s="17"/>
      <c r="CH511" s="247"/>
      <c r="CI511" s="247"/>
      <c r="CJ511" s="247"/>
      <c r="CK511" s="17"/>
      <c r="CL511" s="17"/>
      <c r="CM511" s="17"/>
      <c r="CN511" s="17"/>
      <c r="CO511" s="17"/>
      <c r="CP511" s="11"/>
      <c r="CQ511" s="11"/>
      <c r="CR511" s="11"/>
      <c r="CS511" s="11"/>
      <c r="CT511" s="247"/>
      <c r="CU511" s="247"/>
      <c r="CV511" s="247"/>
      <c r="CW511" s="11"/>
      <c r="CX511" s="11"/>
      <c r="CY511" s="11"/>
      <c r="CZ511" s="11"/>
      <c r="DA511" s="59"/>
      <c r="DB511" s="55"/>
      <c r="DC511" s="55"/>
      <c r="DD511" s="54"/>
      <c r="DE511" s="54"/>
      <c r="DF511" s="54"/>
      <c r="DG511" s="54"/>
      <c r="DH511" s="54"/>
      <c r="DI511" s="54"/>
      <c r="DJ511" s="54"/>
      <c r="DK511" s="54"/>
      <c r="DL511" s="51"/>
      <c r="DM511" s="51"/>
      <c r="DN511" s="51"/>
      <c r="DO511" s="51"/>
      <c r="DP511" s="51"/>
      <c r="DQ511" s="51"/>
      <c r="DR511" s="51"/>
      <c r="DS511" s="51"/>
      <c r="DT511" s="51"/>
      <c r="DU511" s="51"/>
      <c r="DV511" s="51"/>
      <c r="DW511" s="51"/>
      <c r="DX511" s="51"/>
      <c r="DY511" s="51"/>
      <c r="DZ511" s="51"/>
      <c r="EA511" s="51"/>
      <c r="EB511" s="51"/>
      <c r="EC511" s="51"/>
      <c r="ED511" s="17">
        <f t="shared" si="180"/>
        <v>2410392.3144</v>
      </c>
      <c r="EE511" s="29">
        <f t="shared" si="181"/>
        <v>5</v>
      </c>
      <c r="EF511" s="17">
        <f t="shared" si="182"/>
        <v>482078.46288000001</v>
      </c>
    </row>
    <row r="512" spans="1:136" ht="25.5" x14ac:dyDescent="0.25">
      <c r="A512" s="25">
        <f>Distribución_Elementos!A512</f>
        <v>510</v>
      </c>
      <c r="B512" s="22" t="str">
        <f>Distribución_Elementos!B512</f>
        <v xml:space="preserve">Tubo de vidrio tapa rosca base plana de 100mm de longitud por 15 mm de diámetro </v>
      </c>
      <c r="C512" s="22" t="str">
        <f>Distribución_Elementos!C512</f>
        <v>Cualquier marca</v>
      </c>
      <c r="D512" s="22" t="str">
        <f>Distribución_Elementos!D512</f>
        <v>Unidad</v>
      </c>
      <c r="E512" s="224">
        <v>1</v>
      </c>
      <c r="F512" s="221">
        <v>0</v>
      </c>
      <c r="G512" s="221">
        <v>0</v>
      </c>
      <c r="H512" s="221">
        <v>370982.5</v>
      </c>
      <c r="I512" s="221">
        <v>0</v>
      </c>
      <c r="J512" s="221">
        <v>7814.3333333333339</v>
      </c>
      <c r="K512" s="221">
        <v>0</v>
      </c>
      <c r="L512" s="247">
        <f>AVERAGE(H512,J512)</f>
        <v>189398.41666666666</v>
      </c>
      <c r="M512" s="247"/>
      <c r="N512" s="227">
        <v>3500</v>
      </c>
      <c r="O512" s="119">
        <f>+N512*0.19</f>
        <v>665</v>
      </c>
      <c r="P512" s="119">
        <f>+N512+O512</f>
        <v>4165</v>
      </c>
      <c r="Q512" s="115"/>
      <c r="R512" s="115"/>
      <c r="S512" s="11"/>
      <c r="T512" s="247"/>
      <c r="U512" s="247"/>
      <c r="V512" s="247"/>
      <c r="W512" s="17"/>
      <c r="X512" s="11"/>
      <c r="Y512" s="11"/>
      <c r="Z512" s="247"/>
      <c r="AA512" s="247"/>
      <c r="AB512" s="247"/>
      <c r="AC512" s="44"/>
      <c r="AD512" s="22"/>
      <c r="AE512" s="17"/>
      <c r="AF512" s="247"/>
      <c r="AG512" s="247"/>
      <c r="AH512" s="151"/>
      <c r="AI512" s="22"/>
      <c r="AJ512" s="17"/>
      <c r="AK512" s="17"/>
      <c r="AL512" s="102"/>
      <c r="AM512" s="132"/>
      <c r="AN512" s="161"/>
      <c r="AO512" s="115"/>
      <c r="AP512" s="115"/>
      <c r="AQ512" s="17"/>
      <c r="AR512" s="247"/>
      <c r="AS512" s="247"/>
      <c r="AT512" s="247"/>
      <c r="AU512" s="17"/>
      <c r="AV512" s="17"/>
      <c r="AW512" s="17"/>
      <c r="AX512" s="247"/>
      <c r="AY512" s="247"/>
      <c r="AZ512" s="247"/>
      <c r="BA512" s="17"/>
      <c r="BB512" s="52"/>
      <c r="BC512" s="17"/>
      <c r="BD512" s="247"/>
      <c r="BE512" s="247"/>
      <c r="BF512" s="247"/>
      <c r="BG512" s="17"/>
      <c r="BH512" s="17"/>
      <c r="BI512" s="17"/>
      <c r="BJ512" s="247"/>
      <c r="BK512" s="247"/>
      <c r="BL512" s="247"/>
      <c r="BM512" s="190"/>
      <c r="BN512" s="190"/>
      <c r="BO512" s="17"/>
      <c r="BP512" s="247"/>
      <c r="BQ512" s="247"/>
      <c r="BR512" s="247"/>
      <c r="BS512" s="17"/>
      <c r="BT512" s="17"/>
      <c r="BU512" s="17"/>
      <c r="BV512" s="189"/>
      <c r="BW512" s="196"/>
      <c r="BX512" s="246"/>
      <c r="BY512" s="190"/>
      <c r="BZ512" s="190"/>
      <c r="CA512" s="190"/>
      <c r="CB512" s="247"/>
      <c r="CC512" s="247"/>
      <c r="CD512" s="247"/>
      <c r="CE512" s="17"/>
      <c r="CF512" s="17"/>
      <c r="CG512" s="17"/>
      <c r="CH512" s="247"/>
      <c r="CI512" s="247"/>
      <c r="CJ512" s="247"/>
      <c r="CK512" s="17"/>
      <c r="CL512" s="17"/>
      <c r="CM512" s="17"/>
      <c r="CN512" s="17"/>
      <c r="CO512" s="17"/>
      <c r="CP512" s="11"/>
      <c r="CQ512" s="11"/>
      <c r="CR512" s="11"/>
      <c r="CS512" s="11"/>
      <c r="CT512" s="247"/>
      <c r="CU512" s="247"/>
      <c r="CV512" s="247"/>
      <c r="CW512" s="11"/>
      <c r="CX512" s="11"/>
      <c r="CY512" s="11"/>
      <c r="CZ512" s="11"/>
      <c r="DA512" s="11"/>
      <c r="DB512" s="11"/>
      <c r="DC512" s="11"/>
      <c r="DD512" s="11"/>
      <c r="DE512" s="11"/>
      <c r="DF512" s="11"/>
      <c r="DG512" s="11"/>
      <c r="DH512" s="11"/>
      <c r="DI512" s="11"/>
      <c r="DJ512" s="11"/>
      <c r="DK512" s="11"/>
      <c r="DL512" s="247"/>
      <c r="DM512" s="247"/>
      <c r="DN512" s="247"/>
      <c r="DO512" s="247"/>
      <c r="DP512" s="247"/>
      <c r="DQ512" s="247"/>
      <c r="DR512" s="247"/>
      <c r="DS512" s="247"/>
      <c r="DT512" s="247"/>
      <c r="DU512" s="247"/>
      <c r="DV512" s="247"/>
      <c r="DW512" s="247"/>
      <c r="DX512" s="247"/>
      <c r="DY512" s="247"/>
      <c r="DZ512" s="247"/>
      <c r="EA512" s="247"/>
      <c r="EB512" s="247"/>
      <c r="EC512" s="247"/>
      <c r="ED512" s="17">
        <f t="shared" si="180"/>
        <v>4165</v>
      </c>
      <c r="EE512" s="29">
        <f t="shared" si="181"/>
        <v>1</v>
      </c>
      <c r="EF512" s="17">
        <f t="shared" si="182"/>
        <v>4165</v>
      </c>
    </row>
    <row r="513" spans="1:136" x14ac:dyDescent="0.25">
      <c r="A513" s="25">
        <f>Distribución_Elementos!A513</f>
        <v>511</v>
      </c>
      <c r="B513" s="22" t="str">
        <f>Distribución_Elementos!B513</f>
        <v>Tubo de vidrio tapa rosca desde 20 ml</v>
      </c>
      <c r="C513" s="22" t="str">
        <f>Distribución_Elementos!C513</f>
        <v xml:space="preserve">Fisherbrand 03-339-25F </v>
      </c>
      <c r="D513" s="22" t="str">
        <f>Distribución_Elementos!D513</f>
        <v xml:space="preserve">Caja x 144 </v>
      </c>
      <c r="E513" s="224">
        <v>1</v>
      </c>
      <c r="F513" s="221">
        <v>0</v>
      </c>
      <c r="G513" s="221">
        <v>0</v>
      </c>
      <c r="H513" s="221">
        <v>289153.65063787985</v>
      </c>
      <c r="I513" s="221">
        <v>289051</v>
      </c>
      <c r="J513" s="221">
        <v>0</v>
      </c>
      <c r="K513" s="221">
        <v>0</v>
      </c>
      <c r="L513" s="247">
        <f>H513</f>
        <v>289153.65063787985</v>
      </c>
      <c r="M513" s="247">
        <f>I513*E1</f>
        <v>297722.53000000003</v>
      </c>
      <c r="N513" s="227"/>
      <c r="O513" s="119"/>
      <c r="P513" s="119"/>
      <c r="Q513" s="115"/>
      <c r="R513" s="115"/>
      <c r="S513" s="11"/>
      <c r="T513" s="247">
        <f>1430*144</f>
        <v>205920</v>
      </c>
      <c r="U513" s="247">
        <f>+T513*0.19</f>
        <v>39124.800000000003</v>
      </c>
      <c r="V513" s="247">
        <f>+T513+U513</f>
        <v>245044.8</v>
      </c>
      <c r="W513" s="17" t="s">
        <v>140</v>
      </c>
      <c r="X513" s="11" t="s">
        <v>1648</v>
      </c>
      <c r="Y513" s="11"/>
      <c r="Z513" s="247"/>
      <c r="AA513" s="247"/>
      <c r="AB513" s="247"/>
      <c r="AC513" s="44"/>
      <c r="AD513" s="22"/>
      <c r="AE513" s="17"/>
      <c r="AF513" s="247"/>
      <c r="AG513" s="247"/>
      <c r="AH513" s="151"/>
      <c r="AI513" s="4"/>
      <c r="AJ513" s="17"/>
      <c r="AK513" s="17"/>
      <c r="AL513" s="102"/>
      <c r="AM513" s="132"/>
      <c r="AN513" s="161"/>
      <c r="AO513" s="115"/>
      <c r="AP513" s="115"/>
      <c r="AQ513" s="17"/>
      <c r="AR513" s="247"/>
      <c r="AS513" s="247"/>
      <c r="AT513" s="247"/>
      <c r="AU513" s="17"/>
      <c r="AV513" s="17"/>
      <c r="AW513" s="17"/>
      <c r="AX513" s="247"/>
      <c r="AY513" s="247"/>
      <c r="AZ513" s="247"/>
      <c r="BA513" s="17"/>
      <c r="BB513" s="52"/>
      <c r="BC513" s="17"/>
      <c r="BD513" s="247"/>
      <c r="BE513" s="247"/>
      <c r="BF513" s="247"/>
      <c r="BG513" s="17"/>
      <c r="BH513" s="17"/>
      <c r="BI513" s="17"/>
      <c r="BJ513" s="247">
        <v>718400</v>
      </c>
      <c r="BK513" s="247">
        <f t="shared" si="184"/>
        <v>136496</v>
      </c>
      <c r="BL513" s="247">
        <f t="shared" si="185"/>
        <v>854896</v>
      </c>
      <c r="BM513" s="190" t="s">
        <v>1789</v>
      </c>
      <c r="BN513" s="190" t="s">
        <v>316</v>
      </c>
      <c r="BO513" s="17"/>
      <c r="BP513" s="247">
        <v>652000</v>
      </c>
      <c r="BQ513" s="247">
        <f t="shared" si="179"/>
        <v>123880</v>
      </c>
      <c r="BR513" s="247">
        <f t="shared" si="183"/>
        <v>775880</v>
      </c>
      <c r="BS513" s="17"/>
      <c r="BT513" s="17"/>
      <c r="BU513" s="17"/>
      <c r="BV513" s="195">
        <v>762371.82719999994</v>
      </c>
      <c r="BW513" s="195">
        <f t="shared" ref="BW513:BW527" si="188">+BV513*0.19</f>
        <v>144850.647168</v>
      </c>
      <c r="BX513" s="246">
        <f t="shared" ref="BX513:BX527" si="189">+BV513+BW513</f>
        <v>907222.47436799994</v>
      </c>
      <c r="BY513" s="190" t="s">
        <v>1789</v>
      </c>
      <c r="BZ513" s="190" t="s">
        <v>316</v>
      </c>
      <c r="CA513" s="190"/>
      <c r="CB513" s="252"/>
      <c r="CC513" s="247"/>
      <c r="CD513" s="247"/>
      <c r="CE513" s="17"/>
      <c r="CF513" s="17"/>
      <c r="CG513" s="17"/>
      <c r="CH513" s="247"/>
      <c r="CI513" s="247"/>
      <c r="CJ513" s="247"/>
      <c r="CK513" s="17"/>
      <c r="CL513" s="17"/>
      <c r="CM513" s="17"/>
      <c r="CN513" s="17"/>
      <c r="CO513" s="17"/>
      <c r="CP513" s="11"/>
      <c r="CQ513" s="11"/>
      <c r="CR513" s="11"/>
      <c r="CS513" s="11"/>
      <c r="CT513" s="247"/>
      <c r="CU513" s="247"/>
      <c r="CV513" s="247"/>
      <c r="CW513" s="11"/>
      <c r="CX513" s="11"/>
      <c r="CY513" s="11"/>
      <c r="CZ513" s="11"/>
      <c r="DA513" s="11"/>
      <c r="DB513" s="11"/>
      <c r="DC513" s="11"/>
      <c r="DD513" s="11"/>
      <c r="DE513" s="11"/>
      <c r="DF513" s="11"/>
      <c r="DG513" s="11"/>
      <c r="DH513" s="11"/>
      <c r="DI513" s="11"/>
      <c r="DJ513" s="11"/>
      <c r="DK513" s="11"/>
      <c r="DL513" s="247"/>
      <c r="DM513" s="247"/>
      <c r="DN513" s="247"/>
      <c r="DO513" s="247"/>
      <c r="DP513" s="247"/>
      <c r="DQ513" s="247"/>
      <c r="DR513" s="247"/>
      <c r="DS513" s="247"/>
      <c r="DT513" s="247"/>
      <c r="DU513" s="247"/>
      <c r="DV513" s="247"/>
      <c r="DW513" s="247"/>
      <c r="DX513" s="247"/>
      <c r="DY513" s="247"/>
      <c r="DZ513" s="247"/>
      <c r="EA513" s="247"/>
      <c r="EB513" s="247"/>
      <c r="EC513" s="247"/>
      <c r="ED513" s="17">
        <f t="shared" si="180"/>
        <v>3080765.804368</v>
      </c>
      <c r="EE513" s="29">
        <f t="shared" si="181"/>
        <v>5</v>
      </c>
      <c r="EF513" s="17">
        <f t="shared" si="182"/>
        <v>616153.16087360005</v>
      </c>
    </row>
    <row r="514" spans="1:136" ht="25.5" x14ac:dyDescent="0.25">
      <c r="A514" s="25">
        <f>Distribución_Elementos!A514</f>
        <v>512</v>
      </c>
      <c r="B514" s="22" t="str">
        <f>Distribución_Elementos!B514</f>
        <v>Tubo de vidrio tapa rosca x 10 ml</v>
      </c>
      <c r="C514" s="22" t="str">
        <f>Distribución_Elementos!C514</f>
        <v>Pyrex, Cole Parmer, Brand PZ-06324-60 o equivalente</v>
      </c>
      <c r="D514" s="22" t="str">
        <f>Distribución_Elementos!D514</f>
        <v>Paquete x 10</v>
      </c>
      <c r="E514" s="224">
        <v>1</v>
      </c>
      <c r="F514" s="221">
        <v>16719.5</v>
      </c>
      <c r="G514" s="221">
        <v>0</v>
      </c>
      <c r="H514" s="221">
        <v>279377.57329999999</v>
      </c>
      <c r="I514" s="221">
        <v>0</v>
      </c>
      <c r="J514" s="221">
        <v>80325</v>
      </c>
      <c r="K514" s="221">
        <v>29988</v>
      </c>
      <c r="L514" s="247">
        <f>AVERAGE(F514,H514,J514)</f>
        <v>125474.02443333332</v>
      </c>
      <c r="M514" s="247">
        <f>K514*E1</f>
        <v>30887.64</v>
      </c>
      <c r="N514" s="228">
        <v>35000</v>
      </c>
      <c r="O514" s="119">
        <f>+N514*0.19</f>
        <v>6650</v>
      </c>
      <c r="P514" s="119">
        <f>+N514+O514</f>
        <v>41650</v>
      </c>
      <c r="Q514" s="115"/>
      <c r="R514" s="115"/>
      <c r="S514" s="11"/>
      <c r="T514" s="247"/>
      <c r="U514" s="247"/>
      <c r="V514" s="247"/>
      <c r="W514" s="17"/>
      <c r="X514" s="11"/>
      <c r="Y514" s="11"/>
      <c r="Z514" s="247"/>
      <c r="AA514" s="247"/>
      <c r="AB514" s="247"/>
      <c r="AC514" s="44"/>
      <c r="AD514" s="22"/>
      <c r="AE514" s="17"/>
      <c r="AF514" s="247"/>
      <c r="AG514" s="247"/>
      <c r="AH514" s="151"/>
      <c r="AI514" s="22"/>
      <c r="AJ514" s="17"/>
      <c r="AK514" s="17"/>
      <c r="AL514" s="102"/>
      <c r="AM514" s="132"/>
      <c r="AN514" s="161"/>
      <c r="AO514" s="115"/>
      <c r="AP514" s="115"/>
      <c r="AQ514" s="17"/>
      <c r="AR514" s="247"/>
      <c r="AS514" s="247"/>
      <c r="AT514" s="247"/>
      <c r="AU514" s="17"/>
      <c r="AV514" s="17"/>
      <c r="AW514" s="17"/>
      <c r="AX514" s="247"/>
      <c r="AY514" s="247"/>
      <c r="AZ514" s="247"/>
      <c r="BA514" s="17"/>
      <c r="BB514" s="52"/>
      <c r="BC514" s="17"/>
      <c r="BD514" s="247"/>
      <c r="BE514" s="247"/>
      <c r="BF514" s="247"/>
      <c r="BG514" s="17"/>
      <c r="BH514" s="17"/>
      <c r="BI514" s="17"/>
      <c r="BJ514" s="247">
        <v>38000</v>
      </c>
      <c r="BK514" s="247">
        <f t="shared" si="184"/>
        <v>7220</v>
      </c>
      <c r="BL514" s="247">
        <f t="shared" si="185"/>
        <v>45220</v>
      </c>
      <c r="BM514" s="190" t="s">
        <v>1790</v>
      </c>
      <c r="BN514" s="190" t="s">
        <v>1592</v>
      </c>
      <c r="BO514" s="17"/>
      <c r="BP514" s="247">
        <v>985600</v>
      </c>
      <c r="BQ514" s="247">
        <f t="shared" si="179"/>
        <v>187264</v>
      </c>
      <c r="BR514" s="247">
        <f t="shared" si="183"/>
        <v>1172864</v>
      </c>
      <c r="BS514" s="17"/>
      <c r="BT514" s="17"/>
      <c r="BU514" s="17"/>
      <c r="BV514" s="189">
        <v>41918.94</v>
      </c>
      <c r="BW514" s="195">
        <f t="shared" si="188"/>
        <v>7964.5986000000003</v>
      </c>
      <c r="BX514" s="246">
        <f t="shared" si="189"/>
        <v>49883.5386</v>
      </c>
      <c r="BY514" s="190" t="s">
        <v>1790</v>
      </c>
      <c r="BZ514" s="190" t="s">
        <v>1592</v>
      </c>
      <c r="CA514" s="190"/>
      <c r="CB514" s="247"/>
      <c r="CC514" s="247"/>
      <c r="CD514" s="247"/>
      <c r="CE514" s="17"/>
      <c r="CF514" s="17"/>
      <c r="CG514" s="17"/>
      <c r="CH514" s="252"/>
      <c r="CI514" s="252"/>
      <c r="CJ514" s="252"/>
      <c r="CK514" s="17"/>
      <c r="CL514" s="17"/>
      <c r="CM514" s="17"/>
      <c r="CN514" s="17"/>
      <c r="CO514" s="17"/>
      <c r="CP514" s="11"/>
      <c r="CQ514" s="11"/>
      <c r="CR514" s="11"/>
      <c r="CS514" s="11"/>
      <c r="CT514" s="247"/>
      <c r="CU514" s="247"/>
      <c r="CV514" s="247"/>
      <c r="CW514" s="11"/>
      <c r="CX514" s="11"/>
      <c r="CY514" s="11"/>
      <c r="CZ514" s="11"/>
      <c r="DA514" s="11"/>
      <c r="DB514" s="11"/>
      <c r="DC514" s="11"/>
      <c r="DD514" s="11"/>
      <c r="DE514" s="11"/>
      <c r="DF514" s="11"/>
      <c r="DG514" s="11"/>
      <c r="DH514" s="11"/>
      <c r="DI514" s="11"/>
      <c r="DJ514" s="11"/>
      <c r="DK514" s="11"/>
      <c r="DL514" s="247"/>
      <c r="DM514" s="247"/>
      <c r="DN514" s="247"/>
      <c r="DO514" s="247"/>
      <c r="DP514" s="247"/>
      <c r="DQ514" s="247"/>
      <c r="DR514" s="247"/>
      <c r="DS514" s="247"/>
      <c r="DT514" s="247"/>
      <c r="DU514" s="247"/>
      <c r="DV514" s="247"/>
      <c r="DW514" s="247"/>
      <c r="DX514" s="247"/>
      <c r="DY514" s="247"/>
      <c r="DZ514" s="247"/>
      <c r="EA514" s="247"/>
      <c r="EB514" s="247"/>
      <c r="EC514" s="247"/>
      <c r="ED514" s="17">
        <f t="shared" si="180"/>
        <v>1340505.1786</v>
      </c>
      <c r="EE514" s="29">
        <f t="shared" si="181"/>
        <v>5</v>
      </c>
      <c r="EF514" s="17">
        <f t="shared" si="182"/>
        <v>268101.03571999999</v>
      </c>
    </row>
    <row r="515" spans="1:136" ht="25.5" x14ac:dyDescent="0.25">
      <c r="A515" s="25">
        <f>Distribución_Elementos!A515</f>
        <v>513</v>
      </c>
      <c r="B515" s="22" t="str">
        <f>Distribución_Elementos!B515</f>
        <v>Tubo de vidrio, de 15 ml, graduado, fondo cónico de 17x130mm tapa rosca</v>
      </c>
      <c r="C515" s="22" t="str">
        <f>Distribución_Elementos!C515</f>
        <v>Fisher Scientific 05-538-32B, DWK life sciences</v>
      </c>
      <c r="D515" s="22" t="str">
        <f>Distribución_Elementos!D515</f>
        <v>Paquete x 12</v>
      </c>
      <c r="E515" s="224">
        <v>1</v>
      </c>
      <c r="F515" s="221">
        <v>0</v>
      </c>
      <c r="G515" s="221">
        <v>0</v>
      </c>
      <c r="H515" s="221">
        <v>1422050</v>
      </c>
      <c r="I515" s="221">
        <v>0</v>
      </c>
      <c r="J515" s="221">
        <v>2320500</v>
      </c>
      <c r="K515" s="221">
        <v>2249100</v>
      </c>
      <c r="L515" s="247">
        <f>AVERAGE(H515,J515)</f>
        <v>1871275</v>
      </c>
      <c r="M515" s="247">
        <f>K515*E1</f>
        <v>2316573</v>
      </c>
      <c r="N515" s="227"/>
      <c r="O515" s="119"/>
      <c r="P515" s="119"/>
      <c r="Q515" s="115"/>
      <c r="R515" s="115"/>
      <c r="S515" s="11"/>
      <c r="T515" s="247"/>
      <c r="U515" s="247"/>
      <c r="V515" s="247"/>
      <c r="W515" s="17"/>
      <c r="X515" s="11"/>
      <c r="Y515" s="11"/>
      <c r="Z515" s="247"/>
      <c r="AA515" s="247"/>
      <c r="AB515" s="247"/>
      <c r="AC515" s="44"/>
      <c r="AD515" s="22"/>
      <c r="AE515" s="17"/>
      <c r="AF515" s="247"/>
      <c r="AG515" s="247"/>
      <c r="AH515" s="151"/>
      <c r="AI515" s="4"/>
      <c r="AJ515" s="17"/>
      <c r="AK515" s="17"/>
      <c r="AL515" s="102"/>
      <c r="AM515" s="132"/>
      <c r="AN515" s="132"/>
      <c r="AO515" s="115"/>
      <c r="AP515" s="115"/>
      <c r="AQ515" s="17"/>
      <c r="AR515" s="247"/>
      <c r="AS515" s="247"/>
      <c r="AT515" s="247"/>
      <c r="AU515" s="17"/>
      <c r="AV515" s="17"/>
      <c r="AW515" s="17"/>
      <c r="AX515" s="247"/>
      <c r="AY515" s="247"/>
      <c r="AZ515" s="247"/>
      <c r="BA515" s="17"/>
      <c r="BB515" s="52"/>
      <c r="BC515" s="17"/>
      <c r="BD515" s="247"/>
      <c r="BE515" s="247"/>
      <c r="BF515" s="247"/>
      <c r="BG515" s="17"/>
      <c r="BH515" s="17"/>
      <c r="BI515" s="17"/>
      <c r="BJ515" s="252">
        <v>2800000</v>
      </c>
      <c r="BK515" s="247">
        <f t="shared" si="184"/>
        <v>532000</v>
      </c>
      <c r="BL515" s="247">
        <f t="shared" si="185"/>
        <v>3332000</v>
      </c>
      <c r="BM515" s="190" t="s">
        <v>1791</v>
      </c>
      <c r="BN515" s="190" t="s">
        <v>1792</v>
      </c>
      <c r="BO515" s="17"/>
      <c r="BP515" s="247">
        <v>2650000</v>
      </c>
      <c r="BQ515" s="247">
        <f t="shared" si="179"/>
        <v>503500</v>
      </c>
      <c r="BR515" s="247">
        <f t="shared" si="183"/>
        <v>3153500</v>
      </c>
      <c r="BS515" s="17"/>
      <c r="BT515" s="17"/>
      <c r="BU515" s="17"/>
      <c r="BV515" s="195"/>
      <c r="BW515" s="195"/>
      <c r="BX515" s="246"/>
      <c r="BY515" s="190"/>
      <c r="BZ515" s="190"/>
      <c r="CA515" s="190"/>
      <c r="CB515" s="247"/>
      <c r="CC515" s="247"/>
      <c r="CD515" s="247"/>
      <c r="CE515" s="17"/>
      <c r="CF515" s="17"/>
      <c r="CG515" s="17"/>
      <c r="CH515" s="247"/>
      <c r="CI515" s="247"/>
      <c r="CJ515" s="247"/>
      <c r="CK515" s="17"/>
      <c r="CL515" s="17"/>
      <c r="CM515" s="17"/>
      <c r="CN515" s="17"/>
      <c r="CO515" s="17"/>
      <c r="CP515" s="11"/>
      <c r="CQ515" s="11"/>
      <c r="CR515" s="11"/>
      <c r="CS515" s="11"/>
      <c r="CT515" s="247"/>
      <c r="CU515" s="247"/>
      <c r="CV515" s="247"/>
      <c r="CW515" s="11"/>
      <c r="CX515" s="11"/>
      <c r="CY515" s="11"/>
      <c r="CZ515" s="11"/>
      <c r="DA515" s="11"/>
      <c r="DB515" s="11"/>
      <c r="DC515" s="11"/>
      <c r="DD515" s="11"/>
      <c r="DE515" s="11"/>
      <c r="DF515" s="11"/>
      <c r="DG515" s="11"/>
      <c r="DH515" s="11"/>
      <c r="DI515" s="11"/>
      <c r="DJ515" s="11"/>
      <c r="DK515" s="11"/>
      <c r="DL515" s="247"/>
      <c r="DM515" s="247"/>
      <c r="DN515" s="247"/>
      <c r="DO515" s="247"/>
      <c r="DP515" s="247"/>
      <c r="DQ515" s="247"/>
      <c r="DR515" s="247"/>
      <c r="DS515" s="247"/>
      <c r="DT515" s="247"/>
      <c r="DU515" s="247"/>
      <c r="DV515" s="247"/>
      <c r="DW515" s="247"/>
      <c r="DX515" s="247"/>
      <c r="DY515" s="247"/>
      <c r="DZ515" s="247"/>
      <c r="EA515" s="247"/>
      <c r="EB515" s="247"/>
      <c r="EC515" s="247"/>
      <c r="ED515" s="17">
        <f t="shared" si="180"/>
        <v>8802073</v>
      </c>
      <c r="EE515" s="29">
        <f t="shared" si="181"/>
        <v>3</v>
      </c>
      <c r="EF515" s="17">
        <f t="shared" si="182"/>
        <v>2934024.3333333335</v>
      </c>
    </row>
    <row r="516" spans="1:136" ht="102" x14ac:dyDescent="0.25">
      <c r="A516" s="25">
        <f>Distribución_Elementos!A516</f>
        <v>514</v>
      </c>
      <c r="B516" s="22" t="str">
        <f>Distribución_Elementos!B516</f>
        <v>Tubo Eppendorf de 2 ml, tapa plana de borde largo, libres de Rnasas, Dnasa y pirógenos, color Natural, Ultra Transparentes, rótulo esmerilado, graduados,</v>
      </c>
      <c r="C516" s="22" t="str">
        <f>Distribución_Elementos!C516</f>
        <v>Eppendorf o equivalente</v>
      </c>
      <c r="D516" s="22" t="str">
        <f>Distribución_Elementos!D516</f>
        <v>Bolsa X 500</v>
      </c>
      <c r="E516" s="224">
        <v>1</v>
      </c>
      <c r="F516" s="221">
        <v>108986.15</v>
      </c>
      <c r="G516" s="221">
        <v>0</v>
      </c>
      <c r="H516" s="221">
        <v>94144.584056264313</v>
      </c>
      <c r="I516" s="221">
        <v>94010</v>
      </c>
      <c r="J516" s="221">
        <v>159787.57862330799</v>
      </c>
      <c r="K516" s="221">
        <v>117810</v>
      </c>
      <c r="L516" s="247">
        <f>AVERAGE(F516,H516,J516)</f>
        <v>120972.77089319075</v>
      </c>
      <c r="M516" s="247">
        <f>AVERAGE(I516,K516)*E1</f>
        <v>109087.3</v>
      </c>
      <c r="N516" s="227"/>
      <c r="O516" s="119"/>
      <c r="P516" s="119"/>
      <c r="Q516" s="115"/>
      <c r="R516" s="115"/>
      <c r="S516" s="11"/>
      <c r="T516" s="247"/>
      <c r="U516" s="247"/>
      <c r="V516" s="247"/>
      <c r="W516" s="17"/>
      <c r="X516" s="11"/>
      <c r="Y516" s="11"/>
      <c r="Z516" s="247"/>
      <c r="AA516" s="247"/>
      <c r="AB516" s="247"/>
      <c r="AC516" s="44"/>
      <c r="AD516" s="22"/>
      <c r="AE516" s="17"/>
      <c r="AF516" s="247"/>
      <c r="AG516" s="247"/>
      <c r="AH516" s="151"/>
      <c r="AI516" s="4"/>
      <c r="AJ516" s="17"/>
      <c r="AK516" s="17"/>
      <c r="AL516" s="102"/>
      <c r="AM516" s="132"/>
      <c r="AN516" s="132"/>
      <c r="AO516" s="115"/>
      <c r="AP516" s="115"/>
      <c r="AQ516" s="17"/>
      <c r="AR516" s="247"/>
      <c r="AS516" s="247"/>
      <c r="AT516" s="247"/>
      <c r="AU516" s="17"/>
      <c r="AV516" s="17"/>
      <c r="AW516" s="17"/>
      <c r="AX516" s="247"/>
      <c r="AY516" s="247"/>
      <c r="AZ516" s="247"/>
      <c r="BA516" s="17"/>
      <c r="BB516" s="52"/>
      <c r="BC516" s="17"/>
      <c r="BD516" s="102">
        <v>70352</v>
      </c>
      <c r="BE516" s="247">
        <f>+BD516*0.19</f>
        <v>13366.880000000001</v>
      </c>
      <c r="BF516" s="247">
        <f>+BD516+BE516</f>
        <v>83718.880000000005</v>
      </c>
      <c r="BG516" s="25" t="s">
        <v>1525</v>
      </c>
      <c r="BH516" s="184" t="s">
        <v>1793</v>
      </c>
      <c r="BI516" s="5" t="s">
        <v>1794</v>
      </c>
      <c r="BJ516" s="247">
        <v>204300</v>
      </c>
      <c r="BK516" s="247">
        <f t="shared" si="184"/>
        <v>38817</v>
      </c>
      <c r="BL516" s="247">
        <f t="shared" si="185"/>
        <v>243117</v>
      </c>
      <c r="BM516" s="190" t="s">
        <v>1520</v>
      </c>
      <c r="BN516" s="190" t="s">
        <v>1565</v>
      </c>
      <c r="BO516" s="17"/>
      <c r="BP516" s="247">
        <v>396000</v>
      </c>
      <c r="BQ516" s="247">
        <f t="shared" si="179"/>
        <v>75240</v>
      </c>
      <c r="BR516" s="247">
        <f t="shared" si="183"/>
        <v>471240</v>
      </c>
      <c r="BS516" s="17"/>
      <c r="BT516" s="17"/>
      <c r="BU516" s="17"/>
      <c r="BV516" s="195">
        <v>227163.00870000003</v>
      </c>
      <c r="BW516" s="195">
        <f t="shared" si="188"/>
        <v>43160.971653000008</v>
      </c>
      <c r="BX516" s="246">
        <f t="shared" si="189"/>
        <v>270323.98035300005</v>
      </c>
      <c r="BY516" s="190" t="s">
        <v>1520</v>
      </c>
      <c r="BZ516" s="190" t="s">
        <v>1565</v>
      </c>
      <c r="CA516" s="190"/>
      <c r="CB516" s="247"/>
      <c r="CC516" s="247"/>
      <c r="CD516" s="247"/>
      <c r="CE516" s="17"/>
      <c r="CF516" s="17"/>
      <c r="CG516" s="17"/>
      <c r="CH516" s="247"/>
      <c r="CI516" s="247"/>
      <c r="CJ516" s="247"/>
      <c r="CK516" s="17"/>
      <c r="CL516" s="17"/>
      <c r="CM516" s="17"/>
      <c r="CN516" s="17"/>
      <c r="CO516" s="17"/>
      <c r="CP516" s="11"/>
      <c r="CQ516" s="11"/>
      <c r="CR516" s="11"/>
      <c r="CS516" s="11"/>
      <c r="CT516" s="247"/>
      <c r="CU516" s="247"/>
      <c r="CV516" s="247"/>
      <c r="CW516" s="11"/>
      <c r="CX516" s="11"/>
      <c r="CY516" s="11"/>
      <c r="CZ516" s="11"/>
      <c r="DA516" s="11"/>
      <c r="DB516" s="11"/>
      <c r="DC516" s="11"/>
      <c r="DD516" s="11"/>
      <c r="DE516" s="11"/>
      <c r="DF516" s="11"/>
      <c r="DG516" s="11"/>
      <c r="DH516" s="11"/>
      <c r="DI516" s="11"/>
      <c r="DJ516" s="11"/>
      <c r="DK516" s="11"/>
      <c r="DL516" s="247"/>
      <c r="DM516" s="247"/>
      <c r="DN516" s="247"/>
      <c r="DO516" s="247"/>
      <c r="DP516" s="247"/>
      <c r="DQ516" s="247"/>
      <c r="DR516" s="247"/>
      <c r="DS516" s="247"/>
      <c r="DT516" s="247"/>
      <c r="DU516" s="247"/>
      <c r="DV516" s="247"/>
      <c r="DW516" s="247"/>
      <c r="DX516" s="247"/>
      <c r="DY516" s="247"/>
      <c r="DZ516" s="247"/>
      <c r="EA516" s="247"/>
      <c r="EB516" s="247"/>
      <c r="EC516" s="247"/>
      <c r="ED516" s="17">
        <f t="shared" si="180"/>
        <v>1177487.160353</v>
      </c>
      <c r="EE516" s="29">
        <f t="shared" si="181"/>
        <v>5</v>
      </c>
      <c r="EF516" s="17">
        <f t="shared" si="182"/>
        <v>235497.43207060001</v>
      </c>
    </row>
    <row r="517" spans="1:136" x14ac:dyDescent="0.25">
      <c r="A517" s="25">
        <f>Distribución_Elementos!A517</f>
        <v>515</v>
      </c>
      <c r="B517" s="22" t="str">
        <f>Distribución_Elementos!B517</f>
        <v>Tubo microhematocrito sin heparina</v>
      </c>
      <c r="C517" s="22" t="str">
        <f>Distribución_Elementos!C517</f>
        <v>Marienfeld o equivalente</v>
      </c>
      <c r="D517" s="22" t="str">
        <f>Distribución_Elementos!D517</f>
        <v>Frasco x 100</v>
      </c>
      <c r="E517" s="224">
        <v>1</v>
      </c>
      <c r="F517" s="221">
        <v>7973</v>
      </c>
      <c r="G517" s="221">
        <v>7973</v>
      </c>
      <c r="H517" s="221">
        <v>7707.1579666666667</v>
      </c>
      <c r="I517" s="221">
        <v>7616</v>
      </c>
      <c r="J517" s="221">
        <v>100326.2225</v>
      </c>
      <c r="K517" s="221">
        <v>99960</v>
      </c>
      <c r="L517" s="247">
        <f>AVERAGE(F517,H517,J517)</f>
        <v>38668.793488888892</v>
      </c>
      <c r="M517" s="247">
        <f>AVERAGE(G517,I517,K517)*E1</f>
        <v>39671.823333333334</v>
      </c>
      <c r="N517" s="227">
        <v>7500</v>
      </c>
      <c r="O517" s="119">
        <f>+N517*0.19</f>
        <v>1425</v>
      </c>
      <c r="P517" s="119">
        <f>+N517+O517</f>
        <v>8925</v>
      </c>
      <c r="Q517" s="115"/>
      <c r="R517" s="115"/>
      <c r="S517" s="11"/>
      <c r="T517" s="247"/>
      <c r="U517" s="247"/>
      <c r="V517" s="247"/>
      <c r="W517" s="17"/>
      <c r="X517" s="11"/>
      <c r="Y517" s="11"/>
      <c r="Z517" s="247"/>
      <c r="AA517" s="247"/>
      <c r="AB517" s="247"/>
      <c r="AC517" s="44"/>
      <c r="AD517" s="22"/>
      <c r="AE517" s="17"/>
      <c r="AF517" s="247"/>
      <c r="AG517" s="247"/>
      <c r="AH517" s="151"/>
      <c r="AI517" s="4"/>
      <c r="AJ517" s="17"/>
      <c r="AK517" s="17"/>
      <c r="AL517" s="102"/>
      <c r="AM517" s="132"/>
      <c r="AN517" s="161"/>
      <c r="AO517" s="115"/>
      <c r="AP517" s="115"/>
      <c r="AQ517" s="17"/>
      <c r="AR517" s="247"/>
      <c r="AS517" s="247"/>
      <c r="AT517" s="247"/>
      <c r="AU517" s="17"/>
      <c r="AV517" s="17"/>
      <c r="AW517" s="17"/>
      <c r="AX517" s="247"/>
      <c r="AY517" s="247"/>
      <c r="AZ517" s="247"/>
      <c r="BA517" s="17"/>
      <c r="BB517" s="52"/>
      <c r="BC517" s="17"/>
      <c r="BD517" s="247"/>
      <c r="BE517" s="247"/>
      <c r="BF517" s="247"/>
      <c r="BG517" s="17"/>
      <c r="BH517" s="17"/>
      <c r="BI517" s="17"/>
      <c r="BJ517" s="247">
        <v>11700</v>
      </c>
      <c r="BK517" s="247">
        <f t="shared" si="184"/>
        <v>2223</v>
      </c>
      <c r="BL517" s="247">
        <f t="shared" si="185"/>
        <v>13923</v>
      </c>
      <c r="BM517" s="190" t="s">
        <v>1496</v>
      </c>
      <c r="BN517" s="190" t="s">
        <v>1795</v>
      </c>
      <c r="BO517" s="17"/>
      <c r="BP517" s="247">
        <v>26500</v>
      </c>
      <c r="BQ517" s="247">
        <f t="shared" si="179"/>
        <v>5035</v>
      </c>
      <c r="BR517" s="247">
        <f t="shared" si="183"/>
        <v>31535</v>
      </c>
      <c r="BS517" s="17"/>
      <c r="BT517" s="17"/>
      <c r="BU517" s="17"/>
      <c r="BV517" s="195">
        <v>12907.814400000001</v>
      </c>
      <c r="BW517" s="195">
        <f t="shared" si="188"/>
        <v>2452.4847360000003</v>
      </c>
      <c r="BX517" s="246">
        <f t="shared" si="189"/>
        <v>15360.299136000001</v>
      </c>
      <c r="BY517" s="190" t="s">
        <v>1496</v>
      </c>
      <c r="BZ517" s="190" t="s">
        <v>1795</v>
      </c>
      <c r="CA517" s="190"/>
      <c r="CB517" s="247"/>
      <c r="CC517" s="247"/>
      <c r="CD517" s="247"/>
      <c r="CE517" s="17"/>
      <c r="CF517" s="17"/>
      <c r="CG517" s="17"/>
      <c r="CH517" s="247"/>
      <c r="CI517" s="247"/>
      <c r="CJ517" s="247"/>
      <c r="CK517" s="17"/>
      <c r="CL517" s="17"/>
      <c r="CM517" s="17"/>
      <c r="CN517" s="17"/>
      <c r="CO517" s="17"/>
      <c r="CP517" s="11"/>
      <c r="CQ517" s="11"/>
      <c r="CR517" s="11"/>
      <c r="CS517" s="11"/>
      <c r="CT517" s="247"/>
      <c r="CU517" s="247"/>
      <c r="CV517" s="247"/>
      <c r="CW517" s="11"/>
      <c r="CX517" s="11"/>
      <c r="CY517" s="11"/>
      <c r="CZ517" s="11"/>
      <c r="DA517" s="11"/>
      <c r="DB517" s="11"/>
      <c r="DC517" s="11"/>
      <c r="DD517" s="11"/>
      <c r="DE517" s="11"/>
      <c r="DF517" s="11"/>
      <c r="DG517" s="11"/>
      <c r="DH517" s="11"/>
      <c r="DI517" s="11"/>
      <c r="DJ517" s="11"/>
      <c r="DK517" s="11"/>
      <c r="DL517" s="247"/>
      <c r="DM517" s="247"/>
      <c r="DN517" s="247"/>
      <c r="DO517" s="247"/>
      <c r="DP517" s="247"/>
      <c r="DQ517" s="247"/>
      <c r="DR517" s="247"/>
      <c r="DS517" s="247"/>
      <c r="DT517" s="247"/>
      <c r="DU517" s="247"/>
      <c r="DV517" s="247"/>
      <c r="DW517" s="247"/>
      <c r="DX517" s="247"/>
      <c r="DY517" s="247"/>
      <c r="DZ517" s="247"/>
      <c r="EA517" s="247"/>
      <c r="EB517" s="247"/>
      <c r="EC517" s="247"/>
      <c r="ED517" s="17">
        <f t="shared" si="180"/>
        <v>109415.12246933334</v>
      </c>
      <c r="EE517" s="29">
        <f t="shared" si="181"/>
        <v>5</v>
      </c>
      <c r="EF517" s="17">
        <f t="shared" si="182"/>
        <v>21883.024493866666</v>
      </c>
    </row>
    <row r="518" spans="1:136" ht="25.5" x14ac:dyDescent="0.25">
      <c r="A518" s="25">
        <f>Distribución_Elementos!A518</f>
        <v>516</v>
      </c>
      <c r="B518" s="22" t="str">
        <f>Distribución_Elementos!B518</f>
        <v>Tubo para microcentrífuga de 1,7 con tapa ,libres de Rnasas ,Dnasas y pirógenos</v>
      </c>
      <c r="C518" s="22" t="str">
        <f>Distribución_Elementos!C518</f>
        <v>Sorenson, VWR.</v>
      </c>
      <c r="D518" s="22" t="str">
        <f>Distribución_Elementos!D518</f>
        <v>Bolsa X 500</v>
      </c>
      <c r="E518" s="224">
        <v>1</v>
      </c>
      <c r="F518" s="221">
        <v>0</v>
      </c>
      <c r="G518" s="221">
        <v>0</v>
      </c>
      <c r="H518" s="221">
        <v>152450.9</v>
      </c>
      <c r="I518" s="221">
        <v>0</v>
      </c>
      <c r="J518" s="221">
        <v>0</v>
      </c>
      <c r="K518" s="221">
        <v>0</v>
      </c>
      <c r="L518" s="247">
        <f>H518</f>
        <v>152450.9</v>
      </c>
      <c r="M518" s="247"/>
      <c r="N518" s="227"/>
      <c r="O518" s="119"/>
      <c r="P518" s="119"/>
      <c r="Q518" s="115"/>
      <c r="R518" s="115"/>
      <c r="S518" s="11"/>
      <c r="T518" s="247"/>
      <c r="U518" s="247"/>
      <c r="V518" s="247"/>
      <c r="W518" s="17"/>
      <c r="X518" s="11"/>
      <c r="Y518" s="11"/>
      <c r="Z518" s="247"/>
      <c r="AA518" s="247"/>
      <c r="AB518" s="247"/>
      <c r="AC518" s="44"/>
      <c r="AD518" s="22"/>
      <c r="AE518" s="17"/>
      <c r="AF518" s="247"/>
      <c r="AG518" s="247"/>
      <c r="AH518" s="151"/>
      <c r="AI518" s="4"/>
      <c r="AJ518" s="17"/>
      <c r="AK518" s="17"/>
      <c r="AL518" s="102"/>
      <c r="AM518" s="132"/>
      <c r="AN518" s="161"/>
      <c r="AO518" s="115"/>
      <c r="AP518" s="115"/>
      <c r="AQ518" s="17"/>
      <c r="AR518" s="247"/>
      <c r="AS518" s="247"/>
      <c r="AT518" s="247"/>
      <c r="AU518" s="17"/>
      <c r="AV518" s="17"/>
      <c r="AW518" s="17"/>
      <c r="AX518" s="247"/>
      <c r="AY518" s="247"/>
      <c r="AZ518" s="247"/>
      <c r="BA518" s="17"/>
      <c r="BB518" s="52"/>
      <c r="BC518" s="17"/>
      <c r="BD518" s="247"/>
      <c r="BE518" s="247"/>
      <c r="BF518" s="247"/>
      <c r="BG518" s="17"/>
      <c r="BH518" s="17"/>
      <c r="BI518" s="17"/>
      <c r="BJ518" s="247">
        <v>347400</v>
      </c>
      <c r="BK518" s="247">
        <f t="shared" si="184"/>
        <v>66006</v>
      </c>
      <c r="BL518" s="247">
        <f t="shared" si="185"/>
        <v>413406</v>
      </c>
      <c r="BM518" s="190" t="s">
        <v>1520</v>
      </c>
      <c r="BN518" s="190" t="s">
        <v>316</v>
      </c>
      <c r="BO518" s="17"/>
      <c r="BP518" s="247">
        <v>465000</v>
      </c>
      <c r="BQ518" s="247">
        <f t="shared" si="179"/>
        <v>88350</v>
      </c>
      <c r="BR518" s="247">
        <f t="shared" si="183"/>
        <v>553350</v>
      </c>
      <c r="BS518" s="17"/>
      <c r="BT518" s="17"/>
      <c r="BU518" s="17"/>
      <c r="BV518" s="195">
        <v>394535.23200000002</v>
      </c>
      <c r="BW518" s="195">
        <f t="shared" si="188"/>
        <v>74961.694080000001</v>
      </c>
      <c r="BX518" s="246">
        <f t="shared" si="189"/>
        <v>469496.92608</v>
      </c>
      <c r="BY518" s="190" t="s">
        <v>1520</v>
      </c>
      <c r="BZ518" s="190" t="s">
        <v>316</v>
      </c>
      <c r="CA518" s="190"/>
      <c r="CB518" s="247"/>
      <c r="CC518" s="247"/>
      <c r="CD518" s="247"/>
      <c r="CE518" s="17"/>
      <c r="CF518" s="17"/>
      <c r="CG518" s="17"/>
      <c r="CH518" s="247"/>
      <c r="CI518" s="247"/>
      <c r="CJ518" s="247"/>
      <c r="CK518" s="17"/>
      <c r="CL518" s="17"/>
      <c r="CM518" s="17"/>
      <c r="CN518" s="17"/>
      <c r="CO518" s="17"/>
      <c r="CP518" s="11"/>
      <c r="CQ518" s="11"/>
      <c r="CR518" s="11"/>
      <c r="CS518" s="11"/>
      <c r="CT518" s="247"/>
      <c r="CU518" s="247"/>
      <c r="CV518" s="247"/>
      <c r="CW518" s="11"/>
      <c r="CX518" s="11"/>
      <c r="CY518" s="11"/>
      <c r="CZ518" s="11"/>
      <c r="DA518" s="11"/>
      <c r="DB518" s="11"/>
      <c r="DC518" s="11"/>
      <c r="DD518" s="11"/>
      <c r="DE518" s="11"/>
      <c r="DF518" s="11"/>
      <c r="DG518" s="11"/>
      <c r="DH518" s="11"/>
      <c r="DI518" s="11"/>
      <c r="DJ518" s="11"/>
      <c r="DK518" s="11"/>
      <c r="DL518" s="247"/>
      <c r="DM518" s="247"/>
      <c r="DN518" s="247"/>
      <c r="DO518" s="247"/>
      <c r="DP518" s="247"/>
      <c r="DQ518" s="247"/>
      <c r="DR518" s="247"/>
      <c r="DS518" s="247"/>
      <c r="DT518" s="247"/>
      <c r="DU518" s="247"/>
      <c r="DV518" s="247"/>
      <c r="DW518" s="247"/>
      <c r="DX518" s="247"/>
      <c r="DY518" s="247"/>
      <c r="DZ518" s="247"/>
      <c r="EA518" s="247"/>
      <c r="EB518" s="247"/>
      <c r="EC518" s="247"/>
      <c r="ED518" s="17">
        <f t="shared" si="180"/>
        <v>1436252.9260800001</v>
      </c>
      <c r="EE518" s="29">
        <f t="shared" si="181"/>
        <v>3</v>
      </c>
      <c r="EF518" s="17">
        <f t="shared" si="182"/>
        <v>478750.97536000004</v>
      </c>
    </row>
    <row r="519" spans="1:136" ht="102" x14ac:dyDescent="0.25">
      <c r="A519" s="25">
        <f>Distribución_Elementos!A519</f>
        <v>517</v>
      </c>
      <c r="B519" s="22" t="str">
        <f>Distribución_Elementos!B519</f>
        <v>Tubo para microcentrífuga plásticos de 2.0 ml</v>
      </c>
      <c r="C519" s="22" t="str">
        <f>Distribución_Elementos!C519</f>
        <v>Axygen (CATMCT-200-C), Brand (780550)</v>
      </c>
      <c r="D519" s="22" t="str">
        <f>Distribución_Elementos!D519</f>
        <v>Bolsa x 500</v>
      </c>
      <c r="E519" s="224">
        <v>1</v>
      </c>
      <c r="F519" s="221">
        <v>108986.15</v>
      </c>
      <c r="G519" s="221">
        <v>105672</v>
      </c>
      <c r="H519" s="221">
        <v>143984.44666666666</v>
      </c>
      <c r="I519" s="221">
        <v>0</v>
      </c>
      <c r="J519" s="221">
        <v>109915.54195664132</v>
      </c>
      <c r="K519" s="221">
        <v>109480</v>
      </c>
      <c r="L519" s="247">
        <f>AVERAGE(F519,H519,J519)</f>
        <v>120962.04620776932</v>
      </c>
      <c r="M519" s="247">
        <f>AVERAGE(G519,K519)*E1</f>
        <v>110803.28</v>
      </c>
      <c r="N519" s="227"/>
      <c r="O519" s="119"/>
      <c r="P519" s="119"/>
      <c r="Q519" s="115"/>
      <c r="R519" s="115"/>
      <c r="S519" s="11"/>
      <c r="T519" s="247"/>
      <c r="U519" s="247"/>
      <c r="V519" s="247"/>
      <c r="W519" s="17"/>
      <c r="X519" s="11"/>
      <c r="Y519" s="11"/>
      <c r="Z519" s="247">
        <v>240000</v>
      </c>
      <c r="AA519" s="247">
        <f>+Z519*0.19</f>
        <v>45600</v>
      </c>
      <c r="AB519" s="247">
        <f>+Z519+AA519</f>
        <v>285600</v>
      </c>
      <c r="AC519" s="44" t="s">
        <v>1796</v>
      </c>
      <c r="AD519" s="22" t="s">
        <v>1579</v>
      </c>
      <c r="AE519" s="17"/>
      <c r="AF519" s="247"/>
      <c r="AG519" s="247"/>
      <c r="AH519" s="151"/>
      <c r="AI519" s="4"/>
      <c r="AJ519" s="17"/>
      <c r="AK519" s="17"/>
      <c r="AL519" s="102"/>
      <c r="AM519" s="132"/>
      <c r="AN519" s="132"/>
      <c r="AO519" s="115"/>
      <c r="AP519" s="115"/>
      <c r="AQ519" s="17"/>
      <c r="AR519" s="247"/>
      <c r="AS519" s="247"/>
      <c r="AT519" s="247"/>
      <c r="AU519" s="17"/>
      <c r="AV519" s="17"/>
      <c r="AW519" s="17"/>
      <c r="AX519" s="247"/>
      <c r="AY519" s="247"/>
      <c r="AZ519" s="247"/>
      <c r="BA519" s="17"/>
      <c r="BB519" s="52"/>
      <c r="BC519" s="17"/>
      <c r="BD519" s="102">
        <v>70352</v>
      </c>
      <c r="BE519" s="247">
        <f>+BD519*0.19</f>
        <v>13366.880000000001</v>
      </c>
      <c r="BF519" s="247">
        <f>+BD519+BE519</f>
        <v>83718.880000000005</v>
      </c>
      <c r="BG519" s="25" t="s">
        <v>1525</v>
      </c>
      <c r="BH519" s="184" t="s">
        <v>1797</v>
      </c>
      <c r="BI519" s="5" t="s">
        <v>1794</v>
      </c>
      <c r="BJ519" s="252">
        <v>694800</v>
      </c>
      <c r="BK519" s="247">
        <f t="shared" si="184"/>
        <v>132012</v>
      </c>
      <c r="BL519" s="247">
        <f t="shared" si="185"/>
        <v>826812</v>
      </c>
      <c r="BM519" s="190" t="s">
        <v>1520</v>
      </c>
      <c r="BN519" s="190" t="s">
        <v>316</v>
      </c>
      <c r="BO519" s="17"/>
      <c r="BP519" s="247"/>
      <c r="BQ519" s="247"/>
      <c r="BR519" s="247"/>
      <c r="BS519" s="17"/>
      <c r="BT519" s="17"/>
      <c r="BU519" s="17"/>
      <c r="BV519" s="195"/>
      <c r="BW519" s="195"/>
      <c r="BX519" s="246"/>
      <c r="BY519" s="190"/>
      <c r="BZ519" s="190"/>
      <c r="CA519" s="190"/>
      <c r="CB519" s="247"/>
      <c r="CC519" s="247"/>
      <c r="CD519" s="247"/>
      <c r="CE519" s="17"/>
      <c r="CF519" s="17"/>
      <c r="CG519" s="17"/>
      <c r="CH519" s="247"/>
      <c r="CI519" s="247"/>
      <c r="CJ519" s="247"/>
      <c r="CK519" s="17"/>
      <c r="CL519" s="17"/>
      <c r="CM519" s="17"/>
      <c r="CN519" s="17"/>
      <c r="CO519" s="17"/>
      <c r="CP519" s="11"/>
      <c r="CQ519" s="11"/>
      <c r="CR519" s="11"/>
      <c r="CS519" s="11"/>
      <c r="CT519" s="247"/>
      <c r="CU519" s="247"/>
      <c r="CV519" s="247"/>
      <c r="CW519" s="11"/>
      <c r="CX519" s="11"/>
      <c r="CY519" s="11"/>
      <c r="CZ519" s="11"/>
      <c r="DA519" s="11"/>
      <c r="DB519" s="11"/>
      <c r="DC519" s="11"/>
      <c r="DD519" s="11"/>
      <c r="DE519" s="11"/>
      <c r="DF519" s="11"/>
      <c r="DG519" s="11"/>
      <c r="DH519" s="11"/>
      <c r="DI519" s="11"/>
      <c r="DJ519" s="11"/>
      <c r="DK519" s="11"/>
      <c r="DL519" s="247"/>
      <c r="DM519" s="247"/>
      <c r="DN519" s="247"/>
      <c r="DO519" s="247"/>
      <c r="DP519" s="247"/>
      <c r="DQ519" s="247"/>
      <c r="DR519" s="247"/>
      <c r="DS519" s="247"/>
      <c r="DT519" s="247"/>
      <c r="DU519" s="247"/>
      <c r="DV519" s="247"/>
      <c r="DW519" s="247"/>
      <c r="DX519" s="247"/>
      <c r="DY519" s="247"/>
      <c r="DZ519" s="247"/>
      <c r="EA519" s="247"/>
      <c r="EB519" s="247"/>
      <c r="EC519" s="247"/>
      <c r="ED519" s="17">
        <f t="shared" si="180"/>
        <v>1306934.1600000001</v>
      </c>
      <c r="EE519" s="29">
        <f t="shared" si="181"/>
        <v>4</v>
      </c>
      <c r="EF519" s="17">
        <f t="shared" si="182"/>
        <v>326733.54000000004</v>
      </c>
    </row>
    <row r="520" spans="1:136" ht="63.75" x14ac:dyDescent="0.25">
      <c r="A520" s="25">
        <f>Distribución_Elementos!A520</f>
        <v>518</v>
      </c>
      <c r="B520" s="22" t="str">
        <f>Distribución_Elementos!B520</f>
        <v xml:space="preserve">Tubo para PCR 0.2 ml con tapa plana libres de Dnasas y RNAsas </v>
      </c>
      <c r="C520" s="22" t="str">
        <f>Distribución_Elementos!C520</f>
        <v xml:space="preserve">Thermo Scientific, VWR, Brand, Axygen. </v>
      </c>
      <c r="D520" s="22" t="str">
        <f>Distribución_Elementos!D520</f>
        <v>Bolsa x 1000</v>
      </c>
      <c r="E520" s="224">
        <v>1</v>
      </c>
      <c r="F520" s="221">
        <v>282303.7</v>
      </c>
      <c r="G520" s="221">
        <v>277984</v>
      </c>
      <c r="H520" s="221">
        <v>306181.05</v>
      </c>
      <c r="I520" s="221">
        <v>306068</v>
      </c>
      <c r="J520" s="221">
        <v>319846.72560190002</v>
      </c>
      <c r="K520" s="221">
        <v>0</v>
      </c>
      <c r="L520" s="247">
        <f>AVERAGE(F520,H520,J520)</f>
        <v>302777.15853396669</v>
      </c>
      <c r="M520" s="247">
        <f>AVERAGE(G520,I520)*E1</f>
        <v>300786.78000000003</v>
      </c>
      <c r="N520" s="227">
        <v>350000</v>
      </c>
      <c r="O520" s="119">
        <f>+N520*0.19</f>
        <v>66500</v>
      </c>
      <c r="P520" s="119">
        <f>+N520+O520</f>
        <v>416500</v>
      </c>
      <c r="Q520" s="115"/>
      <c r="R520" s="115"/>
      <c r="S520" s="11"/>
      <c r="T520" s="247"/>
      <c r="U520" s="247"/>
      <c r="V520" s="247"/>
      <c r="W520" s="17"/>
      <c r="X520" s="11"/>
      <c r="Y520" s="11"/>
      <c r="Z520" s="247">
        <v>210000</v>
      </c>
      <c r="AA520" s="247">
        <f>+Z520*0.19</f>
        <v>39900</v>
      </c>
      <c r="AB520" s="247">
        <f>+Z520+AA520</f>
        <v>249900</v>
      </c>
      <c r="AC520" s="44" t="s">
        <v>1741</v>
      </c>
      <c r="AD520" s="22" t="s">
        <v>1579</v>
      </c>
      <c r="AE520" s="17"/>
      <c r="AF520" s="247"/>
      <c r="AG520" s="247"/>
      <c r="AH520" s="151"/>
      <c r="AI520" s="22"/>
      <c r="AJ520" s="17"/>
      <c r="AK520" s="17"/>
      <c r="AL520" s="102"/>
      <c r="AM520" s="132"/>
      <c r="AN520" s="132"/>
      <c r="AO520" s="115"/>
      <c r="AP520" s="115"/>
      <c r="AQ520" s="17"/>
      <c r="AR520" s="247"/>
      <c r="AS520" s="247"/>
      <c r="AT520" s="247"/>
      <c r="AU520" s="17"/>
      <c r="AV520" s="17"/>
      <c r="AW520" s="17"/>
      <c r="AX520" s="247"/>
      <c r="AY520" s="247"/>
      <c r="AZ520" s="247"/>
      <c r="BA520" s="17"/>
      <c r="BB520" s="52"/>
      <c r="BC520" s="17"/>
      <c r="BD520" s="102">
        <f>373720/2</f>
        <v>186860</v>
      </c>
      <c r="BE520" s="247">
        <f>+BD520*0.19</f>
        <v>35503.4</v>
      </c>
      <c r="BF520" s="247">
        <f>+BD520+BE520</f>
        <v>222363.4</v>
      </c>
      <c r="BG520" s="25" t="s">
        <v>1798</v>
      </c>
      <c r="BH520" s="184" t="s">
        <v>1799</v>
      </c>
      <c r="BI520" s="5" t="s">
        <v>1800</v>
      </c>
      <c r="BJ520" s="247">
        <v>353800</v>
      </c>
      <c r="BK520" s="247">
        <f t="shared" si="184"/>
        <v>67222</v>
      </c>
      <c r="BL520" s="247">
        <f t="shared" si="185"/>
        <v>421022</v>
      </c>
      <c r="BM520" s="190" t="s">
        <v>1575</v>
      </c>
      <c r="BN520" s="190" t="s">
        <v>1565</v>
      </c>
      <c r="BO520" s="17"/>
      <c r="BP520" s="247">
        <v>196000</v>
      </c>
      <c r="BQ520" s="247">
        <f t="shared" si="179"/>
        <v>37240</v>
      </c>
      <c r="BR520" s="247">
        <f t="shared" si="183"/>
        <v>233240</v>
      </c>
      <c r="BS520" s="17"/>
      <c r="BT520" s="17"/>
      <c r="BU520" s="17"/>
      <c r="BV520" s="195">
        <v>405519.89920000004</v>
      </c>
      <c r="BW520" s="195">
        <f t="shared" si="188"/>
        <v>77048.780848000009</v>
      </c>
      <c r="BX520" s="246">
        <f t="shared" si="189"/>
        <v>482568.68004800007</v>
      </c>
      <c r="BY520" s="190" t="s">
        <v>1575</v>
      </c>
      <c r="BZ520" s="190" t="s">
        <v>1565</v>
      </c>
      <c r="CA520" s="190"/>
      <c r="CB520" s="247"/>
      <c r="CC520" s="247"/>
      <c r="CD520" s="247"/>
      <c r="CE520" s="17"/>
      <c r="CF520" s="17"/>
      <c r="CG520" s="17"/>
      <c r="CH520" s="247"/>
      <c r="CI520" s="247"/>
      <c r="CJ520" s="247"/>
      <c r="CK520" s="17"/>
      <c r="CL520" s="17"/>
      <c r="CM520" s="17"/>
      <c r="CN520" s="17"/>
      <c r="CO520" s="17"/>
      <c r="CP520" s="11"/>
      <c r="CQ520" s="11"/>
      <c r="CR520" s="11"/>
      <c r="CS520" s="11"/>
      <c r="CT520" s="247"/>
      <c r="CU520" s="247"/>
      <c r="CV520" s="247"/>
      <c r="CW520" s="11"/>
      <c r="CX520" s="11"/>
      <c r="CY520" s="11"/>
      <c r="CZ520" s="11"/>
      <c r="DA520" s="11"/>
      <c r="DB520" s="11"/>
      <c r="DC520" s="11"/>
      <c r="DD520" s="11"/>
      <c r="DE520" s="11"/>
      <c r="DF520" s="11"/>
      <c r="DG520" s="11"/>
      <c r="DH520" s="11"/>
      <c r="DI520" s="11"/>
      <c r="DJ520" s="11"/>
      <c r="DK520" s="11"/>
      <c r="DL520" s="247"/>
      <c r="DM520" s="247"/>
      <c r="DN520" s="247"/>
      <c r="DO520" s="247"/>
      <c r="DP520" s="247"/>
      <c r="DQ520" s="247"/>
      <c r="DR520" s="247"/>
      <c r="DS520" s="247"/>
      <c r="DT520" s="247"/>
      <c r="DU520" s="247"/>
      <c r="DV520" s="247"/>
      <c r="DW520" s="247"/>
      <c r="DX520" s="247"/>
      <c r="DY520" s="247"/>
      <c r="DZ520" s="247"/>
      <c r="EA520" s="247"/>
      <c r="EB520" s="247"/>
      <c r="EC520" s="247"/>
      <c r="ED520" s="17">
        <f t="shared" si="180"/>
        <v>2326380.8600479998</v>
      </c>
      <c r="EE520" s="29">
        <f t="shared" si="181"/>
        <v>7</v>
      </c>
      <c r="EF520" s="17">
        <f t="shared" si="182"/>
        <v>332340.12286399998</v>
      </c>
    </row>
    <row r="521" spans="1:136" ht="38.25" x14ac:dyDescent="0.25">
      <c r="A521" s="25">
        <f>Distribución_Elementos!A521</f>
        <v>519</v>
      </c>
      <c r="B521" s="22" t="str">
        <f>Distribución_Elementos!B521</f>
        <v>Tubo para toma de sangre al vacío tapón lila. Plástico, tapón hemogard de 6.0 ml. Aditivo siliconizado, con fecha de vencimiento minimo de un año a partir de la fecha de entrega.</v>
      </c>
      <c r="C521" s="22" t="str">
        <f>Distribución_Elementos!C521</f>
        <v>Vacutest o equivalente</v>
      </c>
      <c r="D521" s="22" t="str">
        <f>Distribución_Elementos!D521</f>
        <v>Caja x 100</v>
      </c>
      <c r="E521" s="224">
        <v>1</v>
      </c>
      <c r="F521" s="221">
        <v>0</v>
      </c>
      <c r="G521" s="221">
        <v>0</v>
      </c>
      <c r="H521" s="221">
        <v>0</v>
      </c>
      <c r="I521" s="221">
        <v>0</v>
      </c>
      <c r="J521" s="221">
        <v>0</v>
      </c>
      <c r="K521" s="221">
        <v>0</v>
      </c>
      <c r="L521" s="247"/>
      <c r="M521" s="247"/>
      <c r="N521" s="227">
        <v>42000</v>
      </c>
      <c r="O521" s="119">
        <f>+N521*0.19</f>
        <v>7980</v>
      </c>
      <c r="P521" s="119">
        <f>+N521+O521</f>
        <v>49980</v>
      </c>
      <c r="Q521" s="115"/>
      <c r="R521" s="115"/>
      <c r="S521" s="11"/>
      <c r="T521" s="247"/>
      <c r="U521" s="247"/>
      <c r="V521" s="247"/>
      <c r="W521" s="17"/>
      <c r="X521" s="11"/>
      <c r="Y521" s="11"/>
      <c r="Z521" s="247"/>
      <c r="AA521" s="247"/>
      <c r="AB521" s="247"/>
      <c r="AC521" s="44"/>
      <c r="AD521" s="22"/>
      <c r="AE521" s="17"/>
      <c r="AF521" s="247"/>
      <c r="AG521" s="247"/>
      <c r="AH521" s="151"/>
      <c r="AI521" s="4"/>
      <c r="AJ521" s="17"/>
      <c r="AK521" s="17"/>
      <c r="AL521" s="102"/>
      <c r="AM521" s="132"/>
      <c r="AN521" s="132"/>
      <c r="AO521" s="115"/>
      <c r="AP521" s="115"/>
      <c r="AQ521" s="17"/>
      <c r="AR521" s="247"/>
      <c r="AS521" s="247"/>
      <c r="AT521" s="247"/>
      <c r="AU521" s="17"/>
      <c r="AV521" s="17"/>
      <c r="AW521" s="17"/>
      <c r="AX521" s="247"/>
      <c r="AY521" s="247"/>
      <c r="AZ521" s="247"/>
      <c r="BA521" s="17"/>
      <c r="BB521" s="52"/>
      <c r="BC521" s="17"/>
      <c r="BD521" s="247"/>
      <c r="BE521" s="247"/>
      <c r="BF521" s="247"/>
      <c r="BG521" s="17"/>
      <c r="BH521" s="17"/>
      <c r="BI521" s="17"/>
      <c r="BJ521" s="247">
        <v>89300</v>
      </c>
      <c r="BK521" s="247">
        <f t="shared" si="184"/>
        <v>16967</v>
      </c>
      <c r="BL521" s="247">
        <f t="shared" si="185"/>
        <v>106267</v>
      </c>
      <c r="BM521" s="190" t="s">
        <v>1801</v>
      </c>
      <c r="BN521" s="190" t="s">
        <v>1615</v>
      </c>
      <c r="BO521" s="17"/>
      <c r="BP521" s="247">
        <v>68560</v>
      </c>
      <c r="BQ521" s="247">
        <f t="shared" si="179"/>
        <v>13026.4</v>
      </c>
      <c r="BR521" s="247">
        <f t="shared" si="183"/>
        <v>81586.399999999994</v>
      </c>
      <c r="BS521" s="17"/>
      <c r="BT521" s="17"/>
      <c r="BU521" s="17"/>
      <c r="BV521" s="195">
        <v>103261.9657</v>
      </c>
      <c r="BW521" s="195">
        <f t="shared" si="188"/>
        <v>19619.773483000001</v>
      </c>
      <c r="BX521" s="246">
        <f t="shared" si="189"/>
        <v>122881.739183</v>
      </c>
      <c r="BY521" s="190" t="s">
        <v>1801</v>
      </c>
      <c r="BZ521" s="190" t="s">
        <v>1615</v>
      </c>
      <c r="CA521" s="190"/>
      <c r="CB521" s="247"/>
      <c r="CC521" s="247"/>
      <c r="CD521" s="247"/>
      <c r="CE521" s="17"/>
      <c r="CF521" s="17"/>
      <c r="CG521" s="17"/>
      <c r="CH521" s="247"/>
      <c r="CI521" s="247"/>
      <c r="CJ521" s="247"/>
      <c r="CK521" s="17"/>
      <c r="CL521" s="17"/>
      <c r="CM521" s="17"/>
      <c r="CN521" s="17"/>
      <c r="CO521" s="17"/>
      <c r="CP521" s="11"/>
      <c r="CQ521" s="11"/>
      <c r="CR521" s="11"/>
      <c r="CS521" s="11"/>
      <c r="CT521" s="247"/>
      <c r="CU521" s="247"/>
      <c r="CV521" s="247"/>
      <c r="CW521" s="11"/>
      <c r="CX521" s="11"/>
      <c r="CY521" s="11"/>
      <c r="CZ521" s="11"/>
      <c r="DA521" s="11"/>
      <c r="DB521" s="11"/>
      <c r="DC521" s="11"/>
      <c r="DD521" s="11"/>
      <c r="DE521" s="11"/>
      <c r="DF521" s="11"/>
      <c r="DG521" s="11"/>
      <c r="DH521" s="11"/>
      <c r="DI521" s="11"/>
      <c r="DJ521" s="11"/>
      <c r="DK521" s="11"/>
      <c r="DL521" s="247"/>
      <c r="DM521" s="247"/>
      <c r="DN521" s="247"/>
      <c r="DO521" s="247"/>
      <c r="DP521" s="247"/>
      <c r="DQ521" s="247"/>
      <c r="DR521" s="247"/>
      <c r="DS521" s="247"/>
      <c r="DT521" s="247"/>
      <c r="DU521" s="247"/>
      <c r="DV521" s="247"/>
      <c r="DW521" s="247"/>
      <c r="DX521" s="247"/>
      <c r="DY521" s="247"/>
      <c r="DZ521" s="247"/>
      <c r="EA521" s="247"/>
      <c r="EB521" s="247"/>
      <c r="EC521" s="247"/>
      <c r="ED521" s="17">
        <f t="shared" si="180"/>
        <v>360715.13918299996</v>
      </c>
      <c r="EE521" s="29">
        <f t="shared" si="181"/>
        <v>4</v>
      </c>
      <c r="EF521" s="17">
        <f t="shared" si="182"/>
        <v>90178.784795749991</v>
      </c>
    </row>
    <row r="522" spans="1:136" ht="38.25" x14ac:dyDescent="0.25">
      <c r="A522" s="25">
        <f>Distribución_Elementos!A522</f>
        <v>520</v>
      </c>
      <c r="B522" s="22" t="str">
        <f>Distribución_Elementos!B522</f>
        <v>Tubo para toma de sangre en polipropileno al vacío tapa roja, sin anticoagulante mínimo para 7 ml. con fecha de vencimiento minimo de un año a partir de la fecha de entrega.</v>
      </c>
      <c r="C522" s="22" t="str">
        <f>Distribución_Elementos!C522</f>
        <v>Vacutest o equivalente</v>
      </c>
      <c r="D522" s="22" t="str">
        <f>Distribución_Elementos!D522</f>
        <v xml:space="preserve">Caja x 100 </v>
      </c>
      <c r="E522" s="224">
        <v>1</v>
      </c>
      <c r="F522" s="221">
        <v>0</v>
      </c>
      <c r="G522" s="221">
        <v>0</v>
      </c>
      <c r="H522" s="221">
        <v>0</v>
      </c>
      <c r="I522" s="221">
        <v>0</v>
      </c>
      <c r="J522" s="221">
        <v>0</v>
      </c>
      <c r="K522" s="221">
        <v>0</v>
      </c>
      <c r="L522" s="247"/>
      <c r="M522" s="247"/>
      <c r="N522" s="227">
        <v>45000</v>
      </c>
      <c r="O522" s="119">
        <f>+N522*0.19</f>
        <v>8550</v>
      </c>
      <c r="P522" s="119">
        <f>+N522+O522</f>
        <v>53550</v>
      </c>
      <c r="Q522" s="115"/>
      <c r="R522" s="115"/>
      <c r="S522" s="11"/>
      <c r="T522" s="247"/>
      <c r="U522" s="247"/>
      <c r="V522" s="247"/>
      <c r="W522" s="17"/>
      <c r="X522" s="11"/>
      <c r="Y522" s="11"/>
      <c r="Z522" s="247"/>
      <c r="AA522" s="247"/>
      <c r="AB522" s="247"/>
      <c r="AC522" s="44"/>
      <c r="AD522" s="22"/>
      <c r="AE522" s="17"/>
      <c r="AF522" s="247"/>
      <c r="AG522" s="247"/>
      <c r="AH522" s="97"/>
      <c r="AI522" s="4"/>
      <c r="AJ522" s="17"/>
      <c r="AK522" s="17"/>
      <c r="AL522" s="102"/>
      <c r="AM522" s="132"/>
      <c r="AN522" s="161"/>
      <c r="AO522" s="115"/>
      <c r="AP522" s="115"/>
      <c r="AQ522" s="17"/>
      <c r="AR522" s="247"/>
      <c r="AS522" s="247"/>
      <c r="AT522" s="247"/>
      <c r="AU522" s="17"/>
      <c r="AV522" s="17"/>
      <c r="AW522" s="17"/>
      <c r="AX522" s="247"/>
      <c r="AY522" s="247"/>
      <c r="AZ522" s="247"/>
      <c r="BA522" s="17"/>
      <c r="BB522" s="52"/>
      <c r="BC522" s="17"/>
      <c r="BD522" s="247"/>
      <c r="BE522" s="247"/>
      <c r="BF522" s="247"/>
      <c r="BG522" s="17"/>
      <c r="BH522" s="17"/>
      <c r="BI522" s="17"/>
      <c r="BJ522" s="247">
        <v>104700</v>
      </c>
      <c r="BK522" s="247">
        <f t="shared" si="184"/>
        <v>19893</v>
      </c>
      <c r="BL522" s="247">
        <f t="shared" si="185"/>
        <v>124593</v>
      </c>
      <c r="BM522" s="190" t="s">
        <v>1496</v>
      </c>
      <c r="BN522" s="190" t="s">
        <v>27</v>
      </c>
      <c r="BO522" s="17"/>
      <c r="BP522" s="247">
        <v>68500</v>
      </c>
      <c r="BQ522" s="247">
        <f t="shared" si="179"/>
        <v>13015</v>
      </c>
      <c r="BR522" s="247">
        <f t="shared" si="183"/>
        <v>81515</v>
      </c>
      <c r="BS522" s="17"/>
      <c r="BT522" s="17"/>
      <c r="BU522" s="17"/>
      <c r="BV522" s="195">
        <v>113297.75460000001</v>
      </c>
      <c r="BW522" s="195">
        <f t="shared" si="188"/>
        <v>21526.573374000003</v>
      </c>
      <c r="BX522" s="246">
        <f t="shared" si="189"/>
        <v>134824.32797400001</v>
      </c>
      <c r="BY522" s="190" t="s">
        <v>1496</v>
      </c>
      <c r="BZ522" s="190" t="s">
        <v>27</v>
      </c>
      <c r="CA522" s="190"/>
      <c r="CB522" s="247"/>
      <c r="CC522" s="247"/>
      <c r="CD522" s="247"/>
      <c r="CE522" s="17"/>
      <c r="CF522" s="17"/>
      <c r="CG522" s="17"/>
      <c r="CH522" s="247"/>
      <c r="CI522" s="247"/>
      <c r="CJ522" s="247"/>
      <c r="CK522" s="17"/>
      <c r="CL522" s="17"/>
      <c r="CM522" s="17"/>
      <c r="CN522" s="17"/>
      <c r="CO522" s="17"/>
      <c r="CP522" s="11"/>
      <c r="CQ522" s="11"/>
      <c r="CR522" s="11"/>
      <c r="CS522" s="11"/>
      <c r="CT522" s="247"/>
      <c r="CU522" s="247"/>
      <c r="CV522" s="247"/>
      <c r="CW522" s="11"/>
      <c r="CX522" s="11"/>
      <c r="CY522" s="11"/>
      <c r="CZ522" s="11"/>
      <c r="DA522" s="11"/>
      <c r="DB522" s="11"/>
      <c r="DC522" s="11"/>
      <c r="DD522" s="11"/>
      <c r="DE522" s="11"/>
      <c r="DF522" s="11"/>
      <c r="DG522" s="11"/>
      <c r="DH522" s="11"/>
      <c r="DI522" s="11"/>
      <c r="DJ522" s="11"/>
      <c r="DK522" s="11"/>
      <c r="DL522" s="247"/>
      <c r="DM522" s="247"/>
      <c r="DN522" s="247"/>
      <c r="DO522" s="247"/>
      <c r="DP522" s="247"/>
      <c r="DQ522" s="247"/>
      <c r="DR522" s="247"/>
      <c r="DS522" s="247"/>
      <c r="DT522" s="247"/>
      <c r="DU522" s="247"/>
      <c r="DV522" s="247"/>
      <c r="DW522" s="247"/>
      <c r="DX522" s="247"/>
      <c r="DY522" s="247"/>
      <c r="DZ522" s="247"/>
      <c r="EA522" s="247"/>
      <c r="EB522" s="247"/>
      <c r="EC522" s="247"/>
      <c r="ED522" s="17">
        <f t="shared" si="180"/>
        <v>394482.32797400001</v>
      </c>
      <c r="EE522" s="29">
        <f t="shared" si="181"/>
        <v>4</v>
      </c>
      <c r="EF522" s="17">
        <f t="shared" si="182"/>
        <v>98620.581993500004</v>
      </c>
    </row>
    <row r="523" spans="1:136" ht="38.25" x14ac:dyDescent="0.25">
      <c r="A523" s="25">
        <f>Distribución_Elementos!A523</f>
        <v>521</v>
      </c>
      <c r="B523" s="22" t="str">
        <f>Distribución_Elementos!B523</f>
        <v>Tubo plástico tapa rosca 2 ml</v>
      </c>
      <c r="C523" s="22" t="str">
        <f>Distribución_Elementos!C523</f>
        <v>Cualquier marca</v>
      </c>
      <c r="D523" s="22" t="str">
        <f>Distribución_Elementos!D523</f>
        <v>Caja x 100</v>
      </c>
      <c r="E523" s="224">
        <v>1</v>
      </c>
      <c r="F523" s="221">
        <v>215663.7</v>
      </c>
      <c r="G523" s="221">
        <v>0</v>
      </c>
      <c r="H523" s="221">
        <v>317397.39500000002</v>
      </c>
      <c r="I523" s="221">
        <v>0</v>
      </c>
      <c r="J523" s="221">
        <v>293518.64310693397</v>
      </c>
      <c r="K523" s="221">
        <v>0</v>
      </c>
      <c r="L523" s="247">
        <f>AVERAGE(F523,H523,J523)</f>
        <v>275526.57936897798</v>
      </c>
      <c r="M523" s="247"/>
      <c r="N523" s="227">
        <v>220000</v>
      </c>
      <c r="O523" s="119">
        <f>+N523*0.19</f>
        <v>41800</v>
      </c>
      <c r="P523" s="119">
        <f>+N523+O523</f>
        <v>261800</v>
      </c>
      <c r="Q523" s="115"/>
      <c r="R523" s="115"/>
      <c r="S523" s="11"/>
      <c r="T523" s="247"/>
      <c r="U523" s="247"/>
      <c r="V523" s="247"/>
      <c r="W523" s="17"/>
      <c r="X523" s="11"/>
      <c r="Y523" s="11"/>
      <c r="Z523" s="247">
        <f>420000/2</f>
        <v>210000</v>
      </c>
      <c r="AA523" s="247">
        <f>+Z523*0.19</f>
        <v>39900</v>
      </c>
      <c r="AB523" s="247">
        <f>+Z523+AA523</f>
        <v>249900</v>
      </c>
      <c r="AC523" s="44" t="s">
        <v>1802</v>
      </c>
      <c r="AD523" s="22" t="s">
        <v>1579</v>
      </c>
      <c r="AE523" s="17"/>
      <c r="AF523" s="247"/>
      <c r="AG523" s="247"/>
      <c r="AH523" s="97"/>
      <c r="AI523" s="4"/>
      <c r="AJ523" s="17"/>
      <c r="AK523" s="17"/>
      <c r="AL523" s="102"/>
      <c r="AM523" s="132"/>
      <c r="AN523" s="161"/>
      <c r="AO523" s="115"/>
      <c r="AP523" s="115"/>
      <c r="AQ523" s="17"/>
      <c r="AR523" s="247"/>
      <c r="AS523" s="247"/>
      <c r="AT523" s="247"/>
      <c r="AU523" s="17"/>
      <c r="AV523" s="17"/>
      <c r="AW523" s="17"/>
      <c r="AX523" s="247"/>
      <c r="AY523" s="247"/>
      <c r="AZ523" s="247"/>
      <c r="BA523" s="17"/>
      <c r="BB523" s="52"/>
      <c r="BC523" s="17"/>
      <c r="BD523" s="102">
        <v>103000</v>
      </c>
      <c r="BE523" s="247">
        <f>+BD523*0.19</f>
        <v>19570</v>
      </c>
      <c r="BF523" s="247">
        <f>+BD523+BE523</f>
        <v>122570</v>
      </c>
      <c r="BG523" s="25" t="s">
        <v>1572</v>
      </c>
      <c r="BH523" s="5" t="s">
        <v>1577</v>
      </c>
      <c r="BI523" s="5" t="s">
        <v>1803</v>
      </c>
      <c r="BJ523" s="247">
        <v>204300</v>
      </c>
      <c r="BK523" s="247">
        <f t="shared" si="184"/>
        <v>38817</v>
      </c>
      <c r="BL523" s="247">
        <f t="shared" si="185"/>
        <v>243117</v>
      </c>
      <c r="BM523" s="190" t="s">
        <v>1498</v>
      </c>
      <c r="BN523" s="190" t="s">
        <v>1565</v>
      </c>
      <c r="BO523" s="17"/>
      <c r="BP523" s="247">
        <v>136000</v>
      </c>
      <c r="BQ523" s="247">
        <f t="shared" si="179"/>
        <v>25840</v>
      </c>
      <c r="BR523" s="247">
        <f t="shared" si="183"/>
        <v>161840</v>
      </c>
      <c r="BS523" s="17"/>
      <c r="BT523" s="17"/>
      <c r="BU523" s="17"/>
      <c r="BV523" s="195">
        <v>229662.21060000002</v>
      </c>
      <c r="BW523" s="195">
        <f t="shared" si="188"/>
        <v>43635.820014000004</v>
      </c>
      <c r="BX523" s="246">
        <f t="shared" si="189"/>
        <v>273298.03061400005</v>
      </c>
      <c r="BY523" s="190" t="s">
        <v>1498</v>
      </c>
      <c r="BZ523" s="190" t="s">
        <v>1565</v>
      </c>
      <c r="CA523" s="190"/>
      <c r="CB523" s="247"/>
      <c r="CC523" s="247"/>
      <c r="CD523" s="247"/>
      <c r="CE523" s="17"/>
      <c r="CF523" s="17"/>
      <c r="CG523" s="17"/>
      <c r="CH523" s="247"/>
      <c r="CI523" s="247"/>
      <c r="CJ523" s="247"/>
      <c r="CK523" s="17"/>
      <c r="CL523" s="17"/>
      <c r="CM523" s="17"/>
      <c r="CN523" s="17"/>
      <c r="CO523" s="17"/>
      <c r="CP523" s="11"/>
      <c r="CQ523" s="11"/>
      <c r="CR523" s="11"/>
      <c r="CS523" s="11"/>
      <c r="CT523" s="247"/>
      <c r="CU523" s="247"/>
      <c r="CV523" s="247"/>
      <c r="CW523" s="11"/>
      <c r="CX523" s="11"/>
      <c r="CY523" s="11"/>
      <c r="CZ523" s="11"/>
      <c r="DA523" s="11"/>
      <c r="DB523" s="11"/>
      <c r="DC523" s="11"/>
      <c r="DD523" s="11"/>
      <c r="DE523" s="11"/>
      <c r="DF523" s="11"/>
      <c r="DG523" s="11"/>
      <c r="DH523" s="11"/>
      <c r="DI523" s="11"/>
      <c r="DJ523" s="11"/>
      <c r="DK523" s="11"/>
      <c r="DL523" s="247"/>
      <c r="DM523" s="247"/>
      <c r="DN523" s="247"/>
      <c r="DO523" s="247"/>
      <c r="DP523" s="247"/>
      <c r="DQ523" s="247"/>
      <c r="DR523" s="247"/>
      <c r="DS523" s="247"/>
      <c r="DT523" s="247"/>
      <c r="DU523" s="247"/>
      <c r="DV523" s="247"/>
      <c r="DW523" s="247"/>
      <c r="DX523" s="247"/>
      <c r="DY523" s="247"/>
      <c r="DZ523" s="247"/>
      <c r="EA523" s="247"/>
      <c r="EB523" s="247"/>
      <c r="EC523" s="247"/>
      <c r="ED523" s="17">
        <f t="shared" si="180"/>
        <v>1312525.030614</v>
      </c>
      <c r="EE523" s="29">
        <f t="shared" si="181"/>
        <v>6</v>
      </c>
      <c r="EF523" s="17">
        <f t="shared" si="182"/>
        <v>218754.17176900001</v>
      </c>
    </row>
    <row r="524" spans="1:136" ht="114.75" x14ac:dyDescent="0.25">
      <c r="A524" s="25">
        <f>Distribución_Elementos!A524</f>
        <v>522</v>
      </c>
      <c r="B524" s="22" t="str">
        <f>Distribución_Elementos!B524</f>
        <v xml:space="preserve">Tubo tipo Eppendorf 0,5ml  en polipropileno grado médico, libre de RNasas y DNasas, estériles. Resistentes fuerza centrífuga hasta x  30000g autoclavables, libres de pirógenos, resistentes a temperaturas de -80 hasta 121 °C </v>
      </c>
      <c r="C524" s="22" t="str">
        <f>Distribución_Elementos!C524</f>
        <v xml:space="preserve">Eppendorf </v>
      </c>
      <c r="D524" s="22" t="str">
        <f>Distribución_Elementos!D524</f>
        <v>Bolsa X 500</v>
      </c>
      <c r="E524" s="224">
        <v>1</v>
      </c>
      <c r="F524" s="221">
        <v>182093.8</v>
      </c>
      <c r="G524" s="221">
        <v>0</v>
      </c>
      <c r="H524" s="221">
        <v>183421.76720641155</v>
      </c>
      <c r="I524" s="221">
        <v>0</v>
      </c>
      <c r="J524" s="221">
        <v>535011.37358736875</v>
      </c>
      <c r="K524" s="221">
        <v>0</v>
      </c>
      <c r="L524" s="247">
        <f>AVERAGE(F524,H524,J524)</f>
        <v>300175.64693126007</v>
      </c>
      <c r="M524" s="247"/>
      <c r="N524" s="227"/>
      <c r="O524" s="119"/>
      <c r="P524" s="119"/>
      <c r="Q524" s="115"/>
      <c r="R524" s="115"/>
      <c r="S524" s="11"/>
      <c r="T524" s="247"/>
      <c r="U524" s="247"/>
      <c r="V524" s="247"/>
      <c r="W524" s="17"/>
      <c r="X524" s="11"/>
      <c r="Y524" s="11"/>
      <c r="Z524" s="247">
        <f>210000/2</f>
        <v>105000</v>
      </c>
      <c r="AA524" s="247">
        <f>+Z524*0.19</f>
        <v>19950</v>
      </c>
      <c r="AB524" s="247">
        <f>+Z524+AA524</f>
        <v>124950</v>
      </c>
      <c r="AC524" s="44" t="s">
        <v>1804</v>
      </c>
      <c r="AD524" s="22" t="s">
        <v>1579</v>
      </c>
      <c r="AE524" s="17"/>
      <c r="AF524" s="247"/>
      <c r="AG524" s="247"/>
      <c r="AH524" s="97"/>
      <c r="AI524" s="4"/>
      <c r="AJ524" s="17"/>
      <c r="AK524" s="17"/>
      <c r="AL524" s="102"/>
      <c r="AM524" s="132"/>
      <c r="AN524" s="161"/>
      <c r="AO524" s="115"/>
      <c r="AP524" s="115"/>
      <c r="AQ524" s="17"/>
      <c r="AR524" s="247"/>
      <c r="AS524" s="247"/>
      <c r="AT524" s="247"/>
      <c r="AU524" s="17"/>
      <c r="AV524" s="17"/>
      <c r="AW524" s="17"/>
      <c r="AX524" s="247"/>
      <c r="AY524" s="247"/>
      <c r="AZ524" s="247"/>
      <c r="BA524" s="17"/>
      <c r="BB524" s="52"/>
      <c r="BC524" s="17"/>
      <c r="BD524" s="102">
        <f>113659/2</f>
        <v>56829.5</v>
      </c>
      <c r="BE524" s="247">
        <f>+BD524*0.19</f>
        <v>10797.605</v>
      </c>
      <c r="BF524" s="247">
        <f>+BD524+BE524</f>
        <v>67627.104999999996</v>
      </c>
      <c r="BG524" s="25" t="s">
        <v>1727</v>
      </c>
      <c r="BH524" s="5" t="s">
        <v>1805</v>
      </c>
      <c r="BI524" s="5" t="s">
        <v>1806</v>
      </c>
      <c r="BJ524" s="252">
        <v>600000</v>
      </c>
      <c r="BK524" s="247">
        <f t="shared" si="184"/>
        <v>114000</v>
      </c>
      <c r="BL524" s="247">
        <f t="shared" si="185"/>
        <v>714000</v>
      </c>
      <c r="BM524" s="190" t="s">
        <v>1807</v>
      </c>
      <c r="BN524" s="190" t="s">
        <v>1808</v>
      </c>
      <c r="BO524" s="17"/>
      <c r="BP524" s="247">
        <v>165000</v>
      </c>
      <c r="BQ524" s="247">
        <f t="shared" si="179"/>
        <v>31350</v>
      </c>
      <c r="BR524" s="247">
        <f t="shared" si="183"/>
        <v>196350</v>
      </c>
      <c r="BS524" s="17"/>
      <c r="BT524" s="17"/>
      <c r="BU524" s="17"/>
      <c r="BV524" s="195"/>
      <c r="BW524" s="195"/>
      <c r="BX524" s="246"/>
      <c r="BY524" s="190"/>
      <c r="BZ524" s="190"/>
      <c r="CA524" s="190"/>
      <c r="CB524" s="247"/>
      <c r="CC524" s="247"/>
      <c r="CD524" s="247"/>
      <c r="CE524" s="17"/>
      <c r="CF524" s="17"/>
      <c r="CG524" s="17"/>
      <c r="CH524" s="247"/>
      <c r="CI524" s="247"/>
      <c r="CJ524" s="247"/>
      <c r="CK524" s="17"/>
      <c r="CL524" s="17"/>
      <c r="CM524" s="17"/>
      <c r="CN524" s="17"/>
      <c r="CO524" s="17"/>
      <c r="CP524" s="11"/>
      <c r="CQ524" s="11"/>
      <c r="CR524" s="11"/>
      <c r="CS524" s="11"/>
      <c r="CT524" s="247"/>
      <c r="CU524" s="247"/>
      <c r="CV524" s="247"/>
      <c r="CW524" s="11"/>
      <c r="CX524" s="11"/>
      <c r="CY524" s="11"/>
      <c r="CZ524" s="11"/>
      <c r="DA524" s="11"/>
      <c r="DB524" s="11"/>
      <c r="DC524" s="11"/>
      <c r="DD524" s="11"/>
      <c r="DE524" s="11"/>
      <c r="DF524" s="11"/>
      <c r="DG524" s="11"/>
      <c r="DH524" s="11"/>
      <c r="DI524" s="11"/>
      <c r="DJ524" s="11"/>
      <c r="DK524" s="11"/>
      <c r="DL524" s="247"/>
      <c r="DM524" s="247"/>
      <c r="DN524" s="247"/>
      <c r="DO524" s="247"/>
      <c r="DP524" s="247"/>
      <c r="DQ524" s="247"/>
      <c r="DR524" s="247"/>
      <c r="DS524" s="247"/>
      <c r="DT524" s="247"/>
      <c r="DU524" s="247"/>
      <c r="DV524" s="247"/>
      <c r="DW524" s="247"/>
      <c r="DX524" s="247"/>
      <c r="DY524" s="247"/>
      <c r="DZ524" s="247"/>
      <c r="EA524" s="247"/>
      <c r="EB524" s="247"/>
      <c r="EC524" s="247"/>
      <c r="ED524" s="17">
        <f t="shared" si="180"/>
        <v>1102927.105</v>
      </c>
      <c r="EE524" s="29">
        <f t="shared" si="181"/>
        <v>4</v>
      </c>
      <c r="EF524" s="17">
        <f t="shared" si="182"/>
        <v>275731.77625</v>
      </c>
    </row>
    <row r="525" spans="1:136" ht="127.5" x14ac:dyDescent="0.25">
      <c r="A525" s="25">
        <f>Distribución_Elementos!A525</f>
        <v>523</v>
      </c>
      <c r="B525" s="22" t="str">
        <f>Distribución_Elementos!B525</f>
        <v xml:space="preserve">Tubo tipo Eppendorf de 1,5 ml en polipropileno grado médico, libre de RNasas y DNasas, estériles o no estériles. Resistentes fuerza centrífuga hasta x  30000g autoclavables, libres de pirógenos, resistentes a temperaturas de -80 hasta 121 °C </v>
      </c>
      <c r="C525" s="22" t="str">
        <f>Distribución_Elementos!C525</f>
        <v>Fisher 05-408-129 o equivalente</v>
      </c>
      <c r="D525" s="22" t="str">
        <f>Distribución_Elementos!D525</f>
        <v>Bolsa x 500</v>
      </c>
      <c r="E525" s="224">
        <v>1</v>
      </c>
      <c r="F525" s="221">
        <v>73887.100000000006</v>
      </c>
      <c r="G525" s="221">
        <v>72709</v>
      </c>
      <c r="H525" s="221">
        <v>71394.426327281646</v>
      </c>
      <c r="I525" s="221">
        <v>0</v>
      </c>
      <c r="J525" s="221">
        <v>90846.355294821871</v>
      </c>
      <c r="K525" s="221">
        <v>83181</v>
      </c>
      <c r="L525" s="247">
        <f>AVERAGE(F525,H525,J525)</f>
        <v>78709.293874034513</v>
      </c>
      <c r="M525" s="247">
        <f>AVERAGE(G525,K525)*E1</f>
        <v>80283.350000000006</v>
      </c>
      <c r="N525" s="227"/>
      <c r="O525" s="119"/>
      <c r="P525" s="119"/>
      <c r="Q525" s="115"/>
      <c r="R525" s="115"/>
      <c r="S525" s="11"/>
      <c r="T525" s="247"/>
      <c r="U525" s="247"/>
      <c r="V525" s="247"/>
      <c r="W525" s="17"/>
      <c r="X525" s="11"/>
      <c r="Y525" s="11"/>
      <c r="Z525" s="247"/>
      <c r="AA525" s="247"/>
      <c r="AB525" s="247"/>
      <c r="AC525" s="44"/>
      <c r="AD525" s="22"/>
      <c r="AE525" s="17"/>
      <c r="AF525" s="247"/>
      <c r="AG525" s="247"/>
      <c r="AH525" s="247"/>
      <c r="AI525" s="11"/>
      <c r="AJ525" s="17"/>
      <c r="AK525" s="17"/>
      <c r="AL525" s="102"/>
      <c r="AM525" s="132"/>
      <c r="AN525" s="161"/>
      <c r="AO525" s="115"/>
      <c r="AP525" s="115"/>
      <c r="AQ525" s="17"/>
      <c r="AR525" s="247"/>
      <c r="AS525" s="247"/>
      <c r="AT525" s="247"/>
      <c r="AU525" s="17"/>
      <c r="AV525" s="17"/>
      <c r="AW525" s="17"/>
      <c r="AX525" s="247"/>
      <c r="AY525" s="247"/>
      <c r="AZ525" s="247"/>
      <c r="BA525" s="17"/>
      <c r="BB525" s="52"/>
      <c r="BC525" s="17"/>
      <c r="BD525" s="102">
        <v>82400</v>
      </c>
      <c r="BE525" s="247">
        <f>+BD525*0.19</f>
        <v>15656</v>
      </c>
      <c r="BF525" s="247">
        <f>+BD525+BE525</f>
        <v>98056</v>
      </c>
      <c r="BG525" s="25" t="s">
        <v>1809</v>
      </c>
      <c r="BH525" s="5" t="s">
        <v>1810</v>
      </c>
      <c r="BI525" s="5" t="s">
        <v>1811</v>
      </c>
      <c r="BJ525" s="252">
        <v>600000</v>
      </c>
      <c r="BK525" s="247">
        <f t="shared" si="184"/>
        <v>114000</v>
      </c>
      <c r="BL525" s="247">
        <f t="shared" si="185"/>
        <v>714000</v>
      </c>
      <c r="BM525" s="190" t="s">
        <v>1807</v>
      </c>
      <c r="BN525" s="190" t="s">
        <v>1812</v>
      </c>
      <c r="BO525" s="17"/>
      <c r="BP525" s="247">
        <v>385000</v>
      </c>
      <c r="BQ525" s="247">
        <f t="shared" si="179"/>
        <v>73150</v>
      </c>
      <c r="BR525" s="247">
        <f t="shared" si="183"/>
        <v>458150</v>
      </c>
      <c r="BS525" s="17"/>
      <c r="BT525" s="17"/>
      <c r="BU525" s="17"/>
      <c r="BV525" s="195"/>
      <c r="BW525" s="195"/>
      <c r="BX525" s="246"/>
      <c r="BY525" s="190"/>
      <c r="BZ525" s="190"/>
      <c r="CA525" s="190"/>
      <c r="CB525" s="252"/>
      <c r="CC525" s="247"/>
      <c r="CD525" s="247"/>
      <c r="CE525" s="17"/>
      <c r="CF525" s="17"/>
      <c r="CG525" s="17"/>
      <c r="CH525" s="247"/>
      <c r="CI525" s="247"/>
      <c r="CJ525" s="247"/>
      <c r="CK525" s="17"/>
      <c r="CL525" s="17"/>
      <c r="CM525" s="17"/>
      <c r="CN525" s="17"/>
      <c r="CO525" s="17"/>
      <c r="CP525" s="11"/>
      <c r="CQ525" s="11"/>
      <c r="CR525" s="11"/>
      <c r="CS525" s="11"/>
      <c r="CT525" s="247"/>
      <c r="CU525" s="247"/>
      <c r="CV525" s="247"/>
      <c r="CW525" s="11"/>
      <c r="CX525" s="11"/>
      <c r="CY525" s="11"/>
      <c r="CZ525" s="11"/>
      <c r="DA525" s="11"/>
      <c r="DB525" s="11"/>
      <c r="DC525" s="11"/>
      <c r="DD525" s="11"/>
      <c r="DE525" s="11"/>
      <c r="DF525" s="11"/>
      <c r="DG525" s="11"/>
      <c r="DH525" s="11"/>
      <c r="DI525" s="11"/>
      <c r="DJ525" s="11"/>
      <c r="DK525" s="11"/>
      <c r="DL525" s="247"/>
      <c r="DM525" s="247"/>
      <c r="DN525" s="247"/>
      <c r="DO525" s="247"/>
      <c r="DP525" s="247"/>
      <c r="DQ525" s="247"/>
      <c r="DR525" s="247"/>
      <c r="DS525" s="247"/>
      <c r="DT525" s="247"/>
      <c r="DU525" s="247"/>
      <c r="DV525" s="247"/>
      <c r="DW525" s="247"/>
      <c r="DX525" s="247"/>
      <c r="DY525" s="247"/>
      <c r="DZ525" s="247"/>
      <c r="EA525" s="247"/>
      <c r="EB525" s="247"/>
      <c r="EC525" s="247"/>
      <c r="ED525" s="17">
        <f t="shared" si="180"/>
        <v>1350489.35</v>
      </c>
      <c r="EE525" s="29">
        <f t="shared" si="181"/>
        <v>4</v>
      </c>
      <c r="EF525" s="17">
        <f t="shared" si="182"/>
        <v>337622.33750000002</v>
      </c>
    </row>
    <row r="526" spans="1:136" ht="38.25" x14ac:dyDescent="0.25">
      <c r="A526" s="25">
        <f>Distribución_Elementos!A526</f>
        <v>524</v>
      </c>
      <c r="B526" s="22" t="str">
        <f>Distribución_Elementos!B526</f>
        <v>Tubo Vacutainer SSTTM Suero con Gel Separador 8.5 ml. con fecha de vencimiento minimo de un año a partir de la fecha de entrega.</v>
      </c>
      <c r="C526" s="22" t="str">
        <f>Distribución_Elementos!C526</f>
        <v>Vacutest o equivalente</v>
      </c>
      <c r="D526" s="22" t="str">
        <f>Distribución_Elementos!D526</f>
        <v xml:space="preserve">Bolsa X 100 </v>
      </c>
      <c r="E526" s="224">
        <v>1</v>
      </c>
      <c r="F526" s="221">
        <v>0</v>
      </c>
      <c r="G526" s="221">
        <v>0</v>
      </c>
      <c r="H526" s="221">
        <v>0</v>
      </c>
      <c r="I526" s="221">
        <v>0</v>
      </c>
      <c r="J526" s="221">
        <v>0</v>
      </c>
      <c r="K526" s="221">
        <v>0</v>
      </c>
      <c r="L526" s="247"/>
      <c r="M526" s="247"/>
      <c r="N526" s="228"/>
      <c r="O526" s="119"/>
      <c r="P526" s="119"/>
      <c r="Q526" s="115"/>
      <c r="R526" s="115"/>
      <c r="S526" s="11"/>
      <c r="T526" s="247"/>
      <c r="U526" s="247"/>
      <c r="V526" s="247"/>
      <c r="W526" s="17"/>
      <c r="X526" s="11"/>
      <c r="Y526" s="11"/>
      <c r="Z526" s="247"/>
      <c r="AA526" s="247"/>
      <c r="AB526" s="247"/>
      <c r="AC526" s="44"/>
      <c r="AD526" s="22"/>
      <c r="AE526" s="17"/>
      <c r="AF526" s="247"/>
      <c r="AG526" s="247"/>
      <c r="AH526" s="247"/>
      <c r="AI526" s="11"/>
      <c r="AJ526" s="17"/>
      <c r="AK526" s="17"/>
      <c r="AL526" s="102"/>
      <c r="AM526" s="132"/>
      <c r="AN526" s="161"/>
      <c r="AO526" s="115"/>
      <c r="AP526" s="115"/>
      <c r="AQ526" s="17"/>
      <c r="AR526" s="247"/>
      <c r="AS526" s="247"/>
      <c r="AT526" s="247"/>
      <c r="AU526" s="17"/>
      <c r="AV526" s="17"/>
      <c r="AW526" s="17"/>
      <c r="AX526" s="247"/>
      <c r="AY526" s="247"/>
      <c r="AZ526" s="247"/>
      <c r="BA526" s="17"/>
      <c r="BB526" s="52"/>
      <c r="BC526" s="17"/>
      <c r="BD526" s="247"/>
      <c r="BE526" s="247"/>
      <c r="BF526" s="247"/>
      <c r="BG526" s="17"/>
      <c r="BH526" s="17"/>
      <c r="BI526" s="17"/>
      <c r="BJ526" s="247">
        <v>126000</v>
      </c>
      <c r="BK526" s="247">
        <f t="shared" si="184"/>
        <v>23940</v>
      </c>
      <c r="BL526" s="247">
        <f t="shared" si="185"/>
        <v>149940</v>
      </c>
      <c r="BM526" s="190" t="s">
        <v>1813</v>
      </c>
      <c r="BN526" s="190" t="s">
        <v>1814</v>
      </c>
      <c r="BO526" s="17"/>
      <c r="BP526" s="247">
        <v>68000</v>
      </c>
      <c r="BQ526" s="247">
        <f t="shared" si="179"/>
        <v>12920</v>
      </c>
      <c r="BR526" s="247">
        <f t="shared" si="183"/>
        <v>80920</v>
      </c>
      <c r="BS526" s="17"/>
      <c r="BT526" s="17"/>
      <c r="BU526" s="17"/>
      <c r="BV526" s="189">
        <v>148599.36000000002</v>
      </c>
      <c r="BW526" s="195">
        <f t="shared" si="188"/>
        <v>28233.878400000001</v>
      </c>
      <c r="BX526" s="246">
        <f t="shared" si="189"/>
        <v>176833.23840000003</v>
      </c>
      <c r="BY526" s="190" t="s">
        <v>1813</v>
      </c>
      <c r="BZ526" s="190" t="s">
        <v>1814</v>
      </c>
      <c r="CA526" s="190"/>
      <c r="CB526" s="247"/>
      <c r="CC526" s="247"/>
      <c r="CD526" s="247"/>
      <c r="CE526" s="17"/>
      <c r="CF526" s="17"/>
      <c r="CG526" s="17"/>
      <c r="CH526" s="252"/>
      <c r="CI526" s="252"/>
      <c r="CJ526" s="252"/>
      <c r="CK526" s="17"/>
      <c r="CL526" s="17"/>
      <c r="CM526" s="17"/>
      <c r="CN526" s="17"/>
      <c r="CO526" s="17"/>
      <c r="CP526" s="11"/>
      <c r="CQ526" s="11"/>
      <c r="CR526" s="11"/>
      <c r="CS526" s="11"/>
      <c r="CT526" s="247"/>
      <c r="CU526" s="247"/>
      <c r="CV526" s="247"/>
      <c r="CW526" s="11"/>
      <c r="CX526" s="11"/>
      <c r="CY526" s="11"/>
      <c r="CZ526" s="11"/>
      <c r="DA526" s="11"/>
      <c r="DB526" s="11"/>
      <c r="DC526" s="11"/>
      <c r="DD526" s="11"/>
      <c r="DE526" s="11"/>
      <c r="DF526" s="11"/>
      <c r="DG526" s="11"/>
      <c r="DH526" s="11"/>
      <c r="DI526" s="11"/>
      <c r="DJ526" s="11"/>
      <c r="DK526" s="11"/>
      <c r="DL526" s="247"/>
      <c r="DM526" s="247"/>
      <c r="DN526" s="247"/>
      <c r="DO526" s="247"/>
      <c r="DP526" s="247"/>
      <c r="DQ526" s="247"/>
      <c r="DR526" s="247"/>
      <c r="DS526" s="247"/>
      <c r="DT526" s="247"/>
      <c r="DU526" s="247"/>
      <c r="DV526" s="247"/>
      <c r="DW526" s="247"/>
      <c r="DX526" s="247"/>
      <c r="DY526" s="247"/>
      <c r="DZ526" s="247"/>
      <c r="EA526" s="247"/>
      <c r="EB526" s="247"/>
      <c r="EC526" s="247"/>
      <c r="ED526" s="17">
        <f t="shared" si="180"/>
        <v>407693.23840000003</v>
      </c>
      <c r="EE526" s="29">
        <f t="shared" si="181"/>
        <v>3</v>
      </c>
      <c r="EF526" s="17">
        <f t="shared" si="182"/>
        <v>135897.74613333333</v>
      </c>
    </row>
    <row r="527" spans="1:136" ht="38.25" x14ac:dyDescent="0.25">
      <c r="A527" s="25">
        <f>Distribución_Elementos!A527</f>
        <v>525</v>
      </c>
      <c r="B527" s="22" t="str">
        <f>Distribución_Elementos!B527</f>
        <v>Tubo vacuteiner. tapa roja de  9 ml, sin Anticuagulante.
con fecha de vencimiento minimo de un año a partir de la fecha de entrega.</v>
      </c>
      <c r="C527" s="22" t="str">
        <f>Distribución_Elementos!C527</f>
        <v>Vacutest o equivalente</v>
      </c>
      <c r="D527" s="22" t="str">
        <f>Distribución_Elementos!D527</f>
        <v>Paquete X 100</v>
      </c>
      <c r="E527" s="224">
        <v>1</v>
      </c>
      <c r="F527" s="221">
        <v>0</v>
      </c>
      <c r="G527" s="221">
        <v>0</v>
      </c>
      <c r="H527" s="221">
        <v>0</v>
      </c>
      <c r="I527" s="221">
        <v>0</v>
      </c>
      <c r="J527" s="221">
        <v>0</v>
      </c>
      <c r="K527" s="221">
        <v>0</v>
      </c>
      <c r="L527" s="247"/>
      <c r="M527" s="247"/>
      <c r="N527" s="227">
        <v>45000</v>
      </c>
      <c r="O527" s="119">
        <f>+N527*0.19</f>
        <v>8550</v>
      </c>
      <c r="P527" s="119">
        <f>+N527+O527</f>
        <v>53550</v>
      </c>
      <c r="Q527" s="115"/>
      <c r="R527" s="115"/>
      <c r="S527" s="11"/>
      <c r="T527" s="247"/>
      <c r="U527" s="247"/>
      <c r="V527" s="247"/>
      <c r="W527" s="17"/>
      <c r="X527" s="11"/>
      <c r="Y527" s="11"/>
      <c r="Z527" s="247"/>
      <c r="AA527" s="247"/>
      <c r="AB527" s="247"/>
      <c r="AC527" s="44"/>
      <c r="AD527" s="22"/>
      <c r="AE527" s="17"/>
      <c r="AF527" s="247"/>
      <c r="AG527" s="247"/>
      <c r="AH527" s="247"/>
      <c r="AI527" s="11"/>
      <c r="AJ527" s="17"/>
      <c r="AK527" s="17"/>
      <c r="AL527" s="102"/>
      <c r="AM527" s="132"/>
      <c r="AN527" s="161"/>
      <c r="AO527" s="115"/>
      <c r="AP527" s="115"/>
      <c r="AQ527" s="17"/>
      <c r="AR527" s="247"/>
      <c r="AS527" s="247"/>
      <c r="AT527" s="247"/>
      <c r="AU527" s="17"/>
      <c r="AV527" s="17"/>
      <c r="AW527" s="17"/>
      <c r="AX527" s="247"/>
      <c r="AY527" s="247"/>
      <c r="AZ527" s="247"/>
      <c r="BA527" s="17"/>
      <c r="BB527" s="52"/>
      <c r="BC527" s="17"/>
      <c r="BD527" s="247"/>
      <c r="BE527" s="247"/>
      <c r="BF527" s="247"/>
      <c r="BG527" s="17"/>
      <c r="BH527" s="17"/>
      <c r="BI527" s="17"/>
      <c r="BJ527" s="247">
        <v>104700</v>
      </c>
      <c r="BK527" s="247">
        <f t="shared" si="184"/>
        <v>19893</v>
      </c>
      <c r="BL527" s="247">
        <f t="shared" si="185"/>
        <v>124593</v>
      </c>
      <c r="BM527" s="190" t="s">
        <v>1815</v>
      </c>
      <c r="BN527" s="190" t="s">
        <v>27</v>
      </c>
      <c r="BO527" s="17"/>
      <c r="BP527" s="247">
        <v>68000</v>
      </c>
      <c r="BQ527" s="247">
        <f t="shared" si="179"/>
        <v>12920</v>
      </c>
      <c r="BR527" s="247">
        <f t="shared" si="183"/>
        <v>80920</v>
      </c>
      <c r="BS527" s="17"/>
      <c r="BT527" s="17"/>
      <c r="BU527" s="17"/>
      <c r="BV527" s="195">
        <v>112144.69350000001</v>
      </c>
      <c r="BW527" s="195">
        <f t="shared" si="188"/>
        <v>21307.491765000002</v>
      </c>
      <c r="BX527" s="246">
        <f t="shared" si="189"/>
        <v>133452.18526500001</v>
      </c>
      <c r="BY527" s="190" t="s">
        <v>1815</v>
      </c>
      <c r="BZ527" s="190" t="s">
        <v>27</v>
      </c>
      <c r="CA527" s="190"/>
      <c r="CB527" s="247"/>
      <c r="CC527" s="247"/>
      <c r="CD527" s="247"/>
      <c r="CE527" s="17"/>
      <c r="CF527" s="17"/>
      <c r="CG527" s="17"/>
      <c r="CH527" s="247"/>
      <c r="CI527" s="247"/>
      <c r="CJ527" s="247"/>
      <c r="CK527" s="17"/>
      <c r="CL527" s="17"/>
      <c r="CM527" s="17"/>
      <c r="CN527" s="17"/>
      <c r="CO527" s="17"/>
      <c r="CP527" s="11"/>
      <c r="CQ527" s="11"/>
      <c r="CR527" s="11"/>
      <c r="CS527" s="11"/>
      <c r="CT527" s="247"/>
      <c r="CU527" s="247"/>
      <c r="CV527" s="247"/>
      <c r="CW527" s="11"/>
      <c r="CX527" s="11"/>
      <c r="CY527" s="11"/>
      <c r="CZ527" s="11"/>
      <c r="DA527" s="11"/>
      <c r="DB527" s="11"/>
      <c r="DC527" s="11"/>
      <c r="DD527" s="11"/>
      <c r="DE527" s="11"/>
      <c r="DF527" s="11"/>
      <c r="DG527" s="11"/>
      <c r="DH527" s="11"/>
      <c r="DI527" s="11"/>
      <c r="DJ527" s="11"/>
      <c r="DK527" s="11"/>
      <c r="DL527" s="247"/>
      <c r="DM527" s="247"/>
      <c r="DN527" s="247"/>
      <c r="DO527" s="247"/>
      <c r="DP527" s="247"/>
      <c r="DQ527" s="247"/>
      <c r="DR527" s="247"/>
      <c r="DS527" s="247"/>
      <c r="DT527" s="247"/>
      <c r="DU527" s="247"/>
      <c r="DV527" s="247"/>
      <c r="DW527" s="247"/>
      <c r="DX527" s="247"/>
      <c r="DY527" s="247"/>
      <c r="DZ527" s="247"/>
      <c r="EA527" s="247"/>
      <c r="EB527" s="247"/>
      <c r="EC527" s="247"/>
      <c r="ED527" s="17">
        <f t="shared" si="180"/>
        <v>392515.18526499998</v>
      </c>
      <c r="EE527" s="29">
        <f t="shared" si="181"/>
        <v>4</v>
      </c>
      <c r="EF527" s="17">
        <f t="shared" si="182"/>
        <v>98128.796316249995</v>
      </c>
    </row>
    <row r="528" spans="1:136" ht="51" x14ac:dyDescent="0.25">
      <c r="A528" s="25">
        <f>Distribución_Elementos!A528</f>
        <v>526</v>
      </c>
      <c r="B528" s="22" t="str">
        <f>Distribución_Elementos!B528</f>
        <v xml:space="preserve">Unidades de Filtración para jeringa 0.22 µm estériles. (Ø=25mm), SFCA (Surfactant-free cellulose acetate) o similar acorde para filtración de aditivos de medios de cultivo microbiológicos </v>
      </c>
      <c r="C528" s="22" t="str">
        <f>Distribución_Elementos!C528</f>
        <v>Sterile Millex Millipore</v>
      </c>
      <c r="D528" s="22" t="str">
        <f>Distribución_Elementos!D528</f>
        <v>Paquete x 50</v>
      </c>
      <c r="E528" s="224">
        <v>1</v>
      </c>
      <c r="F528" s="221">
        <v>0</v>
      </c>
      <c r="G528" s="221">
        <v>0</v>
      </c>
      <c r="H528" s="221">
        <v>0</v>
      </c>
      <c r="I528" s="221">
        <v>0</v>
      </c>
      <c r="J528" s="221">
        <v>342434.64997812052</v>
      </c>
      <c r="K528" s="221">
        <v>0</v>
      </c>
      <c r="L528" s="247">
        <f>J528</f>
        <v>342434.64997812052</v>
      </c>
      <c r="M528" s="247"/>
      <c r="N528" s="227"/>
      <c r="O528" s="119"/>
      <c r="P528" s="119"/>
      <c r="Q528" s="115"/>
      <c r="R528" s="115"/>
      <c r="S528" s="11"/>
      <c r="T528" s="247"/>
      <c r="U528" s="247"/>
      <c r="V528" s="247"/>
      <c r="W528" s="17"/>
      <c r="X528" s="11"/>
      <c r="Y528" s="11"/>
      <c r="Z528" s="247">
        <f>+(396000/30)*50</f>
        <v>660000</v>
      </c>
      <c r="AA528" s="247">
        <f>+Z528*0.19</f>
        <v>125400</v>
      </c>
      <c r="AB528" s="247">
        <f>+Z528+AA528</f>
        <v>785400</v>
      </c>
      <c r="AC528" s="5" t="s">
        <v>1816</v>
      </c>
      <c r="AD528" s="22" t="s">
        <v>42</v>
      </c>
      <c r="AE528" s="17"/>
      <c r="AF528" s="247"/>
      <c r="AG528" s="247"/>
      <c r="AH528" s="247"/>
      <c r="AI528" s="11"/>
      <c r="AJ528" s="17"/>
      <c r="AK528" s="17"/>
      <c r="AL528" s="102"/>
      <c r="AM528" s="132"/>
      <c r="AN528" s="161"/>
      <c r="AO528" s="115"/>
      <c r="AP528" s="115"/>
      <c r="AQ528" s="17"/>
      <c r="AR528" s="247"/>
      <c r="AS528" s="247"/>
      <c r="AT528" s="247"/>
      <c r="AU528" s="17"/>
      <c r="AV528" s="17"/>
      <c r="AW528" s="17"/>
      <c r="AX528" s="247"/>
      <c r="AY528" s="247"/>
      <c r="AZ528" s="247"/>
      <c r="BA528" s="17"/>
      <c r="BB528" s="52"/>
      <c r="BC528" s="17"/>
      <c r="BD528" s="102">
        <f>3994760/10</f>
        <v>399476</v>
      </c>
      <c r="BE528" s="247">
        <f>+BD528*0.19</f>
        <v>75900.44</v>
      </c>
      <c r="BF528" s="247">
        <f>+BD528+BE528</f>
        <v>475376.44</v>
      </c>
      <c r="BG528" s="25" t="s">
        <v>1809</v>
      </c>
      <c r="BH528" s="5" t="s">
        <v>1817</v>
      </c>
      <c r="BI528" s="5" t="s">
        <v>1818</v>
      </c>
      <c r="BJ528" s="247"/>
      <c r="BK528" s="247"/>
      <c r="BL528" s="247"/>
      <c r="BM528" s="190"/>
      <c r="BN528" s="190"/>
      <c r="BO528" s="17"/>
      <c r="BP528" s="247">
        <v>1865000</v>
      </c>
      <c r="BQ528" s="247">
        <f t="shared" si="179"/>
        <v>354350</v>
      </c>
      <c r="BR528" s="247">
        <f t="shared" si="183"/>
        <v>2219350</v>
      </c>
      <c r="BS528" s="17"/>
      <c r="BT528" s="17"/>
      <c r="BU528" s="17"/>
      <c r="BV528" s="189"/>
      <c r="BW528" s="197"/>
      <c r="BX528" s="246"/>
      <c r="BY528" s="190"/>
      <c r="BZ528" s="190"/>
      <c r="CA528" s="190"/>
      <c r="CB528" s="247"/>
      <c r="CC528" s="247"/>
      <c r="CD528" s="247"/>
      <c r="CE528" s="17"/>
      <c r="CF528" s="17"/>
      <c r="CG528" s="17"/>
      <c r="CH528" s="247"/>
      <c r="CI528" s="247"/>
      <c r="CJ528" s="247"/>
      <c r="CK528" s="17"/>
      <c r="CL528" s="17"/>
      <c r="CM528" s="17"/>
      <c r="CN528" s="17"/>
      <c r="CO528" s="17"/>
      <c r="CP528" s="11"/>
      <c r="CQ528" s="11"/>
      <c r="CR528" s="11"/>
      <c r="CS528" s="11"/>
      <c r="CT528" s="247"/>
      <c r="CU528" s="247"/>
      <c r="CV528" s="247"/>
      <c r="CW528" s="11"/>
      <c r="CX528" s="11"/>
      <c r="CY528" s="11"/>
      <c r="CZ528" s="11"/>
      <c r="DA528" s="11"/>
      <c r="DB528" s="11"/>
      <c r="DC528" s="11"/>
      <c r="DD528" s="11"/>
      <c r="DE528" s="11"/>
      <c r="DF528" s="11"/>
      <c r="DG528" s="11"/>
      <c r="DH528" s="11"/>
      <c r="DI528" s="11"/>
      <c r="DJ528" s="11"/>
      <c r="DK528" s="11"/>
      <c r="DL528" s="247"/>
      <c r="DM528" s="247"/>
      <c r="DN528" s="247"/>
      <c r="DO528" s="247"/>
      <c r="DP528" s="247"/>
      <c r="DQ528" s="247"/>
      <c r="DR528" s="247"/>
      <c r="DS528" s="247"/>
      <c r="DT528" s="247"/>
      <c r="DU528" s="247"/>
      <c r="DV528" s="247"/>
      <c r="DW528" s="247"/>
      <c r="DX528" s="247"/>
      <c r="DY528" s="247"/>
      <c r="DZ528" s="247"/>
      <c r="EA528" s="247"/>
      <c r="EB528" s="247"/>
      <c r="EC528" s="247"/>
      <c r="ED528" s="17">
        <f t="shared" si="180"/>
        <v>3480126.44</v>
      </c>
      <c r="EE528" s="29">
        <f t="shared" si="181"/>
        <v>3</v>
      </c>
      <c r="EF528" s="17">
        <f t="shared" si="182"/>
        <v>1160042.1466666667</v>
      </c>
    </row>
    <row r="529" spans="1:136" ht="38.25" x14ac:dyDescent="0.25">
      <c r="A529" s="25">
        <f>Distribución_Elementos!A529</f>
        <v>527</v>
      </c>
      <c r="B529" s="22" t="str">
        <f>Distribución_Elementos!B529</f>
        <v>Vara para retirar varillas magnéticas, con núcleo magnético completamente encapsulado en PTFE. Longitud 300 - 350 mm. Ø: 8 mm</v>
      </c>
      <c r="C529" s="22" t="str">
        <f>Distribución_Elementos!C529</f>
        <v>Brand 137720 o equivalente</v>
      </c>
      <c r="D529" s="22" t="str">
        <f>Distribución_Elementos!D529</f>
        <v>Unidad</v>
      </c>
      <c r="E529" s="224">
        <v>1</v>
      </c>
      <c r="F529" s="221">
        <v>129831.38</v>
      </c>
      <c r="G529" s="221">
        <v>125902</v>
      </c>
      <c r="H529" s="221">
        <v>100396.33333333333</v>
      </c>
      <c r="I529" s="221">
        <v>100317</v>
      </c>
      <c r="J529" s="221">
        <v>141859.10666666669</v>
      </c>
      <c r="K529" s="221">
        <v>136850</v>
      </c>
      <c r="L529" s="247">
        <f>AVERAGE(F529,H529,J529)</f>
        <v>124028.94</v>
      </c>
      <c r="M529" s="247">
        <f>AVERAGE(G529,I529,K529)*E1</f>
        <v>124653.69</v>
      </c>
      <c r="N529" s="227">
        <v>60000</v>
      </c>
      <c r="O529" s="119">
        <f>+N529*0.19</f>
        <v>11400</v>
      </c>
      <c r="P529" s="119">
        <f>+N529+O529</f>
        <v>71400</v>
      </c>
      <c r="Q529" s="115"/>
      <c r="R529" s="115"/>
      <c r="S529" s="11"/>
      <c r="T529" s="247"/>
      <c r="U529" s="247"/>
      <c r="V529" s="247"/>
      <c r="W529" s="17"/>
      <c r="X529" s="11"/>
      <c r="Y529" s="11"/>
      <c r="Z529" s="247"/>
      <c r="AA529" s="247"/>
      <c r="AB529" s="247"/>
      <c r="AC529" s="44"/>
      <c r="AD529" s="22"/>
      <c r="AE529" s="17"/>
      <c r="AF529" s="247"/>
      <c r="AG529" s="247"/>
      <c r="AH529" s="247"/>
      <c r="AI529" s="11"/>
      <c r="AJ529" s="17"/>
      <c r="AK529" s="17"/>
      <c r="AL529" s="102"/>
      <c r="AM529" s="132"/>
      <c r="AN529" s="161"/>
      <c r="AO529" s="115"/>
      <c r="AP529" s="115"/>
      <c r="AQ529" s="17"/>
      <c r="AR529" s="247"/>
      <c r="AS529" s="247"/>
      <c r="AT529" s="247"/>
      <c r="AU529" s="17"/>
      <c r="AV529" s="17"/>
      <c r="AW529" s="17"/>
      <c r="AX529" s="247"/>
      <c r="AY529" s="247"/>
      <c r="AZ529" s="247"/>
      <c r="BA529" s="17"/>
      <c r="BB529" s="52"/>
      <c r="BC529" s="17"/>
      <c r="BD529" s="247"/>
      <c r="BE529" s="247"/>
      <c r="BF529" s="247"/>
      <c r="BG529" s="17"/>
      <c r="BH529" s="17"/>
      <c r="BI529" s="17"/>
      <c r="BJ529" s="247">
        <v>176200</v>
      </c>
      <c r="BK529" s="247">
        <f t="shared" si="184"/>
        <v>33478</v>
      </c>
      <c r="BL529" s="247">
        <f t="shared" si="185"/>
        <v>209678</v>
      </c>
      <c r="BM529" s="190" t="s">
        <v>375</v>
      </c>
      <c r="BN529" s="190" t="s">
        <v>1565</v>
      </c>
      <c r="BO529" s="17"/>
      <c r="BP529" s="247">
        <v>58600</v>
      </c>
      <c r="BQ529" s="247">
        <f t="shared" si="179"/>
        <v>11134</v>
      </c>
      <c r="BR529" s="247">
        <f t="shared" si="183"/>
        <v>69734</v>
      </c>
      <c r="BS529" s="17"/>
      <c r="BT529" s="17"/>
      <c r="BU529" s="17"/>
      <c r="BV529" s="195">
        <v>196258.60800000001</v>
      </c>
      <c r="BW529" s="195">
        <f t="shared" ref="BW529:BW555" si="190">+BV529*0.19</f>
        <v>37289.135520000003</v>
      </c>
      <c r="BX529" s="246">
        <f t="shared" ref="BX529:BX555" si="191">+BV529+BW529</f>
        <v>233547.74352000002</v>
      </c>
      <c r="BY529" s="190" t="s">
        <v>375</v>
      </c>
      <c r="BZ529" s="190" t="s">
        <v>1565</v>
      </c>
      <c r="CA529" s="190"/>
      <c r="CB529" s="247"/>
      <c r="CC529" s="247"/>
      <c r="CD529" s="247"/>
      <c r="CE529" s="17"/>
      <c r="CF529" s="17"/>
      <c r="CG529" s="17"/>
      <c r="CH529" s="247"/>
      <c r="CI529" s="247"/>
      <c r="CJ529" s="247"/>
      <c r="CK529" s="17"/>
      <c r="CL529" s="17"/>
      <c r="CM529" s="17"/>
      <c r="CN529" s="17"/>
      <c r="CO529" s="17"/>
      <c r="CP529" s="11"/>
      <c r="CQ529" s="11"/>
      <c r="CR529" s="11"/>
      <c r="CS529" s="11"/>
      <c r="CT529" s="247"/>
      <c r="CU529" s="247"/>
      <c r="CV529" s="247"/>
      <c r="CW529" s="11"/>
      <c r="CX529" s="11"/>
      <c r="CY529" s="11"/>
      <c r="CZ529" s="11"/>
      <c r="DA529" s="11"/>
      <c r="DB529" s="11"/>
      <c r="DC529" s="11"/>
      <c r="DD529" s="11"/>
      <c r="DE529" s="11"/>
      <c r="DF529" s="11"/>
      <c r="DG529" s="11"/>
      <c r="DH529" s="11"/>
      <c r="DI529" s="11"/>
      <c r="DJ529" s="11"/>
      <c r="DK529" s="11"/>
      <c r="DL529" s="247"/>
      <c r="DM529" s="247"/>
      <c r="DN529" s="247"/>
      <c r="DO529" s="247"/>
      <c r="DP529" s="247"/>
      <c r="DQ529" s="247"/>
      <c r="DR529" s="247"/>
      <c r="DS529" s="247"/>
      <c r="DT529" s="247"/>
      <c r="DU529" s="247"/>
      <c r="DV529" s="247"/>
      <c r="DW529" s="247"/>
      <c r="DX529" s="247"/>
      <c r="DY529" s="247"/>
      <c r="DZ529" s="247"/>
      <c r="EA529" s="247"/>
      <c r="EB529" s="247"/>
      <c r="EC529" s="247"/>
      <c r="ED529" s="17">
        <f t="shared" si="180"/>
        <v>709013.43351999996</v>
      </c>
      <c r="EE529" s="29">
        <f t="shared" si="181"/>
        <v>5</v>
      </c>
      <c r="EF529" s="17">
        <f t="shared" si="182"/>
        <v>141802.68670399999</v>
      </c>
    </row>
    <row r="530" spans="1:136" x14ac:dyDescent="0.25">
      <c r="A530" s="25">
        <f>Distribución_Elementos!A530</f>
        <v>528</v>
      </c>
      <c r="B530" s="22" t="str">
        <f>Distribución_Elementos!B530</f>
        <v>Vaso copplin con 4 o 5 divisiones</v>
      </c>
      <c r="C530" s="22" t="str">
        <f>Distribución_Elementos!C530</f>
        <v>Cualquier marca</v>
      </c>
      <c r="D530" s="22" t="str">
        <f>Distribución_Elementos!D530</f>
        <v>Unidad</v>
      </c>
      <c r="E530" s="224">
        <v>1</v>
      </c>
      <c r="F530" s="221">
        <v>0</v>
      </c>
      <c r="G530" s="221">
        <v>0</v>
      </c>
      <c r="H530" s="221">
        <v>71400</v>
      </c>
      <c r="I530" s="221">
        <v>0</v>
      </c>
      <c r="J530" s="221">
        <v>56525</v>
      </c>
      <c r="K530" s="221">
        <v>0</v>
      </c>
      <c r="L530" s="247">
        <f>AVERAGE(H530,J530)</f>
        <v>63962.5</v>
      </c>
      <c r="M530" s="247"/>
      <c r="N530" s="227">
        <v>42500</v>
      </c>
      <c r="O530" s="119">
        <f t="shared" ref="O530:O542" si="192">+N530*0.19</f>
        <v>8075</v>
      </c>
      <c r="P530" s="119">
        <f>+N530+O530</f>
        <v>50575</v>
      </c>
      <c r="Q530" s="11"/>
      <c r="R530" s="11"/>
      <c r="S530" s="11"/>
      <c r="T530" s="247"/>
      <c r="U530" s="247"/>
      <c r="V530" s="247"/>
      <c r="W530" s="11"/>
      <c r="X530" s="11"/>
      <c r="Y530" s="11"/>
      <c r="Z530" s="247"/>
      <c r="AA530" s="247"/>
      <c r="AB530" s="247"/>
      <c r="AC530" s="11"/>
      <c r="AD530" s="11"/>
      <c r="AE530" s="11"/>
      <c r="AF530" s="247"/>
      <c r="AG530" s="247"/>
      <c r="AH530" s="247"/>
      <c r="AI530" s="11"/>
      <c r="AJ530" s="11"/>
      <c r="AK530" s="11"/>
      <c r="AL530" s="102"/>
      <c r="AM530" s="102"/>
      <c r="AN530" s="102"/>
      <c r="AO530" s="44"/>
      <c r="AP530" s="44"/>
      <c r="AQ530" s="11"/>
      <c r="AR530" s="247"/>
      <c r="AS530" s="247"/>
      <c r="AT530" s="247"/>
      <c r="AU530" s="11"/>
      <c r="AV530" s="11"/>
      <c r="AW530" s="11"/>
      <c r="AX530" s="247"/>
      <c r="AY530" s="247"/>
      <c r="AZ530" s="247"/>
      <c r="BA530" s="11"/>
      <c r="BB530" s="11"/>
      <c r="BC530" s="11"/>
      <c r="BD530" s="247"/>
      <c r="BE530" s="247"/>
      <c r="BF530" s="247"/>
      <c r="BG530" s="11"/>
      <c r="BH530" s="11"/>
      <c r="BI530" s="11"/>
      <c r="BJ530" s="247">
        <v>145000</v>
      </c>
      <c r="BK530" s="247">
        <f t="shared" si="184"/>
        <v>27550</v>
      </c>
      <c r="BL530" s="247">
        <f t="shared" si="185"/>
        <v>172550</v>
      </c>
      <c r="BM530" s="190" t="s">
        <v>375</v>
      </c>
      <c r="BN530" s="190" t="s">
        <v>316</v>
      </c>
      <c r="BO530" s="11"/>
      <c r="BP530" s="247">
        <v>45200</v>
      </c>
      <c r="BQ530" s="247">
        <f t="shared" si="179"/>
        <v>8588</v>
      </c>
      <c r="BR530" s="247">
        <f t="shared" si="183"/>
        <v>53788</v>
      </c>
      <c r="BS530" s="11"/>
      <c r="BT530" s="11"/>
      <c r="BU530" s="11"/>
      <c r="BV530" s="195">
        <v>167794.72500000001</v>
      </c>
      <c r="BW530" s="195">
        <f t="shared" si="190"/>
        <v>31880.997750000002</v>
      </c>
      <c r="BX530" s="246">
        <f t="shared" si="191"/>
        <v>199675.72275000002</v>
      </c>
      <c r="BY530" s="190" t="s">
        <v>375</v>
      </c>
      <c r="BZ530" s="190" t="s">
        <v>316</v>
      </c>
      <c r="CA530" s="190"/>
      <c r="CB530" s="247"/>
      <c r="CC530" s="247"/>
      <c r="CD530" s="247"/>
      <c r="CE530" s="11"/>
      <c r="CF530" s="11"/>
      <c r="CG530" s="11"/>
      <c r="CH530" s="247"/>
      <c r="CI530" s="247"/>
      <c r="CJ530" s="247"/>
      <c r="CK530" s="11"/>
      <c r="CL530" s="11"/>
      <c r="CM530" s="11"/>
      <c r="CN530" s="11"/>
      <c r="CO530" s="11"/>
      <c r="CP530" s="11"/>
      <c r="CQ530" s="11"/>
      <c r="CR530" s="11"/>
      <c r="CS530" s="11"/>
      <c r="CT530" s="247"/>
      <c r="CU530" s="247"/>
      <c r="CV530" s="247"/>
      <c r="CW530" s="11"/>
      <c r="CX530" s="11"/>
      <c r="CY530" s="11"/>
      <c r="CZ530" s="11"/>
      <c r="DA530" s="11"/>
      <c r="DB530" s="11"/>
      <c r="DC530" s="11"/>
      <c r="DD530" s="11"/>
      <c r="DE530" s="11"/>
      <c r="DF530" s="11"/>
      <c r="DG530" s="11"/>
      <c r="DH530" s="11"/>
      <c r="DI530" s="11"/>
      <c r="DJ530" s="11"/>
      <c r="DK530" s="11"/>
      <c r="DL530" s="247"/>
      <c r="DM530" s="247"/>
      <c r="DN530" s="247"/>
      <c r="DO530" s="247"/>
      <c r="DP530" s="247"/>
      <c r="DQ530" s="247"/>
      <c r="DR530" s="247"/>
      <c r="DS530" s="247"/>
      <c r="DT530" s="247"/>
      <c r="DU530" s="247"/>
      <c r="DV530" s="247"/>
      <c r="DW530" s="247"/>
      <c r="DX530" s="247"/>
      <c r="DY530" s="247"/>
      <c r="DZ530" s="247"/>
      <c r="EA530" s="247"/>
      <c r="EB530" s="247"/>
      <c r="EC530" s="247"/>
      <c r="ED530" s="17">
        <f t="shared" si="180"/>
        <v>476588.72275000002</v>
      </c>
      <c r="EE530" s="29">
        <f t="shared" si="181"/>
        <v>4</v>
      </c>
      <c r="EF530" s="17">
        <f t="shared" si="182"/>
        <v>119147.1806875</v>
      </c>
    </row>
    <row r="531" spans="1:136" x14ac:dyDescent="0.25">
      <c r="A531" s="25">
        <f>Distribución_Elementos!A531</f>
        <v>529</v>
      </c>
      <c r="B531" s="22" t="str">
        <f>Distribución_Elementos!B531</f>
        <v>Vaso de precipitado de 5ml</v>
      </c>
      <c r="C531" s="22" t="str">
        <f>Distribución_Elementos!C531</f>
        <v>Schott, duran</v>
      </c>
      <c r="D531" s="22" t="str">
        <f>Distribución_Elementos!D531</f>
        <v>Unidad</v>
      </c>
      <c r="E531" s="224">
        <v>1</v>
      </c>
      <c r="F531" s="221">
        <v>0</v>
      </c>
      <c r="G531" s="221">
        <v>0</v>
      </c>
      <c r="H531" s="221">
        <v>43792</v>
      </c>
      <c r="I531" s="221">
        <v>43673</v>
      </c>
      <c r="J531" s="221">
        <v>245475.18333333332</v>
      </c>
      <c r="K531" s="221">
        <v>0</v>
      </c>
      <c r="L531" s="247">
        <f>AVERAGE(H531,J531)</f>
        <v>144633.59166666667</v>
      </c>
      <c r="M531" s="247">
        <f>I531*E1</f>
        <v>44983.19</v>
      </c>
      <c r="N531" s="227">
        <v>15000</v>
      </c>
      <c r="O531" s="119">
        <f t="shared" si="192"/>
        <v>2850</v>
      </c>
      <c r="P531" s="119">
        <f>+N531+O531</f>
        <v>17850</v>
      </c>
      <c r="Q531" s="115"/>
      <c r="R531" s="115"/>
      <c r="S531" s="11"/>
      <c r="T531" s="247"/>
      <c r="U531" s="247"/>
      <c r="V531" s="247"/>
      <c r="W531" s="17"/>
      <c r="X531" s="11"/>
      <c r="Y531" s="11"/>
      <c r="Z531" s="247"/>
      <c r="AA531" s="247"/>
      <c r="AB531" s="247"/>
      <c r="AC531" s="44"/>
      <c r="AD531" s="22"/>
      <c r="AE531" s="17"/>
      <c r="AF531" s="247"/>
      <c r="AG531" s="247"/>
      <c r="AH531" s="247"/>
      <c r="AI531" s="11"/>
      <c r="AJ531" s="17"/>
      <c r="AK531" s="17"/>
      <c r="AL531" s="102"/>
      <c r="AM531" s="132"/>
      <c r="AN531" s="161"/>
      <c r="AO531" s="115"/>
      <c r="AP531" s="115"/>
      <c r="AQ531" s="17"/>
      <c r="AR531" s="247"/>
      <c r="AS531" s="247"/>
      <c r="AT531" s="247"/>
      <c r="AU531" s="17"/>
      <c r="AV531" s="17"/>
      <c r="AW531" s="17"/>
      <c r="AX531" s="247"/>
      <c r="AY531" s="247"/>
      <c r="AZ531" s="247"/>
      <c r="BA531" s="17"/>
      <c r="BB531" s="52"/>
      <c r="BC531" s="17"/>
      <c r="BD531" s="247"/>
      <c r="BE531" s="247"/>
      <c r="BF531" s="247"/>
      <c r="BG531" s="17"/>
      <c r="BH531" s="17"/>
      <c r="BI531" s="17"/>
      <c r="BJ531" s="247">
        <v>16400</v>
      </c>
      <c r="BK531" s="247">
        <f t="shared" si="184"/>
        <v>3116</v>
      </c>
      <c r="BL531" s="247">
        <f t="shared" si="185"/>
        <v>19516</v>
      </c>
      <c r="BM531" s="190" t="s">
        <v>375</v>
      </c>
      <c r="BN531" s="190" t="s">
        <v>1592</v>
      </c>
      <c r="BO531" s="17"/>
      <c r="BP531" s="247">
        <v>15500</v>
      </c>
      <c r="BQ531" s="247">
        <f t="shared" si="179"/>
        <v>2945</v>
      </c>
      <c r="BR531" s="247">
        <f t="shared" si="183"/>
        <v>18445</v>
      </c>
      <c r="BS531" s="17"/>
      <c r="BT531" s="17"/>
      <c r="BU531" s="17"/>
      <c r="BV531" s="195">
        <v>18973.094400000002</v>
      </c>
      <c r="BW531" s="195">
        <f t="shared" si="190"/>
        <v>3604.8879360000005</v>
      </c>
      <c r="BX531" s="246">
        <f t="shared" si="191"/>
        <v>22577.982336000001</v>
      </c>
      <c r="BY531" s="190" t="s">
        <v>375</v>
      </c>
      <c r="BZ531" s="190" t="s">
        <v>1592</v>
      </c>
      <c r="CA531" s="190"/>
      <c r="CB531" s="247"/>
      <c r="CC531" s="247"/>
      <c r="CD531" s="247"/>
      <c r="CE531" s="17"/>
      <c r="CF531" s="17"/>
      <c r="CG531" s="17"/>
      <c r="CH531" s="247"/>
      <c r="CI531" s="247"/>
      <c r="CJ531" s="247"/>
      <c r="CK531" s="17"/>
      <c r="CL531" s="17"/>
      <c r="CM531" s="17"/>
      <c r="CN531" s="17"/>
      <c r="CO531" s="17"/>
      <c r="CP531" s="11"/>
      <c r="CQ531" s="11"/>
      <c r="CR531" s="11"/>
      <c r="CS531" s="11"/>
      <c r="CT531" s="247"/>
      <c r="CU531" s="247"/>
      <c r="CV531" s="247"/>
      <c r="CW531" s="11"/>
      <c r="CX531" s="11"/>
      <c r="CY531" s="11"/>
      <c r="CZ531" s="11"/>
      <c r="DA531" s="11"/>
      <c r="DB531" s="11"/>
      <c r="DC531" s="11"/>
      <c r="DD531" s="11"/>
      <c r="DE531" s="11"/>
      <c r="DF531" s="11"/>
      <c r="DG531" s="11"/>
      <c r="DH531" s="11"/>
      <c r="DI531" s="11"/>
      <c r="DJ531" s="11"/>
      <c r="DK531" s="11"/>
      <c r="DL531" s="247"/>
      <c r="DM531" s="247"/>
      <c r="DN531" s="247"/>
      <c r="DO531" s="247"/>
      <c r="DP531" s="247"/>
      <c r="DQ531" s="247"/>
      <c r="DR531" s="247"/>
      <c r="DS531" s="247"/>
      <c r="DT531" s="247"/>
      <c r="DU531" s="247"/>
      <c r="DV531" s="247"/>
      <c r="DW531" s="247"/>
      <c r="DX531" s="247"/>
      <c r="DY531" s="247"/>
      <c r="DZ531" s="247"/>
      <c r="EA531" s="247"/>
      <c r="EB531" s="247"/>
      <c r="EC531" s="247"/>
      <c r="ED531" s="17">
        <f t="shared" si="180"/>
        <v>123372.172336</v>
      </c>
      <c r="EE531" s="29">
        <f t="shared" si="181"/>
        <v>5</v>
      </c>
      <c r="EF531" s="17">
        <f t="shared" si="182"/>
        <v>24674.434467200001</v>
      </c>
    </row>
    <row r="532" spans="1:136" x14ac:dyDescent="0.25">
      <c r="A532" s="25">
        <f>Distribución_Elementos!A532</f>
        <v>530</v>
      </c>
      <c r="B532" s="22" t="str">
        <f>Distribución_Elementos!B532</f>
        <v xml:space="preserve">Vaso de precipitado en polipropileno de 250 ml </v>
      </c>
      <c r="C532" s="22" t="str">
        <f>Distribución_Elementos!C532</f>
        <v>Nalgene o equivalente</v>
      </c>
      <c r="D532" s="22" t="str">
        <f>Distribución_Elementos!D532</f>
        <v>Paquete x 6</v>
      </c>
      <c r="E532" s="224">
        <v>1</v>
      </c>
      <c r="F532" s="221">
        <v>147394.72222222225</v>
      </c>
      <c r="G532" s="221">
        <v>139944</v>
      </c>
      <c r="H532" s="221">
        <v>0</v>
      </c>
      <c r="I532" s="221">
        <v>0</v>
      </c>
      <c r="J532" s="221">
        <v>62278.570666666681</v>
      </c>
      <c r="K532" s="221">
        <v>56049</v>
      </c>
      <c r="L532" s="247">
        <f>AVERAGE(F532,J532)</f>
        <v>104836.64644444446</v>
      </c>
      <c r="M532" s="247">
        <f>AVERAGE(G532,K532)*E1</f>
        <v>100936.395</v>
      </c>
      <c r="N532" s="227">
        <v>75000</v>
      </c>
      <c r="O532" s="119">
        <f t="shared" si="192"/>
        <v>14250</v>
      </c>
      <c r="P532" s="119">
        <f>+N532+O532</f>
        <v>89250</v>
      </c>
      <c r="Q532" s="115"/>
      <c r="R532" s="115"/>
      <c r="S532" s="11"/>
      <c r="T532" s="247">
        <f>5940*6</f>
        <v>35640</v>
      </c>
      <c r="U532" s="247">
        <f>+T532*0.19</f>
        <v>6771.6</v>
      </c>
      <c r="V532" s="247">
        <f>+T532+U532</f>
        <v>42411.6</v>
      </c>
      <c r="W532" s="17" t="s">
        <v>1819</v>
      </c>
      <c r="X532" s="11" t="s">
        <v>1626</v>
      </c>
      <c r="Y532" s="11"/>
      <c r="Z532" s="247"/>
      <c r="AA532" s="247"/>
      <c r="AB532" s="247"/>
      <c r="AC532" s="44"/>
      <c r="AD532" s="22"/>
      <c r="AE532" s="17"/>
      <c r="AF532" s="247"/>
      <c r="AG532" s="247"/>
      <c r="AH532" s="247"/>
      <c r="AI532" s="11"/>
      <c r="AJ532" s="17"/>
      <c r="AK532" s="17"/>
      <c r="AL532" s="102"/>
      <c r="AM532" s="132"/>
      <c r="AN532" s="161"/>
      <c r="AO532" s="115"/>
      <c r="AP532" s="115"/>
      <c r="AQ532" s="17"/>
      <c r="AR532" s="247"/>
      <c r="AS532" s="247"/>
      <c r="AT532" s="247"/>
      <c r="AU532" s="17"/>
      <c r="AV532" s="17"/>
      <c r="AW532" s="17"/>
      <c r="AX532" s="247"/>
      <c r="AY532" s="247"/>
      <c r="AZ532" s="247"/>
      <c r="BA532" s="17"/>
      <c r="BB532" s="52"/>
      <c r="BC532" s="17"/>
      <c r="BD532" s="247"/>
      <c r="BE532" s="247"/>
      <c r="BF532" s="247"/>
      <c r="BG532" s="17"/>
      <c r="BH532" s="17"/>
      <c r="BI532" s="17"/>
      <c r="BJ532" s="247">
        <v>81600</v>
      </c>
      <c r="BK532" s="247">
        <f t="shared" si="184"/>
        <v>15504</v>
      </c>
      <c r="BL532" s="247">
        <f t="shared" si="185"/>
        <v>97104</v>
      </c>
      <c r="BM532" s="190" t="s">
        <v>1820</v>
      </c>
      <c r="BN532" s="190" t="s">
        <v>1565</v>
      </c>
      <c r="BO532" s="17"/>
      <c r="BP532" s="247">
        <f>6500*6</f>
        <v>39000</v>
      </c>
      <c r="BQ532" s="247">
        <f t="shared" si="179"/>
        <v>7410</v>
      </c>
      <c r="BR532" s="247">
        <f t="shared" si="183"/>
        <v>46410</v>
      </c>
      <c r="BS532" s="17"/>
      <c r="BT532" s="17"/>
      <c r="BU532" s="17"/>
      <c r="BV532" s="195">
        <v>93545.424000000014</v>
      </c>
      <c r="BW532" s="195">
        <f t="shared" si="190"/>
        <v>17773.630560000001</v>
      </c>
      <c r="BX532" s="246">
        <f t="shared" si="191"/>
        <v>111319.05456000002</v>
      </c>
      <c r="BY532" s="190" t="s">
        <v>1820</v>
      </c>
      <c r="BZ532" s="190" t="s">
        <v>1565</v>
      </c>
      <c r="CA532" s="190"/>
      <c r="CB532" s="247"/>
      <c r="CC532" s="247"/>
      <c r="CD532" s="247"/>
      <c r="CE532" s="17"/>
      <c r="CF532" s="17"/>
      <c r="CG532" s="17"/>
      <c r="CH532" s="247"/>
      <c r="CI532" s="247"/>
      <c r="CJ532" s="247"/>
      <c r="CK532" s="17"/>
      <c r="CL532" s="17"/>
      <c r="CM532" s="17"/>
      <c r="CN532" s="17"/>
      <c r="CO532" s="17"/>
      <c r="CP532" s="11"/>
      <c r="CQ532" s="11"/>
      <c r="CR532" s="11"/>
      <c r="CS532" s="11"/>
      <c r="CT532" s="247"/>
      <c r="CU532" s="247"/>
      <c r="CV532" s="247"/>
      <c r="CW532" s="11"/>
      <c r="CX532" s="11"/>
      <c r="CY532" s="11"/>
      <c r="CZ532" s="11"/>
      <c r="DA532" s="11"/>
      <c r="DB532" s="11"/>
      <c r="DC532" s="11"/>
      <c r="DD532" s="11"/>
      <c r="DE532" s="11"/>
      <c r="DF532" s="11"/>
      <c r="DG532" s="11"/>
      <c r="DH532" s="11"/>
      <c r="DI532" s="11"/>
      <c r="DJ532" s="11"/>
      <c r="DK532" s="11"/>
      <c r="DL532" s="247"/>
      <c r="DM532" s="247"/>
      <c r="DN532" s="247"/>
      <c r="DO532" s="247"/>
      <c r="DP532" s="247"/>
      <c r="DQ532" s="247"/>
      <c r="DR532" s="247"/>
      <c r="DS532" s="247"/>
      <c r="DT532" s="247"/>
      <c r="DU532" s="247"/>
      <c r="DV532" s="247"/>
      <c r="DW532" s="247"/>
      <c r="DX532" s="247"/>
      <c r="DY532" s="247"/>
      <c r="DZ532" s="247"/>
      <c r="EA532" s="247"/>
      <c r="EB532" s="247"/>
      <c r="EC532" s="247"/>
      <c r="ED532" s="17">
        <f t="shared" si="180"/>
        <v>487431.04956000001</v>
      </c>
      <c r="EE532" s="29">
        <f t="shared" si="181"/>
        <v>6</v>
      </c>
      <c r="EF532" s="17">
        <f t="shared" si="182"/>
        <v>81238.508260000002</v>
      </c>
    </row>
    <row r="533" spans="1:136" x14ac:dyDescent="0.25">
      <c r="A533" s="25">
        <f>Distribución_Elementos!A533</f>
        <v>531</v>
      </c>
      <c r="B533" s="22" t="str">
        <f>Distribución_Elementos!B533</f>
        <v>Vaso de precipitado en polipropileno de 5000 ml</v>
      </c>
      <c r="C533" s="22" t="str">
        <f>Distribución_Elementos!C533</f>
        <v>Nalgene o equivalente</v>
      </c>
      <c r="D533" s="22" t="str">
        <f>Distribución_Elementos!D533</f>
        <v>Unidad</v>
      </c>
      <c r="E533" s="224">
        <v>1</v>
      </c>
      <c r="F533" s="221">
        <v>0</v>
      </c>
      <c r="G533" s="221">
        <v>0</v>
      </c>
      <c r="H533" s="221">
        <v>271000.62383333332</v>
      </c>
      <c r="I533" s="221">
        <v>270844</v>
      </c>
      <c r="J533" s="221">
        <v>141356.36083333334</v>
      </c>
      <c r="K533" s="221">
        <v>93534</v>
      </c>
      <c r="L533" s="247">
        <f>AVERAGE(H533,J533)</f>
        <v>206178.49233333333</v>
      </c>
      <c r="M533" s="247">
        <f>AVERAGE(I533,K533)*E1</f>
        <v>187654.67</v>
      </c>
      <c r="N533" s="227">
        <v>75000</v>
      </c>
      <c r="O533" s="119">
        <f t="shared" si="192"/>
        <v>14250</v>
      </c>
      <c r="P533" s="119">
        <f t="shared" ref="P533:P542" si="193">+N533+O533</f>
        <v>89250</v>
      </c>
      <c r="Q533" s="115"/>
      <c r="R533" s="115"/>
      <c r="S533" s="11"/>
      <c r="T533" s="247"/>
      <c r="U533" s="247"/>
      <c r="V533" s="247"/>
      <c r="W533" s="17"/>
      <c r="X533" s="11"/>
      <c r="Y533" s="11"/>
      <c r="Z533" s="247"/>
      <c r="AA533" s="247"/>
      <c r="AB533" s="247"/>
      <c r="AC533" s="5"/>
      <c r="AD533" s="22"/>
      <c r="AE533" s="17"/>
      <c r="AF533" s="247"/>
      <c r="AG533" s="247"/>
      <c r="AH533" s="247"/>
      <c r="AI533" s="11"/>
      <c r="AJ533" s="17"/>
      <c r="AK533" s="17"/>
      <c r="AL533" s="102"/>
      <c r="AM533" s="132"/>
      <c r="AN533" s="161"/>
      <c r="AO533" s="115"/>
      <c r="AP533" s="115"/>
      <c r="AQ533" s="17"/>
      <c r="AR533" s="247"/>
      <c r="AS533" s="247"/>
      <c r="AT533" s="247"/>
      <c r="AU533" s="17"/>
      <c r="AV533" s="17"/>
      <c r="AW533" s="17"/>
      <c r="AX533" s="247"/>
      <c r="AY533" s="247"/>
      <c r="AZ533" s="247"/>
      <c r="BA533" s="17"/>
      <c r="BB533" s="52"/>
      <c r="BC533" s="17"/>
      <c r="BD533" s="247"/>
      <c r="BE533" s="247"/>
      <c r="BF533" s="247"/>
      <c r="BG533" s="17"/>
      <c r="BH533" s="17"/>
      <c r="BI533" s="17"/>
      <c r="BJ533" s="247">
        <v>141900</v>
      </c>
      <c r="BK533" s="247">
        <f t="shared" si="184"/>
        <v>26961</v>
      </c>
      <c r="BL533" s="247">
        <f t="shared" si="185"/>
        <v>168861</v>
      </c>
      <c r="BM533" s="190" t="s">
        <v>375</v>
      </c>
      <c r="BN533" s="190" t="s">
        <v>1565</v>
      </c>
      <c r="BO533" s="17"/>
      <c r="BP533" s="247">
        <v>85600</v>
      </c>
      <c r="BQ533" s="247">
        <f t="shared" si="179"/>
        <v>16264</v>
      </c>
      <c r="BR533" s="247">
        <f t="shared" si="183"/>
        <v>101864</v>
      </c>
      <c r="BS533" s="17"/>
      <c r="BT533" s="17"/>
      <c r="BU533" s="17"/>
      <c r="BV533" s="195">
        <v>162643.50959999999</v>
      </c>
      <c r="BW533" s="195">
        <f t="shared" si="190"/>
        <v>30902.266823999998</v>
      </c>
      <c r="BX533" s="246">
        <f t="shared" si="191"/>
        <v>193545.77642399998</v>
      </c>
      <c r="BY533" s="190" t="s">
        <v>375</v>
      </c>
      <c r="BZ533" s="190" t="s">
        <v>1565</v>
      </c>
      <c r="CA533" s="190"/>
      <c r="CB533" s="247"/>
      <c r="CC533" s="247"/>
      <c r="CD533" s="247"/>
      <c r="CE533" s="17"/>
      <c r="CF533" s="17"/>
      <c r="CG533" s="17"/>
      <c r="CH533" s="247"/>
      <c r="CI533" s="247"/>
      <c r="CJ533" s="247"/>
      <c r="CK533" s="17"/>
      <c r="CL533" s="17"/>
      <c r="CM533" s="17"/>
      <c r="CN533" s="17"/>
      <c r="CO533" s="17"/>
      <c r="CP533" s="11"/>
      <c r="CQ533" s="11"/>
      <c r="CR533" s="11"/>
      <c r="CS533" s="11"/>
      <c r="CT533" s="247"/>
      <c r="CU533" s="247"/>
      <c r="CV533" s="247"/>
      <c r="CW533" s="11"/>
      <c r="CX533" s="11"/>
      <c r="CY533" s="11"/>
      <c r="CZ533" s="11"/>
      <c r="DA533" s="11"/>
      <c r="DB533" s="11"/>
      <c r="DC533" s="11"/>
      <c r="DD533" s="11"/>
      <c r="DE533" s="11"/>
      <c r="DF533" s="11"/>
      <c r="DG533" s="11"/>
      <c r="DH533" s="11"/>
      <c r="DI533" s="11"/>
      <c r="DJ533" s="11"/>
      <c r="DK533" s="11"/>
      <c r="DL533" s="247"/>
      <c r="DM533" s="247"/>
      <c r="DN533" s="247"/>
      <c r="DO533" s="247"/>
      <c r="DP533" s="247"/>
      <c r="DQ533" s="247"/>
      <c r="DR533" s="247"/>
      <c r="DS533" s="247"/>
      <c r="DT533" s="247"/>
      <c r="DU533" s="247"/>
      <c r="DV533" s="247"/>
      <c r="DW533" s="247"/>
      <c r="DX533" s="247"/>
      <c r="DY533" s="247"/>
      <c r="DZ533" s="247"/>
      <c r="EA533" s="247"/>
      <c r="EB533" s="247"/>
      <c r="EC533" s="247"/>
      <c r="ED533" s="17">
        <f t="shared" si="180"/>
        <v>741175.44642399997</v>
      </c>
      <c r="EE533" s="29">
        <f t="shared" si="181"/>
        <v>5</v>
      </c>
      <c r="EF533" s="17">
        <f t="shared" si="182"/>
        <v>148235.08928479999</v>
      </c>
    </row>
    <row r="534" spans="1:136" ht="63.75" x14ac:dyDescent="0.25">
      <c r="A534" s="25">
        <f>Distribución_Elementos!A534</f>
        <v>532</v>
      </c>
      <c r="B534" s="22" t="str">
        <f>Distribución_Elementos!B534</f>
        <v>Vaso de precipitado en vidrio claro de 1000 ml, en borosilicato 3.3, forma alta con graduación y pico. Diámetro x Altura 95 x 180 mm, impresión en cerámica, DIN12331/ISO3819 e ISO12 600 o ASTM E960, requisitos Tipo I y USP Tipo I y ASTM E438, Tipo I.</v>
      </c>
      <c r="C534" s="22" t="str">
        <f>Distribución_Elementos!C534</f>
        <v>Pyrex , Corning, Kymax, Brand, Duran, Brand o equivalente</v>
      </c>
      <c r="D534" s="22" t="str">
        <f>Distribución_Elementos!D534</f>
        <v>Unidad</v>
      </c>
      <c r="E534" s="224">
        <v>1</v>
      </c>
      <c r="F534" s="221">
        <v>0</v>
      </c>
      <c r="G534" s="221">
        <v>0</v>
      </c>
      <c r="H534" s="221">
        <v>0</v>
      </c>
      <c r="I534" s="221">
        <v>0</v>
      </c>
      <c r="J534" s="221">
        <v>23908.527999999998</v>
      </c>
      <c r="K534" s="221">
        <v>0</v>
      </c>
      <c r="L534" s="247">
        <f t="shared" ref="L534:L542" si="194">J534</f>
        <v>23908.527999999998</v>
      </c>
      <c r="M534" s="247"/>
      <c r="N534" s="227">
        <v>22000</v>
      </c>
      <c r="O534" s="119">
        <f t="shared" si="192"/>
        <v>4180</v>
      </c>
      <c r="P534" s="119">
        <f t="shared" si="193"/>
        <v>26180</v>
      </c>
      <c r="Q534" s="115"/>
      <c r="R534" s="115"/>
      <c r="S534" s="11"/>
      <c r="T534" s="247">
        <v>18370</v>
      </c>
      <c r="U534" s="247">
        <f t="shared" ref="U534:U542" si="195">+T534*0.19</f>
        <v>3490.3</v>
      </c>
      <c r="V534" s="247">
        <f>+T534+U534</f>
        <v>21860.3</v>
      </c>
      <c r="W534" s="17" t="s">
        <v>140</v>
      </c>
      <c r="X534" s="11" t="s">
        <v>1648</v>
      </c>
      <c r="Y534" s="11"/>
      <c r="Z534" s="247"/>
      <c r="AA534" s="247"/>
      <c r="AB534" s="247"/>
      <c r="AC534" s="5"/>
      <c r="AD534" s="22"/>
      <c r="AE534" s="17"/>
      <c r="AF534" s="247"/>
      <c r="AG534" s="247"/>
      <c r="AH534" s="247"/>
      <c r="AI534" s="11"/>
      <c r="AJ534" s="17"/>
      <c r="AK534" s="17"/>
      <c r="AL534" s="102"/>
      <c r="AM534" s="132"/>
      <c r="AN534" s="161"/>
      <c r="AO534" s="115"/>
      <c r="AP534" s="115"/>
      <c r="AQ534" s="17"/>
      <c r="AR534" s="247"/>
      <c r="AS534" s="247"/>
      <c r="AT534" s="247"/>
      <c r="AU534" s="17"/>
      <c r="AV534" s="17"/>
      <c r="AW534" s="17"/>
      <c r="AX534" s="247"/>
      <c r="AY534" s="247"/>
      <c r="AZ534" s="247"/>
      <c r="BA534" s="17"/>
      <c r="BB534" s="52"/>
      <c r="BC534" s="17"/>
      <c r="BD534" s="247"/>
      <c r="BE534" s="247"/>
      <c r="BF534" s="247"/>
      <c r="BG534" s="17"/>
      <c r="BH534" s="17"/>
      <c r="BI534" s="17"/>
      <c r="BJ534" s="247">
        <v>72500</v>
      </c>
      <c r="BK534" s="247">
        <f t="shared" si="184"/>
        <v>13775</v>
      </c>
      <c r="BL534" s="247">
        <f t="shared" si="185"/>
        <v>86275</v>
      </c>
      <c r="BM534" s="190" t="s">
        <v>375</v>
      </c>
      <c r="BN534" s="190" t="s">
        <v>1592</v>
      </c>
      <c r="BO534" s="17"/>
      <c r="BP534" s="247"/>
      <c r="BQ534" s="247"/>
      <c r="BR534" s="247"/>
      <c r="BS534" s="17"/>
      <c r="BT534" s="17"/>
      <c r="BU534" s="17"/>
      <c r="BV534" s="195">
        <v>86295.3</v>
      </c>
      <c r="BW534" s="195">
        <f t="shared" si="190"/>
        <v>16396.107</v>
      </c>
      <c r="BX534" s="246">
        <f t="shared" si="191"/>
        <v>102691.40700000001</v>
      </c>
      <c r="BY534" s="190" t="s">
        <v>375</v>
      </c>
      <c r="BZ534" s="190" t="s">
        <v>1592</v>
      </c>
      <c r="CA534" s="190"/>
      <c r="CB534" s="247"/>
      <c r="CC534" s="247"/>
      <c r="CD534" s="247"/>
      <c r="CE534" s="17"/>
      <c r="CF534" s="17"/>
      <c r="CG534" s="17"/>
      <c r="CH534" s="247"/>
      <c r="CI534" s="247"/>
      <c r="CJ534" s="247"/>
      <c r="CK534" s="17"/>
      <c r="CL534" s="17"/>
      <c r="CM534" s="17"/>
      <c r="CN534" s="17"/>
      <c r="CO534" s="17"/>
      <c r="CP534" s="11"/>
      <c r="CQ534" s="11"/>
      <c r="CR534" s="11"/>
      <c r="CS534" s="11"/>
      <c r="CT534" s="247"/>
      <c r="CU534" s="247"/>
      <c r="CV534" s="247"/>
      <c r="CW534" s="11"/>
      <c r="CX534" s="11"/>
      <c r="CY534" s="11"/>
      <c r="CZ534" s="11"/>
      <c r="DA534" s="11"/>
      <c r="DB534" s="11"/>
      <c r="DC534" s="11"/>
      <c r="DD534" s="11"/>
      <c r="DE534" s="11"/>
      <c r="DF534" s="11"/>
      <c r="DG534" s="11"/>
      <c r="DH534" s="11"/>
      <c r="DI534" s="11"/>
      <c r="DJ534" s="11"/>
      <c r="DK534" s="11"/>
      <c r="DL534" s="247"/>
      <c r="DM534" s="247"/>
      <c r="DN534" s="247"/>
      <c r="DO534" s="247"/>
      <c r="DP534" s="247"/>
      <c r="DQ534" s="247"/>
      <c r="DR534" s="247"/>
      <c r="DS534" s="247"/>
      <c r="DT534" s="247"/>
      <c r="DU534" s="247"/>
      <c r="DV534" s="247"/>
      <c r="DW534" s="247"/>
      <c r="DX534" s="247"/>
      <c r="DY534" s="247"/>
      <c r="DZ534" s="247"/>
      <c r="EA534" s="247"/>
      <c r="EB534" s="247"/>
      <c r="EC534" s="247"/>
      <c r="ED534" s="17">
        <f t="shared" si="180"/>
        <v>237006.70699999999</v>
      </c>
      <c r="EE534" s="29">
        <f t="shared" si="181"/>
        <v>4</v>
      </c>
      <c r="EF534" s="17">
        <f t="shared" si="182"/>
        <v>59251.676749999999</v>
      </c>
    </row>
    <row r="535" spans="1:136" ht="51" x14ac:dyDescent="0.25">
      <c r="A535" s="25">
        <f>Distribución_Elementos!A535</f>
        <v>533</v>
      </c>
      <c r="B535" s="22" t="str">
        <f>Distribución_Elementos!B535</f>
        <v>Vaso de precipitado en vidrio claro de 2000 ml. Borosilicato 3.3, impresión en cerámica, DIN12331/ISO3819 e ISO12 600 o ASTM E960, requisitos Tipo I y USP Tipo I y ASTM E438, Tipo I.</v>
      </c>
      <c r="C535" s="22" t="str">
        <f>Distribución_Elementos!C535</f>
        <v>Pyrex , Corning, Kymax, Brand, Duran, Brand o equivalente</v>
      </c>
      <c r="D535" s="22" t="str">
        <f>Distribución_Elementos!D535</f>
        <v>Unidad</v>
      </c>
      <c r="E535" s="224">
        <v>1</v>
      </c>
      <c r="F535" s="221">
        <v>0</v>
      </c>
      <c r="G535" s="221">
        <v>0</v>
      </c>
      <c r="H535" s="221">
        <v>0</v>
      </c>
      <c r="I535" s="221">
        <v>0</v>
      </c>
      <c r="J535" s="221">
        <v>43536.219999999994</v>
      </c>
      <c r="K535" s="221">
        <v>43435</v>
      </c>
      <c r="L535" s="247">
        <f t="shared" si="194"/>
        <v>43536.219999999994</v>
      </c>
      <c r="M535" s="247">
        <f>K535*E1</f>
        <v>44738.05</v>
      </c>
      <c r="N535" s="227">
        <v>45000</v>
      </c>
      <c r="O535" s="119">
        <f t="shared" si="192"/>
        <v>8550</v>
      </c>
      <c r="P535" s="119">
        <f t="shared" si="193"/>
        <v>53550</v>
      </c>
      <c r="Q535" s="115"/>
      <c r="R535" s="115"/>
      <c r="S535" s="11"/>
      <c r="T535" s="247">
        <v>30800.000000000004</v>
      </c>
      <c r="U535" s="247">
        <f t="shared" si="195"/>
        <v>5852.0000000000009</v>
      </c>
      <c r="V535" s="247">
        <f>+T535+U535</f>
        <v>36652.000000000007</v>
      </c>
      <c r="W535" s="17" t="s">
        <v>140</v>
      </c>
      <c r="X535" s="11" t="s">
        <v>1648</v>
      </c>
      <c r="Y535" s="11"/>
      <c r="Z535" s="247"/>
      <c r="AA535" s="247"/>
      <c r="AB535" s="247"/>
      <c r="AC535" s="5"/>
      <c r="AD535" s="22"/>
      <c r="AE535" s="17"/>
      <c r="AF535" s="247"/>
      <c r="AG535" s="247"/>
      <c r="AH535" s="247"/>
      <c r="AI535" s="11"/>
      <c r="AJ535" s="17"/>
      <c r="AK535" s="17"/>
      <c r="AL535" s="102"/>
      <c r="AM535" s="132"/>
      <c r="AN535" s="161"/>
      <c r="AO535" s="115"/>
      <c r="AP535" s="115"/>
      <c r="AQ535" s="17"/>
      <c r="AR535" s="247"/>
      <c r="AS535" s="247"/>
      <c r="AT535" s="247"/>
      <c r="AU535" s="17"/>
      <c r="AV535" s="17"/>
      <c r="AW535" s="17"/>
      <c r="AX535" s="247"/>
      <c r="AY535" s="247"/>
      <c r="AZ535" s="247"/>
      <c r="BA535" s="17"/>
      <c r="BB535" s="52"/>
      <c r="BC535" s="17"/>
      <c r="BD535" s="247"/>
      <c r="BE535" s="247"/>
      <c r="BF535" s="247"/>
      <c r="BG535" s="17"/>
      <c r="BH535" s="17"/>
      <c r="BI535" s="17"/>
      <c r="BJ535" s="247">
        <v>142100</v>
      </c>
      <c r="BK535" s="247">
        <f t="shared" si="184"/>
        <v>26999</v>
      </c>
      <c r="BL535" s="247">
        <f t="shared" si="185"/>
        <v>169099</v>
      </c>
      <c r="BM535" s="190" t="s">
        <v>375</v>
      </c>
      <c r="BN535" s="190" t="s">
        <v>1592</v>
      </c>
      <c r="BO535" s="17"/>
      <c r="BP535" s="247"/>
      <c r="BQ535" s="247"/>
      <c r="BR535" s="247"/>
      <c r="BS535" s="17"/>
      <c r="BT535" s="17"/>
      <c r="BU535" s="17"/>
      <c r="BV535" s="195">
        <v>162695.4056</v>
      </c>
      <c r="BW535" s="195">
        <f t="shared" si="190"/>
        <v>30912.127064</v>
      </c>
      <c r="BX535" s="246">
        <f t="shared" si="191"/>
        <v>193607.532664</v>
      </c>
      <c r="BY535" s="190" t="s">
        <v>375</v>
      </c>
      <c r="BZ535" s="190" t="s">
        <v>1592</v>
      </c>
      <c r="CA535" s="190"/>
      <c r="CB535" s="247"/>
      <c r="CC535" s="247"/>
      <c r="CD535" s="247"/>
      <c r="CE535" s="17"/>
      <c r="CF535" s="17"/>
      <c r="CG535" s="17"/>
      <c r="CH535" s="247"/>
      <c r="CI535" s="247"/>
      <c r="CJ535" s="247"/>
      <c r="CK535" s="17"/>
      <c r="CL535" s="17"/>
      <c r="CM535" s="17"/>
      <c r="CN535" s="17"/>
      <c r="CO535" s="17"/>
      <c r="CP535" s="11"/>
      <c r="CQ535" s="11"/>
      <c r="CR535" s="11"/>
      <c r="CS535" s="11"/>
      <c r="CT535" s="247"/>
      <c r="CU535" s="247"/>
      <c r="CV535" s="247"/>
      <c r="CW535" s="11"/>
      <c r="CX535" s="11"/>
      <c r="CY535" s="11"/>
      <c r="CZ535" s="11"/>
      <c r="DA535" s="11"/>
      <c r="DB535" s="11"/>
      <c r="DC535" s="11"/>
      <c r="DD535" s="11"/>
      <c r="DE535" s="11"/>
      <c r="DF535" s="11"/>
      <c r="DG535" s="11"/>
      <c r="DH535" s="11"/>
      <c r="DI535" s="11"/>
      <c r="DJ535" s="11"/>
      <c r="DK535" s="11"/>
      <c r="DL535" s="247"/>
      <c r="DM535" s="247"/>
      <c r="DN535" s="247"/>
      <c r="DO535" s="247"/>
      <c r="DP535" s="247"/>
      <c r="DQ535" s="247"/>
      <c r="DR535" s="247"/>
      <c r="DS535" s="247"/>
      <c r="DT535" s="247"/>
      <c r="DU535" s="247"/>
      <c r="DV535" s="247"/>
      <c r="DW535" s="247"/>
      <c r="DX535" s="247"/>
      <c r="DY535" s="247"/>
      <c r="DZ535" s="247"/>
      <c r="EA535" s="247"/>
      <c r="EB535" s="247"/>
      <c r="EC535" s="247"/>
      <c r="ED535" s="17">
        <f t="shared" si="180"/>
        <v>497646.58266400005</v>
      </c>
      <c r="EE535" s="29">
        <f t="shared" si="181"/>
        <v>5</v>
      </c>
      <c r="EF535" s="17">
        <f t="shared" si="182"/>
        <v>99529.316532800003</v>
      </c>
    </row>
    <row r="536" spans="1:136" ht="51" x14ac:dyDescent="0.25">
      <c r="A536" s="25">
        <f>Distribución_Elementos!A536</f>
        <v>534</v>
      </c>
      <c r="B536" s="22" t="str">
        <f>Distribución_Elementos!B536</f>
        <v>Vaso de precipitado vidrio claro de 10 ml. Borosilicato 3.3, impresión en cerámica, que cumpla con las normas DIN12331/ISO3819 e ISO12 600 o ASTM E960, requisitos Tipo I y USP Tipo I y ASTM E438, Tipo I.</v>
      </c>
      <c r="C536" s="22" t="str">
        <f>Distribución_Elementos!C536</f>
        <v>Pyrex , Corning, Kymax, Brand, Duran, Brand o equivalente</v>
      </c>
      <c r="D536" s="22" t="str">
        <f>Distribución_Elementos!D536</f>
        <v>Unidad</v>
      </c>
      <c r="E536" s="224">
        <v>1</v>
      </c>
      <c r="F536" s="221">
        <v>0</v>
      </c>
      <c r="G536" s="221">
        <v>0</v>
      </c>
      <c r="H536" s="221">
        <v>0</v>
      </c>
      <c r="I536" s="221">
        <v>0</v>
      </c>
      <c r="J536" s="221">
        <v>15567.103999999998</v>
      </c>
      <c r="K536" s="221">
        <v>9282</v>
      </c>
      <c r="L536" s="247">
        <f t="shared" si="194"/>
        <v>15567.103999999998</v>
      </c>
      <c r="M536" s="247">
        <f>K536*E1</f>
        <v>9560.4600000000009</v>
      </c>
      <c r="N536" s="227">
        <v>15000</v>
      </c>
      <c r="O536" s="119">
        <f t="shared" si="192"/>
        <v>2850</v>
      </c>
      <c r="P536" s="119">
        <f t="shared" si="193"/>
        <v>17850</v>
      </c>
      <c r="Q536" s="115"/>
      <c r="R536" s="115"/>
      <c r="S536" s="11"/>
      <c r="T536" s="247"/>
      <c r="U536" s="247"/>
      <c r="V536" s="247"/>
      <c r="W536" s="17"/>
      <c r="X536" s="11"/>
      <c r="Y536" s="11"/>
      <c r="Z536" s="247"/>
      <c r="AA536" s="247"/>
      <c r="AB536" s="247"/>
      <c r="AC536" s="5"/>
      <c r="AD536" s="22"/>
      <c r="AE536" s="17"/>
      <c r="AF536" s="247"/>
      <c r="AG536" s="247"/>
      <c r="AH536" s="247"/>
      <c r="AI536" s="11"/>
      <c r="AJ536" s="17"/>
      <c r="AK536" s="17"/>
      <c r="AL536" s="102"/>
      <c r="AM536" s="132"/>
      <c r="AN536" s="161"/>
      <c r="AO536" s="115"/>
      <c r="AP536" s="115"/>
      <c r="AQ536" s="17"/>
      <c r="AR536" s="247"/>
      <c r="AS536" s="247"/>
      <c r="AT536" s="247"/>
      <c r="AU536" s="17"/>
      <c r="AV536" s="17"/>
      <c r="AW536" s="17"/>
      <c r="AX536" s="247"/>
      <c r="AY536" s="247"/>
      <c r="AZ536" s="247"/>
      <c r="BA536" s="17"/>
      <c r="BB536" s="52"/>
      <c r="BC536" s="17"/>
      <c r="BD536" s="247"/>
      <c r="BE536" s="247"/>
      <c r="BF536" s="247"/>
      <c r="BG536" s="17"/>
      <c r="BH536" s="17"/>
      <c r="BI536" s="17"/>
      <c r="BJ536" s="247">
        <v>16400</v>
      </c>
      <c r="BK536" s="247">
        <f t="shared" si="184"/>
        <v>3116</v>
      </c>
      <c r="BL536" s="247">
        <f t="shared" si="185"/>
        <v>19516</v>
      </c>
      <c r="BM536" s="190" t="s">
        <v>375</v>
      </c>
      <c r="BN536" s="190" t="s">
        <v>1592</v>
      </c>
      <c r="BO536" s="17"/>
      <c r="BP536" s="247"/>
      <c r="BQ536" s="247"/>
      <c r="BR536" s="247"/>
      <c r="BS536" s="17"/>
      <c r="BT536" s="17"/>
      <c r="BU536" s="17"/>
      <c r="BV536" s="195">
        <v>18442.685600000001</v>
      </c>
      <c r="BW536" s="195">
        <f t="shared" si="190"/>
        <v>3504.1102640000004</v>
      </c>
      <c r="BX536" s="246">
        <f t="shared" si="191"/>
        <v>21946.795864</v>
      </c>
      <c r="BY536" s="190" t="s">
        <v>375</v>
      </c>
      <c r="BZ536" s="190" t="s">
        <v>1592</v>
      </c>
      <c r="CA536" s="190"/>
      <c r="CB536" s="247"/>
      <c r="CC536" s="247"/>
      <c r="CD536" s="247"/>
      <c r="CE536" s="17"/>
      <c r="CF536" s="17"/>
      <c r="CG536" s="17"/>
      <c r="CH536" s="247"/>
      <c r="CI536" s="247"/>
      <c r="CJ536" s="247"/>
      <c r="CK536" s="17"/>
      <c r="CL536" s="17"/>
      <c r="CM536" s="17"/>
      <c r="CN536" s="17"/>
      <c r="CO536" s="17"/>
      <c r="CP536" s="11"/>
      <c r="CQ536" s="11"/>
      <c r="CR536" s="11"/>
      <c r="CS536" s="11"/>
      <c r="CT536" s="247"/>
      <c r="CU536" s="247"/>
      <c r="CV536" s="247"/>
      <c r="CW536" s="11"/>
      <c r="CX536" s="11"/>
      <c r="CY536" s="11"/>
      <c r="CZ536" s="11"/>
      <c r="DA536" s="11"/>
      <c r="DB536" s="11"/>
      <c r="DC536" s="11"/>
      <c r="DD536" s="11"/>
      <c r="DE536" s="11"/>
      <c r="DF536" s="11"/>
      <c r="DG536" s="11"/>
      <c r="DH536" s="11"/>
      <c r="DI536" s="11"/>
      <c r="DJ536" s="11"/>
      <c r="DK536" s="11"/>
      <c r="DL536" s="247"/>
      <c r="DM536" s="247"/>
      <c r="DN536" s="247"/>
      <c r="DO536" s="247"/>
      <c r="DP536" s="247"/>
      <c r="DQ536" s="247"/>
      <c r="DR536" s="247"/>
      <c r="DS536" s="247"/>
      <c r="DT536" s="247"/>
      <c r="DU536" s="247"/>
      <c r="DV536" s="247"/>
      <c r="DW536" s="247"/>
      <c r="DX536" s="247"/>
      <c r="DY536" s="247"/>
      <c r="DZ536" s="247"/>
      <c r="EA536" s="247"/>
      <c r="EB536" s="247"/>
      <c r="EC536" s="247"/>
      <c r="ED536" s="17">
        <f t="shared" si="180"/>
        <v>68873.255864000006</v>
      </c>
      <c r="EE536" s="29">
        <f t="shared" si="181"/>
        <v>4</v>
      </c>
      <c r="EF536" s="17">
        <f t="shared" si="182"/>
        <v>17218.313966000002</v>
      </c>
    </row>
    <row r="537" spans="1:136" ht="51" x14ac:dyDescent="0.25">
      <c r="A537" s="25">
        <f>Distribución_Elementos!A537</f>
        <v>535</v>
      </c>
      <c r="B537" s="22" t="str">
        <f>Distribución_Elementos!B537</f>
        <v>Vaso de precipitado vidrio claro de 100 ml. Borosilicato 3.3, impresión en cerámica, que cumpla con las normas DIN12331/ISO3819 e ISO12 600 o ASTM E960, requisitos Tipo I y USP Tipo I y ASTM E438, Tipo I.</v>
      </c>
      <c r="C537" s="22" t="str">
        <f>Distribución_Elementos!C537</f>
        <v>Pyrex , Corning, Kymax, Brand, Duran, Brand o equivalente</v>
      </c>
      <c r="D537" s="22" t="str">
        <f>Distribución_Elementos!D537</f>
        <v xml:space="preserve">Unidad </v>
      </c>
      <c r="E537" s="224">
        <v>1</v>
      </c>
      <c r="F537" s="221">
        <v>0</v>
      </c>
      <c r="G537" s="221">
        <v>0</v>
      </c>
      <c r="H537" s="221">
        <v>0</v>
      </c>
      <c r="I537" s="221">
        <v>0</v>
      </c>
      <c r="J537" s="221">
        <v>13628.356</v>
      </c>
      <c r="K537" s="221">
        <v>11186</v>
      </c>
      <c r="L537" s="247">
        <f t="shared" si="194"/>
        <v>13628.356</v>
      </c>
      <c r="M537" s="247">
        <f>K537*E1</f>
        <v>11521.58</v>
      </c>
      <c r="N537" s="227">
        <v>10000</v>
      </c>
      <c r="O537" s="119">
        <f t="shared" si="192"/>
        <v>1900</v>
      </c>
      <c r="P537" s="119">
        <f t="shared" si="193"/>
        <v>11900</v>
      </c>
      <c r="Q537" s="115"/>
      <c r="R537" s="115"/>
      <c r="S537" s="11"/>
      <c r="T537" s="247">
        <v>6270.0000000000009</v>
      </c>
      <c r="U537" s="247">
        <f t="shared" si="195"/>
        <v>1191.3000000000002</v>
      </c>
      <c r="V537" s="247">
        <f>+T537+U537</f>
        <v>7461.3000000000011</v>
      </c>
      <c r="W537" s="17" t="s">
        <v>140</v>
      </c>
      <c r="X537" s="11" t="s">
        <v>1648</v>
      </c>
      <c r="Y537" s="11"/>
      <c r="Z537" s="247"/>
      <c r="AA537" s="247"/>
      <c r="AB537" s="247"/>
      <c r="AC537" s="5"/>
      <c r="AD537" s="22"/>
      <c r="AE537" s="17"/>
      <c r="AF537" s="247"/>
      <c r="AG537" s="247"/>
      <c r="AH537" s="247"/>
      <c r="AI537" s="11"/>
      <c r="AJ537" s="17"/>
      <c r="AK537" s="17"/>
      <c r="AL537" s="102"/>
      <c r="AM537" s="132"/>
      <c r="AN537" s="161"/>
      <c r="AO537" s="115"/>
      <c r="AP537" s="115"/>
      <c r="AQ537" s="17"/>
      <c r="AR537" s="247"/>
      <c r="AS537" s="247"/>
      <c r="AT537" s="247"/>
      <c r="AU537" s="17"/>
      <c r="AV537" s="17"/>
      <c r="AW537" s="17"/>
      <c r="AX537" s="247"/>
      <c r="AY537" s="247"/>
      <c r="AZ537" s="247"/>
      <c r="BA537" s="17"/>
      <c r="BB537" s="52"/>
      <c r="BC537" s="17"/>
      <c r="BD537" s="247"/>
      <c r="BE537" s="247"/>
      <c r="BF537" s="247"/>
      <c r="BG537" s="17"/>
      <c r="BH537" s="17"/>
      <c r="BI537" s="17"/>
      <c r="BJ537" s="247">
        <v>19800</v>
      </c>
      <c r="BK537" s="247">
        <f t="shared" si="184"/>
        <v>3762</v>
      </c>
      <c r="BL537" s="247">
        <f t="shared" si="185"/>
        <v>23562</v>
      </c>
      <c r="BM537" s="190" t="s">
        <v>375</v>
      </c>
      <c r="BN537" s="190" t="s">
        <v>1592</v>
      </c>
      <c r="BO537" s="17"/>
      <c r="BP537" s="247"/>
      <c r="BQ537" s="247"/>
      <c r="BR537" s="247"/>
      <c r="BS537" s="17"/>
      <c r="BT537" s="17"/>
      <c r="BU537" s="17"/>
      <c r="BV537" s="195">
        <v>21843.993600000002</v>
      </c>
      <c r="BW537" s="195">
        <f t="shared" si="190"/>
        <v>4150.358784</v>
      </c>
      <c r="BX537" s="246">
        <f t="shared" si="191"/>
        <v>25994.352384000002</v>
      </c>
      <c r="BY537" s="190" t="s">
        <v>375</v>
      </c>
      <c r="BZ537" s="190" t="s">
        <v>1592</v>
      </c>
      <c r="CA537" s="190"/>
      <c r="CB537" s="247"/>
      <c r="CC537" s="247"/>
      <c r="CD537" s="247"/>
      <c r="CE537" s="17"/>
      <c r="CF537" s="17"/>
      <c r="CG537" s="17"/>
      <c r="CH537" s="247"/>
      <c r="CI537" s="247"/>
      <c r="CJ537" s="247"/>
      <c r="CK537" s="17"/>
      <c r="CL537" s="17"/>
      <c r="CM537" s="17"/>
      <c r="CN537" s="17"/>
      <c r="CO537" s="17"/>
      <c r="CP537" s="11"/>
      <c r="CQ537" s="11"/>
      <c r="CR537" s="11"/>
      <c r="CS537" s="11"/>
      <c r="CT537" s="247"/>
      <c r="CU537" s="247"/>
      <c r="CV537" s="247"/>
      <c r="CW537" s="11"/>
      <c r="CX537" s="11"/>
      <c r="CY537" s="11"/>
      <c r="CZ537" s="11"/>
      <c r="DA537" s="11"/>
      <c r="DB537" s="11"/>
      <c r="DC537" s="11"/>
      <c r="DD537" s="11"/>
      <c r="DE537" s="11"/>
      <c r="DF537" s="11"/>
      <c r="DG537" s="11"/>
      <c r="DH537" s="11"/>
      <c r="DI537" s="11"/>
      <c r="DJ537" s="11"/>
      <c r="DK537" s="11"/>
      <c r="DL537" s="247"/>
      <c r="DM537" s="247"/>
      <c r="DN537" s="247"/>
      <c r="DO537" s="247"/>
      <c r="DP537" s="247"/>
      <c r="DQ537" s="247"/>
      <c r="DR537" s="247"/>
      <c r="DS537" s="247"/>
      <c r="DT537" s="247"/>
      <c r="DU537" s="247"/>
      <c r="DV537" s="247"/>
      <c r="DW537" s="247"/>
      <c r="DX537" s="247"/>
      <c r="DY537" s="247"/>
      <c r="DZ537" s="247"/>
      <c r="EA537" s="247"/>
      <c r="EB537" s="247"/>
      <c r="EC537" s="247"/>
      <c r="ED537" s="17">
        <f t="shared" si="180"/>
        <v>80439.232384000003</v>
      </c>
      <c r="EE537" s="29">
        <f t="shared" si="181"/>
        <v>5</v>
      </c>
      <c r="EF537" s="17">
        <f t="shared" si="182"/>
        <v>16087.846476800001</v>
      </c>
    </row>
    <row r="538" spans="1:136" ht="51" x14ac:dyDescent="0.25">
      <c r="A538" s="25">
        <f>Distribución_Elementos!A538</f>
        <v>536</v>
      </c>
      <c r="B538" s="22" t="str">
        <f>Distribución_Elementos!B538</f>
        <v>Vaso de precipitado vidrio claro de 25 ml. Borosilicato 3.3, impresión en cerámica, que cumpla con las normas DIN12331/ISO3819 e ISO12 600 o ASTM E960, requisitos Tipo I y USP Tipo I y ASTM E438, Tipo I.</v>
      </c>
      <c r="C538" s="22" t="str">
        <f>Distribución_Elementos!C538</f>
        <v>Pyrex , Corning, Kymax, Brand, Duran, Brand o equivalente</v>
      </c>
      <c r="D538" s="22" t="str">
        <f>Distribución_Elementos!D538</f>
        <v>Unidad</v>
      </c>
      <c r="E538" s="224">
        <v>1</v>
      </c>
      <c r="F538" s="221">
        <v>0</v>
      </c>
      <c r="G538" s="221">
        <v>0</v>
      </c>
      <c r="H538" s="221">
        <v>0</v>
      </c>
      <c r="I538" s="221">
        <v>0</v>
      </c>
      <c r="J538" s="221">
        <v>25775.71733333333</v>
      </c>
      <c r="K538" s="221">
        <v>25585</v>
      </c>
      <c r="L538" s="247">
        <f t="shared" si="194"/>
        <v>25775.71733333333</v>
      </c>
      <c r="M538" s="247">
        <f>K538*E1</f>
        <v>26352.55</v>
      </c>
      <c r="N538" s="227">
        <v>10000</v>
      </c>
      <c r="O538" s="119">
        <f t="shared" si="192"/>
        <v>1900</v>
      </c>
      <c r="P538" s="119">
        <f t="shared" si="193"/>
        <v>11900</v>
      </c>
      <c r="Q538" s="115"/>
      <c r="R538" s="115"/>
      <c r="S538" s="11"/>
      <c r="T538" s="247">
        <v>6160.0000000000009</v>
      </c>
      <c r="U538" s="247">
        <f t="shared" si="195"/>
        <v>1170.4000000000001</v>
      </c>
      <c r="V538" s="247">
        <f>+T538+U538</f>
        <v>7330.4000000000015</v>
      </c>
      <c r="W538" s="17" t="s">
        <v>140</v>
      </c>
      <c r="X538" s="11" t="s">
        <v>1648</v>
      </c>
      <c r="Y538" s="11"/>
      <c r="Z538" s="247"/>
      <c r="AA538" s="247"/>
      <c r="AB538" s="247"/>
      <c r="AC538" s="5"/>
      <c r="AD538" s="22"/>
      <c r="AE538" s="17"/>
      <c r="AF538" s="247"/>
      <c r="AG538" s="247"/>
      <c r="AH538" s="247"/>
      <c r="AI538" s="11"/>
      <c r="AJ538" s="17"/>
      <c r="AK538" s="17"/>
      <c r="AL538" s="102"/>
      <c r="AM538" s="132"/>
      <c r="AN538" s="161"/>
      <c r="AO538" s="115"/>
      <c r="AP538" s="115"/>
      <c r="AQ538" s="17"/>
      <c r="AR538" s="247"/>
      <c r="AS538" s="247"/>
      <c r="AT538" s="247"/>
      <c r="AU538" s="17"/>
      <c r="AV538" s="17"/>
      <c r="AW538" s="17"/>
      <c r="AX538" s="247"/>
      <c r="AY538" s="247"/>
      <c r="AZ538" s="247"/>
      <c r="BA538" s="17"/>
      <c r="BB538" s="52"/>
      <c r="BC538" s="17"/>
      <c r="BD538" s="247"/>
      <c r="BE538" s="247"/>
      <c r="BF538" s="247"/>
      <c r="BG538" s="17"/>
      <c r="BH538" s="17"/>
      <c r="BI538" s="17"/>
      <c r="BJ538" s="247">
        <v>19300</v>
      </c>
      <c r="BK538" s="247">
        <f t="shared" si="184"/>
        <v>3667</v>
      </c>
      <c r="BL538" s="247">
        <f t="shared" si="185"/>
        <v>22967</v>
      </c>
      <c r="BM538" s="190" t="s">
        <v>375</v>
      </c>
      <c r="BN538" s="190" t="s">
        <v>1592</v>
      </c>
      <c r="BO538" s="17"/>
      <c r="BP538" s="247"/>
      <c r="BQ538" s="247"/>
      <c r="BR538" s="247"/>
      <c r="BS538" s="17"/>
      <c r="BT538" s="17"/>
      <c r="BU538" s="17"/>
      <c r="BV538" s="195">
        <v>21684.013199999998</v>
      </c>
      <c r="BW538" s="195">
        <f t="shared" si="190"/>
        <v>4119.9625079999996</v>
      </c>
      <c r="BX538" s="246">
        <f t="shared" si="191"/>
        <v>25803.975707999998</v>
      </c>
      <c r="BY538" s="190" t="s">
        <v>375</v>
      </c>
      <c r="BZ538" s="190" t="s">
        <v>1592</v>
      </c>
      <c r="CA538" s="190"/>
      <c r="CB538" s="247"/>
      <c r="CC538" s="247"/>
      <c r="CD538" s="247"/>
      <c r="CE538" s="17"/>
      <c r="CF538" s="17"/>
      <c r="CG538" s="17"/>
      <c r="CH538" s="247"/>
      <c r="CI538" s="247"/>
      <c r="CJ538" s="247"/>
      <c r="CK538" s="17"/>
      <c r="CL538" s="17"/>
      <c r="CM538" s="17"/>
      <c r="CN538" s="17"/>
      <c r="CO538" s="17"/>
      <c r="CP538" s="11"/>
      <c r="CQ538" s="11"/>
      <c r="CR538" s="11"/>
      <c r="CS538" s="11"/>
      <c r="CT538" s="247"/>
      <c r="CU538" s="247"/>
      <c r="CV538" s="247"/>
      <c r="CW538" s="11"/>
      <c r="CX538" s="11"/>
      <c r="CY538" s="11"/>
      <c r="CZ538" s="11"/>
      <c r="DA538" s="11"/>
      <c r="DB538" s="11"/>
      <c r="DC538" s="11"/>
      <c r="DD538" s="11"/>
      <c r="DE538" s="11"/>
      <c r="DF538" s="11"/>
      <c r="DG538" s="11"/>
      <c r="DH538" s="11"/>
      <c r="DI538" s="11"/>
      <c r="DJ538" s="11"/>
      <c r="DK538" s="11"/>
      <c r="DL538" s="247"/>
      <c r="DM538" s="247"/>
      <c r="DN538" s="247"/>
      <c r="DO538" s="247"/>
      <c r="DP538" s="247"/>
      <c r="DQ538" s="247"/>
      <c r="DR538" s="247"/>
      <c r="DS538" s="247"/>
      <c r="DT538" s="247"/>
      <c r="DU538" s="247"/>
      <c r="DV538" s="247"/>
      <c r="DW538" s="247"/>
      <c r="DX538" s="247"/>
      <c r="DY538" s="247"/>
      <c r="DZ538" s="247"/>
      <c r="EA538" s="247"/>
      <c r="EB538" s="247"/>
      <c r="EC538" s="247"/>
      <c r="ED538" s="17">
        <f t="shared" si="180"/>
        <v>94353.92570800001</v>
      </c>
      <c r="EE538" s="29">
        <f t="shared" si="181"/>
        <v>5</v>
      </c>
      <c r="EF538" s="17">
        <f t="shared" si="182"/>
        <v>18870.785141600001</v>
      </c>
    </row>
    <row r="539" spans="1:136" ht="51" x14ac:dyDescent="0.25">
      <c r="A539" s="25">
        <f>Distribución_Elementos!A539</f>
        <v>537</v>
      </c>
      <c r="B539" s="22" t="str">
        <f>Distribución_Elementos!B539</f>
        <v>Vaso de precipitado vidrio claro de 250 ml. Borosilicato 3.3, impresión en cerámica, que cumpla con las normas DIN12331/ISO3819 e ISO12 600 o ASTM E960, requisitos Tipo I y USP Tipo I y ASTM E438, Tipo I.</v>
      </c>
      <c r="C539" s="22" t="str">
        <f>Distribución_Elementos!C539</f>
        <v>Pyrex , Corning, Kymax, Brand, Duran, Brand o equivalente</v>
      </c>
      <c r="D539" s="22" t="str">
        <f>Distribución_Elementos!D539</f>
        <v>Unidad</v>
      </c>
      <c r="E539" s="224">
        <v>1</v>
      </c>
      <c r="F539" s="221">
        <v>0</v>
      </c>
      <c r="G539" s="221">
        <v>0</v>
      </c>
      <c r="H539" s="221">
        <v>0</v>
      </c>
      <c r="I539" s="221">
        <v>0</v>
      </c>
      <c r="J539" s="221">
        <v>19907.034</v>
      </c>
      <c r="K539" s="221">
        <v>12733</v>
      </c>
      <c r="L539" s="247">
        <f t="shared" si="194"/>
        <v>19907.034</v>
      </c>
      <c r="M539" s="247">
        <f>K539*E1</f>
        <v>13114.99</v>
      </c>
      <c r="N539" s="227">
        <v>10000</v>
      </c>
      <c r="O539" s="119">
        <f t="shared" si="192"/>
        <v>1900</v>
      </c>
      <c r="P539" s="119">
        <f t="shared" si="193"/>
        <v>11900</v>
      </c>
      <c r="Q539" s="115"/>
      <c r="R539" s="115"/>
      <c r="S539" s="11"/>
      <c r="T539" s="247">
        <v>7150.0000000000009</v>
      </c>
      <c r="U539" s="247">
        <f t="shared" si="195"/>
        <v>1358.5000000000002</v>
      </c>
      <c r="V539" s="247">
        <f>+T539+U539</f>
        <v>8508.5000000000018</v>
      </c>
      <c r="W539" s="17" t="s">
        <v>140</v>
      </c>
      <c r="X539" s="11" t="s">
        <v>1648</v>
      </c>
      <c r="Y539" s="11"/>
      <c r="Z539" s="247"/>
      <c r="AA539" s="247"/>
      <c r="AB539" s="247"/>
      <c r="AC539" s="5"/>
      <c r="AD539" s="22"/>
      <c r="AE539" s="17"/>
      <c r="AF539" s="247"/>
      <c r="AG539" s="247"/>
      <c r="AH539" s="247"/>
      <c r="AI539" s="11"/>
      <c r="AJ539" s="17"/>
      <c r="AK539" s="17"/>
      <c r="AL539" s="102"/>
      <c r="AM539" s="132"/>
      <c r="AN539" s="161"/>
      <c r="AO539" s="115"/>
      <c r="AP539" s="115"/>
      <c r="AQ539" s="17"/>
      <c r="AR539" s="247"/>
      <c r="AS539" s="247"/>
      <c r="AT539" s="247"/>
      <c r="AU539" s="17"/>
      <c r="AV539" s="17"/>
      <c r="AW539" s="17"/>
      <c r="AX539" s="247"/>
      <c r="AY539" s="247"/>
      <c r="AZ539" s="247"/>
      <c r="BA539" s="17"/>
      <c r="BB539" s="52"/>
      <c r="BC539" s="17"/>
      <c r="BD539" s="247"/>
      <c r="BE539" s="247"/>
      <c r="BF539" s="247"/>
      <c r="BG539" s="17"/>
      <c r="BH539" s="17"/>
      <c r="BI539" s="17"/>
      <c r="BJ539" s="247">
        <v>22600</v>
      </c>
      <c r="BK539" s="247">
        <f t="shared" si="184"/>
        <v>4294</v>
      </c>
      <c r="BL539" s="247">
        <f t="shared" si="185"/>
        <v>26894</v>
      </c>
      <c r="BM539" s="190" t="s">
        <v>375</v>
      </c>
      <c r="BN539" s="190" t="s">
        <v>1592</v>
      </c>
      <c r="BO539" s="17"/>
      <c r="BP539" s="247"/>
      <c r="BQ539" s="247"/>
      <c r="BR539" s="247"/>
      <c r="BS539" s="17"/>
      <c r="BT539" s="17"/>
      <c r="BU539" s="17"/>
      <c r="BV539" s="195">
        <v>25666.368000000002</v>
      </c>
      <c r="BW539" s="195">
        <f t="shared" si="190"/>
        <v>4876.6099200000008</v>
      </c>
      <c r="BX539" s="246">
        <f t="shared" si="191"/>
        <v>30542.977920000005</v>
      </c>
      <c r="BY539" s="190" t="s">
        <v>375</v>
      </c>
      <c r="BZ539" s="190" t="s">
        <v>1592</v>
      </c>
      <c r="CA539" s="190"/>
      <c r="CB539" s="247"/>
      <c r="CC539" s="247"/>
      <c r="CD539" s="247"/>
      <c r="CE539" s="17"/>
      <c r="CF539" s="17"/>
      <c r="CG539" s="17"/>
      <c r="CH539" s="247"/>
      <c r="CI539" s="247"/>
      <c r="CJ539" s="247"/>
      <c r="CK539" s="17"/>
      <c r="CL539" s="17"/>
      <c r="CM539" s="17"/>
      <c r="CN539" s="17"/>
      <c r="CO539" s="17"/>
      <c r="CP539" s="11"/>
      <c r="CQ539" s="11"/>
      <c r="CR539" s="11"/>
      <c r="CS539" s="11"/>
      <c r="CT539" s="247"/>
      <c r="CU539" s="247"/>
      <c r="CV539" s="247"/>
      <c r="CW539" s="11"/>
      <c r="CX539" s="11"/>
      <c r="CY539" s="11"/>
      <c r="CZ539" s="11"/>
      <c r="DA539" s="11"/>
      <c r="DB539" s="11"/>
      <c r="DC539" s="11"/>
      <c r="DD539" s="11"/>
      <c r="DE539" s="11"/>
      <c r="DF539" s="11"/>
      <c r="DG539" s="11"/>
      <c r="DH539" s="11"/>
      <c r="DI539" s="11"/>
      <c r="DJ539" s="11"/>
      <c r="DK539" s="11"/>
      <c r="DL539" s="247"/>
      <c r="DM539" s="247"/>
      <c r="DN539" s="247"/>
      <c r="DO539" s="247"/>
      <c r="DP539" s="247"/>
      <c r="DQ539" s="247"/>
      <c r="DR539" s="247"/>
      <c r="DS539" s="247"/>
      <c r="DT539" s="247"/>
      <c r="DU539" s="247"/>
      <c r="DV539" s="247"/>
      <c r="DW539" s="247"/>
      <c r="DX539" s="247"/>
      <c r="DY539" s="247"/>
      <c r="DZ539" s="247"/>
      <c r="EA539" s="247"/>
      <c r="EB539" s="247"/>
      <c r="EC539" s="247"/>
      <c r="ED539" s="17">
        <f t="shared" si="180"/>
        <v>90960.467919999996</v>
      </c>
      <c r="EE539" s="29">
        <f t="shared" si="181"/>
        <v>5</v>
      </c>
      <c r="EF539" s="17">
        <f t="shared" si="182"/>
        <v>18192.093583999998</v>
      </c>
    </row>
    <row r="540" spans="1:136" ht="51" x14ac:dyDescent="0.25">
      <c r="A540" s="25">
        <f>Distribución_Elementos!A540</f>
        <v>538</v>
      </c>
      <c r="B540" s="22" t="str">
        <f>Distribución_Elementos!B540</f>
        <v>Vaso de precipitado vidrio claro de 400 ml. Borosilicato 3.3, impresión en cerámica, que cumpla con las normas DIN12331/ISO3819 e ISO12 600 o ASTM E960, requisitos Tipo I y USP Tipo I y ASTM E438, Tipo I.</v>
      </c>
      <c r="C540" s="22" t="str">
        <f>Distribución_Elementos!C540</f>
        <v>Pyrex , Corning, Kymax, Brand, Duran, Brand o equivalente</v>
      </c>
      <c r="D540" s="22" t="str">
        <f>Distribución_Elementos!D540</f>
        <v>Unidad</v>
      </c>
      <c r="E540" s="224">
        <v>1</v>
      </c>
      <c r="F540" s="221">
        <v>0</v>
      </c>
      <c r="G540" s="221">
        <v>0</v>
      </c>
      <c r="H540" s="221">
        <v>0</v>
      </c>
      <c r="I540" s="221">
        <v>0</v>
      </c>
      <c r="J540" s="221">
        <v>21943.124</v>
      </c>
      <c r="K540" s="221">
        <v>16660</v>
      </c>
      <c r="L540" s="247">
        <f t="shared" si="194"/>
        <v>21943.124</v>
      </c>
      <c r="M540" s="247">
        <f>K540*E1</f>
        <v>17159.8</v>
      </c>
      <c r="N540" s="227">
        <v>10000</v>
      </c>
      <c r="O540" s="119">
        <f t="shared" si="192"/>
        <v>1900</v>
      </c>
      <c r="P540" s="119">
        <f t="shared" si="193"/>
        <v>11900</v>
      </c>
      <c r="Q540" s="115"/>
      <c r="R540" s="115"/>
      <c r="S540" s="11"/>
      <c r="T540" s="247">
        <v>9900</v>
      </c>
      <c r="U540" s="247">
        <f t="shared" si="195"/>
        <v>1881</v>
      </c>
      <c r="V540" s="247">
        <f>+T540+U540</f>
        <v>11781</v>
      </c>
      <c r="W540" s="17" t="s">
        <v>140</v>
      </c>
      <c r="X540" s="11" t="s">
        <v>1648</v>
      </c>
      <c r="Y540" s="11"/>
      <c r="Z540" s="247"/>
      <c r="AA540" s="247"/>
      <c r="AB540" s="247"/>
      <c r="AC540" s="5"/>
      <c r="AD540" s="23"/>
      <c r="AE540" s="17"/>
      <c r="AF540" s="247"/>
      <c r="AG540" s="247"/>
      <c r="AH540" s="247"/>
      <c r="AI540" s="11"/>
      <c r="AJ540" s="17"/>
      <c r="AK540" s="17"/>
      <c r="AL540" s="102"/>
      <c r="AM540" s="132"/>
      <c r="AN540" s="161"/>
      <c r="AO540" s="115"/>
      <c r="AP540" s="115"/>
      <c r="AQ540" s="17"/>
      <c r="AR540" s="247"/>
      <c r="AS540" s="247"/>
      <c r="AT540" s="247"/>
      <c r="AU540" s="17"/>
      <c r="AV540" s="17"/>
      <c r="AW540" s="17"/>
      <c r="AX540" s="247"/>
      <c r="AY540" s="247"/>
      <c r="AZ540" s="247"/>
      <c r="BA540" s="17"/>
      <c r="BB540" s="17"/>
      <c r="BC540" s="17"/>
      <c r="BD540" s="247"/>
      <c r="BE540" s="247"/>
      <c r="BF540" s="247"/>
      <c r="BG540" s="17"/>
      <c r="BH540" s="17"/>
      <c r="BI540" s="17"/>
      <c r="BJ540" s="247">
        <v>31000</v>
      </c>
      <c r="BK540" s="247">
        <f t="shared" si="184"/>
        <v>5890</v>
      </c>
      <c r="BL540" s="247">
        <f t="shared" si="185"/>
        <v>36890</v>
      </c>
      <c r="BM540" s="190" t="s">
        <v>375</v>
      </c>
      <c r="BN540" s="190" t="s">
        <v>1592</v>
      </c>
      <c r="BO540" s="17"/>
      <c r="BP540" s="247"/>
      <c r="BQ540" s="247"/>
      <c r="BR540" s="247"/>
      <c r="BS540" s="17"/>
      <c r="BT540" s="17"/>
      <c r="BU540" s="17"/>
      <c r="BV540" s="195">
        <v>36543.885000000009</v>
      </c>
      <c r="BW540" s="195">
        <f t="shared" si="190"/>
        <v>6943.3381500000014</v>
      </c>
      <c r="BX540" s="246">
        <f t="shared" si="191"/>
        <v>43487.223150000013</v>
      </c>
      <c r="BY540" s="190" t="s">
        <v>375</v>
      </c>
      <c r="BZ540" s="190" t="s">
        <v>1592</v>
      </c>
      <c r="CA540" s="190"/>
      <c r="CB540" s="252"/>
      <c r="CC540" s="247"/>
      <c r="CD540" s="247"/>
      <c r="CE540" s="17"/>
      <c r="CF540" s="17"/>
      <c r="CG540" s="17"/>
      <c r="CH540" s="247"/>
      <c r="CI540" s="247"/>
      <c r="CJ540" s="247"/>
      <c r="CK540" s="17"/>
      <c r="CL540" s="17"/>
      <c r="CM540" s="17"/>
      <c r="CN540" s="17"/>
      <c r="CO540" s="17"/>
      <c r="CP540" s="11"/>
      <c r="CQ540" s="11"/>
      <c r="CR540" s="11"/>
      <c r="CS540" s="11"/>
      <c r="CT540" s="247"/>
      <c r="CU540" s="247"/>
      <c r="CV540" s="247"/>
      <c r="CW540" s="11"/>
      <c r="CX540" s="11"/>
      <c r="CY540" s="11"/>
      <c r="CZ540" s="11"/>
      <c r="DA540" s="11"/>
      <c r="DB540" s="11"/>
      <c r="DC540" s="11"/>
      <c r="DD540" s="11"/>
      <c r="DE540" s="11"/>
      <c r="DF540" s="11"/>
      <c r="DG540" s="11"/>
      <c r="DH540" s="11"/>
      <c r="DI540" s="11"/>
      <c r="DJ540" s="11"/>
      <c r="DK540" s="11"/>
      <c r="DL540" s="247"/>
      <c r="DM540" s="247"/>
      <c r="DN540" s="247"/>
      <c r="DO540" s="247"/>
      <c r="DP540" s="247"/>
      <c r="DQ540" s="247"/>
      <c r="DR540" s="247"/>
      <c r="DS540" s="247"/>
      <c r="DT540" s="247"/>
      <c r="DU540" s="247"/>
      <c r="DV540" s="247"/>
      <c r="DW540" s="247"/>
      <c r="DX540" s="247"/>
      <c r="DY540" s="247"/>
      <c r="DZ540" s="247"/>
      <c r="EA540" s="247"/>
      <c r="EB540" s="247"/>
      <c r="EC540" s="247"/>
      <c r="ED540" s="17">
        <f t="shared" si="180"/>
        <v>121218.02315000002</v>
      </c>
      <c r="EE540" s="29">
        <f t="shared" si="181"/>
        <v>5</v>
      </c>
      <c r="EF540" s="17">
        <f t="shared" si="182"/>
        <v>24243.604630000005</v>
      </c>
    </row>
    <row r="541" spans="1:136" ht="38.25" x14ac:dyDescent="0.25">
      <c r="A541" s="25">
        <f>Distribución_Elementos!A541</f>
        <v>539</v>
      </c>
      <c r="B541" s="22" t="str">
        <f>Distribución_Elementos!B541</f>
        <v xml:space="preserve">Vaso de precipitado vidrio claro de 500 - 600 ml. Borosilicato 3.3, impresión en cerámica, con pico que cumpla con las normas </v>
      </c>
      <c r="C541" s="22" t="str">
        <f>Distribución_Elementos!C541</f>
        <v>Pyrex , Corning, Kymax, Brand, Duran, Brand o equivalente</v>
      </c>
      <c r="D541" s="22" t="str">
        <f>Distribución_Elementos!D541</f>
        <v>Unidad</v>
      </c>
      <c r="E541" s="224">
        <v>1</v>
      </c>
      <c r="F541" s="221">
        <v>0</v>
      </c>
      <c r="G541" s="221">
        <v>0</v>
      </c>
      <c r="H541" s="221">
        <v>0</v>
      </c>
      <c r="I541" s="221">
        <v>0</v>
      </c>
      <c r="J541" s="221">
        <v>14519.516666666668</v>
      </c>
      <c r="K541" s="221">
        <v>14518</v>
      </c>
      <c r="L541" s="247">
        <f t="shared" si="194"/>
        <v>14519.516666666668</v>
      </c>
      <c r="M541" s="247">
        <f>K541*E1</f>
        <v>14953.54</v>
      </c>
      <c r="N541" s="227">
        <v>13000</v>
      </c>
      <c r="O541" s="119">
        <f t="shared" si="192"/>
        <v>2470</v>
      </c>
      <c r="P541" s="119">
        <f t="shared" si="193"/>
        <v>15470</v>
      </c>
      <c r="Q541" s="115"/>
      <c r="R541" s="115"/>
      <c r="S541" s="11"/>
      <c r="T541" s="247"/>
      <c r="U541" s="247"/>
      <c r="V541" s="247"/>
      <c r="W541" s="17"/>
      <c r="X541" s="11"/>
      <c r="Y541" s="11"/>
      <c r="Z541" s="247"/>
      <c r="AA541" s="247"/>
      <c r="AB541" s="247"/>
      <c r="AC541" s="44"/>
      <c r="AD541" s="22"/>
      <c r="AE541" s="17"/>
      <c r="AF541" s="247"/>
      <c r="AG541" s="247"/>
      <c r="AH541" s="247"/>
      <c r="AI541" s="11"/>
      <c r="AJ541" s="17"/>
      <c r="AK541" s="17"/>
      <c r="AL541" s="102"/>
      <c r="AM541" s="132"/>
      <c r="AN541" s="161"/>
      <c r="AO541" s="115"/>
      <c r="AP541" s="115"/>
      <c r="AQ541" s="17"/>
      <c r="AR541" s="247"/>
      <c r="AS541" s="247"/>
      <c r="AT541" s="247"/>
      <c r="AU541" s="17"/>
      <c r="AV541" s="17"/>
      <c r="AW541" s="17"/>
      <c r="AX541" s="247"/>
      <c r="AY541" s="247"/>
      <c r="AZ541" s="247"/>
      <c r="BA541" s="17"/>
      <c r="BB541" s="17"/>
      <c r="BC541" s="17"/>
      <c r="BD541" s="247"/>
      <c r="BE541" s="247"/>
      <c r="BF541" s="247"/>
      <c r="BG541" s="17"/>
      <c r="BH541" s="17"/>
      <c r="BI541" s="17"/>
      <c r="BJ541" s="247">
        <v>33600</v>
      </c>
      <c r="BK541" s="247">
        <f t="shared" si="184"/>
        <v>6384</v>
      </c>
      <c r="BL541" s="247">
        <f t="shared" si="185"/>
        <v>39984</v>
      </c>
      <c r="BM541" s="190" t="s">
        <v>375</v>
      </c>
      <c r="BN541" s="190" t="s">
        <v>1592</v>
      </c>
      <c r="BO541" s="17"/>
      <c r="BP541" s="247"/>
      <c r="BQ541" s="247"/>
      <c r="BR541" s="247"/>
      <c r="BS541" s="17"/>
      <c r="BT541" s="17"/>
      <c r="BU541" s="17"/>
      <c r="BV541" s="195">
        <v>39604.723200000008</v>
      </c>
      <c r="BW541" s="195">
        <f t="shared" si="190"/>
        <v>7524.8974080000016</v>
      </c>
      <c r="BX541" s="246">
        <f t="shared" si="191"/>
        <v>47129.620608000012</v>
      </c>
      <c r="BY541" s="190" t="s">
        <v>375</v>
      </c>
      <c r="BZ541" s="190" t="s">
        <v>1592</v>
      </c>
      <c r="CA541" s="190"/>
      <c r="CB541" s="247"/>
      <c r="CC541" s="247"/>
      <c r="CD541" s="247"/>
      <c r="CE541" s="17"/>
      <c r="CF541" s="17"/>
      <c r="CG541" s="17"/>
      <c r="CH541" s="247"/>
      <c r="CI541" s="247"/>
      <c r="CJ541" s="247"/>
      <c r="CK541" s="17"/>
      <c r="CL541" s="17"/>
      <c r="CM541" s="17"/>
      <c r="CN541" s="17"/>
      <c r="CO541" s="17"/>
      <c r="CP541" s="11"/>
      <c r="CQ541" s="11"/>
      <c r="CR541" s="11"/>
      <c r="CS541" s="11"/>
      <c r="CT541" s="247"/>
      <c r="CU541" s="247"/>
      <c r="CV541" s="247"/>
      <c r="CW541" s="11"/>
      <c r="CX541" s="11"/>
      <c r="CY541" s="11"/>
      <c r="CZ541" s="11"/>
      <c r="DA541" s="11"/>
      <c r="DB541" s="11"/>
      <c r="DC541" s="11"/>
      <c r="DD541" s="11"/>
      <c r="DE541" s="11"/>
      <c r="DF541" s="11"/>
      <c r="DG541" s="11"/>
      <c r="DH541" s="11"/>
      <c r="DI541" s="11"/>
      <c r="DJ541" s="11"/>
      <c r="DK541" s="11"/>
      <c r="DL541" s="247"/>
      <c r="DM541" s="247"/>
      <c r="DN541" s="247"/>
      <c r="DO541" s="247"/>
      <c r="DP541" s="247"/>
      <c r="DQ541" s="247"/>
      <c r="DR541" s="247"/>
      <c r="DS541" s="247"/>
      <c r="DT541" s="247"/>
      <c r="DU541" s="247"/>
      <c r="DV541" s="247"/>
      <c r="DW541" s="247"/>
      <c r="DX541" s="247"/>
      <c r="DY541" s="247"/>
      <c r="DZ541" s="247"/>
      <c r="EA541" s="247"/>
      <c r="EB541" s="247"/>
      <c r="EC541" s="247"/>
      <c r="ED541" s="17">
        <f t="shared" si="180"/>
        <v>117537.16060800002</v>
      </c>
      <c r="EE541" s="29">
        <f t="shared" si="181"/>
        <v>4</v>
      </c>
      <c r="EF541" s="17">
        <f t="shared" si="182"/>
        <v>29384.290152000005</v>
      </c>
    </row>
    <row r="542" spans="1:136" ht="51" x14ac:dyDescent="0.25">
      <c r="A542" s="25">
        <f>Distribución_Elementos!A542</f>
        <v>540</v>
      </c>
      <c r="B542" s="22" t="str">
        <f>Distribución_Elementos!B542</f>
        <v>Vaso de precipitado vidrio claro de 600 ml. Borosilicato 3.3, impresión en cerámica, que cumpla con las normas DIN12331/ISO3819 e ISO12 600 o ASTM E960, requisitos Tipo I y USP Tipo I y ASTM E438, Tipo I.</v>
      </c>
      <c r="C542" s="22" t="str">
        <f>Distribución_Elementos!C542</f>
        <v>Pyrex , Corning, Kymax, Brand, Duran, Brand o equivalente</v>
      </c>
      <c r="D542" s="22" t="str">
        <f>Distribución_Elementos!D542</f>
        <v>Unidad</v>
      </c>
      <c r="E542" s="224">
        <v>1</v>
      </c>
      <c r="F542" s="221">
        <v>0</v>
      </c>
      <c r="G542" s="221">
        <v>0</v>
      </c>
      <c r="H542" s="221">
        <v>0</v>
      </c>
      <c r="I542" s="221">
        <v>0</v>
      </c>
      <c r="J542" s="221">
        <v>24993.094000000001</v>
      </c>
      <c r="K542" s="221">
        <v>19516</v>
      </c>
      <c r="L542" s="247">
        <f t="shared" si="194"/>
        <v>24993.094000000001</v>
      </c>
      <c r="M542" s="247">
        <f>K542*E1</f>
        <v>20101.48</v>
      </c>
      <c r="N542" s="227">
        <v>15000</v>
      </c>
      <c r="O542" s="119">
        <f t="shared" si="192"/>
        <v>2850</v>
      </c>
      <c r="P542" s="119">
        <f t="shared" si="193"/>
        <v>17850</v>
      </c>
      <c r="Q542" s="115"/>
      <c r="R542" s="115"/>
      <c r="S542" s="11"/>
      <c r="T542" s="247">
        <v>12100.000000000002</v>
      </c>
      <c r="U542" s="247">
        <f t="shared" si="195"/>
        <v>2299.0000000000005</v>
      </c>
      <c r="V542" s="247">
        <f>+T542+U542</f>
        <v>14399.000000000002</v>
      </c>
      <c r="W542" s="17" t="s">
        <v>140</v>
      </c>
      <c r="X542" s="11" t="s">
        <v>1648</v>
      </c>
      <c r="Y542" s="11"/>
      <c r="Z542" s="247"/>
      <c r="AA542" s="247"/>
      <c r="AB542" s="247"/>
      <c r="AC542" s="46"/>
      <c r="AD542" s="22"/>
      <c r="AE542" s="17"/>
      <c r="AF542" s="247"/>
      <c r="AG542" s="247"/>
      <c r="AH542" s="247"/>
      <c r="AI542" s="11"/>
      <c r="AJ542" s="17"/>
      <c r="AK542" s="17"/>
      <c r="AL542" s="102"/>
      <c r="AM542" s="132"/>
      <c r="AN542" s="161"/>
      <c r="AO542" s="115"/>
      <c r="AP542" s="115"/>
      <c r="AQ542" s="17"/>
      <c r="AR542" s="247"/>
      <c r="AS542" s="247"/>
      <c r="AT542" s="247"/>
      <c r="AU542" s="17"/>
      <c r="AV542" s="17"/>
      <c r="AW542" s="17"/>
      <c r="AX542" s="247"/>
      <c r="AY542" s="247"/>
      <c r="AZ542" s="247"/>
      <c r="BA542" s="17"/>
      <c r="BB542" s="17"/>
      <c r="BC542" s="17"/>
      <c r="BD542" s="247"/>
      <c r="BE542" s="247"/>
      <c r="BF542" s="247"/>
      <c r="BG542" s="17"/>
      <c r="BH542" s="17"/>
      <c r="BI542" s="17"/>
      <c r="BJ542" s="247">
        <v>33600</v>
      </c>
      <c r="BK542" s="247">
        <f t="shared" si="184"/>
        <v>6384</v>
      </c>
      <c r="BL542" s="247">
        <f t="shared" si="185"/>
        <v>39984</v>
      </c>
      <c r="BM542" s="190" t="s">
        <v>375</v>
      </c>
      <c r="BN542" s="190" t="s">
        <v>1592</v>
      </c>
      <c r="BO542" s="17"/>
      <c r="BP542" s="247"/>
      <c r="BQ542" s="247"/>
      <c r="BR542" s="247"/>
      <c r="BS542" s="17"/>
      <c r="BT542" s="17"/>
      <c r="BU542" s="17"/>
      <c r="BV542" s="195">
        <v>38518.704000000005</v>
      </c>
      <c r="BW542" s="195">
        <f t="shared" si="190"/>
        <v>7318.5537600000007</v>
      </c>
      <c r="BX542" s="246">
        <f t="shared" si="191"/>
        <v>45837.257760000008</v>
      </c>
      <c r="BY542" s="190" t="s">
        <v>375</v>
      </c>
      <c r="BZ542" s="190" t="s">
        <v>1592</v>
      </c>
      <c r="CA542" s="190"/>
      <c r="CB542" s="247"/>
      <c r="CC542" s="247"/>
      <c r="CD542" s="247"/>
      <c r="CE542" s="17"/>
      <c r="CF542" s="17"/>
      <c r="CG542" s="17"/>
      <c r="CH542" s="247"/>
      <c r="CI542" s="247"/>
      <c r="CJ542" s="247"/>
      <c r="CK542" s="17"/>
      <c r="CL542" s="17"/>
      <c r="CM542" s="17"/>
      <c r="CN542" s="17"/>
      <c r="CO542" s="17"/>
      <c r="CP542" s="11"/>
      <c r="CQ542" s="11"/>
      <c r="CR542" s="11"/>
      <c r="CS542" s="11"/>
      <c r="CT542" s="247"/>
      <c r="CU542" s="247"/>
      <c r="CV542" s="247"/>
      <c r="CW542" s="11"/>
      <c r="CX542" s="11"/>
      <c r="CY542" s="11"/>
      <c r="CZ542" s="11"/>
      <c r="DA542" s="11"/>
      <c r="DB542" s="11"/>
      <c r="DC542" s="11"/>
      <c r="DD542" s="11"/>
      <c r="DE542" s="11"/>
      <c r="DF542" s="11"/>
      <c r="DG542" s="11"/>
      <c r="DH542" s="11"/>
      <c r="DI542" s="11"/>
      <c r="DJ542" s="11"/>
      <c r="DK542" s="11"/>
      <c r="DL542" s="247"/>
      <c r="DM542" s="247"/>
      <c r="DN542" s="247"/>
      <c r="DO542" s="247"/>
      <c r="DP542" s="247"/>
      <c r="DQ542" s="247"/>
      <c r="DR542" s="247"/>
      <c r="DS542" s="247"/>
      <c r="DT542" s="247"/>
      <c r="DU542" s="247"/>
      <c r="DV542" s="247"/>
      <c r="DW542" s="247"/>
      <c r="DX542" s="247"/>
      <c r="DY542" s="247"/>
      <c r="DZ542" s="247"/>
      <c r="EA542" s="247"/>
      <c r="EB542" s="247"/>
      <c r="EC542" s="247"/>
      <c r="ED542" s="17">
        <f t="shared" si="180"/>
        <v>138171.73775999999</v>
      </c>
      <c r="EE542" s="29">
        <f t="shared" si="181"/>
        <v>5</v>
      </c>
      <c r="EF542" s="17">
        <f t="shared" si="182"/>
        <v>27634.347551999999</v>
      </c>
    </row>
    <row r="543" spans="1:136" ht="25.5" x14ac:dyDescent="0.25">
      <c r="A543" s="25">
        <f>Distribución_Elementos!A543</f>
        <v>541</v>
      </c>
      <c r="B543" s="22" t="str">
        <f>Distribución_Elementos!B543</f>
        <v xml:space="preserve">Vaso metálico en acero inoxidable para licuadora Waring con capacidad de 100-250 mL </v>
      </c>
      <c r="C543" s="22" t="str">
        <f>Distribución_Elementos!C543</f>
        <v>Waring RZ-04248-30</v>
      </c>
      <c r="D543" s="22" t="str">
        <f>Distribución_Elementos!D543</f>
        <v>Unidad</v>
      </c>
      <c r="E543" s="224">
        <v>1</v>
      </c>
      <c r="F543" s="221">
        <v>0</v>
      </c>
      <c r="G543" s="221">
        <v>0</v>
      </c>
      <c r="H543" s="221">
        <v>1785000</v>
      </c>
      <c r="I543" s="221">
        <v>0</v>
      </c>
      <c r="J543" s="221">
        <v>0</v>
      </c>
      <c r="K543" s="221">
        <v>0</v>
      </c>
      <c r="L543" s="247">
        <f>H543</f>
        <v>1785000</v>
      </c>
      <c r="M543" s="247"/>
      <c r="N543" s="227"/>
      <c r="O543" s="119"/>
      <c r="P543" s="119"/>
      <c r="Q543" s="115"/>
      <c r="R543" s="115"/>
      <c r="S543" s="11"/>
      <c r="T543" s="247"/>
      <c r="U543" s="247"/>
      <c r="V543" s="247"/>
      <c r="W543" s="17"/>
      <c r="X543" s="11"/>
      <c r="Y543" s="11"/>
      <c r="Z543" s="247"/>
      <c r="AA543" s="247"/>
      <c r="AB543" s="247"/>
      <c r="AC543" s="44"/>
      <c r="AD543" s="23"/>
      <c r="AE543" s="17"/>
      <c r="AF543" s="247"/>
      <c r="AG543" s="247"/>
      <c r="AH543" s="247"/>
      <c r="AI543" s="11"/>
      <c r="AJ543" s="17"/>
      <c r="AK543" s="17"/>
      <c r="AL543" s="102"/>
      <c r="AM543" s="132"/>
      <c r="AN543" s="161"/>
      <c r="AO543" s="115"/>
      <c r="AP543" s="115"/>
      <c r="AQ543" s="17"/>
      <c r="AR543" s="247"/>
      <c r="AS543" s="247"/>
      <c r="AT543" s="247"/>
      <c r="AU543" s="17"/>
      <c r="AV543" s="17"/>
      <c r="AW543" s="17"/>
      <c r="AX543" s="247"/>
      <c r="AY543" s="247"/>
      <c r="AZ543" s="247"/>
      <c r="BA543" s="17"/>
      <c r="BB543" s="17"/>
      <c r="BC543" s="17"/>
      <c r="BD543" s="247"/>
      <c r="BE543" s="247"/>
      <c r="BF543" s="247"/>
      <c r="BG543" s="17"/>
      <c r="BH543" s="17"/>
      <c r="BI543" s="17"/>
      <c r="BJ543" s="252">
        <v>1748200</v>
      </c>
      <c r="BK543" s="247">
        <f t="shared" si="184"/>
        <v>332158</v>
      </c>
      <c r="BL543" s="247">
        <f t="shared" si="185"/>
        <v>2080358</v>
      </c>
      <c r="BM543" s="190" t="s">
        <v>375</v>
      </c>
      <c r="BN543" s="190" t="s">
        <v>1821</v>
      </c>
      <c r="BO543" s="17"/>
      <c r="BP543" s="247"/>
      <c r="BQ543" s="247"/>
      <c r="BR543" s="247"/>
      <c r="BS543" s="17"/>
      <c r="BT543" s="17"/>
      <c r="BU543" s="17"/>
      <c r="BV543" s="195">
        <v>2003038.6104000004</v>
      </c>
      <c r="BW543" s="195">
        <f t="shared" si="190"/>
        <v>380577.33597600006</v>
      </c>
      <c r="BX543" s="246">
        <f t="shared" si="191"/>
        <v>2383615.9463760005</v>
      </c>
      <c r="BY543" s="190" t="s">
        <v>375</v>
      </c>
      <c r="BZ543" s="190" t="s">
        <v>1821</v>
      </c>
      <c r="CA543" s="190"/>
      <c r="CB543" s="247"/>
      <c r="CC543" s="247"/>
      <c r="CD543" s="247"/>
      <c r="CE543" s="17"/>
      <c r="CF543" s="17"/>
      <c r="CG543" s="17"/>
      <c r="CH543" s="247"/>
      <c r="CI543" s="247"/>
      <c r="CJ543" s="247"/>
      <c r="CK543" s="17"/>
      <c r="CL543" s="17"/>
      <c r="CM543" s="17"/>
      <c r="CN543" s="17"/>
      <c r="CO543" s="17"/>
      <c r="CP543" s="11"/>
      <c r="CQ543" s="11"/>
      <c r="CR543" s="11"/>
      <c r="CS543" s="11"/>
      <c r="CT543" s="247"/>
      <c r="CU543" s="247"/>
      <c r="CV543" s="247"/>
      <c r="CW543" s="11"/>
      <c r="CX543" s="11"/>
      <c r="CY543" s="11"/>
      <c r="CZ543" s="11"/>
      <c r="DA543" s="11"/>
      <c r="DB543" s="11"/>
      <c r="DC543" s="11"/>
      <c r="DD543" s="11"/>
      <c r="DE543" s="11"/>
      <c r="DF543" s="11"/>
      <c r="DG543" s="11"/>
      <c r="DH543" s="11"/>
      <c r="DI543" s="11"/>
      <c r="DJ543" s="11"/>
      <c r="DK543" s="11"/>
      <c r="DL543" s="247"/>
      <c r="DM543" s="247"/>
      <c r="DN543" s="247"/>
      <c r="DO543" s="247"/>
      <c r="DP543" s="247"/>
      <c r="DQ543" s="247"/>
      <c r="DR543" s="247"/>
      <c r="DS543" s="247"/>
      <c r="DT543" s="247"/>
      <c r="DU543" s="247"/>
      <c r="DV543" s="247"/>
      <c r="DW543" s="247"/>
      <c r="DX543" s="247"/>
      <c r="DY543" s="247"/>
      <c r="DZ543" s="247"/>
      <c r="EA543" s="247"/>
      <c r="EB543" s="247"/>
      <c r="EC543" s="247"/>
      <c r="ED543" s="17">
        <f t="shared" si="180"/>
        <v>4463973.9463760005</v>
      </c>
      <c r="EE543" s="29">
        <f t="shared" si="181"/>
        <v>2</v>
      </c>
      <c r="EF543" s="17">
        <f t="shared" si="182"/>
        <v>2231986.9731880003</v>
      </c>
    </row>
    <row r="544" spans="1:136" ht="25.5" x14ac:dyDescent="0.25">
      <c r="A544" s="25">
        <f>Distribución_Elementos!A544</f>
        <v>542</v>
      </c>
      <c r="B544" s="22" t="str">
        <f>Distribución_Elementos!B544</f>
        <v xml:space="preserve">Vial ámbar con zona de escritura de 2.0 ml, díamtetro de la tapa rosca 9mm </v>
      </c>
      <c r="C544" s="22" t="str">
        <f>Distribución_Elementos!C544</f>
        <v>Cualquier marca</v>
      </c>
      <c r="D544" s="22" t="str">
        <f>Distribución_Elementos!D544</f>
        <v>Caja x 100</v>
      </c>
      <c r="E544" s="224">
        <v>1</v>
      </c>
      <c r="F544" s="221">
        <v>140069.74333333335</v>
      </c>
      <c r="G544" s="221">
        <v>135779</v>
      </c>
      <c r="H544" s="221">
        <v>0</v>
      </c>
      <c r="I544" s="221">
        <v>0</v>
      </c>
      <c r="J544" s="221">
        <v>169784.73749999999</v>
      </c>
      <c r="K544" s="221">
        <v>157080</v>
      </c>
      <c r="L544" s="247">
        <f>AVERAGE(F544,J544)</f>
        <v>154927.24041666667</v>
      </c>
      <c r="M544" s="247">
        <f>AVERAGE(G544,K544)*E1</f>
        <v>150822.38500000001</v>
      </c>
      <c r="N544" s="227">
        <v>155000</v>
      </c>
      <c r="O544" s="119">
        <f>+N544*0.19</f>
        <v>29450</v>
      </c>
      <c r="P544" s="119">
        <f>+N544+O544</f>
        <v>184450</v>
      </c>
      <c r="Q544" s="115"/>
      <c r="R544" s="115"/>
      <c r="S544" s="11"/>
      <c r="T544" s="247"/>
      <c r="U544" s="247"/>
      <c r="V544" s="247"/>
      <c r="W544" s="17"/>
      <c r="X544" s="11"/>
      <c r="Y544" s="11"/>
      <c r="Z544" s="247">
        <f>162000/5</f>
        <v>32400</v>
      </c>
      <c r="AA544" s="247">
        <f>+Z544*0.19</f>
        <v>6156</v>
      </c>
      <c r="AB544" s="247">
        <f>+Z544+AA544</f>
        <v>38556</v>
      </c>
      <c r="AC544" s="44" t="s">
        <v>1822</v>
      </c>
      <c r="AD544" s="22" t="s">
        <v>1579</v>
      </c>
      <c r="AE544" s="17"/>
      <c r="AF544" s="247"/>
      <c r="AG544" s="247"/>
      <c r="AH544" s="247"/>
      <c r="AI544" s="11"/>
      <c r="AJ544" s="17"/>
      <c r="AK544" s="17"/>
      <c r="AL544" s="102"/>
      <c r="AM544" s="102"/>
      <c r="AN544" s="102"/>
      <c r="AO544" s="115"/>
      <c r="AP544" s="115"/>
      <c r="AQ544" s="17"/>
      <c r="AR544" s="247"/>
      <c r="AS544" s="247"/>
      <c r="AT544" s="247"/>
      <c r="AU544" s="17"/>
      <c r="AV544" s="17"/>
      <c r="AW544" s="17"/>
      <c r="AX544" s="247"/>
      <c r="AY544" s="247"/>
      <c r="AZ544" s="247"/>
      <c r="BA544" s="17"/>
      <c r="BB544" s="17"/>
      <c r="BC544" s="17"/>
      <c r="BD544" s="247"/>
      <c r="BE544" s="247"/>
      <c r="BF544" s="247"/>
      <c r="BG544" s="17"/>
      <c r="BH544" s="17"/>
      <c r="BI544" s="17"/>
      <c r="BJ544" s="247">
        <v>490600</v>
      </c>
      <c r="BK544" s="247">
        <f t="shared" si="184"/>
        <v>93214</v>
      </c>
      <c r="BL544" s="247">
        <f t="shared" si="185"/>
        <v>583814</v>
      </c>
      <c r="BM544" s="190" t="s">
        <v>1496</v>
      </c>
      <c r="BN544" s="190" t="s">
        <v>1823</v>
      </c>
      <c r="BO544" s="17"/>
      <c r="BP544" s="247">
        <v>265000</v>
      </c>
      <c r="BQ544" s="247">
        <f t="shared" si="179"/>
        <v>50350</v>
      </c>
      <c r="BR544" s="247">
        <f t="shared" si="183"/>
        <v>315350</v>
      </c>
      <c r="BS544" s="17"/>
      <c r="BT544" s="17"/>
      <c r="BU544" s="17"/>
      <c r="BV544" s="195">
        <v>545849.40960000001</v>
      </c>
      <c r="BW544" s="195">
        <f t="shared" si="190"/>
        <v>103711.387824</v>
      </c>
      <c r="BX544" s="246">
        <f t="shared" si="191"/>
        <v>649560.79742399999</v>
      </c>
      <c r="BY544" s="190" t="s">
        <v>1496</v>
      </c>
      <c r="BZ544" s="190" t="s">
        <v>1823</v>
      </c>
      <c r="CA544" s="190"/>
      <c r="CB544" s="252">
        <v>258391</v>
      </c>
      <c r="CC544" s="247">
        <f>+CB544*0.19</f>
        <v>49094.29</v>
      </c>
      <c r="CD544" s="247">
        <f>+CB544+CC544</f>
        <v>307485.28999999998</v>
      </c>
      <c r="CE544" s="17"/>
      <c r="CF544" s="17"/>
      <c r="CG544" s="17"/>
      <c r="CH544" s="247"/>
      <c r="CI544" s="247"/>
      <c r="CJ544" s="247"/>
      <c r="CK544" s="17"/>
      <c r="CL544" s="17"/>
      <c r="CM544" s="17"/>
      <c r="CN544" s="17"/>
      <c r="CO544" s="17"/>
      <c r="CP544" s="11"/>
      <c r="CQ544" s="11"/>
      <c r="CR544" s="11"/>
      <c r="CS544" s="11"/>
      <c r="CT544" s="247"/>
      <c r="CU544" s="247"/>
      <c r="CV544" s="247"/>
      <c r="CW544" s="11"/>
      <c r="CX544" s="11"/>
      <c r="CY544" s="11"/>
      <c r="CZ544" s="11"/>
      <c r="DA544" s="11"/>
      <c r="DB544" s="11"/>
      <c r="DC544" s="11"/>
      <c r="DD544" s="11"/>
      <c r="DE544" s="11"/>
      <c r="DF544" s="11"/>
      <c r="DG544" s="11"/>
      <c r="DH544" s="11"/>
      <c r="DI544" s="11"/>
      <c r="DJ544" s="11"/>
      <c r="DK544" s="11"/>
      <c r="DL544" s="247"/>
      <c r="DM544" s="247"/>
      <c r="DN544" s="247"/>
      <c r="DO544" s="247"/>
      <c r="DP544" s="247"/>
      <c r="DQ544" s="247"/>
      <c r="DR544" s="247"/>
      <c r="DS544" s="247"/>
      <c r="DT544" s="247"/>
      <c r="DU544" s="247"/>
      <c r="DV544" s="247"/>
      <c r="DW544" s="247"/>
      <c r="DX544" s="247"/>
      <c r="DY544" s="247"/>
      <c r="DZ544" s="247"/>
      <c r="EA544" s="247"/>
      <c r="EB544" s="247"/>
      <c r="EC544" s="247"/>
      <c r="ED544" s="17">
        <f t="shared" si="180"/>
        <v>2230038.472424</v>
      </c>
      <c r="EE544" s="29">
        <f t="shared" si="181"/>
        <v>7</v>
      </c>
      <c r="EF544" s="17">
        <f t="shared" si="182"/>
        <v>318576.92463199998</v>
      </c>
    </row>
    <row r="545" spans="1:136" ht="25.5" x14ac:dyDescent="0.25">
      <c r="A545" s="25">
        <f>Distribución_Elementos!A545</f>
        <v>543</v>
      </c>
      <c r="B545" s="22" t="str">
        <f>Distribución_Elementos!B545</f>
        <v xml:space="preserve">Vial ámbar de 2 ml con tapa y septa, volumen de llenado 1,7 diámetro de la tapa rosca de 9mm </v>
      </c>
      <c r="C545" s="22" t="str">
        <f>Distribución_Elementos!C545</f>
        <v>cualquier marca</v>
      </c>
      <c r="D545" s="22" t="str">
        <f>Distribución_Elementos!D545</f>
        <v>Caja x 100</v>
      </c>
      <c r="E545" s="224">
        <v>1</v>
      </c>
      <c r="F545" s="221">
        <v>0</v>
      </c>
      <c r="G545" s="221">
        <v>0</v>
      </c>
      <c r="H545" s="221">
        <v>0</v>
      </c>
      <c r="I545" s="221">
        <v>0</v>
      </c>
      <c r="J545" s="221">
        <v>146210.87145000001</v>
      </c>
      <c r="K545" s="221">
        <v>0</v>
      </c>
      <c r="L545" s="247">
        <f>J545</f>
        <v>146210.87145000001</v>
      </c>
      <c r="M545" s="247"/>
      <c r="N545" s="228">
        <v>155000</v>
      </c>
      <c r="O545" s="119">
        <f>+N545*0.19</f>
        <v>29450</v>
      </c>
      <c r="P545" s="119">
        <f>+N545+O545</f>
        <v>184450</v>
      </c>
      <c r="Q545" s="11"/>
      <c r="R545" s="11"/>
      <c r="S545" s="11"/>
      <c r="T545" s="247"/>
      <c r="U545" s="247"/>
      <c r="V545" s="247"/>
      <c r="W545" s="11"/>
      <c r="X545" s="11"/>
      <c r="Y545" s="11"/>
      <c r="Z545" s="247"/>
      <c r="AA545" s="247"/>
      <c r="AB545" s="247"/>
      <c r="AC545" s="11"/>
      <c r="AD545" s="11"/>
      <c r="AE545" s="11"/>
      <c r="AF545" s="247"/>
      <c r="AG545" s="247"/>
      <c r="AH545" s="247"/>
      <c r="AI545" s="11"/>
      <c r="AJ545" s="11"/>
      <c r="AK545" s="11"/>
      <c r="AL545" s="102"/>
      <c r="AM545" s="102"/>
      <c r="AN545" s="102"/>
      <c r="AO545" s="44"/>
      <c r="AP545" s="44"/>
      <c r="AQ545" s="11"/>
      <c r="AR545" s="247"/>
      <c r="AS545" s="247"/>
      <c r="AT545" s="247"/>
      <c r="AU545" s="11"/>
      <c r="AV545" s="11"/>
      <c r="AW545" s="11"/>
      <c r="AX545" s="247"/>
      <c r="AY545" s="247"/>
      <c r="AZ545" s="247"/>
      <c r="BA545" s="11"/>
      <c r="BB545" s="11"/>
      <c r="BC545" s="11"/>
      <c r="BD545" s="247"/>
      <c r="BE545" s="247"/>
      <c r="BF545" s="247"/>
      <c r="BG545" s="11"/>
      <c r="BH545" s="11"/>
      <c r="BI545" s="11"/>
      <c r="BJ545" s="252">
        <f>+(4150400/288)*100</f>
        <v>1441111.1111111112</v>
      </c>
      <c r="BK545" s="252">
        <f t="shared" si="184"/>
        <v>273811.11111111112</v>
      </c>
      <c r="BL545" s="252">
        <f t="shared" si="185"/>
        <v>1714922.2222222225</v>
      </c>
      <c r="BM545" s="190" t="s">
        <v>1824</v>
      </c>
      <c r="BN545" s="190" t="s">
        <v>1823</v>
      </c>
      <c r="BO545" s="11"/>
      <c r="BP545" s="247">
        <v>285000</v>
      </c>
      <c r="BQ545" s="247">
        <f t="shared" si="179"/>
        <v>54150</v>
      </c>
      <c r="BR545" s="247">
        <f t="shared" si="183"/>
        <v>339150</v>
      </c>
      <c r="BS545" s="11"/>
      <c r="BT545" s="11"/>
      <c r="BU545" s="11"/>
      <c r="BV545" s="189"/>
      <c r="BW545" s="195"/>
      <c r="BX545" s="246"/>
      <c r="BY545" s="190"/>
      <c r="BZ545" s="190"/>
      <c r="CA545" s="190"/>
      <c r="CB545" s="252">
        <v>495883</v>
      </c>
      <c r="CC545" s="247">
        <f>+CB545*0.19</f>
        <v>94217.77</v>
      </c>
      <c r="CD545" s="247">
        <f>+CB545+CC545</f>
        <v>590100.77</v>
      </c>
      <c r="CE545" s="11"/>
      <c r="CF545" s="11"/>
      <c r="CG545" s="11"/>
      <c r="CH545" s="252"/>
      <c r="CI545" s="252"/>
      <c r="CJ545" s="252"/>
      <c r="CK545" s="11"/>
      <c r="CL545" s="11"/>
      <c r="CM545" s="17"/>
      <c r="CN545" s="17"/>
      <c r="CO545" s="17"/>
      <c r="CP545" s="11"/>
      <c r="CQ545" s="11"/>
      <c r="CR545" s="11"/>
      <c r="CS545" s="11"/>
      <c r="CT545" s="247"/>
      <c r="CU545" s="247"/>
      <c r="CV545" s="247"/>
      <c r="CW545" s="11"/>
      <c r="CX545" s="11"/>
      <c r="CY545" s="11"/>
      <c r="CZ545" s="11"/>
      <c r="DA545" s="11"/>
      <c r="DB545" s="11"/>
      <c r="DC545" s="11"/>
      <c r="DD545" s="11"/>
      <c r="DE545" s="11"/>
      <c r="DF545" s="11"/>
      <c r="DG545" s="11"/>
      <c r="DH545" s="11"/>
      <c r="DI545" s="11"/>
      <c r="DJ545" s="11"/>
      <c r="DK545" s="11"/>
      <c r="DL545" s="247"/>
      <c r="DM545" s="247"/>
      <c r="DN545" s="247"/>
      <c r="DO545" s="247"/>
      <c r="DP545" s="247"/>
      <c r="DQ545" s="247"/>
      <c r="DR545" s="247"/>
      <c r="DS545" s="247"/>
      <c r="DT545" s="247"/>
      <c r="DU545" s="247"/>
      <c r="DV545" s="247"/>
      <c r="DW545" s="247"/>
      <c r="DX545" s="247"/>
      <c r="DY545" s="247"/>
      <c r="DZ545" s="247"/>
      <c r="EA545" s="247"/>
      <c r="EB545" s="247"/>
      <c r="EC545" s="247"/>
      <c r="ED545" s="17">
        <f t="shared" si="180"/>
        <v>2828622.9922222225</v>
      </c>
      <c r="EE545" s="29">
        <f t="shared" si="181"/>
        <v>4</v>
      </c>
      <c r="EF545" s="17">
        <f t="shared" si="182"/>
        <v>707155.74805555562</v>
      </c>
    </row>
    <row r="546" spans="1:136" ht="25.5" x14ac:dyDescent="0.25">
      <c r="A546" s="25">
        <f>Distribución_Elementos!A546</f>
        <v>544</v>
      </c>
      <c r="B546" s="22" t="str">
        <f>Distribución_Elementos!B546</f>
        <v>Vial ámbar de 22 ml, tapa rosca con tapón plástico</v>
      </c>
      <c r="C546" s="22" t="str">
        <f>Distribución_Elementos!C546</f>
        <v>Cualquier marca</v>
      </c>
      <c r="D546" s="22" t="str">
        <f>Distribución_Elementos!D546</f>
        <v xml:space="preserve">Caja x 100
</v>
      </c>
      <c r="E546" s="224">
        <v>1</v>
      </c>
      <c r="F546" s="221">
        <v>0</v>
      </c>
      <c r="G546" s="221">
        <v>0</v>
      </c>
      <c r="H546" s="221">
        <v>0</v>
      </c>
      <c r="I546" s="221">
        <v>0</v>
      </c>
      <c r="J546" s="221">
        <v>466231</v>
      </c>
      <c r="K546" s="221">
        <v>0</v>
      </c>
      <c r="L546" s="247">
        <f>J546</f>
        <v>466231</v>
      </c>
      <c r="M546" s="247"/>
      <c r="N546" s="228">
        <v>300000</v>
      </c>
      <c r="O546" s="119">
        <f>+N546*0.19</f>
        <v>57000</v>
      </c>
      <c r="P546" s="119">
        <f>+N546+O546</f>
        <v>357000</v>
      </c>
      <c r="Q546" s="115"/>
      <c r="R546" s="115"/>
      <c r="S546" s="11"/>
      <c r="T546" s="247"/>
      <c r="U546" s="247"/>
      <c r="V546" s="247"/>
      <c r="W546" s="17"/>
      <c r="X546" s="11"/>
      <c r="Y546" s="11"/>
      <c r="Z546" s="247"/>
      <c r="AA546" s="247"/>
      <c r="AB546" s="247"/>
      <c r="AC546" s="44"/>
      <c r="AD546" s="22"/>
      <c r="AE546" s="17"/>
      <c r="AF546" s="247"/>
      <c r="AG546" s="247"/>
      <c r="AH546" s="247"/>
      <c r="AI546" s="11"/>
      <c r="AJ546" s="17"/>
      <c r="AK546" s="17"/>
      <c r="AL546" s="102"/>
      <c r="AM546" s="102"/>
      <c r="AN546" s="102"/>
      <c r="AO546" s="115"/>
      <c r="AP546" s="115"/>
      <c r="AQ546" s="17"/>
      <c r="AR546" s="247"/>
      <c r="AS546" s="247"/>
      <c r="AT546" s="247"/>
      <c r="AU546" s="17"/>
      <c r="AV546" s="17"/>
      <c r="AW546" s="17"/>
      <c r="AX546" s="247"/>
      <c r="AY546" s="247"/>
      <c r="AZ546" s="247"/>
      <c r="BA546" s="17"/>
      <c r="BB546" s="17"/>
      <c r="BC546" s="17"/>
      <c r="BD546" s="247"/>
      <c r="BE546" s="247"/>
      <c r="BF546" s="247"/>
      <c r="BG546" s="17"/>
      <c r="BH546" s="17"/>
      <c r="BI546" s="17"/>
      <c r="BJ546" s="252">
        <v>2223800</v>
      </c>
      <c r="BK546" s="252">
        <f t="shared" si="184"/>
        <v>422522</v>
      </c>
      <c r="BL546" s="252">
        <f t="shared" si="185"/>
        <v>2646322</v>
      </c>
      <c r="BM546" s="190" t="s">
        <v>1496</v>
      </c>
      <c r="BN546" s="190" t="s">
        <v>1823</v>
      </c>
      <c r="BO546" s="17"/>
      <c r="BP546" s="247"/>
      <c r="BQ546" s="247"/>
      <c r="BR546" s="247"/>
      <c r="BS546" s="17"/>
      <c r="BT546" s="17"/>
      <c r="BU546" s="17"/>
      <c r="BV546" s="189"/>
      <c r="BW546" s="195"/>
      <c r="BX546" s="246"/>
      <c r="BY546" s="190"/>
      <c r="BZ546" s="190"/>
      <c r="CA546" s="190"/>
      <c r="CB546" s="247">
        <v>495883</v>
      </c>
      <c r="CC546" s="247">
        <f>+CB546*0.19</f>
        <v>94217.77</v>
      </c>
      <c r="CD546" s="247">
        <f>+CB546+CC546</f>
        <v>590100.77</v>
      </c>
      <c r="CE546" s="17"/>
      <c r="CF546" s="17"/>
      <c r="CG546" s="17"/>
      <c r="CH546" s="252"/>
      <c r="CI546" s="252"/>
      <c r="CJ546" s="252"/>
      <c r="CK546" s="17"/>
      <c r="CL546" s="17"/>
      <c r="CM546" s="17"/>
      <c r="CN546" s="17"/>
      <c r="CO546" s="17"/>
      <c r="CP546" s="11"/>
      <c r="CQ546" s="11"/>
      <c r="CR546" s="11"/>
      <c r="CS546" s="11"/>
      <c r="CT546" s="247"/>
      <c r="CU546" s="247"/>
      <c r="CV546" s="247"/>
      <c r="CW546" s="11"/>
      <c r="CX546" s="11"/>
      <c r="CY546" s="11"/>
      <c r="CZ546" s="11"/>
      <c r="DA546" s="11"/>
      <c r="DB546" s="11"/>
      <c r="DC546" s="11"/>
      <c r="DD546" s="11"/>
      <c r="DE546" s="11"/>
      <c r="DF546" s="11"/>
      <c r="DG546" s="11"/>
      <c r="DH546" s="11"/>
      <c r="DI546" s="11"/>
      <c r="DJ546" s="11"/>
      <c r="DK546" s="11"/>
      <c r="DL546" s="247"/>
      <c r="DM546" s="247"/>
      <c r="DN546" s="247"/>
      <c r="DO546" s="247"/>
      <c r="DP546" s="247"/>
      <c r="DQ546" s="247"/>
      <c r="DR546" s="247"/>
      <c r="DS546" s="247"/>
      <c r="DT546" s="247"/>
      <c r="DU546" s="247"/>
      <c r="DV546" s="247"/>
      <c r="DW546" s="247"/>
      <c r="DX546" s="247"/>
      <c r="DY546" s="247"/>
      <c r="DZ546" s="247"/>
      <c r="EA546" s="247"/>
      <c r="EB546" s="247"/>
      <c r="EC546" s="247"/>
      <c r="ED546" s="17">
        <f t="shared" si="180"/>
        <v>3593422.77</v>
      </c>
      <c r="EE546" s="29">
        <f t="shared" si="181"/>
        <v>3</v>
      </c>
      <c r="EF546" s="17">
        <f t="shared" si="182"/>
        <v>1197807.5900000001</v>
      </c>
    </row>
    <row r="547" spans="1:136" x14ac:dyDescent="0.25">
      <c r="A547" s="25">
        <f>Distribución_Elementos!A547</f>
        <v>545</v>
      </c>
      <c r="B547" s="22" t="str">
        <f>Distribución_Elementos!B547</f>
        <v>Vidrio Reloj 50 mm de diámetro</v>
      </c>
      <c r="C547" s="22" t="str">
        <f>Distribución_Elementos!C547</f>
        <v>Cualquier marca</v>
      </c>
      <c r="D547" s="22" t="str">
        <f>Distribución_Elementos!D547</f>
        <v>Unidad</v>
      </c>
      <c r="E547" s="224">
        <v>1</v>
      </c>
      <c r="F547" s="221">
        <v>5950</v>
      </c>
      <c r="G547" s="221">
        <v>2666</v>
      </c>
      <c r="H547" s="221">
        <v>7132.5563689892051</v>
      </c>
      <c r="I547" s="221">
        <v>0</v>
      </c>
      <c r="J547" s="221">
        <v>73141.763333333321</v>
      </c>
      <c r="K547" s="221">
        <v>0</v>
      </c>
      <c r="L547" s="247">
        <f>AVERAGE(F547,H547,J547)</f>
        <v>28741.439900774174</v>
      </c>
      <c r="M547" s="247">
        <f>G547*E1</f>
        <v>2745.98</v>
      </c>
      <c r="N547" s="227">
        <v>5000</v>
      </c>
      <c r="O547" s="119">
        <f t="shared" ref="O547:O552" si="196">+N547*0.19</f>
        <v>950</v>
      </c>
      <c r="P547" s="119">
        <f t="shared" ref="P547:P552" si="197">+N547+O547</f>
        <v>5950</v>
      </c>
      <c r="Q547" s="11"/>
      <c r="R547" s="11"/>
      <c r="S547" s="11"/>
      <c r="T547" s="247">
        <v>2420</v>
      </c>
      <c r="U547" s="247">
        <f>+T547*0.19</f>
        <v>459.8</v>
      </c>
      <c r="V547" s="247">
        <f>+T547+U547</f>
        <v>2879.8</v>
      </c>
      <c r="W547" s="17" t="s">
        <v>140</v>
      </c>
      <c r="X547" s="11" t="s">
        <v>1536</v>
      </c>
      <c r="Y547" s="11"/>
      <c r="Z547" s="247"/>
      <c r="AA547" s="247"/>
      <c r="AB547" s="247"/>
      <c r="AC547" s="11"/>
      <c r="AD547" s="11"/>
      <c r="AE547" s="11"/>
      <c r="AF547" s="247"/>
      <c r="AG547" s="247"/>
      <c r="AH547" s="247"/>
      <c r="AI547" s="11"/>
      <c r="AJ547" s="11"/>
      <c r="AK547" s="11"/>
      <c r="AL547" s="102"/>
      <c r="AM547" s="102"/>
      <c r="AN547" s="102"/>
      <c r="AO547" s="44"/>
      <c r="AP547" s="44"/>
      <c r="AQ547" s="11"/>
      <c r="AR547" s="247"/>
      <c r="AS547" s="247"/>
      <c r="AT547" s="247"/>
      <c r="AU547" s="11"/>
      <c r="AV547" s="11"/>
      <c r="AW547" s="11"/>
      <c r="AX547" s="247"/>
      <c r="AY547" s="247"/>
      <c r="AZ547" s="247"/>
      <c r="BA547" s="11"/>
      <c r="BB547" s="11"/>
      <c r="BC547" s="11"/>
      <c r="BD547" s="247"/>
      <c r="BE547" s="247"/>
      <c r="BF547" s="247"/>
      <c r="BG547" s="11"/>
      <c r="BH547" s="11"/>
      <c r="BI547" s="11"/>
      <c r="BJ547" s="247">
        <v>10900</v>
      </c>
      <c r="BK547" s="247">
        <f t="shared" ref="BK547:BK568" si="198">+BJ547*0.19</f>
        <v>2071</v>
      </c>
      <c r="BL547" s="247">
        <f t="shared" ref="BL547:BL568" si="199">+BJ547+BK547</f>
        <v>12971</v>
      </c>
      <c r="BM547" s="192" t="s">
        <v>140</v>
      </c>
      <c r="BN547" s="190" t="s">
        <v>1565</v>
      </c>
      <c r="BO547" s="11"/>
      <c r="BP547" s="247">
        <v>4500</v>
      </c>
      <c r="BQ547" s="247">
        <f t="shared" ref="BQ547:BQ568" si="200">+BP547*19%</f>
        <v>855</v>
      </c>
      <c r="BR547" s="247">
        <f t="shared" ref="BR547:BR568" si="201">+BQ547+BP547</f>
        <v>5355</v>
      </c>
      <c r="BS547" s="11"/>
      <c r="BT547" s="11"/>
      <c r="BU547" s="11"/>
      <c r="BV547" s="195">
        <v>12980.919</v>
      </c>
      <c r="BW547" s="195">
        <f t="shared" si="190"/>
        <v>2466.3746099999998</v>
      </c>
      <c r="BX547" s="246">
        <f t="shared" si="191"/>
        <v>15447.293610000001</v>
      </c>
      <c r="BY547" s="192" t="s">
        <v>140</v>
      </c>
      <c r="BZ547" s="190" t="s">
        <v>1565</v>
      </c>
      <c r="CA547" s="190"/>
      <c r="CB547" s="247"/>
      <c r="CC547" s="247"/>
      <c r="CD547" s="247"/>
      <c r="CE547" s="11"/>
      <c r="CF547" s="11"/>
      <c r="CG547" s="11"/>
      <c r="CH547" s="247"/>
      <c r="CI547" s="247"/>
      <c r="CJ547" s="247"/>
      <c r="CK547" s="11"/>
      <c r="CL547" s="11"/>
      <c r="CM547" s="11"/>
      <c r="CN547" s="11"/>
      <c r="CO547" s="11"/>
      <c r="CP547" s="11"/>
      <c r="CQ547" s="11"/>
      <c r="CR547" s="11"/>
      <c r="CS547" s="11"/>
      <c r="CT547" s="247"/>
      <c r="CU547" s="247"/>
      <c r="CV547" s="247"/>
      <c r="CW547" s="11"/>
      <c r="CX547" s="11"/>
      <c r="CY547" s="11"/>
      <c r="CZ547" s="11"/>
      <c r="DA547" s="11"/>
      <c r="DB547" s="11"/>
      <c r="DC547" s="11"/>
      <c r="DD547" s="11"/>
      <c r="DE547" s="11"/>
      <c r="DF547" s="11"/>
      <c r="DG547" s="11"/>
      <c r="DH547" s="11"/>
      <c r="DI547" s="11"/>
      <c r="DJ547" s="11"/>
      <c r="DK547" s="11"/>
      <c r="DL547" s="247"/>
      <c r="DM547" s="247"/>
      <c r="DN547" s="247"/>
      <c r="DO547" s="247"/>
      <c r="DP547" s="247"/>
      <c r="DQ547" s="247"/>
      <c r="DR547" s="247"/>
      <c r="DS547" s="247"/>
      <c r="DT547" s="247"/>
      <c r="DU547" s="247"/>
      <c r="DV547" s="247"/>
      <c r="DW547" s="247"/>
      <c r="DX547" s="247"/>
      <c r="DY547" s="247"/>
      <c r="DZ547" s="247"/>
      <c r="EA547" s="247"/>
      <c r="EB547" s="247"/>
      <c r="EC547" s="247"/>
      <c r="ED547" s="17">
        <f t="shared" ref="ED547:ED568" si="202">SUM(M547,P547,V547,AB547,AH547,AN547,AT547,AZ547,BF547,BL547,BR547,BX547,CD547,CJ547,CP547,CV547,DB547,DH547,DN547,DT547,DZ547)</f>
        <v>45349.073609999999</v>
      </c>
      <c r="EE547" s="29">
        <f t="shared" ref="EE547:EE568" si="203">COUNTA(M547,N547,T547,Z547,AF547,AL547,AR547,AX547,BD547,BJ547,BP547,BV547,CB547,CH547,CN547,CT547,CZ547,DF547,DL547,DR547,DX547)</f>
        <v>6</v>
      </c>
      <c r="EF547" s="17">
        <f t="shared" ref="EF547:EF568" si="204">IFERROR(ED547/EE547," ")</f>
        <v>7558.1789349999999</v>
      </c>
    </row>
    <row r="548" spans="1:136" ht="24" x14ac:dyDescent="0.25">
      <c r="A548" s="25">
        <f>Distribución_Elementos!A548</f>
        <v>546</v>
      </c>
      <c r="B548" s="22" t="str">
        <f>Distribución_Elementos!B548</f>
        <v>Vinipel</v>
      </c>
      <c r="C548" s="22" t="str">
        <f>Distribución_Elementos!C548</f>
        <v>Nacional</v>
      </c>
      <c r="D548" s="22" t="str">
        <f>Distribución_Elementos!D548</f>
        <v>Rollo x 300 m</v>
      </c>
      <c r="E548" s="224">
        <v>1</v>
      </c>
      <c r="F548" s="221">
        <v>45041.5</v>
      </c>
      <c r="G548" s="221">
        <v>43911</v>
      </c>
      <c r="H548" s="221">
        <v>62950</v>
      </c>
      <c r="I548" s="221">
        <v>62832</v>
      </c>
      <c r="J548" s="221">
        <v>62307.738888888889</v>
      </c>
      <c r="K548" s="221">
        <v>59500</v>
      </c>
      <c r="L548" s="247">
        <f>AVERAGE(F548,H548,J548)</f>
        <v>56766.412962962961</v>
      </c>
      <c r="M548" s="247">
        <f>AVERAGE(G548,I548,K548)*E1</f>
        <v>57076.763333333336</v>
      </c>
      <c r="N548" s="227">
        <v>30000</v>
      </c>
      <c r="O548" s="119">
        <f t="shared" si="196"/>
        <v>5700</v>
      </c>
      <c r="P548" s="119">
        <f t="shared" si="197"/>
        <v>35700</v>
      </c>
      <c r="Q548" s="11"/>
      <c r="R548" s="11"/>
      <c r="S548" s="11"/>
      <c r="T548" s="247"/>
      <c r="U548" s="247"/>
      <c r="V548" s="247"/>
      <c r="W548" s="11"/>
      <c r="X548" s="11"/>
      <c r="Y548" s="11"/>
      <c r="Z548" s="247"/>
      <c r="AA548" s="247"/>
      <c r="AB548" s="247"/>
      <c r="AC548" s="11"/>
      <c r="AD548" s="11"/>
      <c r="AE548" s="11"/>
      <c r="AF548" s="247"/>
      <c r="AG548" s="247"/>
      <c r="AH548" s="247"/>
      <c r="AI548" s="11"/>
      <c r="AJ548" s="11"/>
      <c r="AK548" s="11"/>
      <c r="AL548" s="102"/>
      <c r="AM548" s="102"/>
      <c r="AN548" s="102"/>
      <c r="AO548" s="44"/>
      <c r="AP548" s="44"/>
      <c r="AQ548" s="11"/>
      <c r="AR548" s="247"/>
      <c r="AS548" s="247"/>
      <c r="AT548" s="247"/>
      <c r="AU548" s="11"/>
      <c r="AV548" s="11"/>
      <c r="AW548" s="11"/>
      <c r="AX548" s="247"/>
      <c r="AY548" s="247"/>
      <c r="AZ548" s="247"/>
      <c r="BA548" s="11"/>
      <c r="BB548" s="11"/>
      <c r="BC548" s="11"/>
      <c r="BD548" s="247"/>
      <c r="BE548" s="247"/>
      <c r="BF548" s="247"/>
      <c r="BG548" s="11"/>
      <c r="BH548" s="11"/>
      <c r="BI548" s="11"/>
      <c r="BJ548" s="247">
        <v>86000</v>
      </c>
      <c r="BK548" s="247">
        <f t="shared" si="198"/>
        <v>16340</v>
      </c>
      <c r="BL548" s="247">
        <f t="shared" si="199"/>
        <v>102340</v>
      </c>
      <c r="BM548" s="190" t="s">
        <v>1825</v>
      </c>
      <c r="BN548" s="190" t="s">
        <v>153</v>
      </c>
      <c r="BO548" s="11"/>
      <c r="BP548" s="247">
        <v>46000</v>
      </c>
      <c r="BQ548" s="247">
        <f t="shared" si="200"/>
        <v>8740</v>
      </c>
      <c r="BR548" s="247">
        <f t="shared" si="201"/>
        <v>54740</v>
      </c>
      <c r="BS548" s="11"/>
      <c r="BT548" s="11"/>
      <c r="BU548" s="11"/>
      <c r="BV548" s="195">
        <v>97668.48000000001</v>
      </c>
      <c r="BW548" s="195">
        <f t="shared" si="190"/>
        <v>18557.011200000001</v>
      </c>
      <c r="BX548" s="246">
        <f t="shared" si="191"/>
        <v>116225.49120000002</v>
      </c>
      <c r="BY548" s="190" t="s">
        <v>1825</v>
      </c>
      <c r="BZ548" s="190" t="s">
        <v>153</v>
      </c>
      <c r="CA548" s="190"/>
      <c r="CB548" s="247"/>
      <c r="CC548" s="247"/>
      <c r="CD548" s="247"/>
      <c r="CE548" s="11"/>
      <c r="CF548" s="11"/>
      <c r="CG548" s="11"/>
      <c r="CH548" s="247"/>
      <c r="CI548" s="247"/>
      <c r="CJ548" s="247"/>
      <c r="CK548" s="11"/>
      <c r="CL548" s="11"/>
      <c r="CM548" s="11"/>
      <c r="CN548" s="11"/>
      <c r="CO548" s="11"/>
      <c r="CP548" s="11"/>
      <c r="CQ548" s="11"/>
      <c r="CR548" s="11"/>
      <c r="CS548" s="11"/>
      <c r="CT548" s="247"/>
      <c r="CU548" s="247"/>
      <c r="CV548" s="247"/>
      <c r="CW548" s="11"/>
      <c r="CX548" s="11"/>
      <c r="CY548" s="11"/>
      <c r="CZ548" s="11"/>
      <c r="DA548" s="11"/>
      <c r="DB548" s="11"/>
      <c r="DC548" s="11"/>
      <c r="DD548" s="11"/>
      <c r="DE548" s="11"/>
      <c r="DF548" s="11"/>
      <c r="DG548" s="11"/>
      <c r="DH548" s="11"/>
      <c r="DI548" s="11"/>
      <c r="DJ548" s="11"/>
      <c r="DK548" s="11"/>
      <c r="DL548" s="247"/>
      <c r="DM548" s="247"/>
      <c r="DN548" s="247"/>
      <c r="DO548" s="247"/>
      <c r="DP548" s="247"/>
      <c r="DQ548" s="247"/>
      <c r="DR548" s="247"/>
      <c r="DS548" s="247"/>
      <c r="DT548" s="247"/>
      <c r="DU548" s="247"/>
      <c r="DV548" s="247"/>
      <c r="DW548" s="247"/>
      <c r="DX548" s="247"/>
      <c r="DY548" s="247"/>
      <c r="DZ548" s="247"/>
      <c r="EA548" s="247"/>
      <c r="EB548" s="247"/>
      <c r="EC548" s="247"/>
      <c r="ED548" s="17">
        <f t="shared" si="202"/>
        <v>366082.25453333335</v>
      </c>
      <c r="EE548" s="29">
        <f t="shared" si="203"/>
        <v>5</v>
      </c>
      <c r="EF548" s="17">
        <f t="shared" si="204"/>
        <v>73216.450906666665</v>
      </c>
    </row>
    <row r="549" spans="1:136" ht="25.5" x14ac:dyDescent="0.25">
      <c r="A549" s="25">
        <f>Distribución_Elementos!A549</f>
        <v>547</v>
      </c>
      <c r="B549" s="22" t="str">
        <f>Distribución_Elementos!B549</f>
        <v>Bolsa roja con logo de riesgo biológico tipo hospitalaria en polipropileno, de 20 cm x 30 cm</v>
      </c>
      <c r="C549" s="22" t="str">
        <f>Distribución_Elementos!C549</f>
        <v>Cualquier marca</v>
      </c>
      <c r="D549" s="22" t="str">
        <f>Distribución_Elementos!D549</f>
        <v>Paquete por 100 unidades</v>
      </c>
      <c r="E549" s="224">
        <v>1</v>
      </c>
      <c r="F549" s="221">
        <v>0</v>
      </c>
      <c r="G549" s="221">
        <v>0</v>
      </c>
      <c r="H549" s="221">
        <v>0</v>
      </c>
      <c r="I549" s="221">
        <v>0</v>
      </c>
      <c r="J549" s="221">
        <v>0</v>
      </c>
      <c r="K549" s="221">
        <v>0</v>
      </c>
      <c r="L549" s="247"/>
      <c r="M549" s="247"/>
      <c r="N549" s="227">
        <v>150000</v>
      </c>
      <c r="O549" s="119">
        <f t="shared" si="196"/>
        <v>28500</v>
      </c>
      <c r="P549" s="119">
        <f t="shared" si="197"/>
        <v>178500</v>
      </c>
      <c r="Q549" s="11"/>
      <c r="R549" s="11"/>
      <c r="S549" s="11"/>
      <c r="T549" s="247"/>
      <c r="U549" s="247"/>
      <c r="V549" s="247"/>
      <c r="W549" s="11"/>
      <c r="X549" s="11"/>
      <c r="Y549" s="11"/>
      <c r="Z549" s="247"/>
      <c r="AA549" s="247"/>
      <c r="AB549" s="247"/>
      <c r="AC549" s="11"/>
      <c r="AD549" s="11"/>
      <c r="AE549" s="11"/>
      <c r="AF549" s="247"/>
      <c r="AG549" s="247"/>
      <c r="AH549" s="247"/>
      <c r="AI549" s="11"/>
      <c r="AJ549" s="11"/>
      <c r="AK549" s="11"/>
      <c r="AL549" s="102"/>
      <c r="AM549" s="102"/>
      <c r="AN549" s="102"/>
      <c r="AO549" s="44"/>
      <c r="AP549" s="44"/>
      <c r="AQ549" s="11"/>
      <c r="AR549" s="247"/>
      <c r="AS549" s="247"/>
      <c r="AT549" s="247"/>
      <c r="AU549" s="11"/>
      <c r="AV549" s="11"/>
      <c r="AW549" s="11"/>
      <c r="AX549" s="247"/>
      <c r="AY549" s="247"/>
      <c r="AZ549" s="247"/>
      <c r="BA549" s="11"/>
      <c r="BB549" s="11"/>
      <c r="BC549" s="11"/>
      <c r="BD549" s="247"/>
      <c r="BE549" s="247"/>
      <c r="BF549" s="247"/>
      <c r="BG549" s="11"/>
      <c r="BH549" s="11"/>
      <c r="BI549" s="11"/>
      <c r="BJ549" s="252">
        <f>(200000/400)*100</f>
        <v>50000</v>
      </c>
      <c r="BK549" s="247">
        <f t="shared" si="198"/>
        <v>9500</v>
      </c>
      <c r="BL549" s="247">
        <f t="shared" si="199"/>
        <v>59500</v>
      </c>
      <c r="BM549" s="190" t="s">
        <v>1826</v>
      </c>
      <c r="BN549" s="190" t="s">
        <v>316</v>
      </c>
      <c r="BO549" s="11"/>
      <c r="BP549" s="247">
        <v>350000</v>
      </c>
      <c r="BQ549" s="247">
        <f t="shared" si="200"/>
        <v>66500</v>
      </c>
      <c r="BR549" s="247">
        <f t="shared" si="201"/>
        <v>416500</v>
      </c>
      <c r="BS549" s="11"/>
      <c r="BT549" s="11"/>
      <c r="BU549" s="11"/>
      <c r="BV549" s="195">
        <f>619416.044/4</f>
        <v>154854.011</v>
      </c>
      <c r="BW549" s="195">
        <f t="shared" si="190"/>
        <v>29422.26209</v>
      </c>
      <c r="BX549" s="246">
        <f t="shared" si="191"/>
        <v>184276.27309</v>
      </c>
      <c r="BY549" s="190" t="s">
        <v>1826</v>
      </c>
      <c r="BZ549" s="190" t="s">
        <v>316</v>
      </c>
      <c r="CA549" s="190"/>
      <c r="CB549" s="247"/>
      <c r="CC549" s="247"/>
      <c r="CD549" s="247"/>
      <c r="CE549" s="11"/>
      <c r="CF549" s="11"/>
      <c r="CG549" s="11"/>
      <c r="CH549" s="247"/>
      <c r="CI549" s="247"/>
      <c r="CJ549" s="247"/>
      <c r="CK549" s="11"/>
      <c r="CL549" s="11"/>
      <c r="CM549" s="11"/>
      <c r="CN549" s="11"/>
      <c r="CO549" s="11"/>
      <c r="CP549" s="11"/>
      <c r="CQ549" s="11"/>
      <c r="CR549" s="11"/>
      <c r="CS549" s="11"/>
      <c r="CT549" s="247"/>
      <c r="CU549" s="247"/>
      <c r="CV549" s="247"/>
      <c r="CW549" s="11"/>
      <c r="CX549" s="11"/>
      <c r="CY549" s="11"/>
      <c r="CZ549" s="11"/>
      <c r="DA549" s="11"/>
      <c r="DB549" s="11"/>
      <c r="DC549" s="11"/>
      <c r="DD549" s="11"/>
      <c r="DE549" s="11"/>
      <c r="DF549" s="11"/>
      <c r="DG549" s="11"/>
      <c r="DH549" s="11"/>
      <c r="DI549" s="11"/>
      <c r="DJ549" s="11"/>
      <c r="DK549" s="11"/>
      <c r="DL549" s="247"/>
      <c r="DM549" s="247"/>
      <c r="DN549" s="247"/>
      <c r="DO549" s="247"/>
      <c r="DP549" s="247"/>
      <c r="DQ549" s="247"/>
      <c r="DR549" s="247"/>
      <c r="DS549" s="247"/>
      <c r="DT549" s="247"/>
      <c r="DU549" s="247"/>
      <c r="DV549" s="247"/>
      <c r="DW549" s="247"/>
      <c r="DX549" s="247"/>
      <c r="DY549" s="247"/>
      <c r="DZ549" s="247"/>
      <c r="EA549" s="247"/>
      <c r="EB549" s="247"/>
      <c r="EC549" s="247"/>
      <c r="ED549" s="17">
        <f t="shared" si="202"/>
        <v>838776.27309000003</v>
      </c>
      <c r="EE549" s="29">
        <f t="shared" si="203"/>
        <v>4</v>
      </c>
      <c r="EF549" s="17">
        <f t="shared" si="204"/>
        <v>209694.06827250001</v>
      </c>
    </row>
    <row r="550" spans="1:136" ht="25.5" x14ac:dyDescent="0.25">
      <c r="A550" s="25">
        <f>Distribución_Elementos!A550</f>
        <v>548</v>
      </c>
      <c r="B550" s="22" t="str">
        <f>Distribución_Elementos!B550</f>
        <v>Bolsa roja con logo de riesgo biológico tipo hospitalaria en polipropileno calibre, de 60 cm x 90-100 cm</v>
      </c>
      <c r="C550" s="22" t="str">
        <f>Distribución_Elementos!C550</f>
        <v>Cualquier marca</v>
      </c>
      <c r="D550" s="22" t="str">
        <f>Distribución_Elementos!D550</f>
        <v>Paquete por 100 unidades</v>
      </c>
      <c r="E550" s="224">
        <v>1</v>
      </c>
      <c r="F550" s="221">
        <v>0</v>
      </c>
      <c r="G550" s="221">
        <v>0</v>
      </c>
      <c r="H550" s="221">
        <v>0</v>
      </c>
      <c r="I550" s="221">
        <v>0</v>
      </c>
      <c r="J550" s="221">
        <v>0</v>
      </c>
      <c r="K550" s="221">
        <v>0</v>
      </c>
      <c r="L550" s="247"/>
      <c r="M550" s="247"/>
      <c r="N550" s="227">
        <v>220000</v>
      </c>
      <c r="O550" s="119">
        <f t="shared" si="196"/>
        <v>41800</v>
      </c>
      <c r="P550" s="119">
        <f t="shared" si="197"/>
        <v>261800</v>
      </c>
      <c r="Q550" s="11"/>
      <c r="R550" s="11"/>
      <c r="S550" s="11"/>
      <c r="T550" s="247"/>
      <c r="U550" s="247"/>
      <c r="V550" s="247"/>
      <c r="W550" s="11"/>
      <c r="X550" s="11"/>
      <c r="Y550" s="11"/>
      <c r="Z550" s="247"/>
      <c r="AA550" s="247"/>
      <c r="AB550" s="247"/>
      <c r="AC550" s="11"/>
      <c r="AD550" s="11"/>
      <c r="AE550" s="11"/>
      <c r="AF550" s="247"/>
      <c r="AG550" s="247"/>
      <c r="AH550" s="247"/>
      <c r="AI550" s="11"/>
      <c r="AJ550" s="11"/>
      <c r="AK550" s="11"/>
      <c r="AL550" s="102"/>
      <c r="AM550" s="102"/>
      <c r="AN550" s="102"/>
      <c r="AO550" s="44"/>
      <c r="AP550" s="44"/>
      <c r="AQ550" s="11"/>
      <c r="AR550" s="247"/>
      <c r="AS550" s="247"/>
      <c r="AT550" s="247"/>
      <c r="AU550" s="11"/>
      <c r="AV550" s="11"/>
      <c r="AW550" s="11"/>
      <c r="AX550" s="247"/>
      <c r="AY550" s="247"/>
      <c r="AZ550" s="247"/>
      <c r="BA550" s="11"/>
      <c r="BB550" s="11"/>
      <c r="BC550" s="11"/>
      <c r="BD550" s="247"/>
      <c r="BE550" s="247"/>
      <c r="BF550" s="247"/>
      <c r="BG550" s="11"/>
      <c r="BH550" s="11"/>
      <c r="BI550" s="11"/>
      <c r="BJ550" s="252">
        <f>400000/2</f>
        <v>200000</v>
      </c>
      <c r="BK550" s="247">
        <f t="shared" si="198"/>
        <v>38000</v>
      </c>
      <c r="BL550" s="247">
        <f t="shared" si="199"/>
        <v>238000</v>
      </c>
      <c r="BM550" s="190" t="s">
        <v>1827</v>
      </c>
      <c r="BN550" s="190" t="s">
        <v>316</v>
      </c>
      <c r="BO550" s="11"/>
      <c r="BP550" s="247">
        <v>385000</v>
      </c>
      <c r="BQ550" s="247">
        <f t="shared" si="200"/>
        <v>73150</v>
      </c>
      <c r="BR550" s="247">
        <f t="shared" si="201"/>
        <v>458150</v>
      </c>
      <c r="BS550" s="11"/>
      <c r="BT550" s="11"/>
      <c r="BU550" s="11"/>
      <c r="BV550" s="195">
        <f>2310055.02/2</f>
        <v>1155027.51</v>
      </c>
      <c r="BW550" s="195">
        <f t="shared" si="190"/>
        <v>219455.22690000001</v>
      </c>
      <c r="BX550" s="246">
        <f t="shared" si="191"/>
        <v>1374482.7368999999</v>
      </c>
      <c r="BY550" s="190" t="s">
        <v>1827</v>
      </c>
      <c r="BZ550" s="190" t="s">
        <v>316</v>
      </c>
      <c r="CA550" s="190"/>
      <c r="CB550" s="247"/>
      <c r="CC550" s="247"/>
      <c r="CD550" s="247"/>
      <c r="CE550" s="11"/>
      <c r="CF550" s="11"/>
      <c r="CG550" s="11"/>
      <c r="CH550" s="247"/>
      <c r="CI550" s="247"/>
      <c r="CJ550" s="247"/>
      <c r="CK550" s="11"/>
      <c r="CL550" s="11"/>
      <c r="CM550" s="11"/>
      <c r="CN550" s="11"/>
      <c r="CO550" s="11"/>
      <c r="CP550" s="11"/>
      <c r="CQ550" s="11"/>
      <c r="CR550" s="11"/>
      <c r="CS550" s="11"/>
      <c r="CT550" s="247"/>
      <c r="CU550" s="247"/>
      <c r="CV550" s="247"/>
      <c r="CW550" s="11"/>
      <c r="CX550" s="11"/>
      <c r="CY550" s="11"/>
      <c r="CZ550" s="11"/>
      <c r="DA550" s="11"/>
      <c r="DB550" s="11"/>
      <c r="DC550" s="11"/>
      <c r="DD550" s="11"/>
      <c r="DE550" s="11"/>
      <c r="DF550" s="11"/>
      <c r="DG550" s="11"/>
      <c r="DH550" s="11"/>
      <c r="DI550" s="11"/>
      <c r="DJ550" s="11"/>
      <c r="DK550" s="11"/>
      <c r="DL550" s="247"/>
      <c r="DM550" s="247"/>
      <c r="DN550" s="247"/>
      <c r="DO550" s="247"/>
      <c r="DP550" s="247"/>
      <c r="DQ550" s="247"/>
      <c r="DR550" s="247"/>
      <c r="DS550" s="247"/>
      <c r="DT550" s="247"/>
      <c r="DU550" s="247"/>
      <c r="DV550" s="247"/>
      <c r="DW550" s="247"/>
      <c r="DX550" s="247"/>
      <c r="DY550" s="247"/>
      <c r="DZ550" s="247"/>
      <c r="EA550" s="247"/>
      <c r="EB550" s="247"/>
      <c r="EC550" s="247"/>
      <c r="ED550" s="17">
        <f t="shared" si="202"/>
        <v>2332432.7368999999</v>
      </c>
      <c r="EE550" s="29">
        <f t="shared" si="203"/>
        <v>4</v>
      </c>
      <c r="EF550" s="17">
        <f t="shared" si="204"/>
        <v>583108.18422499998</v>
      </c>
    </row>
    <row r="551" spans="1:136" ht="25.5" x14ac:dyDescent="0.25">
      <c r="A551" s="25">
        <f>Distribución_Elementos!A551</f>
        <v>549</v>
      </c>
      <c r="B551" s="22" t="str">
        <f>Distribución_Elementos!B551</f>
        <v>Bolsa roja con logo de riesgo biológico tipo hospitalaria en polipropileno calibre, de 40 cm x 60 cm</v>
      </c>
      <c r="C551" s="22" t="str">
        <f>Distribución_Elementos!C551</f>
        <v>Cualquier marca</v>
      </c>
      <c r="D551" s="22" t="str">
        <f>Distribución_Elementos!D551</f>
        <v>Paquete por 100 unidades</v>
      </c>
      <c r="E551" s="224">
        <v>1</v>
      </c>
      <c r="F551" s="221">
        <v>0</v>
      </c>
      <c r="G551" s="221">
        <v>0</v>
      </c>
      <c r="H551" s="221">
        <v>0</v>
      </c>
      <c r="I551" s="221">
        <v>0</v>
      </c>
      <c r="J551" s="221">
        <v>0</v>
      </c>
      <c r="K551" s="221">
        <v>0</v>
      </c>
      <c r="L551" s="247"/>
      <c r="M551" s="247"/>
      <c r="N551" s="227">
        <v>170000</v>
      </c>
      <c r="O551" s="119">
        <f t="shared" si="196"/>
        <v>32300</v>
      </c>
      <c r="P551" s="119">
        <f t="shared" si="197"/>
        <v>202300</v>
      </c>
      <c r="Q551" s="11"/>
      <c r="R551" s="11"/>
      <c r="S551" s="11"/>
      <c r="T551" s="247"/>
      <c r="U551" s="247"/>
      <c r="V551" s="247"/>
      <c r="W551" s="11"/>
      <c r="X551" s="11"/>
      <c r="Y551" s="11"/>
      <c r="Z551" s="247"/>
      <c r="AA551" s="247"/>
      <c r="AB551" s="247"/>
      <c r="AC551" s="11"/>
      <c r="AD551" s="11"/>
      <c r="AE551" s="11"/>
      <c r="AF551" s="247"/>
      <c r="AG551" s="247"/>
      <c r="AH551" s="247"/>
      <c r="AI551" s="11"/>
      <c r="AJ551" s="11"/>
      <c r="AK551" s="11"/>
      <c r="AL551" s="102"/>
      <c r="AM551" s="102"/>
      <c r="AN551" s="102"/>
      <c r="AO551" s="44"/>
      <c r="AP551" s="44"/>
      <c r="AQ551" s="11"/>
      <c r="AR551" s="247"/>
      <c r="AS551" s="247"/>
      <c r="AT551" s="247"/>
      <c r="AU551" s="11"/>
      <c r="AV551" s="11"/>
      <c r="AW551" s="11"/>
      <c r="AX551" s="247"/>
      <c r="AY551" s="247"/>
      <c r="AZ551" s="247"/>
      <c r="BA551" s="11"/>
      <c r="BB551" s="11"/>
      <c r="BC551" s="11"/>
      <c r="BD551" s="247"/>
      <c r="BE551" s="247"/>
      <c r="BF551" s="247"/>
      <c r="BG551" s="11"/>
      <c r="BH551" s="11"/>
      <c r="BI551" s="11"/>
      <c r="BJ551" s="252">
        <f>600000/2</f>
        <v>300000</v>
      </c>
      <c r="BK551" s="247">
        <f t="shared" si="198"/>
        <v>57000</v>
      </c>
      <c r="BL551" s="247">
        <f t="shared" si="199"/>
        <v>357000</v>
      </c>
      <c r="BM551" s="190" t="s">
        <v>1827</v>
      </c>
      <c r="BN551" s="190" t="s">
        <v>316</v>
      </c>
      <c r="BO551" s="11"/>
      <c r="BP551" s="247">
        <v>395000</v>
      </c>
      <c r="BQ551" s="247">
        <f t="shared" si="200"/>
        <v>75050</v>
      </c>
      <c r="BR551" s="247">
        <f t="shared" si="201"/>
        <v>470050</v>
      </c>
      <c r="BS551" s="11"/>
      <c r="BT551" s="11"/>
      <c r="BU551" s="11"/>
      <c r="BV551" s="195">
        <f>1870343.0512/2</f>
        <v>935171.52560000005</v>
      </c>
      <c r="BW551" s="195">
        <f t="shared" si="190"/>
        <v>177682.58986400001</v>
      </c>
      <c r="BX551" s="246">
        <f t="shared" si="191"/>
        <v>1112854.115464</v>
      </c>
      <c r="BY551" s="190" t="s">
        <v>1827</v>
      </c>
      <c r="BZ551" s="190" t="s">
        <v>316</v>
      </c>
      <c r="CA551" s="190"/>
      <c r="CB551" s="247"/>
      <c r="CC551" s="247"/>
      <c r="CD551" s="247"/>
      <c r="CE551" s="11"/>
      <c r="CF551" s="11"/>
      <c r="CG551" s="11"/>
      <c r="CH551" s="247"/>
      <c r="CI551" s="247"/>
      <c r="CJ551" s="247"/>
      <c r="CK551" s="11"/>
      <c r="CL551" s="11"/>
      <c r="CM551" s="11"/>
      <c r="CN551" s="11"/>
      <c r="CO551" s="11"/>
      <c r="CP551" s="11"/>
      <c r="CQ551" s="11"/>
      <c r="CR551" s="11"/>
      <c r="CS551" s="11"/>
      <c r="CT551" s="247"/>
      <c r="CU551" s="247"/>
      <c r="CV551" s="247"/>
      <c r="CW551" s="11"/>
      <c r="CX551" s="11"/>
      <c r="CY551" s="11"/>
      <c r="CZ551" s="11"/>
      <c r="DA551" s="11"/>
      <c r="DB551" s="11"/>
      <c r="DC551" s="11"/>
      <c r="DD551" s="11"/>
      <c r="DE551" s="11"/>
      <c r="DF551" s="11"/>
      <c r="DG551" s="11"/>
      <c r="DH551" s="11"/>
      <c r="DI551" s="11"/>
      <c r="DJ551" s="11"/>
      <c r="DK551" s="11"/>
      <c r="DL551" s="247"/>
      <c r="DM551" s="247"/>
      <c r="DN551" s="247"/>
      <c r="DO551" s="247"/>
      <c r="DP551" s="247"/>
      <c r="DQ551" s="247"/>
      <c r="DR551" s="247"/>
      <c r="DS551" s="247"/>
      <c r="DT551" s="247"/>
      <c r="DU551" s="247"/>
      <c r="DV551" s="247"/>
      <c r="DW551" s="247"/>
      <c r="DX551" s="247"/>
      <c r="DY551" s="247"/>
      <c r="DZ551" s="247"/>
      <c r="EA551" s="247"/>
      <c r="EB551" s="247"/>
      <c r="EC551" s="247"/>
      <c r="ED551" s="17">
        <f t="shared" si="202"/>
        <v>2142204.115464</v>
      </c>
      <c r="EE551" s="29">
        <f t="shared" si="203"/>
        <v>4</v>
      </c>
      <c r="EF551" s="17">
        <f t="shared" si="204"/>
        <v>535551.02886600001</v>
      </c>
    </row>
    <row r="552" spans="1:136" ht="38.25" x14ac:dyDescent="0.25">
      <c r="A552" s="25">
        <f>Distribución_Elementos!A552</f>
        <v>550</v>
      </c>
      <c r="B552" s="22" t="str">
        <f>Distribución_Elementos!B552</f>
        <v>Tubo en polipropileno tapa roja de 6ml con fecha de vencimiento superior a 12 meses a partir de la fecha de entrega</v>
      </c>
      <c r="C552" s="22" t="str">
        <f>Distribución_Elementos!C552</f>
        <v>Vacutest o equivalente</v>
      </c>
      <c r="D552" s="22" t="str">
        <f>Distribución_Elementos!D552</f>
        <v>Caja x 100 unidades</v>
      </c>
      <c r="E552" s="224">
        <v>1</v>
      </c>
      <c r="F552" s="221">
        <v>0</v>
      </c>
      <c r="G552" s="221">
        <v>0</v>
      </c>
      <c r="H552" s="221">
        <v>0</v>
      </c>
      <c r="I552" s="221">
        <v>0</v>
      </c>
      <c r="J552" s="221">
        <v>0</v>
      </c>
      <c r="K552" s="221">
        <v>0</v>
      </c>
      <c r="L552" s="247"/>
      <c r="M552" s="247"/>
      <c r="N552" s="227">
        <v>45000</v>
      </c>
      <c r="O552" s="119">
        <f t="shared" si="196"/>
        <v>8550</v>
      </c>
      <c r="P552" s="119">
        <f t="shared" si="197"/>
        <v>53550</v>
      </c>
      <c r="Q552" s="11"/>
      <c r="R552" s="11"/>
      <c r="S552" s="11"/>
      <c r="T552" s="247"/>
      <c r="U552" s="247"/>
      <c r="V552" s="247"/>
      <c r="W552" s="11"/>
      <c r="X552" s="11"/>
      <c r="Y552" s="11"/>
      <c r="Z552" s="247"/>
      <c r="AA552" s="247"/>
      <c r="AB552" s="247"/>
      <c r="AC552" s="11"/>
      <c r="AD552" s="11"/>
      <c r="AE552" s="11"/>
      <c r="AF552" s="247"/>
      <c r="AG552" s="247"/>
      <c r="AH552" s="247"/>
      <c r="AI552" s="11"/>
      <c r="AJ552" s="11"/>
      <c r="AK552" s="11"/>
      <c r="AL552" s="102"/>
      <c r="AM552" s="102"/>
      <c r="AN552" s="102"/>
      <c r="AO552" s="44"/>
      <c r="AP552" s="44"/>
      <c r="AQ552" s="11"/>
      <c r="AR552" s="247"/>
      <c r="AS552" s="247"/>
      <c r="AT552" s="247"/>
      <c r="AU552" s="11"/>
      <c r="AV552" s="11"/>
      <c r="AW552" s="11"/>
      <c r="AX552" s="247"/>
      <c r="AY552" s="247"/>
      <c r="AZ552" s="247"/>
      <c r="BA552" s="11"/>
      <c r="BB552" s="11"/>
      <c r="BC552" s="11"/>
      <c r="BD552" s="247"/>
      <c r="BE552" s="247"/>
      <c r="BF552" s="247"/>
      <c r="BG552" s="11"/>
      <c r="BH552" s="11"/>
      <c r="BI552" s="11"/>
      <c r="BJ552" s="252"/>
      <c r="BK552" s="247"/>
      <c r="BL552" s="247"/>
      <c r="BM552" s="190"/>
      <c r="BN552" s="190"/>
      <c r="BO552" s="11"/>
      <c r="BP552" s="247">
        <v>68000</v>
      </c>
      <c r="BQ552" s="247">
        <f t="shared" si="200"/>
        <v>12920</v>
      </c>
      <c r="BR552" s="247">
        <f t="shared" si="201"/>
        <v>80920</v>
      </c>
      <c r="BS552" s="11"/>
      <c r="BT552" s="11"/>
      <c r="BU552" s="11"/>
      <c r="BV552" s="195"/>
      <c r="BW552" s="195"/>
      <c r="BX552" s="246"/>
      <c r="BY552" s="190"/>
      <c r="BZ552" s="190"/>
      <c r="CA552" s="190"/>
      <c r="CB552" s="247"/>
      <c r="CC552" s="247"/>
      <c r="CD552" s="247"/>
      <c r="CE552" s="11"/>
      <c r="CF552" s="11"/>
      <c r="CG552" s="11"/>
      <c r="CH552" s="247"/>
      <c r="CI552" s="247"/>
      <c r="CJ552" s="247"/>
      <c r="CK552" s="11"/>
      <c r="CL552" s="11"/>
      <c r="CM552" s="11"/>
      <c r="CN552" s="11"/>
      <c r="CO552" s="11"/>
      <c r="CP552" s="11"/>
      <c r="CQ552" s="11"/>
      <c r="CR552" s="11"/>
      <c r="CS552" s="11"/>
      <c r="CT552" s="247"/>
      <c r="CU552" s="247"/>
      <c r="CV552" s="247"/>
      <c r="CW552" s="11"/>
      <c r="CX552" s="11"/>
      <c r="CY552" s="11"/>
      <c r="CZ552" s="11"/>
      <c r="DA552" s="11"/>
      <c r="DB552" s="11"/>
      <c r="DC552" s="11"/>
      <c r="DD552" s="11"/>
      <c r="DE552" s="11"/>
      <c r="DF552" s="11"/>
      <c r="DG552" s="11"/>
      <c r="DH552" s="11"/>
      <c r="DI552" s="11"/>
      <c r="DJ552" s="11"/>
      <c r="DK552" s="11"/>
      <c r="DL552" s="247"/>
      <c r="DM552" s="247"/>
      <c r="DN552" s="247"/>
      <c r="DO552" s="247"/>
      <c r="DP552" s="247"/>
      <c r="DQ552" s="247"/>
      <c r="DR552" s="247"/>
      <c r="DS552" s="247"/>
      <c r="DT552" s="247"/>
      <c r="DU552" s="247"/>
      <c r="DV552" s="247"/>
      <c r="DW552" s="247"/>
      <c r="DX552" s="247"/>
      <c r="DY552" s="247"/>
      <c r="DZ552" s="247"/>
      <c r="EA552" s="247"/>
      <c r="EB552" s="247"/>
      <c r="EC552" s="247"/>
      <c r="ED552" s="17">
        <f t="shared" si="202"/>
        <v>134470</v>
      </c>
      <c r="EE552" s="29">
        <f t="shared" si="203"/>
        <v>2</v>
      </c>
      <c r="EF552" s="17">
        <f t="shared" si="204"/>
        <v>67235</v>
      </c>
    </row>
    <row r="553" spans="1:136" x14ac:dyDescent="0.25">
      <c r="A553" s="25">
        <f>Distribución_Elementos!A553</f>
        <v>551</v>
      </c>
      <c r="B553" s="22" t="str">
        <f>Distribución_Elementos!B553</f>
        <v>Cubetas de cartón con espacio para 12 huevos</v>
      </c>
      <c r="C553" s="22" t="str">
        <f>Distribución_Elementos!C553</f>
        <v>Cualquier marca</v>
      </c>
      <c r="D553" s="22" t="str">
        <f>Distribución_Elementos!D553</f>
        <v>unidad</v>
      </c>
      <c r="E553" s="224">
        <v>1</v>
      </c>
      <c r="F553" s="221">
        <v>0</v>
      </c>
      <c r="G553" s="221">
        <v>0</v>
      </c>
      <c r="H553" s="221">
        <v>0</v>
      </c>
      <c r="I553" s="221">
        <v>0</v>
      </c>
      <c r="J553" s="221">
        <v>0</v>
      </c>
      <c r="K553" s="221">
        <v>0</v>
      </c>
      <c r="L553" s="247"/>
      <c r="M553" s="247"/>
      <c r="N553" s="227"/>
      <c r="O553" s="119"/>
      <c r="P553" s="119"/>
      <c r="Q553" s="11"/>
      <c r="R553" s="11"/>
      <c r="S553" s="11"/>
      <c r="T553" s="247"/>
      <c r="U553" s="247"/>
      <c r="V553" s="247"/>
      <c r="W553" s="11"/>
      <c r="X553" s="11"/>
      <c r="Y553" s="11"/>
      <c r="Z553" s="247"/>
      <c r="AA553" s="247"/>
      <c r="AB553" s="247"/>
      <c r="AC553" s="11"/>
      <c r="AD553" s="11"/>
      <c r="AE553" s="11"/>
      <c r="AF553" s="247"/>
      <c r="AG553" s="247"/>
      <c r="AH553" s="247"/>
      <c r="AI553" s="11"/>
      <c r="AJ553" s="11"/>
      <c r="AK553" s="11"/>
      <c r="AL553" s="102"/>
      <c r="AM553" s="102"/>
      <c r="AN553" s="102"/>
      <c r="AO553" s="44"/>
      <c r="AP553" s="44"/>
      <c r="AQ553" s="11"/>
      <c r="AR553" s="247"/>
      <c r="AS553" s="247"/>
      <c r="AT553" s="247"/>
      <c r="AU553" s="11"/>
      <c r="AV553" s="11"/>
      <c r="AW553" s="11"/>
      <c r="AX553" s="247"/>
      <c r="AY553" s="247"/>
      <c r="AZ553" s="247"/>
      <c r="BA553" s="11"/>
      <c r="BB553" s="11"/>
      <c r="BC553" s="11"/>
      <c r="BD553" s="247"/>
      <c r="BE553" s="247"/>
      <c r="BF553" s="247"/>
      <c r="BG553" s="11"/>
      <c r="BH553" s="11"/>
      <c r="BI553" s="11"/>
      <c r="BJ553" s="247">
        <v>500</v>
      </c>
      <c r="BK553" s="247">
        <f t="shared" si="198"/>
        <v>95</v>
      </c>
      <c r="BL553" s="247">
        <f t="shared" si="199"/>
        <v>595</v>
      </c>
      <c r="BM553" s="190" t="s">
        <v>375</v>
      </c>
      <c r="BN553" s="190" t="s">
        <v>153</v>
      </c>
      <c r="BO553" s="11"/>
      <c r="BP553" s="247">
        <v>35000</v>
      </c>
      <c r="BQ553" s="247">
        <f t="shared" si="200"/>
        <v>6650</v>
      </c>
      <c r="BR553" s="247">
        <f t="shared" si="201"/>
        <v>41650</v>
      </c>
      <c r="BS553" s="11"/>
      <c r="BT553" s="11"/>
      <c r="BU553" s="11"/>
      <c r="BV553" s="195"/>
      <c r="BW553" s="195"/>
      <c r="BX553" s="246"/>
      <c r="BY553" s="190"/>
      <c r="BZ553" s="190"/>
      <c r="CA553" s="190"/>
      <c r="CB553" s="247"/>
      <c r="CC553" s="247"/>
      <c r="CD553" s="247"/>
      <c r="CE553" s="11"/>
      <c r="CF553" s="11"/>
      <c r="CG553" s="11"/>
      <c r="CH553" s="247"/>
      <c r="CI553" s="247"/>
      <c r="CJ553" s="247"/>
      <c r="CK553" s="11"/>
      <c r="CL553" s="11"/>
      <c r="CM553" s="11"/>
      <c r="CN553" s="11"/>
      <c r="CO553" s="11"/>
      <c r="CP553" s="11"/>
      <c r="CQ553" s="11"/>
      <c r="CR553" s="11"/>
      <c r="CS553" s="11"/>
      <c r="CT553" s="247"/>
      <c r="CU553" s="247"/>
      <c r="CV553" s="247"/>
      <c r="CW553" s="11"/>
      <c r="CX553" s="11"/>
      <c r="CY553" s="11"/>
      <c r="CZ553" s="11"/>
      <c r="DA553" s="11"/>
      <c r="DB553" s="11"/>
      <c r="DC553" s="11"/>
      <c r="DD553" s="11"/>
      <c r="DE553" s="11"/>
      <c r="DF553" s="11"/>
      <c r="DG553" s="11"/>
      <c r="DH553" s="11"/>
      <c r="DI553" s="11"/>
      <c r="DJ553" s="11"/>
      <c r="DK553" s="11"/>
      <c r="DL553" s="247"/>
      <c r="DM553" s="247"/>
      <c r="DN553" s="247"/>
      <c r="DO553" s="247"/>
      <c r="DP553" s="247"/>
      <c r="DQ553" s="247"/>
      <c r="DR553" s="247"/>
      <c r="DS553" s="247"/>
      <c r="DT553" s="247"/>
      <c r="DU553" s="247"/>
      <c r="DV553" s="247"/>
      <c r="DW553" s="247"/>
      <c r="DX553" s="247"/>
      <c r="DY553" s="247"/>
      <c r="DZ553" s="247"/>
      <c r="EA553" s="247"/>
      <c r="EB553" s="247"/>
      <c r="EC553" s="247"/>
      <c r="ED553" s="17">
        <f t="shared" si="202"/>
        <v>42245</v>
      </c>
      <c r="EE553" s="29">
        <f t="shared" si="203"/>
        <v>2</v>
      </c>
      <c r="EF553" s="17">
        <f t="shared" si="204"/>
        <v>21122.5</v>
      </c>
    </row>
    <row r="554" spans="1:136" ht="76.5" x14ac:dyDescent="0.25">
      <c r="A554" s="25">
        <f>Distribución_Elementos!A554</f>
        <v>552</v>
      </c>
      <c r="B554" s="22" t="str">
        <f>Distribución_Elementos!B554</f>
        <v xml:space="preserve">Termómetro bimetálico. Conexión, bulbo, caja y aro de acero inoxidable. Visor de vidrio. Cuadrante de aluminio con impresiones en negro. Totalmente hermético. Ø del bulbo: 6.35 mm. largo 150 mm. carátula de 4”. Escala de 0° a 100°C. Longitud sonda 30 cm.
</v>
      </c>
      <c r="C554" s="22" t="str">
        <f>Distribución_Elementos!C554</f>
        <v>Cualquier marca</v>
      </c>
      <c r="D554" s="22" t="str">
        <f>Distribución_Elementos!D554</f>
        <v xml:space="preserve">Unidad </v>
      </c>
      <c r="E554" s="224">
        <v>1</v>
      </c>
      <c r="F554" s="221">
        <v>0</v>
      </c>
      <c r="G554" s="221">
        <v>0</v>
      </c>
      <c r="H554" s="221">
        <v>0</v>
      </c>
      <c r="I554" s="221">
        <v>0</v>
      </c>
      <c r="J554" s="221">
        <v>0</v>
      </c>
      <c r="K554" s="221">
        <v>0</v>
      </c>
      <c r="L554" s="247"/>
      <c r="M554" s="247"/>
      <c r="N554" s="227">
        <v>75000</v>
      </c>
      <c r="O554" s="119">
        <f>+N554*0.19</f>
        <v>14250</v>
      </c>
      <c r="P554" s="119">
        <f>+N554+O554</f>
        <v>89250</v>
      </c>
      <c r="Q554" s="11"/>
      <c r="R554" s="11"/>
      <c r="S554" s="11"/>
      <c r="T554" s="247"/>
      <c r="U554" s="247"/>
      <c r="V554" s="247"/>
      <c r="W554" s="11"/>
      <c r="X554" s="11"/>
      <c r="Y554" s="11"/>
      <c r="Z554" s="247"/>
      <c r="AA554" s="247"/>
      <c r="AB554" s="247"/>
      <c r="AC554" s="11"/>
      <c r="AD554" s="11"/>
      <c r="AE554" s="11"/>
      <c r="AF554" s="247"/>
      <c r="AG554" s="247"/>
      <c r="AH554" s="247"/>
      <c r="AI554" s="11"/>
      <c r="AJ554" s="11"/>
      <c r="AK554" s="11"/>
      <c r="AL554" s="102"/>
      <c r="AM554" s="102"/>
      <c r="AN554" s="102"/>
      <c r="AO554" s="44"/>
      <c r="AP554" s="44"/>
      <c r="AQ554" s="11"/>
      <c r="AR554" s="247"/>
      <c r="AS554" s="247"/>
      <c r="AT554" s="247"/>
      <c r="AU554" s="11"/>
      <c r="AV554" s="11"/>
      <c r="AW554" s="11"/>
      <c r="AX554" s="247"/>
      <c r="AY554" s="247"/>
      <c r="AZ554" s="247"/>
      <c r="BA554" s="11"/>
      <c r="BB554" s="11"/>
      <c r="BC554" s="11"/>
      <c r="BD554" s="247"/>
      <c r="BE554" s="247"/>
      <c r="BF554" s="247"/>
      <c r="BG554" s="11"/>
      <c r="BH554" s="11"/>
      <c r="BI554" s="11"/>
      <c r="BJ554" s="247">
        <v>460900</v>
      </c>
      <c r="BK554" s="247">
        <f t="shared" si="198"/>
        <v>87571</v>
      </c>
      <c r="BL554" s="247">
        <f t="shared" si="199"/>
        <v>548471</v>
      </c>
      <c r="BM554" s="190" t="s">
        <v>375</v>
      </c>
      <c r="BN554" s="190" t="s">
        <v>418</v>
      </c>
      <c r="BO554" s="11"/>
      <c r="BP554" s="247">
        <v>65000</v>
      </c>
      <c r="BQ554" s="247">
        <f t="shared" si="200"/>
        <v>12350</v>
      </c>
      <c r="BR554" s="247">
        <f t="shared" si="201"/>
        <v>77350</v>
      </c>
      <c r="BS554" s="11"/>
      <c r="BT554" s="11"/>
      <c r="BU554" s="11"/>
      <c r="BV554" s="195">
        <v>508527.5624</v>
      </c>
      <c r="BW554" s="195">
        <f t="shared" si="190"/>
        <v>96620.236856000003</v>
      </c>
      <c r="BX554" s="246">
        <f t="shared" si="191"/>
        <v>605147.79925599997</v>
      </c>
      <c r="BY554" s="190" t="s">
        <v>375</v>
      </c>
      <c r="BZ554" s="190" t="s">
        <v>418</v>
      </c>
      <c r="CA554" s="190"/>
      <c r="CB554" s="247"/>
      <c r="CC554" s="247"/>
      <c r="CD554" s="247"/>
      <c r="CE554" s="11"/>
      <c r="CF554" s="11"/>
      <c r="CG554" s="11"/>
      <c r="CH554" s="247"/>
      <c r="CI554" s="247"/>
      <c r="CJ554" s="247"/>
      <c r="CK554" s="11"/>
      <c r="CL554" s="11"/>
      <c r="CM554" s="11"/>
      <c r="CN554" s="11"/>
      <c r="CO554" s="11"/>
      <c r="CP554" s="11"/>
      <c r="CQ554" s="11"/>
      <c r="CR554" s="11"/>
      <c r="CS554" s="11"/>
      <c r="CT554" s="247"/>
      <c r="CU554" s="247"/>
      <c r="CV554" s="247"/>
      <c r="CW554" s="11"/>
      <c r="CX554" s="11"/>
      <c r="CY554" s="11"/>
      <c r="CZ554" s="11"/>
      <c r="DA554" s="11"/>
      <c r="DB554" s="11"/>
      <c r="DC554" s="11"/>
      <c r="DD554" s="11"/>
      <c r="DE554" s="11"/>
      <c r="DF554" s="11"/>
      <c r="DG554" s="11"/>
      <c r="DH554" s="11"/>
      <c r="DI554" s="11"/>
      <c r="DJ554" s="11"/>
      <c r="DK554" s="11"/>
      <c r="DL554" s="247"/>
      <c r="DM554" s="247"/>
      <c r="DN554" s="247"/>
      <c r="DO554" s="247"/>
      <c r="DP554" s="247"/>
      <c r="DQ554" s="247"/>
      <c r="DR554" s="247"/>
      <c r="DS554" s="247"/>
      <c r="DT554" s="247"/>
      <c r="DU554" s="247"/>
      <c r="DV554" s="247"/>
      <c r="DW554" s="247"/>
      <c r="DX554" s="247"/>
      <c r="DY554" s="247"/>
      <c r="DZ554" s="247"/>
      <c r="EA554" s="247"/>
      <c r="EB554" s="247"/>
      <c r="EC554" s="247"/>
      <c r="ED554" s="17">
        <f t="shared" si="202"/>
        <v>1320218.799256</v>
      </c>
      <c r="EE554" s="29">
        <f t="shared" si="203"/>
        <v>4</v>
      </c>
      <c r="EF554" s="17">
        <f t="shared" si="204"/>
        <v>330054.69981399999</v>
      </c>
    </row>
    <row r="555" spans="1:136" ht="89.25" x14ac:dyDescent="0.25">
      <c r="A555" s="25">
        <f>Distribución_Elementos!A555</f>
        <v>553</v>
      </c>
      <c r="B555" s="22" t="str">
        <f>Distribución_Elementos!B555</f>
        <v>Termohigrometro Digital, con Sensor Rango Temperatura: -40°C to +70°C.Resolución: 0,1°C;  Rango Humedad Relativa: 0-1 to 99-100%HR. Resolución: 0,1%HR. Con certificado de calibración de ente acreditado o laboratorio nacional reconocido. 
Con certificado de calibración emitido por un laboratorio certificado por el ONAC.</v>
      </c>
      <c r="C555" s="22" t="str">
        <f>Distribución_Elementos!C555</f>
        <v>Cualquier marca</v>
      </c>
      <c r="D555" s="22" t="str">
        <f>Distribución_Elementos!D555</f>
        <v xml:space="preserve">Unidad </v>
      </c>
      <c r="E555" s="224">
        <v>1</v>
      </c>
      <c r="F555" s="221">
        <v>0</v>
      </c>
      <c r="G555" s="221">
        <v>0</v>
      </c>
      <c r="H555" s="221">
        <v>0</v>
      </c>
      <c r="I555" s="221">
        <v>0</v>
      </c>
      <c r="J555" s="221">
        <v>0</v>
      </c>
      <c r="K555" s="221">
        <v>0</v>
      </c>
      <c r="L555" s="247"/>
      <c r="M555" s="247"/>
      <c r="N555" s="227"/>
      <c r="O555" s="119"/>
      <c r="P555" s="119"/>
      <c r="Q555" s="11"/>
      <c r="R555" s="11"/>
      <c r="S555" s="11"/>
      <c r="T555" s="247"/>
      <c r="U555" s="247"/>
      <c r="V555" s="247"/>
      <c r="W555" s="11"/>
      <c r="X555" s="11"/>
      <c r="Y555" s="11"/>
      <c r="Z555" s="247"/>
      <c r="AA555" s="247"/>
      <c r="AB555" s="247"/>
      <c r="AC555" s="11"/>
      <c r="AD555" s="11"/>
      <c r="AE555" s="11"/>
      <c r="AF555" s="247"/>
      <c r="AG555" s="247"/>
      <c r="AH555" s="247"/>
      <c r="AI555" s="11"/>
      <c r="AJ555" s="11"/>
      <c r="AK555" s="11"/>
      <c r="AL555" s="102"/>
      <c r="AM555" s="102"/>
      <c r="AN555" s="102"/>
      <c r="AO555" s="44"/>
      <c r="AP555" s="44"/>
      <c r="AQ555" s="11"/>
      <c r="AR555" s="247"/>
      <c r="AS555" s="247"/>
      <c r="AT555" s="247"/>
      <c r="AU555" s="11"/>
      <c r="AV555" s="11"/>
      <c r="AW555" s="11"/>
      <c r="AX555" s="247"/>
      <c r="AY555" s="247"/>
      <c r="AZ555" s="247"/>
      <c r="BA555" s="11"/>
      <c r="BB555" s="11"/>
      <c r="BC555" s="11"/>
      <c r="BD555" s="247"/>
      <c r="BE555" s="247"/>
      <c r="BF555" s="247"/>
      <c r="BG555" s="11"/>
      <c r="BH555" s="11"/>
      <c r="BI555" s="11"/>
      <c r="BJ555" s="252">
        <v>604900</v>
      </c>
      <c r="BK555" s="252">
        <f t="shared" si="198"/>
        <v>114931</v>
      </c>
      <c r="BL555" s="252">
        <f t="shared" si="199"/>
        <v>719831</v>
      </c>
      <c r="BM555" s="190" t="s">
        <v>375</v>
      </c>
      <c r="BN555" s="190" t="s">
        <v>316</v>
      </c>
      <c r="BO555" s="11"/>
      <c r="BP555" s="247">
        <v>495000</v>
      </c>
      <c r="BQ555" s="247">
        <f t="shared" si="200"/>
        <v>94050</v>
      </c>
      <c r="BR555" s="247">
        <f t="shared" si="201"/>
        <v>589050</v>
      </c>
      <c r="BS555" s="11"/>
      <c r="BT555" s="11"/>
      <c r="BU555" s="11"/>
      <c r="BV555" s="195">
        <v>667283.33700000006</v>
      </c>
      <c r="BW555" s="195">
        <f t="shared" si="190"/>
        <v>126783.83403000001</v>
      </c>
      <c r="BX555" s="246">
        <f t="shared" si="191"/>
        <v>794067.17103000009</v>
      </c>
      <c r="BY555" s="190" t="s">
        <v>375</v>
      </c>
      <c r="BZ555" s="190" t="s">
        <v>316</v>
      </c>
      <c r="CA555" s="190"/>
      <c r="CB555" s="247"/>
      <c r="CC555" s="247"/>
      <c r="CD555" s="247"/>
      <c r="CE555" s="11"/>
      <c r="CF555" s="11"/>
      <c r="CG555" s="11"/>
      <c r="CH555" s="247"/>
      <c r="CI555" s="247"/>
      <c r="CJ555" s="247"/>
      <c r="CK555" s="11"/>
      <c r="CL555" s="11"/>
      <c r="CM555" s="11"/>
      <c r="CN555" s="11"/>
      <c r="CO555" s="11"/>
      <c r="CP555" s="11"/>
      <c r="CQ555" s="11"/>
      <c r="CR555" s="11"/>
      <c r="CS555" s="11"/>
      <c r="CT555" s="247"/>
      <c r="CU555" s="247"/>
      <c r="CV555" s="247"/>
      <c r="CW555" s="11"/>
      <c r="CX555" s="11"/>
      <c r="CY555" s="11"/>
      <c r="CZ555" s="11"/>
      <c r="DA555" s="11"/>
      <c r="DB555" s="11"/>
      <c r="DC555" s="11"/>
      <c r="DD555" s="11"/>
      <c r="DE555" s="11"/>
      <c r="DF555" s="11"/>
      <c r="DG555" s="11"/>
      <c r="DH555" s="11"/>
      <c r="DI555" s="11"/>
      <c r="DJ555" s="11"/>
      <c r="DK555" s="11"/>
      <c r="DL555" s="247"/>
      <c r="DM555" s="247"/>
      <c r="DN555" s="247"/>
      <c r="DO555" s="247"/>
      <c r="DP555" s="247"/>
      <c r="DQ555" s="247"/>
      <c r="DR555" s="247"/>
      <c r="DS555" s="247"/>
      <c r="DT555" s="247"/>
      <c r="DU555" s="247"/>
      <c r="DV555" s="247"/>
      <c r="DW555" s="247"/>
      <c r="DX555" s="247"/>
      <c r="DY555" s="247"/>
      <c r="DZ555" s="247"/>
      <c r="EA555" s="247"/>
      <c r="EB555" s="247"/>
      <c r="EC555" s="247"/>
      <c r="ED555" s="17">
        <f t="shared" si="202"/>
        <v>2102948.1710299999</v>
      </c>
      <c r="EE555" s="29">
        <f t="shared" si="203"/>
        <v>3</v>
      </c>
      <c r="EF555" s="17">
        <f t="shared" si="204"/>
        <v>700982.72367666662</v>
      </c>
    </row>
    <row r="556" spans="1:136" ht="114.75" x14ac:dyDescent="0.25">
      <c r="A556" s="25">
        <f>Distribución_Elementos!A556</f>
        <v>554</v>
      </c>
      <c r="B556" s="22" t="str">
        <f>Distribución_Elementos!B556</f>
        <v>KIT de Necropsia Aviar, conformado por: Caja plástica Rimax con capacidad para almacenar: 1 mango de bisturí #2, 4 pinzas mosquito rectas, 4 pinzas mosquito curvas, 1 pinza con garra, 1 pinza sin garra, 1 cuchillo pequeño fileteador de pollo, 1 tijeras para despresar pollo, 1 tijeras mayo punta roma rectas, 1 tijeras mayo punta roma curvas, 1 tijeras metzmenbau punta roma recta, 1 tijera lister, 1 piedra para afilar, 1 riñonera en aliminio, 1 mechero, 1 canaleta, 2 separadores, 1 costótomo 22 a 34 cm.</v>
      </c>
      <c r="C556" s="22" t="str">
        <f>Distribución_Elementos!C556</f>
        <v>Cualquier marca</v>
      </c>
      <c r="D556" s="22" t="str">
        <f>Distribución_Elementos!D556</f>
        <v>Unidad</v>
      </c>
      <c r="E556" s="224">
        <v>1</v>
      </c>
      <c r="F556" s="221">
        <v>0</v>
      </c>
      <c r="G556" s="221">
        <v>0</v>
      </c>
      <c r="H556" s="221">
        <v>0</v>
      </c>
      <c r="I556" s="221">
        <v>0</v>
      </c>
      <c r="J556" s="221">
        <v>0</v>
      </c>
      <c r="K556" s="221">
        <v>0</v>
      </c>
      <c r="L556" s="247"/>
      <c r="M556" s="247"/>
      <c r="N556" s="227">
        <v>950000</v>
      </c>
      <c r="O556" s="119">
        <f>+N556*0.19</f>
        <v>180500</v>
      </c>
      <c r="P556" s="119">
        <f>+N556+O556</f>
        <v>1130500</v>
      </c>
      <c r="Q556" s="11"/>
      <c r="R556" s="11"/>
      <c r="S556" s="11"/>
      <c r="T556" s="247"/>
      <c r="U556" s="247"/>
      <c r="V556" s="247"/>
      <c r="W556" s="11"/>
      <c r="X556" s="11"/>
      <c r="Y556" s="11"/>
      <c r="Z556" s="247"/>
      <c r="AA556" s="247"/>
      <c r="AB556" s="247"/>
      <c r="AC556" s="11"/>
      <c r="AD556" s="11"/>
      <c r="AE556" s="11"/>
      <c r="AF556" s="247"/>
      <c r="AG556" s="247"/>
      <c r="AH556" s="247"/>
      <c r="AI556" s="11"/>
      <c r="AJ556" s="11"/>
      <c r="AK556" s="11"/>
      <c r="AL556" s="102"/>
      <c r="AM556" s="102"/>
      <c r="AN556" s="102"/>
      <c r="AO556" s="44"/>
      <c r="AP556" s="44"/>
      <c r="AQ556" s="11"/>
      <c r="AR556" s="247"/>
      <c r="AS556" s="247"/>
      <c r="AT556" s="247"/>
      <c r="AU556" s="11"/>
      <c r="AV556" s="11"/>
      <c r="AW556" s="11"/>
      <c r="AX556" s="247"/>
      <c r="AY556" s="247"/>
      <c r="AZ556" s="247"/>
      <c r="BA556" s="11"/>
      <c r="BB556" s="11"/>
      <c r="BC556" s="11"/>
      <c r="BD556" s="247"/>
      <c r="BE556" s="247"/>
      <c r="BF556" s="247"/>
      <c r="BG556" s="11"/>
      <c r="BH556" s="11"/>
      <c r="BI556" s="11"/>
      <c r="BJ556" s="247"/>
      <c r="BK556" s="247"/>
      <c r="BL556" s="247"/>
      <c r="BM556" s="190"/>
      <c r="BN556" s="190"/>
      <c r="BO556" s="11"/>
      <c r="BP556" s="247"/>
      <c r="BQ556" s="247"/>
      <c r="BR556" s="247"/>
      <c r="BS556" s="11"/>
      <c r="BT556" s="11"/>
      <c r="BU556" s="11"/>
      <c r="BV556" s="189"/>
      <c r="BW556" s="196"/>
      <c r="BX556" s="246"/>
      <c r="BY556" s="190"/>
      <c r="BZ556" s="190"/>
      <c r="CA556" s="190"/>
      <c r="CB556" s="247"/>
      <c r="CC556" s="247"/>
      <c r="CD556" s="247"/>
      <c r="CE556" s="11"/>
      <c r="CF556" s="11"/>
      <c r="CG556" s="11"/>
      <c r="CH556" s="247"/>
      <c r="CI556" s="247"/>
      <c r="CJ556" s="247"/>
      <c r="CK556" s="11"/>
      <c r="CL556" s="11"/>
      <c r="CM556" s="11"/>
      <c r="CN556" s="11"/>
      <c r="CO556" s="11"/>
      <c r="CP556" s="11"/>
      <c r="CQ556" s="11"/>
      <c r="CR556" s="11"/>
      <c r="CS556" s="11"/>
      <c r="CT556" s="247"/>
      <c r="CU556" s="247"/>
      <c r="CV556" s="247"/>
      <c r="CW556" s="11"/>
      <c r="CX556" s="11"/>
      <c r="CY556" s="11"/>
      <c r="CZ556" s="11"/>
      <c r="DA556" s="11"/>
      <c r="DB556" s="11"/>
      <c r="DC556" s="11"/>
      <c r="DD556" s="11"/>
      <c r="DE556" s="11"/>
      <c r="DF556" s="11"/>
      <c r="DG556" s="11"/>
      <c r="DH556" s="11"/>
      <c r="DI556" s="11"/>
      <c r="DJ556" s="11"/>
      <c r="DK556" s="11"/>
      <c r="DL556" s="247"/>
      <c r="DM556" s="247"/>
      <c r="DN556" s="247"/>
      <c r="DO556" s="247"/>
      <c r="DP556" s="247"/>
      <c r="DQ556" s="247"/>
      <c r="DR556" s="247"/>
      <c r="DS556" s="247"/>
      <c r="DT556" s="247"/>
      <c r="DU556" s="247"/>
      <c r="DV556" s="247"/>
      <c r="DW556" s="247"/>
      <c r="DX556" s="247"/>
      <c r="DY556" s="247"/>
      <c r="DZ556" s="247"/>
      <c r="EA556" s="247"/>
      <c r="EB556" s="247"/>
      <c r="EC556" s="247"/>
      <c r="ED556" s="17">
        <f t="shared" si="202"/>
        <v>1130500</v>
      </c>
      <c r="EE556" s="29">
        <f t="shared" si="203"/>
        <v>1</v>
      </c>
      <c r="EF556" s="17">
        <f t="shared" si="204"/>
        <v>1130500</v>
      </c>
    </row>
    <row r="557" spans="1:136" x14ac:dyDescent="0.25">
      <c r="A557" s="25">
        <f>Distribución_Elementos!A557</f>
        <v>555</v>
      </c>
      <c r="B557" s="22" t="str">
        <f>Distribución_Elementos!B557</f>
        <v>Laminilla cubre objeto 22 x 60 mm</v>
      </c>
      <c r="C557" s="22" t="str">
        <f>Distribución_Elementos!C557</f>
        <v>Cualquier marca</v>
      </c>
      <c r="D557" s="22" t="str">
        <f>Distribución_Elementos!D557</f>
        <v xml:space="preserve">Caja x 100 </v>
      </c>
      <c r="E557" s="224">
        <v>1</v>
      </c>
      <c r="F557" s="221">
        <v>0</v>
      </c>
      <c r="G557" s="221">
        <v>0</v>
      </c>
      <c r="H557" s="221">
        <v>0</v>
      </c>
      <c r="I557" s="221">
        <v>0</v>
      </c>
      <c r="J557" s="221">
        <v>0</v>
      </c>
      <c r="K557" s="221">
        <v>0</v>
      </c>
      <c r="L557" s="247"/>
      <c r="M557" s="247"/>
      <c r="N557" s="227">
        <v>14000</v>
      </c>
      <c r="O557" s="119">
        <f>+N557*0.19</f>
        <v>2660</v>
      </c>
      <c r="P557" s="119">
        <f>+N557+O557</f>
        <v>16660</v>
      </c>
      <c r="Q557" s="11"/>
      <c r="R557" s="11"/>
      <c r="S557" s="11"/>
      <c r="T557" s="247"/>
      <c r="U557" s="247"/>
      <c r="V557" s="247"/>
      <c r="W557" s="11"/>
      <c r="X557" s="11"/>
      <c r="Y557" s="11"/>
      <c r="Z557" s="247"/>
      <c r="AA557" s="247"/>
      <c r="AB557" s="247"/>
      <c r="AC557" s="11"/>
      <c r="AD557" s="11"/>
      <c r="AE557" s="11"/>
      <c r="AF557" s="247"/>
      <c r="AG557" s="247"/>
      <c r="AH557" s="247"/>
      <c r="AI557" s="11"/>
      <c r="AJ557" s="11"/>
      <c r="AK557" s="11"/>
      <c r="AL557" s="102"/>
      <c r="AM557" s="102"/>
      <c r="AN557" s="102"/>
      <c r="AO557" s="44"/>
      <c r="AP557" s="44"/>
      <c r="AQ557" s="11"/>
      <c r="AR557" s="247"/>
      <c r="AS557" s="247"/>
      <c r="AT557" s="247"/>
      <c r="AU557" s="11"/>
      <c r="AV557" s="11"/>
      <c r="AW557" s="11"/>
      <c r="AX557" s="247"/>
      <c r="AY557" s="247"/>
      <c r="AZ557" s="247"/>
      <c r="BA557" s="11"/>
      <c r="BB557" s="11"/>
      <c r="BC557" s="11"/>
      <c r="BD557" s="247"/>
      <c r="BE557" s="247"/>
      <c r="BF557" s="247"/>
      <c r="BG557" s="11"/>
      <c r="BH557" s="11"/>
      <c r="BI557" s="11"/>
      <c r="BJ557" s="252">
        <v>6000</v>
      </c>
      <c r="BK557" s="252">
        <f t="shared" si="198"/>
        <v>1140</v>
      </c>
      <c r="BL557" s="252">
        <f t="shared" si="199"/>
        <v>7140</v>
      </c>
      <c r="BM557" s="190" t="s">
        <v>1498</v>
      </c>
      <c r="BN557" s="190" t="s">
        <v>316</v>
      </c>
      <c r="BO557" s="11"/>
      <c r="BP557" s="247">
        <v>2800</v>
      </c>
      <c r="BQ557" s="247">
        <f t="shared" si="200"/>
        <v>532</v>
      </c>
      <c r="BR557" s="247">
        <f t="shared" si="201"/>
        <v>3332</v>
      </c>
      <c r="BS557" s="11"/>
      <c r="BT557" s="11"/>
      <c r="BU557" s="11"/>
      <c r="BV557" s="199"/>
      <c r="BW557" s="195"/>
      <c r="BX557" s="246"/>
      <c r="BY557" s="190"/>
      <c r="BZ557" s="190"/>
      <c r="CA557" s="190"/>
      <c r="CB557" s="247"/>
      <c r="CC557" s="247"/>
      <c r="CD557" s="247"/>
      <c r="CE557" s="11"/>
      <c r="CF557" s="11"/>
      <c r="CG557" s="11"/>
      <c r="CH557" s="247"/>
      <c r="CI557" s="247"/>
      <c r="CJ557" s="247"/>
      <c r="CK557" s="11"/>
      <c r="CL557" s="11"/>
      <c r="CM557" s="11"/>
      <c r="CN557" s="11"/>
      <c r="CO557" s="11"/>
      <c r="CP557" s="11"/>
      <c r="CQ557" s="11"/>
      <c r="CR557" s="11"/>
      <c r="CS557" s="11"/>
      <c r="CT557" s="247"/>
      <c r="CU557" s="247"/>
      <c r="CV557" s="247"/>
      <c r="CW557" s="11"/>
      <c r="CX557" s="11"/>
      <c r="CY557" s="11"/>
      <c r="CZ557" s="11"/>
      <c r="DA557" s="11"/>
      <c r="DB557" s="11"/>
      <c r="DC557" s="11"/>
      <c r="DD557" s="11"/>
      <c r="DE557" s="11"/>
      <c r="DF557" s="11"/>
      <c r="DG557" s="11"/>
      <c r="DH557" s="11"/>
      <c r="DI557" s="11"/>
      <c r="DJ557" s="11"/>
      <c r="DK557" s="11"/>
      <c r="DL557" s="247"/>
      <c r="DM557" s="247"/>
      <c r="DN557" s="247"/>
      <c r="DO557" s="247"/>
      <c r="DP557" s="247"/>
      <c r="DQ557" s="247"/>
      <c r="DR557" s="247"/>
      <c r="DS557" s="247"/>
      <c r="DT557" s="247"/>
      <c r="DU557" s="247"/>
      <c r="DV557" s="247"/>
      <c r="DW557" s="247"/>
      <c r="DX557" s="247"/>
      <c r="DY557" s="247"/>
      <c r="DZ557" s="247"/>
      <c r="EA557" s="247"/>
      <c r="EB557" s="247"/>
      <c r="EC557" s="247"/>
      <c r="ED557" s="17">
        <f t="shared" si="202"/>
        <v>27132</v>
      </c>
      <c r="EE557" s="29">
        <f t="shared" si="203"/>
        <v>3</v>
      </c>
      <c r="EF557" s="17">
        <f t="shared" si="204"/>
        <v>9044</v>
      </c>
    </row>
    <row r="558" spans="1:136" ht="38.25" x14ac:dyDescent="0.25">
      <c r="A558" s="25">
        <f>Distribución_Elementos!A558</f>
        <v>556</v>
      </c>
      <c r="B558" s="22" t="str">
        <f>Distribución_Elementos!B558</f>
        <v xml:space="preserve">Balón aforado de 10 ml clase A no ámbar, con certificado de fábrica (calidad y rastreabilidad), borosilicato 3.3 que cumpla con los estándares DIN en ISO 1042 </v>
      </c>
      <c r="C558" s="22" t="str">
        <f>Distribución_Elementos!C558</f>
        <v>Brand, Pyrex, Corning, Kymax o equivalente</v>
      </c>
      <c r="D558" s="22" t="str">
        <f>Distribución_Elementos!D558</f>
        <v>Unidad</v>
      </c>
      <c r="E558" s="224">
        <v>1</v>
      </c>
      <c r="F558" s="221">
        <v>0</v>
      </c>
      <c r="G558" s="221">
        <v>0</v>
      </c>
      <c r="H558" s="221">
        <v>0</v>
      </c>
      <c r="I558" s="221">
        <v>0</v>
      </c>
      <c r="J558" s="221">
        <v>0</v>
      </c>
      <c r="K558" s="221">
        <v>0</v>
      </c>
      <c r="L558" s="247"/>
      <c r="M558" s="247"/>
      <c r="N558" s="227"/>
      <c r="O558" s="119"/>
      <c r="P558" s="119"/>
      <c r="Q558" s="11"/>
      <c r="R558" s="11"/>
      <c r="S558" s="11"/>
      <c r="T558" s="247">
        <v>41800</v>
      </c>
      <c r="U558" s="247">
        <f>+T558*0.19</f>
        <v>7942</v>
      </c>
      <c r="V558" s="247">
        <f>+T558+U558</f>
        <v>49742</v>
      </c>
      <c r="W558" s="11" t="s">
        <v>140</v>
      </c>
      <c r="X558" s="11" t="s">
        <v>1521</v>
      </c>
      <c r="Y558" s="11"/>
      <c r="Z558" s="247"/>
      <c r="AA558" s="247"/>
      <c r="AB558" s="247"/>
      <c r="AC558" s="11"/>
      <c r="AD558" s="11"/>
      <c r="AE558" s="11"/>
      <c r="AF558" s="247"/>
      <c r="AG558" s="247"/>
      <c r="AH558" s="247"/>
      <c r="AI558" s="11"/>
      <c r="AJ558" s="11"/>
      <c r="AK558" s="11"/>
      <c r="AL558" s="102"/>
      <c r="AM558" s="102"/>
      <c r="AN558" s="102"/>
      <c r="AO558" s="44"/>
      <c r="AP558" s="44"/>
      <c r="AQ558" s="11"/>
      <c r="AR558" s="247"/>
      <c r="AS558" s="247"/>
      <c r="AT558" s="247"/>
      <c r="AU558" s="11"/>
      <c r="AV558" s="11"/>
      <c r="AW558" s="11"/>
      <c r="AX558" s="247"/>
      <c r="AY558" s="247"/>
      <c r="AZ558" s="247"/>
      <c r="BA558" s="11"/>
      <c r="BB558" s="11"/>
      <c r="BC558" s="11"/>
      <c r="BD558" s="247"/>
      <c r="BE558" s="247"/>
      <c r="BF558" s="247"/>
      <c r="BG558" s="11"/>
      <c r="BH558" s="11"/>
      <c r="BI558" s="11"/>
      <c r="BJ558" s="252">
        <v>42000</v>
      </c>
      <c r="BK558" s="252">
        <f t="shared" si="198"/>
        <v>7980</v>
      </c>
      <c r="BL558" s="252">
        <f t="shared" si="199"/>
        <v>49980</v>
      </c>
      <c r="BM558" s="190" t="s">
        <v>375</v>
      </c>
      <c r="BN558" s="190" t="s">
        <v>1565</v>
      </c>
      <c r="BO558" s="11"/>
      <c r="BP558" s="247"/>
      <c r="BQ558" s="247"/>
      <c r="BR558" s="247"/>
      <c r="BS558" s="11"/>
      <c r="BT558" s="11"/>
      <c r="BU558" s="11"/>
      <c r="BV558" s="195">
        <v>47213.964000000007</v>
      </c>
      <c r="BW558" s="195">
        <f t="shared" ref="BW558:BW566" si="205">+BV558*0.19</f>
        <v>8970.6531600000017</v>
      </c>
      <c r="BX558" s="246">
        <f t="shared" ref="BX558:BX566" si="206">+BV558+BW558</f>
        <v>56184.617160000009</v>
      </c>
      <c r="BY558" s="190" t="s">
        <v>375</v>
      </c>
      <c r="BZ558" s="190" t="s">
        <v>1565</v>
      </c>
      <c r="CA558" s="190"/>
      <c r="CB558" s="247"/>
      <c r="CC558" s="247"/>
      <c r="CD558" s="247"/>
      <c r="CE558" s="11"/>
      <c r="CF558" s="11"/>
      <c r="CG558" s="11"/>
      <c r="CH558" s="247"/>
      <c r="CI558" s="247"/>
      <c r="CJ558" s="247"/>
      <c r="CK558" s="11"/>
      <c r="CL558" s="11"/>
      <c r="CM558" s="11"/>
      <c r="CN558" s="11"/>
      <c r="CO558" s="11"/>
      <c r="CP558" s="11"/>
      <c r="CQ558" s="11"/>
      <c r="CR558" s="11"/>
      <c r="CS558" s="11"/>
      <c r="CT558" s="247"/>
      <c r="CU558" s="247"/>
      <c r="CV558" s="247"/>
      <c r="CW558" s="11"/>
      <c r="CX558" s="11"/>
      <c r="CY558" s="11"/>
      <c r="CZ558" s="11"/>
      <c r="DA558" s="11"/>
      <c r="DB558" s="11"/>
      <c r="DC558" s="11"/>
      <c r="DD558" s="11"/>
      <c r="DE558" s="11"/>
      <c r="DF558" s="11"/>
      <c r="DG558" s="11"/>
      <c r="DH558" s="11"/>
      <c r="DI558" s="11"/>
      <c r="DJ558" s="11"/>
      <c r="DK558" s="11"/>
      <c r="DL558" s="247"/>
      <c r="DM558" s="247"/>
      <c r="DN558" s="247"/>
      <c r="DO558" s="247"/>
      <c r="DP558" s="247"/>
      <c r="DQ558" s="247"/>
      <c r="DR558" s="247"/>
      <c r="DS558" s="247"/>
      <c r="DT558" s="247"/>
      <c r="DU558" s="247"/>
      <c r="DV558" s="247"/>
      <c r="DW558" s="247"/>
      <c r="DX558" s="247"/>
      <c r="DY558" s="247"/>
      <c r="DZ558" s="247"/>
      <c r="EA558" s="247"/>
      <c r="EB558" s="247"/>
      <c r="EC558" s="247"/>
      <c r="ED558" s="17">
        <f t="shared" si="202"/>
        <v>155906.61716000002</v>
      </c>
      <c r="EE558" s="29">
        <f t="shared" si="203"/>
        <v>3</v>
      </c>
      <c r="EF558" s="17">
        <f t="shared" si="204"/>
        <v>51968.872386666677</v>
      </c>
    </row>
    <row r="559" spans="1:136" ht="24" x14ac:dyDescent="0.25">
      <c r="A559" s="25">
        <f>Distribución_Elementos!A559</f>
        <v>557</v>
      </c>
      <c r="B559" s="22" t="str">
        <f>Distribución_Elementos!B559</f>
        <v>Columnas C18 (150 mm x 4,6 x 5 µ)</v>
      </c>
      <c r="C559" s="22" t="str">
        <f>Distribución_Elementos!C559</f>
        <v>Cualquier marca</v>
      </c>
      <c r="D559" s="22" t="str">
        <f>Distribución_Elementos!D559</f>
        <v>Unidad</v>
      </c>
      <c r="E559" s="224">
        <v>1</v>
      </c>
      <c r="F559" s="221">
        <v>0</v>
      </c>
      <c r="G559" s="221">
        <v>0</v>
      </c>
      <c r="H559" s="221">
        <v>0</v>
      </c>
      <c r="I559" s="221">
        <v>0</v>
      </c>
      <c r="J559" s="221">
        <v>0</v>
      </c>
      <c r="K559" s="221">
        <v>0</v>
      </c>
      <c r="L559" s="247"/>
      <c r="M559" s="247"/>
      <c r="N559" s="227"/>
      <c r="O559" s="119"/>
      <c r="P559" s="119"/>
      <c r="Q559" s="11"/>
      <c r="R559" s="11"/>
      <c r="S559" s="11"/>
      <c r="T559" s="247"/>
      <c r="U559" s="247"/>
      <c r="V559" s="247"/>
      <c r="W559" s="11"/>
      <c r="X559" s="11"/>
      <c r="Y559" s="11"/>
      <c r="Z559" s="247"/>
      <c r="AA559" s="247"/>
      <c r="AB559" s="247"/>
      <c r="AC559" s="11"/>
      <c r="AD559" s="11"/>
      <c r="AE559" s="11"/>
      <c r="AF559" s="247"/>
      <c r="AG559" s="247"/>
      <c r="AH559" s="247"/>
      <c r="AI559" s="11"/>
      <c r="AJ559" s="11"/>
      <c r="AK559" s="11"/>
      <c r="AL559" s="102"/>
      <c r="AM559" s="102"/>
      <c r="AN559" s="102"/>
      <c r="AO559" s="44"/>
      <c r="AP559" s="44"/>
      <c r="AQ559" s="11"/>
      <c r="AR559" s="247"/>
      <c r="AS559" s="247"/>
      <c r="AT559" s="247"/>
      <c r="AU559" s="11"/>
      <c r="AV559" s="11"/>
      <c r="AW559" s="11"/>
      <c r="AX559" s="247"/>
      <c r="AY559" s="247"/>
      <c r="AZ559" s="247"/>
      <c r="BA559" s="11"/>
      <c r="BB559" s="11"/>
      <c r="BC559" s="11"/>
      <c r="BD559" s="247"/>
      <c r="BE559" s="247"/>
      <c r="BF559" s="247"/>
      <c r="BG559" s="11"/>
      <c r="BH559" s="11"/>
      <c r="BI559" s="11"/>
      <c r="BJ559" s="247">
        <v>5591500</v>
      </c>
      <c r="BK559" s="247">
        <f t="shared" si="198"/>
        <v>1062385</v>
      </c>
      <c r="BL559" s="247">
        <f t="shared" si="199"/>
        <v>6653885</v>
      </c>
      <c r="BM559" s="190" t="s">
        <v>375</v>
      </c>
      <c r="BN559" s="190" t="s">
        <v>387</v>
      </c>
      <c r="BO559" s="11"/>
      <c r="BP559" s="247">
        <v>3856000</v>
      </c>
      <c r="BQ559" s="247">
        <f t="shared" si="200"/>
        <v>732640</v>
      </c>
      <c r="BR559" s="247">
        <f t="shared" si="201"/>
        <v>4588640</v>
      </c>
      <c r="BS559" s="11"/>
      <c r="BT559" s="11"/>
      <c r="BU559" s="11"/>
      <c r="BV559" s="195">
        <v>6657776.6840000004</v>
      </c>
      <c r="BW559" s="195">
        <f t="shared" si="205"/>
        <v>1264977.56996</v>
      </c>
      <c r="BX559" s="246">
        <f t="shared" si="206"/>
        <v>7922754.2539600004</v>
      </c>
      <c r="BY559" s="190" t="s">
        <v>375</v>
      </c>
      <c r="BZ559" s="190" t="s">
        <v>387</v>
      </c>
      <c r="CA559" s="190"/>
      <c r="CB559" s="247"/>
      <c r="CC559" s="247"/>
      <c r="CD559" s="247"/>
      <c r="CE559" s="11"/>
      <c r="CF559" s="11"/>
      <c r="CG559" s="11"/>
      <c r="CH559" s="247"/>
      <c r="CI559" s="247"/>
      <c r="CJ559" s="247"/>
      <c r="CK559" s="11"/>
      <c r="CL559" s="11"/>
      <c r="CM559" s="11"/>
      <c r="CN559" s="11"/>
      <c r="CO559" s="11"/>
      <c r="CP559" s="11"/>
      <c r="CQ559" s="11"/>
      <c r="CR559" s="11"/>
      <c r="CS559" s="11"/>
      <c r="CT559" s="247"/>
      <c r="CU559" s="247"/>
      <c r="CV559" s="247"/>
      <c r="CW559" s="11"/>
      <c r="CX559" s="11"/>
      <c r="CY559" s="11"/>
      <c r="CZ559" s="11"/>
      <c r="DA559" s="11"/>
      <c r="DB559" s="11"/>
      <c r="DC559" s="11"/>
      <c r="DD559" s="11"/>
      <c r="DE559" s="11"/>
      <c r="DF559" s="11"/>
      <c r="DG559" s="11"/>
      <c r="DH559" s="11"/>
      <c r="DI559" s="11"/>
      <c r="DJ559" s="11"/>
      <c r="DK559" s="11"/>
      <c r="DL559" s="247"/>
      <c r="DM559" s="247"/>
      <c r="DN559" s="247"/>
      <c r="DO559" s="247"/>
      <c r="DP559" s="247"/>
      <c r="DQ559" s="247"/>
      <c r="DR559" s="247"/>
      <c r="DS559" s="247"/>
      <c r="DT559" s="247"/>
      <c r="DU559" s="247"/>
      <c r="DV559" s="247"/>
      <c r="DW559" s="247"/>
      <c r="DX559" s="247"/>
      <c r="DY559" s="247"/>
      <c r="DZ559" s="247"/>
      <c r="EA559" s="247"/>
      <c r="EB559" s="247"/>
      <c r="EC559" s="247"/>
      <c r="ED559" s="17">
        <f t="shared" si="202"/>
        <v>19165279.253959998</v>
      </c>
      <c r="EE559" s="29">
        <f t="shared" si="203"/>
        <v>3</v>
      </c>
      <c r="EF559" s="17">
        <f t="shared" si="204"/>
        <v>6388426.4179866659</v>
      </c>
    </row>
    <row r="560" spans="1:136" ht="25.5" x14ac:dyDescent="0.25">
      <c r="A560" s="25">
        <f>Distribución_Elementos!A560</f>
        <v>558</v>
      </c>
      <c r="B560" s="22" t="str">
        <f>Distribución_Elementos!B560</f>
        <v>Balón volumétrico clase A certificado de lote 200ml con tapa esmerilada</v>
      </c>
      <c r="C560" s="22" t="str">
        <f>Distribución_Elementos!C560</f>
        <v>Brand, Pyrex, Corning, Kymax o equivalente</v>
      </c>
      <c r="D560" s="22" t="str">
        <f>Distribución_Elementos!D560</f>
        <v>unidad</v>
      </c>
      <c r="E560" s="224">
        <v>1</v>
      </c>
      <c r="F560" s="221">
        <v>0</v>
      </c>
      <c r="G560" s="221">
        <v>0</v>
      </c>
      <c r="H560" s="221">
        <v>0</v>
      </c>
      <c r="I560" s="221">
        <v>0</v>
      </c>
      <c r="J560" s="221">
        <v>0</v>
      </c>
      <c r="K560" s="221">
        <v>0</v>
      </c>
      <c r="L560" s="247"/>
      <c r="M560" s="247"/>
      <c r="N560" s="227"/>
      <c r="O560" s="119"/>
      <c r="P560" s="119"/>
      <c r="Q560" s="11"/>
      <c r="R560" s="11"/>
      <c r="S560" s="11"/>
      <c r="T560" s="247">
        <v>39820</v>
      </c>
      <c r="U560" s="247">
        <f>+T560*0.19</f>
        <v>7565.8</v>
      </c>
      <c r="V560" s="247">
        <f>+T560+U560</f>
        <v>47385.8</v>
      </c>
      <c r="W560" s="11" t="s">
        <v>140</v>
      </c>
      <c r="X560" s="11" t="s">
        <v>1521</v>
      </c>
      <c r="Y560" s="11"/>
      <c r="Z560" s="247"/>
      <c r="AA560" s="247"/>
      <c r="AB560" s="247"/>
      <c r="AC560" s="11"/>
      <c r="AD560" s="11"/>
      <c r="AE560" s="11"/>
      <c r="AF560" s="247"/>
      <c r="AG560" s="247"/>
      <c r="AH560" s="247"/>
      <c r="AI560" s="11"/>
      <c r="AJ560" s="11"/>
      <c r="AK560" s="11"/>
      <c r="AL560" s="102"/>
      <c r="AM560" s="102"/>
      <c r="AN560" s="102"/>
      <c r="AO560" s="44"/>
      <c r="AP560" s="44"/>
      <c r="AQ560" s="11"/>
      <c r="AR560" s="247"/>
      <c r="AS560" s="247"/>
      <c r="AT560" s="247"/>
      <c r="AU560" s="11"/>
      <c r="AV560" s="11"/>
      <c r="AW560" s="11"/>
      <c r="AX560" s="247"/>
      <c r="AY560" s="247"/>
      <c r="AZ560" s="247"/>
      <c r="BA560" s="11"/>
      <c r="BB560" s="11"/>
      <c r="BC560" s="11"/>
      <c r="BD560" s="247"/>
      <c r="BE560" s="247"/>
      <c r="BF560" s="247"/>
      <c r="BG560" s="11"/>
      <c r="BH560" s="11"/>
      <c r="BI560" s="11"/>
      <c r="BJ560" s="247">
        <v>60700</v>
      </c>
      <c r="BK560" s="247">
        <f t="shared" si="198"/>
        <v>11533</v>
      </c>
      <c r="BL560" s="247">
        <f t="shared" si="199"/>
        <v>72233</v>
      </c>
      <c r="BM560" s="190" t="s">
        <v>375</v>
      </c>
      <c r="BN560" s="190" t="s">
        <v>1565</v>
      </c>
      <c r="BO560" s="11"/>
      <c r="BP560" s="247"/>
      <c r="BQ560" s="247"/>
      <c r="BR560" s="247"/>
      <c r="BS560" s="11"/>
      <c r="BT560" s="11"/>
      <c r="BU560" s="11"/>
      <c r="BV560" s="195">
        <v>65684.562600000005</v>
      </c>
      <c r="BW560" s="195">
        <f t="shared" si="205"/>
        <v>12480.066894000001</v>
      </c>
      <c r="BX560" s="246">
        <f t="shared" si="206"/>
        <v>78164.629494000008</v>
      </c>
      <c r="BY560" s="190" t="s">
        <v>375</v>
      </c>
      <c r="BZ560" s="190" t="s">
        <v>1565</v>
      </c>
      <c r="CA560" s="190"/>
      <c r="CB560" s="247"/>
      <c r="CC560" s="247"/>
      <c r="CD560" s="247"/>
      <c r="CE560" s="11"/>
      <c r="CF560" s="11"/>
      <c r="CG560" s="11"/>
      <c r="CH560" s="247"/>
      <c r="CI560" s="247"/>
      <c r="CJ560" s="247"/>
      <c r="CK560" s="11"/>
      <c r="CL560" s="11"/>
      <c r="CM560" s="11"/>
      <c r="CN560" s="11"/>
      <c r="CO560" s="11"/>
      <c r="CP560" s="11"/>
      <c r="CQ560" s="11"/>
      <c r="CR560" s="11"/>
      <c r="CS560" s="11"/>
      <c r="CT560" s="247"/>
      <c r="CU560" s="247"/>
      <c r="CV560" s="247"/>
      <c r="CW560" s="11"/>
      <c r="CX560" s="11"/>
      <c r="CY560" s="11"/>
      <c r="CZ560" s="11"/>
      <c r="DA560" s="11"/>
      <c r="DB560" s="11"/>
      <c r="DC560" s="11"/>
      <c r="DD560" s="11"/>
      <c r="DE560" s="11"/>
      <c r="DF560" s="11"/>
      <c r="DG560" s="11"/>
      <c r="DH560" s="11"/>
      <c r="DI560" s="11"/>
      <c r="DJ560" s="11"/>
      <c r="DK560" s="11"/>
      <c r="DL560" s="247"/>
      <c r="DM560" s="247"/>
      <c r="DN560" s="247"/>
      <c r="DO560" s="247"/>
      <c r="DP560" s="247"/>
      <c r="DQ560" s="247"/>
      <c r="DR560" s="247"/>
      <c r="DS560" s="247"/>
      <c r="DT560" s="247"/>
      <c r="DU560" s="247"/>
      <c r="DV560" s="247"/>
      <c r="DW560" s="247"/>
      <c r="DX560" s="247"/>
      <c r="DY560" s="247"/>
      <c r="DZ560" s="247"/>
      <c r="EA560" s="247"/>
      <c r="EB560" s="247"/>
      <c r="EC560" s="247"/>
      <c r="ED560" s="17">
        <f t="shared" si="202"/>
        <v>197783.42949400001</v>
      </c>
      <c r="EE560" s="29">
        <f t="shared" si="203"/>
        <v>3</v>
      </c>
      <c r="EF560" s="17">
        <f t="shared" si="204"/>
        <v>65927.809831333332</v>
      </c>
    </row>
    <row r="561" spans="1:136" x14ac:dyDescent="0.25">
      <c r="A561" s="25">
        <f>Distribución_Elementos!A561</f>
        <v>559</v>
      </c>
      <c r="B561" s="22" t="str">
        <f>Distribución_Elementos!B561</f>
        <v>varilla para agitación de vidrio 300mm</v>
      </c>
      <c r="C561" s="22" t="str">
        <f>Distribución_Elementos!C561</f>
        <v>Cualquier marca</v>
      </c>
      <c r="D561" s="22" t="str">
        <f>Distribución_Elementos!D561</f>
        <v>unidad</v>
      </c>
      <c r="E561" s="224">
        <v>1</v>
      </c>
      <c r="F561" s="221">
        <v>0</v>
      </c>
      <c r="G561" s="221">
        <v>0</v>
      </c>
      <c r="H561" s="221">
        <v>0</v>
      </c>
      <c r="I561" s="221">
        <v>0</v>
      </c>
      <c r="J561" s="221">
        <v>0</v>
      </c>
      <c r="K561" s="221">
        <v>0</v>
      </c>
      <c r="L561" s="247"/>
      <c r="M561" s="247"/>
      <c r="N561" s="227">
        <v>4000</v>
      </c>
      <c r="O561" s="119">
        <f>+N561*0.19</f>
        <v>760</v>
      </c>
      <c r="P561" s="119">
        <f>+N561+O561</f>
        <v>4760</v>
      </c>
      <c r="Q561" s="11"/>
      <c r="R561" s="11"/>
      <c r="S561" s="11"/>
      <c r="T561" s="247">
        <v>1760.0000000000002</v>
      </c>
      <c r="U561" s="247">
        <f>+T561*0.19</f>
        <v>334.40000000000003</v>
      </c>
      <c r="V561" s="247">
        <f>+T561+U561</f>
        <v>2094.4</v>
      </c>
      <c r="W561" s="11" t="s">
        <v>140</v>
      </c>
      <c r="X561" s="11" t="s">
        <v>1648</v>
      </c>
      <c r="Y561" s="11"/>
      <c r="Z561" s="247"/>
      <c r="AA561" s="247"/>
      <c r="AB561" s="247"/>
      <c r="AC561" s="11"/>
      <c r="AD561" s="11"/>
      <c r="AE561" s="11"/>
      <c r="AF561" s="247"/>
      <c r="AG561" s="247"/>
      <c r="AH561" s="247"/>
      <c r="AI561" s="11"/>
      <c r="AJ561" s="11"/>
      <c r="AK561" s="11"/>
      <c r="AL561" s="102"/>
      <c r="AM561" s="102"/>
      <c r="AN561" s="102"/>
      <c r="AO561" s="44"/>
      <c r="AP561" s="44"/>
      <c r="AQ561" s="11"/>
      <c r="AR561" s="247"/>
      <c r="AS561" s="247"/>
      <c r="AT561" s="247"/>
      <c r="AU561" s="11"/>
      <c r="AV561" s="11"/>
      <c r="AW561" s="11"/>
      <c r="AX561" s="247"/>
      <c r="AY561" s="247"/>
      <c r="AZ561" s="247"/>
      <c r="BA561" s="11"/>
      <c r="BB561" s="11"/>
      <c r="BC561" s="11"/>
      <c r="BD561" s="247"/>
      <c r="BE561" s="247"/>
      <c r="BF561" s="247"/>
      <c r="BG561" s="11"/>
      <c r="BH561" s="11"/>
      <c r="BI561" s="11"/>
      <c r="BJ561" s="247">
        <v>5000</v>
      </c>
      <c r="BK561" s="247">
        <f t="shared" si="198"/>
        <v>950</v>
      </c>
      <c r="BL561" s="247">
        <f t="shared" si="199"/>
        <v>5950</v>
      </c>
      <c r="BM561" s="190" t="s">
        <v>375</v>
      </c>
      <c r="BN561" s="190" t="s">
        <v>1565</v>
      </c>
      <c r="BO561" s="11"/>
      <c r="BP561" s="247">
        <v>4500</v>
      </c>
      <c r="BQ561" s="247">
        <f t="shared" si="200"/>
        <v>855</v>
      </c>
      <c r="BR561" s="247">
        <f t="shared" si="201"/>
        <v>5355</v>
      </c>
      <c r="BS561" s="11"/>
      <c r="BT561" s="11"/>
      <c r="BU561" s="11"/>
      <c r="BV561" s="195">
        <v>5669.6350000000002</v>
      </c>
      <c r="BW561" s="195">
        <f t="shared" si="205"/>
        <v>1077.23065</v>
      </c>
      <c r="BX561" s="246">
        <f t="shared" si="206"/>
        <v>6746.8656499999997</v>
      </c>
      <c r="BY561" s="190" t="s">
        <v>375</v>
      </c>
      <c r="BZ561" s="190" t="s">
        <v>1565</v>
      </c>
      <c r="CA561" s="190"/>
      <c r="CB561" s="247"/>
      <c r="CC561" s="247"/>
      <c r="CD561" s="247"/>
      <c r="CE561" s="11"/>
      <c r="CF561" s="11"/>
      <c r="CG561" s="11"/>
      <c r="CH561" s="247"/>
      <c r="CI561" s="247"/>
      <c r="CJ561" s="247"/>
      <c r="CK561" s="11"/>
      <c r="CL561" s="11"/>
      <c r="CM561" s="11"/>
      <c r="CN561" s="11"/>
      <c r="CO561" s="11"/>
      <c r="CP561" s="11"/>
      <c r="CQ561" s="11"/>
      <c r="CR561" s="11"/>
      <c r="CS561" s="11"/>
      <c r="CT561" s="247"/>
      <c r="CU561" s="247"/>
      <c r="CV561" s="247"/>
      <c r="CW561" s="11"/>
      <c r="CX561" s="11"/>
      <c r="CY561" s="11"/>
      <c r="CZ561" s="11"/>
      <c r="DA561" s="11"/>
      <c r="DB561" s="11"/>
      <c r="DC561" s="11"/>
      <c r="DD561" s="11"/>
      <c r="DE561" s="11"/>
      <c r="DF561" s="11"/>
      <c r="DG561" s="11"/>
      <c r="DH561" s="11"/>
      <c r="DI561" s="11"/>
      <c r="DJ561" s="11"/>
      <c r="DK561" s="11"/>
      <c r="DL561" s="247"/>
      <c r="DM561" s="247"/>
      <c r="DN561" s="247"/>
      <c r="DO561" s="247"/>
      <c r="DP561" s="247"/>
      <c r="DQ561" s="247"/>
      <c r="DR561" s="247"/>
      <c r="DS561" s="247"/>
      <c r="DT561" s="247"/>
      <c r="DU561" s="247"/>
      <c r="DV561" s="247"/>
      <c r="DW561" s="247"/>
      <c r="DX561" s="247"/>
      <c r="DY561" s="247"/>
      <c r="DZ561" s="247"/>
      <c r="EA561" s="247"/>
      <c r="EB561" s="247"/>
      <c r="EC561" s="247"/>
      <c r="ED561" s="17">
        <f t="shared" si="202"/>
        <v>24906.265650000001</v>
      </c>
      <c r="EE561" s="29">
        <f t="shared" si="203"/>
        <v>5</v>
      </c>
      <c r="EF561" s="17">
        <f t="shared" si="204"/>
        <v>4981.2531300000001</v>
      </c>
    </row>
    <row r="562" spans="1:136" ht="25.5" x14ac:dyDescent="0.25">
      <c r="A562" s="25">
        <f>Distribución_Elementos!A562</f>
        <v>560</v>
      </c>
      <c r="B562" s="22" t="str">
        <f>Distribución_Elementos!B562</f>
        <v>Microespatula En Acero Inoxidable,Doble (Espátula -Cuchara) de 150 mm de Longitud X 5 mm de Anch</v>
      </c>
      <c r="C562" s="22" t="str">
        <f>Distribución_Elementos!C562</f>
        <v>boeco(3302) o equivalente</v>
      </c>
      <c r="D562" s="22" t="str">
        <f>Distribución_Elementos!D562</f>
        <v>unidad</v>
      </c>
      <c r="E562" s="224">
        <v>1</v>
      </c>
      <c r="F562" s="221">
        <v>0</v>
      </c>
      <c r="G562" s="221">
        <v>0</v>
      </c>
      <c r="H562" s="221">
        <v>0</v>
      </c>
      <c r="I562" s="221">
        <v>0</v>
      </c>
      <c r="J562" s="221">
        <v>0</v>
      </c>
      <c r="K562" s="221">
        <v>0</v>
      </c>
      <c r="L562" s="247"/>
      <c r="M562" s="247"/>
      <c r="N562" s="227">
        <v>60000</v>
      </c>
      <c r="O562" s="119">
        <f>+N562*0.19</f>
        <v>11400</v>
      </c>
      <c r="P562" s="119">
        <f>+N562+O562</f>
        <v>71400</v>
      </c>
      <c r="Q562" s="11"/>
      <c r="R562" s="11"/>
      <c r="S562" s="11"/>
      <c r="T562" s="247">
        <v>36300</v>
      </c>
      <c r="U562" s="247">
        <f>+T562*0.19</f>
        <v>6897</v>
      </c>
      <c r="V562" s="247">
        <f>+T562+U562</f>
        <v>43197</v>
      </c>
      <c r="W562" s="11" t="s">
        <v>140</v>
      </c>
      <c r="X562" s="11" t="s">
        <v>1648</v>
      </c>
      <c r="Y562" s="11"/>
      <c r="Z562" s="247"/>
      <c r="AA562" s="247"/>
      <c r="AB562" s="247"/>
      <c r="AC562" s="11"/>
      <c r="AD562" s="11"/>
      <c r="AE562" s="11"/>
      <c r="AF562" s="247"/>
      <c r="AG562" s="247"/>
      <c r="AH562" s="247"/>
      <c r="AI562" s="11"/>
      <c r="AJ562" s="11"/>
      <c r="AK562" s="11"/>
      <c r="AL562" s="102"/>
      <c r="AM562" s="102"/>
      <c r="AN562" s="102"/>
      <c r="AO562" s="44"/>
      <c r="AP562" s="44"/>
      <c r="AQ562" s="11"/>
      <c r="AR562" s="247"/>
      <c r="AS562" s="247"/>
      <c r="AT562" s="247"/>
      <c r="AU562" s="11"/>
      <c r="AV562" s="11"/>
      <c r="AW562" s="11"/>
      <c r="AX562" s="247"/>
      <c r="AY562" s="247"/>
      <c r="AZ562" s="247"/>
      <c r="BA562" s="11"/>
      <c r="BB562" s="11"/>
      <c r="BC562" s="11"/>
      <c r="BD562" s="247"/>
      <c r="BE562" s="247"/>
      <c r="BF562" s="247"/>
      <c r="BG562" s="11"/>
      <c r="BH562" s="11"/>
      <c r="BI562" s="11"/>
      <c r="BJ562" s="247">
        <v>187200</v>
      </c>
      <c r="BK562" s="247">
        <f t="shared" si="198"/>
        <v>35568</v>
      </c>
      <c r="BL562" s="247">
        <f t="shared" si="199"/>
        <v>222768</v>
      </c>
      <c r="BM562" s="190" t="s">
        <v>375</v>
      </c>
      <c r="BN562" s="190" t="s">
        <v>1523</v>
      </c>
      <c r="BO562" s="11"/>
      <c r="BP562" s="247">
        <v>26500</v>
      </c>
      <c r="BQ562" s="247">
        <f t="shared" si="200"/>
        <v>5035</v>
      </c>
      <c r="BR562" s="247">
        <f t="shared" si="201"/>
        <v>31535</v>
      </c>
      <c r="BS562" s="11"/>
      <c r="BT562" s="11"/>
      <c r="BU562" s="11"/>
      <c r="BV562" s="195">
        <v>220654.88639999999</v>
      </c>
      <c r="BW562" s="195">
        <f t="shared" si="205"/>
        <v>41924.428415999995</v>
      </c>
      <c r="BX562" s="246">
        <f t="shared" si="206"/>
        <v>262579.314816</v>
      </c>
      <c r="BY562" s="190" t="s">
        <v>375</v>
      </c>
      <c r="BZ562" s="190" t="s">
        <v>1523</v>
      </c>
      <c r="CA562" s="190"/>
      <c r="CB562" s="247"/>
      <c r="CC562" s="247"/>
      <c r="CD562" s="247"/>
      <c r="CE562" s="11"/>
      <c r="CF562" s="11"/>
      <c r="CG562" s="11"/>
      <c r="CH562" s="247"/>
      <c r="CI562" s="247"/>
      <c r="CJ562" s="247"/>
      <c r="CK562" s="11"/>
      <c r="CL562" s="11"/>
      <c r="CM562" s="11"/>
      <c r="CN562" s="11"/>
      <c r="CO562" s="11"/>
      <c r="CP562" s="11"/>
      <c r="CQ562" s="11"/>
      <c r="CR562" s="11"/>
      <c r="CS562" s="11"/>
      <c r="CT562" s="247"/>
      <c r="CU562" s="247"/>
      <c r="CV562" s="247"/>
      <c r="CW562" s="11"/>
      <c r="CX562" s="11"/>
      <c r="CY562" s="11"/>
      <c r="CZ562" s="11"/>
      <c r="DA562" s="11"/>
      <c r="DB562" s="11"/>
      <c r="DC562" s="11"/>
      <c r="DD562" s="11"/>
      <c r="DE562" s="11"/>
      <c r="DF562" s="11"/>
      <c r="DG562" s="11"/>
      <c r="DH562" s="11"/>
      <c r="DI562" s="11"/>
      <c r="DJ562" s="11"/>
      <c r="DK562" s="11"/>
      <c r="DL562" s="247"/>
      <c r="DM562" s="247"/>
      <c r="DN562" s="247"/>
      <c r="DO562" s="247"/>
      <c r="DP562" s="247"/>
      <c r="DQ562" s="247"/>
      <c r="DR562" s="247"/>
      <c r="DS562" s="247"/>
      <c r="DT562" s="247"/>
      <c r="DU562" s="247"/>
      <c r="DV562" s="247"/>
      <c r="DW562" s="247"/>
      <c r="DX562" s="247"/>
      <c r="DY562" s="247"/>
      <c r="DZ562" s="247"/>
      <c r="EA562" s="247"/>
      <c r="EB562" s="247"/>
      <c r="EC562" s="247"/>
      <c r="ED562" s="17">
        <f t="shared" si="202"/>
        <v>631479.31481599994</v>
      </c>
      <c r="EE562" s="29">
        <f t="shared" si="203"/>
        <v>5</v>
      </c>
      <c r="EF562" s="17">
        <f t="shared" si="204"/>
        <v>126295.86296319999</v>
      </c>
    </row>
    <row r="563" spans="1:136" ht="25.5" x14ac:dyDescent="0.25">
      <c r="A563" s="25">
        <f>Distribución_Elementos!A563</f>
        <v>561</v>
      </c>
      <c r="B563" s="22" t="str">
        <f>Distribución_Elementos!B563</f>
        <v>Espatula combinada cuchara-plana 180 mm</v>
      </c>
      <c r="C563" s="22" t="str">
        <f>Distribución_Elementos!C563</f>
        <v>marca boeco(3347) o equivalente</v>
      </c>
      <c r="D563" s="22" t="str">
        <f>Distribución_Elementos!D563</f>
        <v>unidad</v>
      </c>
      <c r="E563" s="224">
        <v>1</v>
      </c>
      <c r="F563" s="221">
        <v>0</v>
      </c>
      <c r="G563" s="221">
        <v>0</v>
      </c>
      <c r="H563" s="221">
        <v>0</v>
      </c>
      <c r="I563" s="221">
        <v>0</v>
      </c>
      <c r="J563" s="221">
        <v>0</v>
      </c>
      <c r="K563" s="221">
        <v>0</v>
      </c>
      <c r="L563" s="247"/>
      <c r="M563" s="247"/>
      <c r="N563" s="227">
        <v>57000</v>
      </c>
      <c r="O563" s="119">
        <f>+N563*0.19</f>
        <v>10830</v>
      </c>
      <c r="P563" s="119">
        <f>+N563+O563</f>
        <v>67830</v>
      </c>
      <c r="Q563" s="11"/>
      <c r="R563" s="11"/>
      <c r="S563" s="11"/>
      <c r="T563" s="247"/>
      <c r="U563" s="247"/>
      <c r="V563" s="247"/>
      <c r="W563" s="11"/>
      <c r="X563" s="11"/>
      <c r="Y563" s="11"/>
      <c r="Z563" s="247"/>
      <c r="AA563" s="247"/>
      <c r="AB563" s="247"/>
      <c r="AC563" s="11"/>
      <c r="AD563" s="11"/>
      <c r="AE563" s="11"/>
      <c r="AF563" s="247"/>
      <c r="AG563" s="247"/>
      <c r="AH563" s="247"/>
      <c r="AI563" s="11"/>
      <c r="AJ563" s="11"/>
      <c r="AK563" s="11"/>
      <c r="AL563" s="102"/>
      <c r="AM563" s="102"/>
      <c r="AN563" s="102"/>
      <c r="AO563" s="44"/>
      <c r="AP563" s="44"/>
      <c r="AQ563" s="11"/>
      <c r="AR563" s="247"/>
      <c r="AS563" s="247"/>
      <c r="AT563" s="247"/>
      <c r="AU563" s="11"/>
      <c r="AV563" s="11"/>
      <c r="AW563" s="11"/>
      <c r="AX563" s="247"/>
      <c r="AY563" s="247"/>
      <c r="AZ563" s="247"/>
      <c r="BA563" s="11"/>
      <c r="BB563" s="11"/>
      <c r="BC563" s="11"/>
      <c r="BD563" s="247"/>
      <c r="BE563" s="247"/>
      <c r="BF563" s="247"/>
      <c r="BG563" s="11"/>
      <c r="BH563" s="11"/>
      <c r="BI563" s="11"/>
      <c r="BJ563" s="247">
        <v>45200</v>
      </c>
      <c r="BK563" s="247">
        <f t="shared" si="198"/>
        <v>8588</v>
      </c>
      <c r="BL563" s="247">
        <f t="shared" si="199"/>
        <v>53788</v>
      </c>
      <c r="BM563" s="190" t="s">
        <v>375</v>
      </c>
      <c r="BN563" s="190" t="s">
        <v>316</v>
      </c>
      <c r="BO563" s="11"/>
      <c r="BP563" s="247">
        <v>16500</v>
      </c>
      <c r="BQ563" s="247">
        <f t="shared" si="200"/>
        <v>3135</v>
      </c>
      <c r="BR563" s="247">
        <f t="shared" si="201"/>
        <v>19635</v>
      </c>
      <c r="BS563" s="11"/>
      <c r="BT563" s="11"/>
      <c r="BU563" s="11"/>
      <c r="BV563" s="195">
        <v>48893.292000000001</v>
      </c>
      <c r="BW563" s="195">
        <f t="shared" si="205"/>
        <v>9289.725480000001</v>
      </c>
      <c r="BX563" s="246">
        <f t="shared" si="206"/>
        <v>58183.017480000002</v>
      </c>
      <c r="BY563" s="190" t="s">
        <v>375</v>
      </c>
      <c r="BZ563" s="190" t="s">
        <v>316</v>
      </c>
      <c r="CA563" s="190"/>
      <c r="CB563" s="247"/>
      <c r="CC563" s="247"/>
      <c r="CD563" s="247"/>
      <c r="CE563" s="11"/>
      <c r="CF563" s="11"/>
      <c r="CG563" s="11"/>
      <c r="CH563" s="247"/>
      <c r="CI563" s="247"/>
      <c r="CJ563" s="247"/>
      <c r="CK563" s="11"/>
      <c r="CL563" s="11"/>
      <c r="CM563" s="11"/>
      <c r="CN563" s="11"/>
      <c r="CO563" s="11"/>
      <c r="CP563" s="11"/>
      <c r="CQ563" s="11"/>
      <c r="CR563" s="11"/>
      <c r="CS563" s="11"/>
      <c r="CT563" s="247"/>
      <c r="CU563" s="247"/>
      <c r="CV563" s="247"/>
      <c r="CW563" s="11"/>
      <c r="CX563" s="11"/>
      <c r="CY563" s="11"/>
      <c r="CZ563" s="11"/>
      <c r="DA563" s="11"/>
      <c r="DB563" s="11"/>
      <c r="DC563" s="11"/>
      <c r="DD563" s="11"/>
      <c r="DE563" s="11"/>
      <c r="DF563" s="11"/>
      <c r="DG563" s="11"/>
      <c r="DH563" s="11"/>
      <c r="DI563" s="11"/>
      <c r="DJ563" s="11"/>
      <c r="DK563" s="11"/>
      <c r="DL563" s="247"/>
      <c r="DM563" s="247"/>
      <c r="DN563" s="247"/>
      <c r="DO563" s="247"/>
      <c r="DP563" s="247"/>
      <c r="DQ563" s="247"/>
      <c r="DR563" s="247"/>
      <c r="DS563" s="247"/>
      <c r="DT563" s="247"/>
      <c r="DU563" s="247"/>
      <c r="DV563" s="247"/>
      <c r="DW563" s="247"/>
      <c r="DX563" s="247"/>
      <c r="DY563" s="247"/>
      <c r="DZ563" s="247"/>
      <c r="EA563" s="247"/>
      <c r="EB563" s="247"/>
      <c r="EC563" s="247"/>
      <c r="ED563" s="17">
        <f t="shared" si="202"/>
        <v>199436.01748000001</v>
      </c>
      <c r="EE563" s="29">
        <f t="shared" si="203"/>
        <v>4</v>
      </c>
      <c r="EF563" s="17">
        <f t="shared" si="204"/>
        <v>49859.004370000002</v>
      </c>
    </row>
    <row r="564" spans="1:136" ht="25.5" x14ac:dyDescent="0.25">
      <c r="A564" s="25">
        <f>Distribución_Elementos!A564</f>
        <v>562</v>
      </c>
      <c r="B564" s="22" t="str">
        <f>Distribución_Elementos!B564</f>
        <v>Espatula combinada cuchara-plana longitud entre 17 mm hasta 19mm</v>
      </c>
      <c r="C564" s="22" t="str">
        <f>Distribución_Elementos!C564</f>
        <v>marca boeco(3283) o equivalente</v>
      </c>
      <c r="D564" s="22" t="str">
        <f>Distribución_Elementos!D564</f>
        <v>unidad</v>
      </c>
      <c r="E564" s="224">
        <v>1</v>
      </c>
      <c r="F564" s="221">
        <v>0</v>
      </c>
      <c r="G564" s="221">
        <v>0</v>
      </c>
      <c r="H564" s="221">
        <v>0</v>
      </c>
      <c r="I564" s="221">
        <v>0</v>
      </c>
      <c r="J564" s="221">
        <v>0</v>
      </c>
      <c r="K564" s="221">
        <v>0</v>
      </c>
      <c r="L564" s="247"/>
      <c r="M564" s="247"/>
      <c r="N564" s="227">
        <v>47000</v>
      </c>
      <c r="O564" s="119">
        <f>+N564*0.19</f>
        <v>8930</v>
      </c>
      <c r="P564" s="119">
        <f>+N564+O564</f>
        <v>55930</v>
      </c>
      <c r="Q564" s="11"/>
      <c r="R564" s="11"/>
      <c r="S564" s="11"/>
      <c r="T564" s="247"/>
      <c r="U564" s="247"/>
      <c r="V564" s="247"/>
      <c r="W564" s="11"/>
      <c r="X564" s="11"/>
      <c r="Y564" s="11"/>
      <c r="Z564" s="247"/>
      <c r="AA564" s="247"/>
      <c r="AB564" s="247"/>
      <c r="AC564" s="11"/>
      <c r="AD564" s="11"/>
      <c r="AE564" s="11"/>
      <c r="AF564" s="247"/>
      <c r="AG564" s="247"/>
      <c r="AH564" s="247"/>
      <c r="AI564" s="11"/>
      <c r="AJ564" s="11"/>
      <c r="AK564" s="11"/>
      <c r="AL564" s="102"/>
      <c r="AM564" s="102"/>
      <c r="AN564" s="102"/>
      <c r="AO564" s="44"/>
      <c r="AP564" s="44"/>
      <c r="AQ564" s="11"/>
      <c r="AR564" s="247"/>
      <c r="AS564" s="247"/>
      <c r="AT564" s="247"/>
      <c r="AU564" s="11"/>
      <c r="AV564" s="11"/>
      <c r="AW564" s="11"/>
      <c r="AX564" s="247"/>
      <c r="AY564" s="247"/>
      <c r="AZ564" s="247"/>
      <c r="BA564" s="11"/>
      <c r="BB564" s="11"/>
      <c r="BC564" s="11"/>
      <c r="BD564" s="247"/>
      <c r="BE564" s="247"/>
      <c r="BF564" s="247"/>
      <c r="BG564" s="11"/>
      <c r="BH564" s="11"/>
      <c r="BI564" s="11"/>
      <c r="BJ564" s="247">
        <f>177700/6</f>
        <v>29616.666666666668</v>
      </c>
      <c r="BK564" s="247">
        <f t="shared" si="198"/>
        <v>5627.166666666667</v>
      </c>
      <c r="BL564" s="247">
        <f t="shared" si="199"/>
        <v>35243.833333333336</v>
      </c>
      <c r="BM564" s="190" t="s">
        <v>1828</v>
      </c>
      <c r="BN564" s="190" t="s">
        <v>1533</v>
      </c>
      <c r="BO564" s="11"/>
      <c r="BP564" s="247">
        <v>22000</v>
      </c>
      <c r="BQ564" s="247">
        <f t="shared" si="200"/>
        <v>4180</v>
      </c>
      <c r="BR564" s="247">
        <f t="shared" si="201"/>
        <v>26180</v>
      </c>
      <c r="BS564" s="11"/>
      <c r="BT564" s="11"/>
      <c r="BU564" s="11"/>
      <c r="BV564" s="195">
        <f>194122.3232/6</f>
        <v>32353.720533333337</v>
      </c>
      <c r="BW564" s="195">
        <f t="shared" si="205"/>
        <v>6147.2069013333339</v>
      </c>
      <c r="BX564" s="246">
        <f t="shared" si="206"/>
        <v>38500.927434666672</v>
      </c>
      <c r="BY564" s="190" t="s">
        <v>1828</v>
      </c>
      <c r="BZ564" s="190" t="s">
        <v>1533</v>
      </c>
      <c r="CA564" s="190"/>
      <c r="CB564" s="247"/>
      <c r="CC564" s="247"/>
      <c r="CD564" s="247"/>
      <c r="CE564" s="11"/>
      <c r="CF564" s="11"/>
      <c r="CG564" s="11"/>
      <c r="CH564" s="247"/>
      <c r="CI564" s="247"/>
      <c r="CJ564" s="247"/>
      <c r="CK564" s="11"/>
      <c r="CL564" s="11"/>
      <c r="CM564" s="11"/>
      <c r="CN564" s="11"/>
      <c r="CO564" s="11"/>
      <c r="CP564" s="11"/>
      <c r="CQ564" s="11"/>
      <c r="CR564" s="11"/>
      <c r="CS564" s="11"/>
      <c r="CT564" s="247"/>
      <c r="CU564" s="247"/>
      <c r="CV564" s="247"/>
      <c r="CW564" s="11"/>
      <c r="CX564" s="11"/>
      <c r="CY564" s="11"/>
      <c r="CZ564" s="11"/>
      <c r="DA564" s="11"/>
      <c r="DB564" s="11"/>
      <c r="DC564" s="11"/>
      <c r="DD564" s="11"/>
      <c r="DE564" s="11"/>
      <c r="DF564" s="11"/>
      <c r="DG564" s="11"/>
      <c r="DH564" s="11"/>
      <c r="DI564" s="11"/>
      <c r="DJ564" s="11"/>
      <c r="DK564" s="11"/>
      <c r="DL564" s="247"/>
      <c r="DM564" s="247"/>
      <c r="DN564" s="247"/>
      <c r="DO564" s="247"/>
      <c r="DP564" s="247"/>
      <c r="DQ564" s="247"/>
      <c r="DR564" s="247"/>
      <c r="DS564" s="247"/>
      <c r="DT564" s="247"/>
      <c r="DU564" s="247"/>
      <c r="DV564" s="247"/>
      <c r="DW564" s="247"/>
      <c r="DX564" s="247"/>
      <c r="DY564" s="247"/>
      <c r="DZ564" s="247"/>
      <c r="EA564" s="247"/>
      <c r="EB564" s="247"/>
      <c r="EC564" s="247"/>
      <c r="ED564" s="17">
        <f t="shared" si="202"/>
        <v>155854.76076800001</v>
      </c>
      <c r="EE564" s="29">
        <f t="shared" si="203"/>
        <v>4</v>
      </c>
      <c r="EF564" s="17">
        <f t="shared" si="204"/>
        <v>38963.690192000002</v>
      </c>
    </row>
    <row r="565" spans="1:136" ht="25.5" x14ac:dyDescent="0.25">
      <c r="A565" s="25">
        <f>Distribución_Elementos!A565</f>
        <v>563</v>
      </c>
      <c r="B565" s="22" t="str">
        <f>Distribución_Elementos!B565</f>
        <v>Gradilla plástica para tubos de ensayo de 20 mm. Capacidad 40 tubos</v>
      </c>
      <c r="C565" s="22" t="str">
        <f>Distribución_Elementos!C565</f>
        <v>Cualquier marca</v>
      </c>
      <c r="D565" s="22" t="str">
        <f>Distribución_Elementos!D565</f>
        <v xml:space="preserve">unidad </v>
      </c>
      <c r="E565" s="224">
        <v>1</v>
      </c>
      <c r="F565" s="221">
        <v>0</v>
      </c>
      <c r="G565" s="221">
        <v>0</v>
      </c>
      <c r="H565" s="221">
        <v>0</v>
      </c>
      <c r="I565" s="221">
        <v>0</v>
      </c>
      <c r="J565" s="221">
        <v>0</v>
      </c>
      <c r="K565" s="221">
        <v>0</v>
      </c>
      <c r="L565" s="247"/>
      <c r="M565" s="247"/>
      <c r="N565" s="227">
        <v>40000</v>
      </c>
      <c r="O565" s="119">
        <f>+N565*0.19</f>
        <v>7600</v>
      </c>
      <c r="P565" s="119">
        <f>+N565+O565</f>
        <v>47600</v>
      </c>
      <c r="Q565" s="11"/>
      <c r="R565" s="11"/>
      <c r="S565" s="11"/>
      <c r="T565" s="247"/>
      <c r="U565" s="247"/>
      <c r="V565" s="247"/>
      <c r="W565" s="11"/>
      <c r="X565" s="11"/>
      <c r="Y565" s="11"/>
      <c r="Z565" s="247"/>
      <c r="AA565" s="247"/>
      <c r="AB565" s="247"/>
      <c r="AC565" s="11"/>
      <c r="AD565" s="11"/>
      <c r="AE565" s="11"/>
      <c r="AF565" s="247"/>
      <c r="AG565" s="247"/>
      <c r="AH565" s="247"/>
      <c r="AI565" s="11"/>
      <c r="AJ565" s="11"/>
      <c r="AK565" s="11"/>
      <c r="AL565" s="102"/>
      <c r="AM565" s="102"/>
      <c r="AN565" s="102"/>
      <c r="AO565" s="44"/>
      <c r="AP565" s="44"/>
      <c r="AQ565" s="11"/>
      <c r="AR565" s="247"/>
      <c r="AS565" s="247"/>
      <c r="AT565" s="247"/>
      <c r="AU565" s="11"/>
      <c r="AV565" s="11"/>
      <c r="AW565" s="11"/>
      <c r="AX565" s="247"/>
      <c r="AY565" s="247"/>
      <c r="AZ565" s="247"/>
      <c r="BA565" s="11"/>
      <c r="BB565" s="11"/>
      <c r="BC565" s="11"/>
      <c r="BD565" s="247"/>
      <c r="BE565" s="247"/>
      <c r="BF565" s="247"/>
      <c r="BG565" s="11"/>
      <c r="BH565" s="11"/>
      <c r="BI565" s="11"/>
      <c r="BJ565" s="247">
        <v>67700</v>
      </c>
      <c r="BK565" s="247">
        <f t="shared" si="198"/>
        <v>12863</v>
      </c>
      <c r="BL565" s="247">
        <f t="shared" si="199"/>
        <v>80563</v>
      </c>
      <c r="BM565" s="190" t="s">
        <v>375</v>
      </c>
      <c r="BN565" s="190" t="s">
        <v>1565</v>
      </c>
      <c r="BO565" s="11"/>
      <c r="BP565" s="247">
        <v>45200</v>
      </c>
      <c r="BQ565" s="247">
        <f t="shared" si="200"/>
        <v>8588</v>
      </c>
      <c r="BR565" s="247">
        <f t="shared" si="201"/>
        <v>53788</v>
      </c>
      <c r="BS565" s="11"/>
      <c r="BT565" s="11"/>
      <c r="BU565" s="11"/>
      <c r="BV565" s="195">
        <v>78277.989600000001</v>
      </c>
      <c r="BW565" s="195">
        <f t="shared" si="205"/>
        <v>14872.818024</v>
      </c>
      <c r="BX565" s="246">
        <f t="shared" si="206"/>
        <v>93150.807624000008</v>
      </c>
      <c r="BY565" s="190" t="s">
        <v>375</v>
      </c>
      <c r="BZ565" s="190" t="s">
        <v>1565</v>
      </c>
      <c r="CA565" s="190"/>
      <c r="CB565" s="247"/>
      <c r="CC565" s="247"/>
      <c r="CD565" s="247"/>
      <c r="CE565" s="11"/>
      <c r="CF565" s="11"/>
      <c r="CG565" s="11"/>
      <c r="CH565" s="247"/>
      <c r="CI565" s="247"/>
      <c r="CJ565" s="247"/>
      <c r="CK565" s="11"/>
      <c r="CL565" s="11"/>
      <c r="CM565" s="11"/>
      <c r="CN565" s="11"/>
      <c r="CO565" s="11"/>
      <c r="CP565" s="11"/>
      <c r="CQ565" s="11"/>
      <c r="CR565" s="11"/>
      <c r="CS565" s="11"/>
      <c r="CT565" s="247"/>
      <c r="CU565" s="247"/>
      <c r="CV565" s="247"/>
      <c r="CW565" s="11"/>
      <c r="CX565" s="11"/>
      <c r="CY565" s="11"/>
      <c r="CZ565" s="11"/>
      <c r="DA565" s="11"/>
      <c r="DB565" s="11"/>
      <c r="DC565" s="11"/>
      <c r="DD565" s="11"/>
      <c r="DE565" s="11"/>
      <c r="DF565" s="11"/>
      <c r="DG565" s="11"/>
      <c r="DH565" s="11"/>
      <c r="DI565" s="11"/>
      <c r="DJ565" s="11"/>
      <c r="DK565" s="11"/>
      <c r="DL565" s="247"/>
      <c r="DM565" s="247"/>
      <c r="DN565" s="247"/>
      <c r="DO565" s="247"/>
      <c r="DP565" s="247"/>
      <c r="DQ565" s="247"/>
      <c r="DR565" s="247"/>
      <c r="DS565" s="247"/>
      <c r="DT565" s="247"/>
      <c r="DU565" s="247"/>
      <c r="DV565" s="247"/>
      <c r="DW565" s="247"/>
      <c r="DX565" s="247"/>
      <c r="DY565" s="247"/>
      <c r="DZ565" s="247"/>
      <c r="EA565" s="247"/>
      <c r="EB565" s="247"/>
      <c r="EC565" s="247"/>
      <c r="ED565" s="17">
        <f t="shared" si="202"/>
        <v>275101.80762400001</v>
      </c>
      <c r="EE565" s="29">
        <f t="shared" si="203"/>
        <v>4</v>
      </c>
      <c r="EF565" s="17">
        <f t="shared" si="204"/>
        <v>68775.451906000002</v>
      </c>
    </row>
    <row r="566" spans="1:136" ht="25.5" x14ac:dyDescent="0.25">
      <c r="A566" s="25">
        <f>Distribución_Elementos!A566</f>
        <v>564</v>
      </c>
      <c r="B566" s="22" t="str">
        <f>Distribución_Elementos!B566</f>
        <v>Adaptador de celular para lentes microscópicos</v>
      </c>
      <c r="C566" s="22" t="str">
        <f>Distribución_Elementos!C566</f>
        <v>SOLOMARK, Swift, CitoHelper o equivalente</v>
      </c>
      <c r="D566" s="22" t="str">
        <f>Distribución_Elementos!D566</f>
        <v xml:space="preserve">unidad </v>
      </c>
      <c r="E566" s="224">
        <v>1</v>
      </c>
      <c r="F566" s="221">
        <v>0</v>
      </c>
      <c r="G566" s="221">
        <v>0</v>
      </c>
      <c r="H566" s="221">
        <v>0</v>
      </c>
      <c r="I566" s="221">
        <v>0</v>
      </c>
      <c r="J566" s="221">
        <v>0</v>
      </c>
      <c r="K566" s="221">
        <v>0</v>
      </c>
      <c r="L566" s="247"/>
      <c r="M566" s="247"/>
      <c r="N566" s="227"/>
      <c r="O566" s="119"/>
      <c r="P566" s="119"/>
      <c r="Q566" s="11"/>
      <c r="R566" s="11"/>
      <c r="S566" s="11"/>
      <c r="T566" s="247"/>
      <c r="U566" s="247"/>
      <c r="V566" s="247"/>
      <c r="W566" s="11"/>
      <c r="X566" s="11"/>
      <c r="Y566" s="11"/>
      <c r="Z566" s="247"/>
      <c r="AA566" s="247"/>
      <c r="AB566" s="247"/>
      <c r="AC566" s="11"/>
      <c r="AD566" s="11"/>
      <c r="AE566" s="11"/>
      <c r="AF566" s="247"/>
      <c r="AG566" s="247"/>
      <c r="AH566" s="247"/>
      <c r="AI566" s="11"/>
      <c r="AJ566" s="11"/>
      <c r="AK566" s="11"/>
      <c r="AL566" s="102"/>
      <c r="AM566" s="102"/>
      <c r="AN566" s="102"/>
      <c r="AO566" s="44"/>
      <c r="AP566" s="44"/>
      <c r="AQ566" s="11"/>
      <c r="AR566" s="247"/>
      <c r="AS566" s="247"/>
      <c r="AT566" s="247"/>
      <c r="AU566" s="11"/>
      <c r="AV566" s="11"/>
      <c r="AW566" s="11"/>
      <c r="AX566" s="247"/>
      <c r="AY566" s="247"/>
      <c r="AZ566" s="247"/>
      <c r="BA566" s="11"/>
      <c r="BB566" s="11"/>
      <c r="BC566" s="11"/>
      <c r="BD566" s="247"/>
      <c r="BE566" s="247"/>
      <c r="BF566" s="247"/>
      <c r="BG566" s="11"/>
      <c r="BH566" s="11"/>
      <c r="BI566" s="11"/>
      <c r="BJ566" s="247">
        <v>437000</v>
      </c>
      <c r="BK566" s="247">
        <f t="shared" si="198"/>
        <v>83030</v>
      </c>
      <c r="BL566" s="247">
        <f t="shared" si="199"/>
        <v>520030</v>
      </c>
      <c r="BM566" s="190" t="s">
        <v>375</v>
      </c>
      <c r="BN566" s="190" t="s">
        <v>1829</v>
      </c>
      <c r="BO566" s="11"/>
      <c r="BP566" s="247">
        <v>265000</v>
      </c>
      <c r="BQ566" s="247">
        <f t="shared" si="200"/>
        <v>50350</v>
      </c>
      <c r="BR566" s="247">
        <f t="shared" si="201"/>
        <v>315350</v>
      </c>
      <c r="BS566" s="11"/>
      <c r="BT566" s="11"/>
      <c r="BU566" s="11"/>
      <c r="BV566" s="195">
        <v>477209.24400000006</v>
      </c>
      <c r="BW566" s="195">
        <f t="shared" si="205"/>
        <v>90669.756360000014</v>
      </c>
      <c r="BX566" s="246">
        <f t="shared" si="206"/>
        <v>567879.00036000006</v>
      </c>
      <c r="BY566" s="190" t="s">
        <v>375</v>
      </c>
      <c r="BZ566" s="190" t="s">
        <v>1829</v>
      </c>
      <c r="CA566" s="190"/>
      <c r="CB566" s="247"/>
      <c r="CC566" s="247"/>
      <c r="CD566" s="247"/>
      <c r="CE566" s="11"/>
      <c r="CF566" s="11"/>
      <c r="CG566" s="11"/>
      <c r="CH566" s="247"/>
      <c r="CI566" s="247"/>
      <c r="CJ566" s="247"/>
      <c r="CK566" s="11"/>
      <c r="CL566" s="11"/>
      <c r="CM566" s="11"/>
      <c r="CN566" s="11"/>
      <c r="CO566" s="11"/>
      <c r="CP566" s="11"/>
      <c r="CQ566" s="11"/>
      <c r="CR566" s="11"/>
      <c r="CS566" s="11"/>
      <c r="CT566" s="247"/>
      <c r="CU566" s="247"/>
      <c r="CV566" s="247"/>
      <c r="CW566" s="11"/>
      <c r="CX566" s="11"/>
      <c r="CY566" s="11"/>
      <c r="CZ566" s="11"/>
      <c r="DA566" s="11"/>
      <c r="DB566" s="11"/>
      <c r="DC566" s="11"/>
      <c r="DD566" s="11"/>
      <c r="DE566" s="11"/>
      <c r="DF566" s="11"/>
      <c r="DG566" s="11"/>
      <c r="DH566" s="11"/>
      <c r="DI566" s="11"/>
      <c r="DJ566" s="11"/>
      <c r="DK566" s="11"/>
      <c r="DL566" s="247"/>
      <c r="DM566" s="247"/>
      <c r="DN566" s="247"/>
      <c r="DO566" s="247"/>
      <c r="DP566" s="247"/>
      <c r="DQ566" s="247"/>
      <c r="DR566" s="247"/>
      <c r="DS566" s="247"/>
      <c r="DT566" s="247"/>
      <c r="DU566" s="247"/>
      <c r="DV566" s="247"/>
      <c r="DW566" s="247"/>
      <c r="DX566" s="247"/>
      <c r="DY566" s="247"/>
      <c r="DZ566" s="247"/>
      <c r="EA566" s="247"/>
      <c r="EB566" s="247"/>
      <c r="EC566" s="247"/>
      <c r="ED566" s="17">
        <f t="shared" si="202"/>
        <v>1403259.0003599999</v>
      </c>
      <c r="EE566" s="29">
        <f t="shared" si="203"/>
        <v>3</v>
      </c>
      <c r="EF566" s="17">
        <f t="shared" si="204"/>
        <v>467753.00011999998</v>
      </c>
    </row>
    <row r="567" spans="1:136" ht="25.5" x14ac:dyDescent="0.25">
      <c r="A567" s="25">
        <f>Distribución_Elementos!A567</f>
        <v>565</v>
      </c>
      <c r="B567" s="22" t="str">
        <f>Distribución_Elementos!B567</f>
        <v>Frasco lavador de cuello ancho de 500 ml de capacidad  de polietileno de baja densidad</v>
      </c>
      <c r="C567" s="22" t="str">
        <f>Distribución_Elementos!C567</f>
        <v>nalgene o Cualquier marca</v>
      </c>
      <c r="D567" s="22" t="str">
        <f>Distribución_Elementos!D567</f>
        <v>Paquete x 5</v>
      </c>
      <c r="E567" s="224">
        <v>1</v>
      </c>
      <c r="F567" s="221">
        <v>0</v>
      </c>
      <c r="G567" s="221">
        <v>0</v>
      </c>
      <c r="H567" s="221">
        <v>0</v>
      </c>
      <c r="I567" s="221">
        <v>0</v>
      </c>
      <c r="J567" s="221">
        <v>0</v>
      </c>
      <c r="K567" s="221">
        <v>0</v>
      </c>
      <c r="L567" s="247"/>
      <c r="M567" s="247"/>
      <c r="N567" s="227">
        <v>50000</v>
      </c>
      <c r="O567" s="119">
        <f>+N567*0.19</f>
        <v>9500</v>
      </c>
      <c r="P567" s="119">
        <f>+N567+O567</f>
        <v>59500</v>
      </c>
      <c r="Q567" s="11"/>
      <c r="R567" s="11"/>
      <c r="S567" s="11"/>
      <c r="T567" s="247"/>
      <c r="U567" s="247"/>
      <c r="V567" s="247"/>
      <c r="W567" s="11"/>
      <c r="X567" s="11"/>
      <c r="Y567" s="11"/>
      <c r="Z567" s="247"/>
      <c r="AA567" s="247"/>
      <c r="AB567" s="247"/>
      <c r="AC567" s="11"/>
      <c r="AD567" s="11"/>
      <c r="AE567" s="11"/>
      <c r="AF567" s="247"/>
      <c r="AG567" s="247"/>
      <c r="AH567" s="247"/>
      <c r="AI567" s="11"/>
      <c r="AJ567" s="11"/>
      <c r="AK567" s="11"/>
      <c r="AL567" s="102"/>
      <c r="AM567" s="102"/>
      <c r="AN567" s="102"/>
      <c r="AO567" s="44"/>
      <c r="AP567" s="44"/>
      <c r="AQ567" s="11"/>
      <c r="AR567" s="247"/>
      <c r="AS567" s="247"/>
      <c r="AT567" s="247"/>
      <c r="AU567" s="11"/>
      <c r="AV567" s="11"/>
      <c r="AW567" s="11"/>
      <c r="AX567" s="247"/>
      <c r="AY567" s="247"/>
      <c r="AZ567" s="247"/>
      <c r="BA567" s="11"/>
      <c r="BB567" s="11"/>
      <c r="BC567" s="11"/>
      <c r="BD567" s="247"/>
      <c r="BE567" s="247"/>
      <c r="BF567" s="247"/>
      <c r="BG567" s="11"/>
      <c r="BH567" s="11"/>
      <c r="BI567" s="11"/>
      <c r="BJ567" s="247">
        <v>35900</v>
      </c>
      <c r="BK567" s="247">
        <f t="shared" si="198"/>
        <v>6821</v>
      </c>
      <c r="BL567" s="247">
        <f t="shared" si="199"/>
        <v>42721</v>
      </c>
      <c r="BM567" s="190" t="s">
        <v>1627</v>
      </c>
      <c r="BN567" s="190" t="s">
        <v>1565</v>
      </c>
      <c r="BO567" s="11"/>
      <c r="BP567" s="247">
        <f>18500*5</f>
        <v>92500</v>
      </c>
      <c r="BQ567" s="247">
        <f t="shared" si="200"/>
        <v>17575</v>
      </c>
      <c r="BR567" s="247">
        <f t="shared" si="201"/>
        <v>110075</v>
      </c>
      <c r="BS567" s="11"/>
      <c r="BT567" s="11"/>
      <c r="BU567" s="11"/>
      <c r="BV567" s="195">
        <v>41920.286400000005</v>
      </c>
      <c r="BW567" s="195">
        <f>+BV567*0.19</f>
        <v>7964.854416000001</v>
      </c>
      <c r="BX567" s="246">
        <f>+BV567+BW567</f>
        <v>49885.140816000006</v>
      </c>
      <c r="BY567" s="190" t="s">
        <v>1627</v>
      </c>
      <c r="BZ567" s="190" t="s">
        <v>1565</v>
      </c>
      <c r="CA567" s="190"/>
      <c r="CB567" s="247"/>
      <c r="CC567" s="247"/>
      <c r="CD567" s="247"/>
      <c r="CE567" s="11"/>
      <c r="CF567" s="11"/>
      <c r="CG567" s="11"/>
      <c r="CH567" s="247"/>
      <c r="CI567" s="247"/>
      <c r="CJ567" s="247"/>
      <c r="CK567" s="11"/>
      <c r="CL567" s="11"/>
      <c r="CM567" s="11"/>
      <c r="CN567" s="11"/>
      <c r="CO567" s="11"/>
      <c r="CP567" s="11"/>
      <c r="CQ567" s="11"/>
      <c r="CR567" s="11"/>
      <c r="CS567" s="11"/>
      <c r="CT567" s="247"/>
      <c r="CU567" s="247"/>
      <c r="CV567" s="247"/>
      <c r="CW567" s="11"/>
      <c r="CX567" s="11"/>
      <c r="CY567" s="11"/>
      <c r="CZ567" s="11"/>
      <c r="DA567" s="11"/>
      <c r="DB567" s="11"/>
      <c r="DC567" s="11"/>
      <c r="DD567" s="11"/>
      <c r="DE567" s="11"/>
      <c r="DF567" s="11"/>
      <c r="DG567" s="11"/>
      <c r="DH567" s="11"/>
      <c r="DI567" s="11"/>
      <c r="DJ567" s="11"/>
      <c r="DK567" s="11"/>
      <c r="DL567" s="247"/>
      <c r="DM567" s="247"/>
      <c r="DN567" s="247"/>
      <c r="DO567" s="247"/>
      <c r="DP567" s="247"/>
      <c r="DQ567" s="247"/>
      <c r="DR567" s="247"/>
      <c r="DS567" s="247"/>
      <c r="DT567" s="247"/>
      <c r="DU567" s="247"/>
      <c r="DV567" s="247"/>
      <c r="DW567" s="247"/>
      <c r="DX567" s="247"/>
      <c r="DY567" s="247"/>
      <c r="DZ567" s="247"/>
      <c r="EA567" s="247"/>
      <c r="EB567" s="247"/>
      <c r="EC567" s="247"/>
      <c r="ED567" s="17">
        <f t="shared" si="202"/>
        <v>262181.140816</v>
      </c>
      <c r="EE567" s="29">
        <f t="shared" si="203"/>
        <v>4</v>
      </c>
      <c r="EF567" s="17">
        <f t="shared" si="204"/>
        <v>65545.285204</v>
      </c>
    </row>
    <row r="568" spans="1:136" x14ac:dyDescent="0.25">
      <c r="A568" s="25">
        <f>Distribución_Elementos!A568</f>
        <v>566</v>
      </c>
      <c r="B568" s="22" t="str">
        <f>Distribución_Elementos!B568</f>
        <v>Lámina portaobjetos de 76 x 26 mm (3 x 1) Esmerilada</v>
      </c>
      <c r="C568" s="22" t="str">
        <f>Distribución_Elementos!C568</f>
        <v>Cualquier marca</v>
      </c>
      <c r="D568" s="22" t="str">
        <f>Distribución_Elementos!D568</f>
        <v xml:space="preserve">Caja x 50 </v>
      </c>
      <c r="E568" s="224">
        <v>1</v>
      </c>
      <c r="F568" s="221">
        <v>0</v>
      </c>
      <c r="G568" s="221">
        <v>0</v>
      </c>
      <c r="H568" s="221">
        <v>0</v>
      </c>
      <c r="I568" s="221">
        <v>0</v>
      </c>
      <c r="J568" s="221">
        <v>0</v>
      </c>
      <c r="K568" s="221">
        <v>0</v>
      </c>
      <c r="L568" s="247"/>
      <c r="M568" s="247"/>
      <c r="N568" s="227">
        <v>13000</v>
      </c>
      <c r="O568" s="119">
        <f>+N568*0.19</f>
        <v>2470</v>
      </c>
      <c r="P568" s="119">
        <f>+N568+O568</f>
        <v>15470</v>
      </c>
      <c r="Q568" s="11"/>
      <c r="R568" s="11"/>
      <c r="S568" s="11"/>
      <c r="T568" s="247">
        <v>3960.0000000000005</v>
      </c>
      <c r="U568" s="247">
        <f>+T568*0.19</f>
        <v>752.40000000000009</v>
      </c>
      <c r="V568" s="247">
        <f>+T568+U568</f>
        <v>4712.4000000000005</v>
      </c>
      <c r="W568" s="11" t="s">
        <v>1666</v>
      </c>
      <c r="X568" s="11" t="s">
        <v>1637</v>
      </c>
      <c r="Y568" s="11"/>
      <c r="Z568" s="247"/>
      <c r="AA568" s="247"/>
      <c r="AB568" s="247"/>
      <c r="AC568" s="11"/>
      <c r="AD568" s="11"/>
      <c r="AE568" s="11"/>
      <c r="AF568" s="247"/>
      <c r="AG568" s="247"/>
      <c r="AH568" s="247"/>
      <c r="AI568" s="11"/>
      <c r="AJ568" s="11"/>
      <c r="AK568" s="11"/>
      <c r="AL568" s="102"/>
      <c r="AM568" s="102"/>
      <c r="AN568" s="102"/>
      <c r="AO568" s="44"/>
      <c r="AP568" s="44"/>
      <c r="AQ568" s="11"/>
      <c r="AR568" s="247"/>
      <c r="AS568" s="247"/>
      <c r="AT568" s="247"/>
      <c r="AU568" s="11"/>
      <c r="AV568" s="11"/>
      <c r="AW568" s="11"/>
      <c r="AX568" s="247"/>
      <c r="AY568" s="247"/>
      <c r="AZ568" s="247"/>
      <c r="BA568" s="11"/>
      <c r="BB568" s="11"/>
      <c r="BC568" s="11"/>
      <c r="BD568" s="247"/>
      <c r="BE568" s="247"/>
      <c r="BF568" s="247"/>
      <c r="BG568" s="11"/>
      <c r="BH568" s="11"/>
      <c r="BI568" s="11"/>
      <c r="BJ568" s="247">
        <v>15400</v>
      </c>
      <c r="BK568" s="247">
        <f t="shared" si="198"/>
        <v>2926</v>
      </c>
      <c r="BL568" s="247">
        <f t="shared" si="199"/>
        <v>18326</v>
      </c>
      <c r="BM568" s="190" t="s">
        <v>1613</v>
      </c>
      <c r="BN568" s="190" t="s">
        <v>151</v>
      </c>
      <c r="BO568" s="11"/>
      <c r="BP568" s="247">
        <v>65800</v>
      </c>
      <c r="BQ568" s="247">
        <f t="shared" si="200"/>
        <v>12502</v>
      </c>
      <c r="BR568" s="247">
        <f t="shared" si="201"/>
        <v>78302</v>
      </c>
      <c r="BS568" s="11"/>
      <c r="BT568" s="11"/>
      <c r="BU568" s="11"/>
      <c r="BV568" s="195">
        <v>18154.059000000001</v>
      </c>
      <c r="BW568" s="195">
        <f>+BV568*0.19</f>
        <v>3449.2712100000003</v>
      </c>
      <c r="BX568" s="246">
        <f>+BV568+BW568</f>
        <v>21603.33021</v>
      </c>
      <c r="BY568" s="190" t="s">
        <v>1613</v>
      </c>
      <c r="BZ568" s="190" t="s">
        <v>151</v>
      </c>
      <c r="CA568" s="190"/>
      <c r="CB568" s="247">
        <v>288426</v>
      </c>
      <c r="CC568" s="247">
        <f>+CB568*0.19</f>
        <v>54800.94</v>
      </c>
      <c r="CD568" s="247">
        <f>+CB568+CC568</f>
        <v>343226.94</v>
      </c>
      <c r="CE568" s="11"/>
      <c r="CF568" s="11"/>
      <c r="CG568" s="11"/>
      <c r="CH568" s="247"/>
      <c r="CI568" s="247"/>
      <c r="CJ568" s="247"/>
      <c r="CK568" s="11"/>
      <c r="CL568" s="11"/>
      <c r="CM568" s="11"/>
      <c r="CN568" s="11"/>
      <c r="CO568" s="11"/>
      <c r="CP568" s="11"/>
      <c r="CQ568" s="11"/>
      <c r="CR568" s="11"/>
      <c r="CS568" s="11"/>
      <c r="CT568" s="247"/>
      <c r="CU568" s="247"/>
      <c r="CV568" s="247"/>
      <c r="CW568" s="11"/>
      <c r="CX568" s="11"/>
      <c r="CY568" s="11"/>
      <c r="CZ568" s="11"/>
      <c r="DA568" s="11"/>
      <c r="DB568" s="11"/>
      <c r="DC568" s="11"/>
      <c r="DD568" s="11"/>
      <c r="DE568" s="11"/>
      <c r="DF568" s="11"/>
      <c r="DG568" s="11"/>
      <c r="DH568" s="11"/>
      <c r="DI568" s="11"/>
      <c r="DJ568" s="11"/>
      <c r="DK568" s="11"/>
      <c r="DL568" s="247"/>
      <c r="DM568" s="247"/>
      <c r="DN568" s="247"/>
      <c r="DO568" s="247"/>
      <c r="DP568" s="247"/>
      <c r="DQ568" s="247"/>
      <c r="DR568" s="247"/>
      <c r="DS568" s="247"/>
      <c r="DT568" s="247"/>
      <c r="DU568" s="247"/>
      <c r="DV568" s="247"/>
      <c r="DW568" s="247"/>
      <c r="DX568" s="247"/>
      <c r="DY568" s="247"/>
      <c r="DZ568" s="247"/>
      <c r="EA568" s="247"/>
      <c r="EB568" s="247"/>
      <c r="EC568" s="247"/>
      <c r="ED568" s="17">
        <f t="shared" si="202"/>
        <v>481640.67021000001</v>
      </c>
      <c r="EE568" s="29">
        <f t="shared" si="203"/>
        <v>6</v>
      </c>
      <c r="EF568" s="17">
        <f t="shared" si="204"/>
        <v>80273.445034999997</v>
      </c>
    </row>
    <row r="569" spans="1:136" x14ac:dyDescent="0.25">
      <c r="P569" s="256">
        <f>SUM(P3:P568)</f>
        <v>77061264.5</v>
      </c>
      <c r="T569" s="256"/>
      <c r="V569" s="256">
        <f>SUM(V3:V568)</f>
        <v>10455424.787500009</v>
      </c>
      <c r="AB569" s="256">
        <f>SUM(AB3:AB568)</f>
        <v>36220664.666666672</v>
      </c>
      <c r="AF569" s="62"/>
      <c r="AG569" s="62"/>
      <c r="AH569" s="256">
        <f>SUM(AH3:AH568)</f>
        <v>1255162.2580000001</v>
      </c>
      <c r="AI569" s="27"/>
      <c r="AJ569" s="27"/>
      <c r="AN569" s="256">
        <f>SUM(AN3:AN568)</f>
        <v>19366358.237800002</v>
      </c>
      <c r="AR569" s="256"/>
      <c r="AS569" s="256"/>
      <c r="AT569" s="256">
        <f>SUM(AT3:AT568)</f>
        <v>12916736</v>
      </c>
      <c r="AZ569" s="256">
        <f>SUM(AZ3:AZ568)</f>
        <v>4351830</v>
      </c>
      <c r="BF569" s="256">
        <f>SUM(BF3:BF568)</f>
        <v>44184852.915000021</v>
      </c>
      <c r="BL569" s="256">
        <f>SUM(BL3:BL568)</f>
        <v>244932405.60744444</v>
      </c>
      <c r="BR569" s="256">
        <f>SUM(BR3:BR568)</f>
        <v>114062468.90000001</v>
      </c>
      <c r="BV569" s="256"/>
      <c r="BW569" s="27"/>
      <c r="BX569" s="256">
        <f>SUM(BX3:BX568)</f>
        <v>201782557.84202847</v>
      </c>
      <c r="CD569" s="256">
        <f>SUM(CD3:CD568)</f>
        <v>14769803.999999998</v>
      </c>
      <c r="CJ569" s="256">
        <f>SUM(CJ3:CJ568)</f>
        <v>33415200</v>
      </c>
    </row>
    <row r="1048300" spans="58:58" x14ac:dyDescent="0.25">
      <c r="BF1048300" s="247"/>
    </row>
  </sheetData>
  <sortState xmlns:xlrd2="http://schemas.microsoft.com/office/spreadsheetml/2017/richdata2" ref="A4:CP775">
    <sortCondition ref="B3:B775"/>
  </sortState>
  <mergeCells count="31">
    <mergeCell ref="A1:A2"/>
    <mergeCell ref="B1:B2"/>
    <mergeCell ref="C1:C2"/>
    <mergeCell ref="D1:D2"/>
    <mergeCell ref="EE1:EE2"/>
    <mergeCell ref="N1:S1"/>
    <mergeCell ref="T1:Y1"/>
    <mergeCell ref="Z1:AE1"/>
    <mergeCell ref="AF1:AK1"/>
    <mergeCell ref="AL1:AQ1"/>
    <mergeCell ref="AR1:AW1"/>
    <mergeCell ref="AX1:BC1"/>
    <mergeCell ref="BD1:BI1"/>
    <mergeCell ref="BJ1:BO1"/>
    <mergeCell ref="BP1:BU1"/>
    <mergeCell ref="BV1:CA1"/>
    <mergeCell ref="F1:G1"/>
    <mergeCell ref="H1:I1"/>
    <mergeCell ref="J1:K1"/>
    <mergeCell ref="L1:M1"/>
    <mergeCell ref="EF1:EF2"/>
    <mergeCell ref="ED1:ED2"/>
    <mergeCell ref="DF1:DK1"/>
    <mergeCell ref="DL1:DQ1"/>
    <mergeCell ref="DR1:DW1"/>
    <mergeCell ref="DX1:EC1"/>
    <mergeCell ref="CB1:CG1"/>
    <mergeCell ref="CH1:CM1"/>
    <mergeCell ref="CN1:CS1"/>
    <mergeCell ref="CT1:CY1"/>
    <mergeCell ref="CZ1:DE1"/>
  </mergeCells>
  <conditionalFormatting sqref="O437">
    <cfRule type="containsErrors" dxfId="28" priority="29">
      <formula>ISERROR(O437)</formula>
    </cfRule>
  </conditionalFormatting>
  <conditionalFormatting sqref="AD410:AD411">
    <cfRule type="containsErrors" dxfId="27" priority="28">
      <formula>ISERROR(AD410)</formula>
    </cfRule>
  </conditionalFormatting>
  <conditionalFormatting sqref="AD437">
    <cfRule type="containsErrors" dxfId="26" priority="23">
      <formula>ISERROR(AD437)</formula>
    </cfRule>
  </conditionalFormatting>
  <conditionalFormatting sqref="AI410:AI411">
    <cfRule type="containsErrors" dxfId="25" priority="21">
      <formula>ISERROR(AI410)</formula>
    </cfRule>
  </conditionalFormatting>
  <conditionalFormatting sqref="AI434">
    <cfRule type="containsErrors" dxfId="24" priority="20">
      <formula>ISERROR(AI434)</formula>
    </cfRule>
  </conditionalFormatting>
  <conditionalFormatting sqref="AI435">
    <cfRule type="containsErrors" dxfId="23" priority="19">
      <formula>ISERROR(AI435)</formula>
    </cfRule>
  </conditionalFormatting>
  <conditionalFormatting sqref="AI436">
    <cfRule type="containsErrors" dxfId="22" priority="17">
      <formula>ISERROR(AI436)</formula>
    </cfRule>
  </conditionalFormatting>
  <conditionalFormatting sqref="AI437">
    <cfRule type="containsErrors" dxfId="21" priority="16">
      <formula>ISERROR(AI437)</formula>
    </cfRule>
  </conditionalFormatting>
  <conditionalFormatting sqref="BM434">
    <cfRule type="containsErrors" dxfId="20" priority="14">
      <formula>ISERROR(BM434)</formula>
    </cfRule>
  </conditionalFormatting>
  <conditionalFormatting sqref="BM435">
    <cfRule type="containsErrors" dxfId="19" priority="12">
      <formula>ISERROR(BM435)</formula>
    </cfRule>
  </conditionalFormatting>
  <conditionalFormatting sqref="BM436">
    <cfRule type="containsErrors" dxfId="18" priority="10">
      <formula>ISERROR(BM436)</formula>
    </cfRule>
  </conditionalFormatting>
  <conditionalFormatting sqref="BM437">
    <cfRule type="containsErrors" dxfId="17" priority="9">
      <formula>ISERROR(BM437)</formula>
    </cfRule>
  </conditionalFormatting>
  <conditionalFormatting sqref="BY434">
    <cfRule type="containsErrors" dxfId="16" priority="7">
      <formula>ISERROR(BY434)</formula>
    </cfRule>
  </conditionalFormatting>
  <conditionalFormatting sqref="BY435">
    <cfRule type="containsErrors" dxfId="15" priority="5">
      <formula>ISERROR(BY435)</formula>
    </cfRule>
  </conditionalFormatting>
  <conditionalFormatting sqref="BY436">
    <cfRule type="containsErrors" dxfId="14" priority="3">
      <formula>ISERROR(BY436)</formula>
    </cfRule>
  </conditionalFormatting>
  <conditionalFormatting sqref="BY437">
    <cfRule type="containsErrors" dxfId="13" priority="2">
      <formula>ISERROR(BY437)</formula>
    </cfRule>
  </conditionalFormatting>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dimension ref="A1:BN568"/>
  <sheetViews>
    <sheetView tabSelected="1" zoomScaleNormal="100" workbookViewId="0">
      <pane xSplit="5" ySplit="2" topLeftCell="AX3" activePane="bottomRight" state="frozen"/>
      <selection pane="topRight" activeCell="F1" sqref="F1"/>
      <selection pane="bottomLeft" activeCell="A2" sqref="A2"/>
      <selection pane="bottomRight" activeCell="BM4" sqref="BM4"/>
    </sheetView>
  </sheetViews>
  <sheetFormatPr baseColWidth="10" defaultColWidth="15.28515625" defaultRowHeight="12.75" x14ac:dyDescent="0.25"/>
  <cols>
    <col min="1" max="1" width="4.7109375" style="57" customWidth="1"/>
    <col min="2" max="2" width="26.7109375" style="60" customWidth="1"/>
    <col min="3" max="3" width="18.5703125" style="60" customWidth="1"/>
    <col min="4" max="4" width="12.5703125" style="27" customWidth="1"/>
    <col min="5" max="5" width="4.42578125" style="57" customWidth="1"/>
    <col min="6" max="6" width="7" style="27" customWidth="1"/>
    <col min="7" max="8" width="9.28515625" style="27" customWidth="1"/>
    <col min="9" max="9" width="7.85546875" style="27" customWidth="1"/>
    <col min="10" max="10" width="6.85546875" style="58" customWidth="1"/>
    <col min="11" max="11" width="6.28515625" style="27" customWidth="1"/>
    <col min="12" max="12" width="7.7109375" style="27" customWidth="1"/>
    <col min="13" max="13" width="20.7109375" style="27" customWidth="1"/>
    <col min="14" max="14" width="7.7109375" style="27" customWidth="1"/>
    <col min="15" max="15" width="9.7109375" style="27" customWidth="1"/>
    <col min="16" max="16" width="8.7109375" style="27" customWidth="1"/>
    <col min="17" max="17" width="9.42578125" style="27" customWidth="1"/>
    <col min="18" max="18" width="8.42578125" style="27" customWidth="1"/>
    <col min="19" max="19" width="7.5703125" style="27" customWidth="1"/>
    <col min="20" max="20" width="11.28515625" style="27" customWidth="1"/>
    <col min="21" max="21" width="13.85546875" style="27" customWidth="1"/>
    <col min="22" max="22" width="6.7109375" style="27" customWidth="1"/>
    <col min="23" max="23" width="11" style="27" customWidth="1"/>
    <col min="24" max="24" width="8.5703125" style="27" customWidth="1"/>
    <col min="25" max="25" width="7.85546875" style="27" customWidth="1"/>
    <col min="26" max="26" width="6.140625" style="27" customWidth="1"/>
    <col min="27" max="27" width="5.7109375" style="58" customWidth="1"/>
    <col min="28" max="28" width="9.5703125" style="27" customWidth="1"/>
    <col min="29" max="29" width="12.140625" style="27" customWidth="1"/>
    <col min="30" max="30" width="6.7109375" style="27" customWidth="1"/>
    <col min="31" max="31" width="9.7109375" style="27" customWidth="1"/>
    <col min="32" max="32" width="8.5703125" style="27" customWidth="1"/>
    <col min="33" max="33" width="7.85546875" style="27" customWidth="1"/>
    <col min="34" max="34" width="6.140625" style="58" customWidth="1"/>
    <col min="35" max="35" width="5.85546875" style="27" customWidth="1"/>
    <col min="36" max="36" width="9.7109375" style="27" customWidth="1"/>
    <col min="37" max="37" width="15.28515625" style="27" customWidth="1"/>
    <col min="38" max="38" width="6.7109375" style="27" customWidth="1"/>
    <col min="39" max="39" width="9.5703125" style="27" customWidth="1"/>
    <col min="40" max="40" width="10.140625" style="27" customWidth="1"/>
    <col min="41" max="41" width="7.85546875" style="27" customWidth="1"/>
    <col min="42" max="42" width="6.140625" style="27" customWidth="1"/>
    <col min="43" max="43" width="6.85546875" style="27" customWidth="1"/>
    <col min="44" max="44" width="7.5703125" style="27" customWidth="1"/>
    <col min="45" max="45" width="13" style="27" customWidth="1"/>
    <col min="46" max="46" width="6.7109375" style="27" customWidth="1"/>
    <col min="47" max="47" width="9.5703125" style="27" customWidth="1"/>
    <col min="48" max="48" width="10.140625" style="27" customWidth="1"/>
    <col min="49" max="49" width="7.85546875" style="27" customWidth="1"/>
    <col min="50" max="50" width="6.140625" style="58" customWidth="1"/>
    <col min="51" max="51" width="5.42578125" style="27" customWidth="1"/>
    <col min="52" max="52" width="9" style="27" customWidth="1"/>
    <col min="53" max="53" width="19.85546875" style="27" customWidth="1"/>
    <col min="54" max="54" width="7.7109375" style="27" customWidth="1"/>
    <col min="55" max="55" width="8.42578125" style="27" customWidth="1"/>
    <col min="56" max="56" width="8.5703125" style="27" bestFit="1" customWidth="1"/>
    <col min="57" max="57" width="7.85546875" style="27" bestFit="1" customWidth="1"/>
    <col min="58" max="58" width="6.140625" style="27" bestFit="1" customWidth="1"/>
    <col min="59" max="59" width="6" style="27" customWidth="1"/>
    <col min="60" max="60" width="7.5703125" style="27" bestFit="1" customWidth="1"/>
    <col min="61" max="61" width="16.28515625" style="27" customWidth="1"/>
    <col min="62" max="62" width="7.42578125" style="57" customWidth="1"/>
    <col min="63" max="63" width="9.7109375" style="27" customWidth="1"/>
    <col min="64" max="64" width="15.28515625" style="27"/>
    <col min="65" max="65" width="5.140625" style="27" customWidth="1"/>
    <col min="66" max="66" width="3.28515625" style="27" bestFit="1" customWidth="1"/>
    <col min="67" max="16384" width="15.28515625" style="27"/>
  </cols>
  <sheetData>
    <row r="1" spans="1:66" ht="12.75" customHeight="1" x14ac:dyDescent="0.25">
      <c r="A1" s="280"/>
      <c r="B1" s="281"/>
      <c r="C1" s="281"/>
      <c r="D1" s="271"/>
      <c r="E1" s="280"/>
      <c r="F1" s="493" t="s">
        <v>1830</v>
      </c>
      <c r="G1" s="493"/>
      <c r="H1" s="493"/>
      <c r="I1" s="493"/>
      <c r="J1" s="493"/>
      <c r="K1" s="493"/>
      <c r="L1" s="493"/>
      <c r="M1" s="493"/>
      <c r="N1" s="466" t="s">
        <v>491</v>
      </c>
      <c r="O1" s="466"/>
      <c r="P1" s="466"/>
      <c r="Q1" s="466"/>
      <c r="R1" s="466"/>
      <c r="S1" s="466"/>
      <c r="T1" s="466"/>
      <c r="U1" s="466"/>
      <c r="V1" s="497" t="s">
        <v>1831</v>
      </c>
      <c r="W1" s="497"/>
      <c r="X1" s="497"/>
      <c r="Y1" s="497"/>
      <c r="Z1" s="497"/>
      <c r="AA1" s="497"/>
      <c r="AB1" s="497"/>
      <c r="AC1" s="497"/>
      <c r="AD1" s="494" t="s">
        <v>1832</v>
      </c>
      <c r="AE1" s="494"/>
      <c r="AF1" s="494"/>
      <c r="AG1" s="494"/>
      <c r="AH1" s="494"/>
      <c r="AI1" s="494"/>
      <c r="AJ1" s="494"/>
      <c r="AK1" s="494"/>
      <c r="AL1" s="495" t="s">
        <v>1833</v>
      </c>
      <c r="AM1" s="495"/>
      <c r="AN1" s="495"/>
      <c r="AO1" s="495"/>
      <c r="AP1" s="495"/>
      <c r="AQ1" s="495"/>
      <c r="AR1" s="495"/>
      <c r="AS1" s="495"/>
      <c r="AT1" s="496" t="s">
        <v>1834</v>
      </c>
      <c r="AU1" s="496"/>
      <c r="AV1" s="496"/>
      <c r="AW1" s="496"/>
      <c r="AX1" s="496"/>
      <c r="AY1" s="496"/>
      <c r="AZ1" s="496"/>
      <c r="BA1" s="496"/>
      <c r="BB1" s="492" t="s">
        <v>1835</v>
      </c>
      <c r="BC1" s="492"/>
      <c r="BD1" s="492"/>
      <c r="BE1" s="492"/>
      <c r="BF1" s="492"/>
      <c r="BG1" s="492"/>
      <c r="BH1" s="492"/>
      <c r="BI1" s="492"/>
    </row>
    <row r="2" spans="1:66" ht="63.75" x14ac:dyDescent="0.25">
      <c r="A2" s="282" t="s">
        <v>0</v>
      </c>
      <c r="B2" s="282" t="s">
        <v>1</v>
      </c>
      <c r="C2" s="282" t="s">
        <v>2</v>
      </c>
      <c r="D2" s="282" t="s">
        <v>3</v>
      </c>
      <c r="E2" s="273" t="s">
        <v>1836</v>
      </c>
      <c r="F2" s="402" t="s">
        <v>1837</v>
      </c>
      <c r="G2" s="402" t="s">
        <v>496</v>
      </c>
      <c r="H2" s="402" t="s">
        <v>497</v>
      </c>
      <c r="I2" s="402" t="s">
        <v>499</v>
      </c>
      <c r="J2" s="402" t="s">
        <v>501</v>
      </c>
      <c r="K2" s="402" t="s">
        <v>503</v>
      </c>
      <c r="L2" s="402" t="s">
        <v>504</v>
      </c>
      <c r="M2" s="402" t="s">
        <v>40</v>
      </c>
      <c r="N2" s="403" t="s">
        <v>1837</v>
      </c>
      <c r="O2" s="403" t="s">
        <v>496</v>
      </c>
      <c r="P2" s="403" t="s">
        <v>497</v>
      </c>
      <c r="Q2" s="403" t="s">
        <v>499</v>
      </c>
      <c r="R2" s="403" t="s">
        <v>501</v>
      </c>
      <c r="S2" s="403" t="s">
        <v>503</v>
      </c>
      <c r="T2" s="403" t="s">
        <v>504</v>
      </c>
      <c r="U2" s="403" t="s">
        <v>40</v>
      </c>
      <c r="V2" s="404" t="s">
        <v>1837</v>
      </c>
      <c r="W2" s="405" t="s">
        <v>496</v>
      </c>
      <c r="X2" s="405" t="s">
        <v>497</v>
      </c>
      <c r="Y2" s="405" t="s">
        <v>499</v>
      </c>
      <c r="Z2" s="283" t="s">
        <v>501</v>
      </c>
      <c r="AA2" s="283" t="s">
        <v>503</v>
      </c>
      <c r="AB2" s="283" t="s">
        <v>504</v>
      </c>
      <c r="AC2" s="284" t="s">
        <v>40</v>
      </c>
      <c r="AD2" s="285" t="s">
        <v>1837</v>
      </c>
      <c r="AE2" s="285" t="s">
        <v>496</v>
      </c>
      <c r="AF2" s="285" t="s">
        <v>497</v>
      </c>
      <c r="AG2" s="285" t="s">
        <v>499</v>
      </c>
      <c r="AH2" s="285" t="s">
        <v>501</v>
      </c>
      <c r="AI2" s="285" t="s">
        <v>503</v>
      </c>
      <c r="AJ2" s="285" t="s">
        <v>504</v>
      </c>
      <c r="AK2" s="285" t="s">
        <v>40</v>
      </c>
      <c r="AL2" s="286" t="s">
        <v>1837</v>
      </c>
      <c r="AM2" s="278" t="s">
        <v>496</v>
      </c>
      <c r="AN2" s="278" t="s">
        <v>497</v>
      </c>
      <c r="AO2" s="278" t="s">
        <v>499</v>
      </c>
      <c r="AP2" s="278" t="s">
        <v>501</v>
      </c>
      <c r="AQ2" s="278" t="s">
        <v>503</v>
      </c>
      <c r="AR2" s="278" t="s">
        <v>504</v>
      </c>
      <c r="AS2" s="278" t="s">
        <v>40</v>
      </c>
      <c r="AT2" s="274" t="s">
        <v>1837</v>
      </c>
      <c r="AU2" s="274" t="s">
        <v>496</v>
      </c>
      <c r="AV2" s="274" t="s">
        <v>497</v>
      </c>
      <c r="AW2" s="274" t="s">
        <v>499</v>
      </c>
      <c r="AX2" s="274" t="s">
        <v>501</v>
      </c>
      <c r="AY2" s="274" t="s">
        <v>503</v>
      </c>
      <c r="AZ2" s="274" t="s">
        <v>504</v>
      </c>
      <c r="BA2" s="274" t="s">
        <v>40</v>
      </c>
      <c r="BB2" s="279" t="s">
        <v>1837</v>
      </c>
      <c r="BC2" s="279" t="s">
        <v>496</v>
      </c>
      <c r="BD2" s="279" t="s">
        <v>497</v>
      </c>
      <c r="BE2" s="279" t="s">
        <v>499</v>
      </c>
      <c r="BF2" s="279" t="s">
        <v>501</v>
      </c>
      <c r="BG2" s="279" t="s">
        <v>503</v>
      </c>
      <c r="BH2" s="279" t="s">
        <v>504</v>
      </c>
      <c r="BI2" s="279" t="s">
        <v>40</v>
      </c>
      <c r="BJ2" s="293" t="s">
        <v>506</v>
      </c>
      <c r="BK2" s="415" t="s">
        <v>2848</v>
      </c>
    </row>
    <row r="3" spans="1:66" ht="25.5" x14ac:dyDescent="0.25">
      <c r="A3" s="324">
        <v>1</v>
      </c>
      <c r="B3" s="345" t="s">
        <v>1838</v>
      </c>
      <c r="C3" s="335" t="s">
        <v>1839</v>
      </c>
      <c r="D3" s="346" t="s">
        <v>1485</v>
      </c>
      <c r="E3" s="347">
        <v>1</v>
      </c>
      <c r="F3" s="314" t="s">
        <v>510</v>
      </c>
      <c r="G3" s="314" t="s">
        <v>510</v>
      </c>
      <c r="H3" s="314" t="s">
        <v>510</v>
      </c>
      <c r="I3" s="314" t="s">
        <v>510</v>
      </c>
      <c r="J3" s="314">
        <v>40</v>
      </c>
      <c r="K3" s="29">
        <f>+J3</f>
        <v>40</v>
      </c>
      <c r="L3" s="314" t="s">
        <v>504</v>
      </c>
      <c r="M3" s="314"/>
      <c r="N3" s="314"/>
      <c r="O3" s="314"/>
      <c r="P3" s="314"/>
      <c r="Q3" s="314"/>
      <c r="R3" s="314"/>
      <c r="S3" s="314"/>
      <c r="T3" s="314"/>
      <c r="U3" s="314"/>
      <c r="V3" s="350"/>
      <c r="W3" s="350"/>
      <c r="X3" s="350"/>
      <c r="Y3" s="350"/>
      <c r="Z3" s="307"/>
      <c r="AA3" s="350">
        <f>(Z3)</f>
        <v>0</v>
      </c>
      <c r="AB3" s="307"/>
      <c r="AC3" s="307"/>
      <c r="AD3" s="348" t="s">
        <v>510</v>
      </c>
      <c r="AE3" s="348" t="s">
        <v>510</v>
      </c>
      <c r="AF3" s="348" t="s">
        <v>510</v>
      </c>
      <c r="AG3" s="348" t="s">
        <v>510</v>
      </c>
      <c r="AH3" s="349">
        <v>0</v>
      </c>
      <c r="AI3" s="297">
        <f>+AH3</f>
        <v>0</v>
      </c>
      <c r="AJ3" s="348" t="s">
        <v>504</v>
      </c>
      <c r="AK3" s="348"/>
      <c r="AL3" s="303"/>
      <c r="AM3" s="303"/>
      <c r="AN3" s="303"/>
      <c r="AO3" s="303"/>
      <c r="AP3" s="303"/>
      <c r="AQ3" s="289">
        <f>+AP3</f>
        <v>0</v>
      </c>
      <c r="AR3" s="303"/>
      <c r="AS3" s="303"/>
      <c r="AT3" s="329"/>
      <c r="AU3" s="329"/>
      <c r="AV3" s="329"/>
      <c r="AW3" s="329"/>
      <c r="AX3" s="329"/>
      <c r="AY3" s="139">
        <f>+AX3</f>
        <v>0</v>
      </c>
      <c r="AZ3" s="303"/>
      <c r="BA3" s="303"/>
      <c r="BB3" s="351" t="s">
        <v>510</v>
      </c>
      <c r="BC3" s="351" t="s">
        <v>510</v>
      </c>
      <c r="BD3" s="351" t="s">
        <v>510</v>
      </c>
      <c r="BE3" s="303" t="s">
        <v>510</v>
      </c>
      <c r="BF3" s="352">
        <v>0</v>
      </c>
      <c r="BG3" s="353">
        <f>+BF3</f>
        <v>0</v>
      </c>
      <c r="BH3" s="303" t="s">
        <v>504</v>
      </c>
      <c r="BI3" s="303"/>
      <c r="BJ3" s="354">
        <f t="shared" ref="BJ3:BJ66" si="0">COUNTIF(L3,"Habilitado")+COUNTIF(T3,"Habilitado")+COUNTIF(AB3,"Habilitado")+COUNTIF(AJ3,"Habilitado")+COUNTIF(AR3,"Habilitado")+COUNTIF(AZ3,"Habilitado")+COUNTIF(BH3,"Habilitado")</f>
        <v>3</v>
      </c>
      <c r="BK3" s="316" t="str">
        <f>IF(BJ3&gt;=1,"Habilitado","Desierto")</f>
        <v>Habilitado</v>
      </c>
      <c r="BL3" s="291" t="s">
        <v>512</v>
      </c>
      <c r="BM3" s="11">
        <f>COUNTIF(BK3:BK568,"Habilitado")</f>
        <v>456</v>
      </c>
      <c r="BN3" s="292">
        <f>+BM3/BM5</f>
        <v>0.80565371024734977</v>
      </c>
    </row>
    <row r="4" spans="1:66" ht="25.5" x14ac:dyDescent="0.25">
      <c r="A4" s="324">
        <v>2</v>
      </c>
      <c r="B4" s="345" t="s">
        <v>1840</v>
      </c>
      <c r="C4" s="335" t="s">
        <v>1841</v>
      </c>
      <c r="D4" s="335" t="s">
        <v>1491</v>
      </c>
      <c r="E4" s="347">
        <v>1</v>
      </c>
      <c r="F4" s="314" t="s">
        <v>510</v>
      </c>
      <c r="G4" s="314" t="s">
        <v>510</v>
      </c>
      <c r="H4" s="314" t="s">
        <v>510</v>
      </c>
      <c r="I4" s="314" t="s">
        <v>510</v>
      </c>
      <c r="J4" s="350">
        <v>40</v>
      </c>
      <c r="K4" s="29">
        <f t="shared" ref="K4:K67" si="1">+J4</f>
        <v>40</v>
      </c>
      <c r="L4" s="314" t="s">
        <v>504</v>
      </c>
      <c r="M4" s="314"/>
      <c r="N4" s="314"/>
      <c r="O4" s="314"/>
      <c r="P4" s="314"/>
      <c r="Q4" s="314"/>
      <c r="R4" s="314"/>
      <c r="S4" s="314"/>
      <c r="T4" s="314"/>
      <c r="U4" s="314"/>
      <c r="V4" s="350"/>
      <c r="W4" s="350"/>
      <c r="X4" s="350"/>
      <c r="Y4" s="350"/>
      <c r="Z4" s="307"/>
      <c r="AA4" s="350">
        <f t="shared" ref="AA4:AA67" si="2">(Z4)</f>
        <v>0</v>
      </c>
      <c r="AB4" s="307"/>
      <c r="AC4" s="307"/>
      <c r="AD4" s="303" t="s">
        <v>510</v>
      </c>
      <c r="AE4" s="303" t="s">
        <v>510</v>
      </c>
      <c r="AF4" s="303" t="s">
        <v>510</v>
      </c>
      <c r="AG4" s="303" t="s">
        <v>510</v>
      </c>
      <c r="AH4" s="314">
        <v>0</v>
      </c>
      <c r="AI4" s="297">
        <f t="shared" ref="AI4:AI67" si="3">+AH4</f>
        <v>0</v>
      </c>
      <c r="AJ4" s="303" t="s">
        <v>504</v>
      </c>
      <c r="AK4" s="303"/>
      <c r="AL4" s="303"/>
      <c r="AM4" s="303"/>
      <c r="AN4" s="303"/>
      <c r="AO4" s="303"/>
      <c r="AP4" s="303"/>
      <c r="AQ4" s="289">
        <f t="shared" ref="AQ4:AQ67" si="4">+AP4</f>
        <v>0</v>
      </c>
      <c r="AR4" s="303"/>
      <c r="AS4" s="303"/>
      <c r="AT4" s="303" t="s">
        <v>510</v>
      </c>
      <c r="AU4" s="303" t="s">
        <v>510</v>
      </c>
      <c r="AV4" s="303" t="s">
        <v>510</v>
      </c>
      <c r="AW4" s="303" t="s">
        <v>510</v>
      </c>
      <c r="AX4" s="303">
        <v>40</v>
      </c>
      <c r="AY4" s="139">
        <f t="shared" ref="AY4:AY67" si="5">+AX4</f>
        <v>40</v>
      </c>
      <c r="AZ4" s="303" t="s">
        <v>504</v>
      </c>
      <c r="BA4" s="355"/>
      <c r="BB4" s="356" t="s">
        <v>510</v>
      </c>
      <c r="BC4" s="356" t="s">
        <v>510</v>
      </c>
      <c r="BD4" s="356" t="s">
        <v>510</v>
      </c>
      <c r="BE4" s="303" t="s">
        <v>510</v>
      </c>
      <c r="BF4" s="352">
        <v>0</v>
      </c>
      <c r="BG4" s="353">
        <f>+BF4</f>
        <v>0</v>
      </c>
      <c r="BH4" s="303" t="s">
        <v>504</v>
      </c>
      <c r="BI4" s="303"/>
      <c r="BJ4" s="354">
        <f t="shared" si="0"/>
        <v>4</v>
      </c>
      <c r="BK4" s="316" t="str">
        <f t="shared" ref="BK4:BK31" si="6">IF(BJ4&gt;=1,"Habilitado","Desierto")</f>
        <v>Habilitado</v>
      </c>
      <c r="BL4" s="294" t="s">
        <v>516</v>
      </c>
      <c r="BM4" s="11">
        <f>COUNTIF(BK3:BK568,"Desierto")</f>
        <v>110</v>
      </c>
      <c r="BN4" s="292">
        <f>+BM4/BM5</f>
        <v>0.19434628975265017</v>
      </c>
    </row>
    <row r="5" spans="1:66" ht="25.5" x14ac:dyDescent="0.25">
      <c r="A5" s="324">
        <v>3</v>
      </c>
      <c r="B5" s="345" t="s">
        <v>1842</v>
      </c>
      <c r="C5" s="335" t="s">
        <v>1843</v>
      </c>
      <c r="D5" s="357" t="s">
        <v>1844</v>
      </c>
      <c r="E5" s="347">
        <v>1</v>
      </c>
      <c r="F5" s="314" t="s">
        <v>510</v>
      </c>
      <c r="G5" s="314" t="s">
        <v>510</v>
      </c>
      <c r="H5" s="314" t="s">
        <v>510</v>
      </c>
      <c r="I5" s="314" t="s">
        <v>510</v>
      </c>
      <c r="J5" s="350">
        <v>40</v>
      </c>
      <c r="K5" s="29">
        <f t="shared" si="1"/>
        <v>40</v>
      </c>
      <c r="L5" s="314" t="s">
        <v>504</v>
      </c>
      <c r="M5" s="314"/>
      <c r="N5" s="314"/>
      <c r="O5" s="314"/>
      <c r="P5" s="314"/>
      <c r="Q5" s="314"/>
      <c r="R5" s="314"/>
      <c r="S5" s="314"/>
      <c r="T5" s="314"/>
      <c r="U5" s="314"/>
      <c r="V5" s="350"/>
      <c r="W5" s="350"/>
      <c r="X5" s="350"/>
      <c r="Y5" s="350"/>
      <c r="Z5" s="307"/>
      <c r="AA5" s="350">
        <f t="shared" si="2"/>
        <v>0</v>
      </c>
      <c r="AB5" s="307"/>
      <c r="AC5" s="307"/>
      <c r="AD5" s="303" t="s">
        <v>510</v>
      </c>
      <c r="AE5" s="303" t="s">
        <v>510</v>
      </c>
      <c r="AF5" s="303" t="s">
        <v>510</v>
      </c>
      <c r="AG5" s="322" t="s">
        <v>510</v>
      </c>
      <c r="AH5" s="358">
        <v>0</v>
      </c>
      <c r="AI5" s="297">
        <f t="shared" si="3"/>
        <v>0</v>
      </c>
      <c r="AJ5" s="303" t="s">
        <v>504</v>
      </c>
      <c r="AK5" s="303"/>
      <c r="AL5" s="303"/>
      <c r="AM5" s="303"/>
      <c r="AN5" s="303"/>
      <c r="AO5" s="303"/>
      <c r="AP5" s="303"/>
      <c r="AQ5" s="289">
        <f t="shared" si="4"/>
        <v>0</v>
      </c>
      <c r="AR5" s="303"/>
      <c r="AS5" s="303"/>
      <c r="AT5" s="329"/>
      <c r="AU5" s="329"/>
      <c r="AV5" s="329"/>
      <c r="AW5" s="329"/>
      <c r="AX5" s="329"/>
      <c r="AY5" s="139">
        <f t="shared" si="5"/>
        <v>0</v>
      </c>
      <c r="AZ5" s="303"/>
      <c r="BA5" s="322"/>
      <c r="BB5" s="359" t="s">
        <v>510</v>
      </c>
      <c r="BC5" s="359" t="s">
        <v>510</v>
      </c>
      <c r="BD5" s="359" t="s">
        <v>510</v>
      </c>
      <c r="BE5" s="303" t="s">
        <v>510</v>
      </c>
      <c r="BF5" s="352">
        <v>0</v>
      </c>
      <c r="BG5" s="353">
        <f t="shared" ref="BG5:BG67" si="7">+BF5</f>
        <v>0</v>
      </c>
      <c r="BH5" s="303" t="s">
        <v>504</v>
      </c>
      <c r="BI5" s="322"/>
      <c r="BJ5" s="354">
        <f t="shared" si="0"/>
        <v>3</v>
      </c>
      <c r="BK5" s="316" t="str">
        <f t="shared" si="6"/>
        <v>Habilitado</v>
      </c>
      <c r="BL5" s="295" t="s">
        <v>522</v>
      </c>
      <c r="BM5" s="44">
        <f>+BM3+BM4</f>
        <v>566</v>
      </c>
    </row>
    <row r="6" spans="1:66" x14ac:dyDescent="0.25">
      <c r="A6" s="324">
        <v>4</v>
      </c>
      <c r="B6" s="345" t="s">
        <v>1845</v>
      </c>
      <c r="C6" s="335" t="s">
        <v>1846</v>
      </c>
      <c r="D6" s="360" t="s">
        <v>1061</v>
      </c>
      <c r="E6" s="347">
        <v>1</v>
      </c>
      <c r="F6" s="314" t="s">
        <v>510</v>
      </c>
      <c r="G6" s="314" t="s">
        <v>510</v>
      </c>
      <c r="H6" s="314" t="s">
        <v>510</v>
      </c>
      <c r="I6" s="314" t="s">
        <v>510</v>
      </c>
      <c r="J6" s="314">
        <v>40</v>
      </c>
      <c r="K6" s="29">
        <f t="shared" si="1"/>
        <v>40</v>
      </c>
      <c r="L6" s="314" t="s">
        <v>504</v>
      </c>
      <c r="M6" s="314"/>
      <c r="N6" s="314"/>
      <c r="O6" s="314"/>
      <c r="P6" s="314"/>
      <c r="Q6" s="314"/>
      <c r="R6" s="314"/>
      <c r="S6" s="314"/>
      <c r="T6" s="314"/>
      <c r="U6" s="314"/>
      <c r="V6" s="350"/>
      <c r="W6" s="350"/>
      <c r="X6" s="350"/>
      <c r="Y6" s="350"/>
      <c r="Z6" s="307"/>
      <c r="AA6" s="350">
        <f t="shared" si="2"/>
        <v>0</v>
      </c>
      <c r="AB6" s="307"/>
      <c r="AC6" s="307"/>
      <c r="AD6" s="303"/>
      <c r="AE6" s="303"/>
      <c r="AF6" s="303"/>
      <c r="AG6" s="303"/>
      <c r="AH6" s="314"/>
      <c r="AI6" s="297">
        <f t="shared" si="3"/>
        <v>0</v>
      </c>
      <c r="AJ6" s="303"/>
      <c r="AK6" s="303"/>
      <c r="AL6" s="303"/>
      <c r="AM6" s="303"/>
      <c r="AN6" s="303"/>
      <c r="AO6" s="303"/>
      <c r="AP6" s="303"/>
      <c r="AQ6" s="289">
        <f t="shared" si="4"/>
        <v>0</v>
      </c>
      <c r="AR6" s="303"/>
      <c r="AS6" s="303"/>
      <c r="AT6" s="329"/>
      <c r="AU6" s="329"/>
      <c r="AV6" s="329"/>
      <c r="AW6" s="329"/>
      <c r="AX6" s="329"/>
      <c r="AY6" s="139">
        <f t="shared" si="5"/>
        <v>0</v>
      </c>
      <c r="AZ6" s="303"/>
      <c r="BA6" s="322"/>
      <c r="BB6" s="303"/>
      <c r="BC6" s="303"/>
      <c r="BD6" s="303"/>
      <c r="BE6" s="303"/>
      <c r="BF6" s="303"/>
      <c r="BG6" s="353">
        <f t="shared" si="7"/>
        <v>0</v>
      </c>
      <c r="BH6" s="303"/>
      <c r="BI6" s="303"/>
      <c r="BJ6" s="354">
        <f t="shared" si="0"/>
        <v>1</v>
      </c>
      <c r="BK6" s="316" t="str">
        <f t="shared" si="6"/>
        <v>Habilitado</v>
      </c>
    </row>
    <row r="7" spans="1:66" x14ac:dyDescent="0.25">
      <c r="A7" s="324">
        <v>5</v>
      </c>
      <c r="B7" s="345" t="s">
        <v>1847</v>
      </c>
      <c r="C7" s="335" t="s">
        <v>1846</v>
      </c>
      <c r="D7" s="360" t="s">
        <v>1848</v>
      </c>
      <c r="E7" s="347">
        <v>1</v>
      </c>
      <c r="F7" s="314" t="s">
        <v>510</v>
      </c>
      <c r="G7" s="314" t="s">
        <v>510</v>
      </c>
      <c r="H7" s="314" t="s">
        <v>510</v>
      </c>
      <c r="I7" s="314" t="s">
        <v>510</v>
      </c>
      <c r="J7" s="314">
        <v>40</v>
      </c>
      <c r="K7" s="29">
        <f t="shared" si="1"/>
        <v>40</v>
      </c>
      <c r="L7" s="314" t="s">
        <v>504</v>
      </c>
      <c r="M7" s="314"/>
      <c r="N7" s="314"/>
      <c r="O7" s="314"/>
      <c r="P7" s="314"/>
      <c r="Q7" s="314"/>
      <c r="R7" s="314"/>
      <c r="S7" s="314"/>
      <c r="T7" s="314"/>
      <c r="U7" s="314"/>
      <c r="V7" s="350"/>
      <c r="W7" s="350"/>
      <c r="X7" s="350"/>
      <c r="Y7" s="350"/>
      <c r="Z7" s="307"/>
      <c r="AA7" s="350">
        <f t="shared" si="2"/>
        <v>0</v>
      </c>
      <c r="AB7" s="307"/>
      <c r="AC7" s="307"/>
      <c r="AD7" s="303"/>
      <c r="AE7" s="303"/>
      <c r="AF7" s="303"/>
      <c r="AG7" s="303"/>
      <c r="AH7" s="314"/>
      <c r="AI7" s="297">
        <f t="shared" si="3"/>
        <v>0</v>
      </c>
      <c r="AJ7" s="303"/>
      <c r="AK7" s="303"/>
      <c r="AL7" s="303"/>
      <c r="AM7" s="303"/>
      <c r="AN7" s="303"/>
      <c r="AO7" s="303"/>
      <c r="AP7" s="303"/>
      <c r="AQ7" s="289">
        <f t="shared" si="4"/>
        <v>0</v>
      </c>
      <c r="AR7" s="303"/>
      <c r="AS7" s="303"/>
      <c r="AT7" s="329"/>
      <c r="AU7" s="329"/>
      <c r="AV7" s="329"/>
      <c r="AW7" s="329"/>
      <c r="AX7" s="329"/>
      <c r="AY7" s="139">
        <f t="shared" si="5"/>
        <v>0</v>
      </c>
      <c r="AZ7" s="303"/>
      <c r="BA7" s="303"/>
      <c r="BB7" s="304"/>
      <c r="BC7" s="304"/>
      <c r="BD7" s="304"/>
      <c r="BE7" s="304"/>
      <c r="BF7" s="304"/>
      <c r="BG7" s="353">
        <f t="shared" si="7"/>
        <v>0</v>
      </c>
      <c r="BH7" s="304"/>
      <c r="BI7" s="304"/>
      <c r="BJ7" s="354">
        <f t="shared" si="0"/>
        <v>1</v>
      </c>
      <c r="BK7" s="316" t="str">
        <f t="shared" si="6"/>
        <v>Habilitado</v>
      </c>
    </row>
    <row r="8" spans="1:66" ht="38.25" x14ac:dyDescent="0.25">
      <c r="A8" s="324">
        <v>6</v>
      </c>
      <c r="B8" s="345" t="s">
        <v>1849</v>
      </c>
      <c r="C8" s="335" t="s">
        <v>1846</v>
      </c>
      <c r="D8" s="360" t="s">
        <v>1848</v>
      </c>
      <c r="E8" s="347">
        <v>1</v>
      </c>
      <c r="F8" s="314" t="s">
        <v>510</v>
      </c>
      <c r="G8" s="314" t="s">
        <v>510</v>
      </c>
      <c r="H8" s="314" t="s">
        <v>510</v>
      </c>
      <c r="I8" s="314" t="s">
        <v>510</v>
      </c>
      <c r="J8" s="314">
        <v>40</v>
      </c>
      <c r="K8" s="29">
        <f t="shared" si="1"/>
        <v>40</v>
      </c>
      <c r="L8" s="314" t="s">
        <v>504</v>
      </c>
      <c r="M8" s="314"/>
      <c r="N8" s="314"/>
      <c r="O8" s="314"/>
      <c r="P8" s="314"/>
      <c r="Q8" s="314"/>
      <c r="R8" s="314"/>
      <c r="S8" s="314"/>
      <c r="T8" s="314"/>
      <c r="U8" s="314"/>
      <c r="V8" s="350"/>
      <c r="W8" s="350"/>
      <c r="X8" s="350"/>
      <c r="Y8" s="350"/>
      <c r="Z8" s="350"/>
      <c r="AA8" s="350">
        <f t="shared" si="2"/>
        <v>0</v>
      </c>
      <c r="AB8" s="350"/>
      <c r="AC8" s="350"/>
      <c r="AD8" s="303"/>
      <c r="AE8" s="303"/>
      <c r="AF8" s="303"/>
      <c r="AG8" s="303"/>
      <c r="AH8" s="314"/>
      <c r="AI8" s="297">
        <f t="shared" si="3"/>
        <v>0</v>
      </c>
      <c r="AJ8" s="303"/>
      <c r="AK8" s="361"/>
      <c r="AL8" s="303"/>
      <c r="AM8" s="303"/>
      <c r="AN8" s="303"/>
      <c r="AO8" s="303"/>
      <c r="AP8" s="303"/>
      <c r="AQ8" s="289">
        <f t="shared" si="4"/>
        <v>0</v>
      </c>
      <c r="AR8" s="314"/>
      <c r="AS8" s="314"/>
      <c r="AT8" s="329"/>
      <c r="AU8" s="329"/>
      <c r="AV8" s="329"/>
      <c r="AW8" s="329"/>
      <c r="AX8" s="329"/>
      <c r="AY8" s="139">
        <f t="shared" si="5"/>
        <v>0</v>
      </c>
      <c r="AZ8" s="303"/>
      <c r="BA8" s="303"/>
      <c r="BB8" s="303"/>
      <c r="BC8" s="303"/>
      <c r="BD8" s="303"/>
      <c r="BE8" s="303"/>
      <c r="BF8" s="303"/>
      <c r="BG8" s="353">
        <f t="shared" si="7"/>
        <v>0</v>
      </c>
      <c r="BH8" s="303"/>
      <c r="BI8" s="303"/>
      <c r="BJ8" s="354">
        <f t="shared" si="0"/>
        <v>1</v>
      </c>
      <c r="BK8" s="316" t="str">
        <f t="shared" si="6"/>
        <v>Habilitado</v>
      </c>
    </row>
    <row r="9" spans="1:66" ht="25.5" x14ac:dyDescent="0.25">
      <c r="A9" s="324">
        <v>7</v>
      </c>
      <c r="B9" s="345" t="s">
        <v>1850</v>
      </c>
      <c r="C9" s="335" t="s">
        <v>518</v>
      </c>
      <c r="D9" s="360" t="s">
        <v>140</v>
      </c>
      <c r="E9" s="347">
        <v>1</v>
      </c>
      <c r="F9" s="314" t="s">
        <v>510</v>
      </c>
      <c r="G9" s="314" t="s">
        <v>510</v>
      </c>
      <c r="H9" s="314" t="s">
        <v>510</v>
      </c>
      <c r="I9" s="314" t="s">
        <v>510</v>
      </c>
      <c r="J9" s="314">
        <v>40</v>
      </c>
      <c r="K9" s="29">
        <f t="shared" si="1"/>
        <v>40</v>
      </c>
      <c r="L9" s="314" t="s">
        <v>504</v>
      </c>
      <c r="M9" s="314"/>
      <c r="N9" s="314"/>
      <c r="O9" s="314"/>
      <c r="P9" s="314"/>
      <c r="Q9" s="314"/>
      <c r="R9" s="314"/>
      <c r="S9" s="314"/>
      <c r="T9" s="314"/>
      <c r="U9" s="314"/>
      <c r="V9" s="350"/>
      <c r="W9" s="350"/>
      <c r="X9" s="350"/>
      <c r="Y9" s="350"/>
      <c r="Z9" s="307"/>
      <c r="AA9" s="350">
        <f t="shared" si="2"/>
        <v>0</v>
      </c>
      <c r="AB9" s="307"/>
      <c r="AC9" s="307"/>
      <c r="AD9" s="303"/>
      <c r="AE9" s="303"/>
      <c r="AF9" s="303"/>
      <c r="AG9" s="303"/>
      <c r="AH9" s="314"/>
      <c r="AI9" s="297">
        <f t="shared" si="3"/>
        <v>0</v>
      </c>
      <c r="AJ9" s="303"/>
      <c r="AK9" s="361"/>
      <c r="AL9" s="303"/>
      <c r="AM9" s="303"/>
      <c r="AN9" s="303"/>
      <c r="AO9" s="303"/>
      <c r="AP9" s="303"/>
      <c r="AQ9" s="289">
        <f t="shared" si="4"/>
        <v>0</v>
      </c>
      <c r="AR9" s="314"/>
      <c r="AS9" s="314"/>
      <c r="AT9" s="303" t="s">
        <v>510</v>
      </c>
      <c r="AU9" s="303" t="s">
        <v>510</v>
      </c>
      <c r="AV9" s="303" t="s">
        <v>510</v>
      </c>
      <c r="AW9" s="303" t="s">
        <v>510</v>
      </c>
      <c r="AX9" s="314">
        <v>40</v>
      </c>
      <c r="AY9" s="139">
        <f t="shared" si="5"/>
        <v>40</v>
      </c>
      <c r="AZ9" s="303" t="s">
        <v>504</v>
      </c>
      <c r="BA9" s="361"/>
      <c r="BB9" s="303"/>
      <c r="BC9" s="303"/>
      <c r="BD9" s="303"/>
      <c r="BE9" s="303"/>
      <c r="BF9" s="303"/>
      <c r="BG9" s="353">
        <f t="shared" si="7"/>
        <v>0</v>
      </c>
      <c r="BH9" s="303"/>
      <c r="BI9" s="303"/>
      <c r="BJ9" s="354">
        <f t="shared" si="0"/>
        <v>2</v>
      </c>
      <c r="BK9" s="316" t="str">
        <f t="shared" si="6"/>
        <v>Habilitado</v>
      </c>
    </row>
    <row r="10" spans="1:66" ht="25.5" x14ac:dyDescent="0.25">
      <c r="A10" s="324">
        <v>8</v>
      </c>
      <c r="B10" s="345" t="s">
        <v>1851</v>
      </c>
      <c r="C10" s="335" t="s">
        <v>518</v>
      </c>
      <c r="D10" s="360" t="s">
        <v>140</v>
      </c>
      <c r="E10" s="347">
        <v>1</v>
      </c>
      <c r="F10" s="314" t="s">
        <v>510</v>
      </c>
      <c r="G10" s="314" t="s">
        <v>510</v>
      </c>
      <c r="H10" s="314" t="s">
        <v>510</v>
      </c>
      <c r="I10" s="314" t="s">
        <v>510</v>
      </c>
      <c r="J10" s="314">
        <v>40</v>
      </c>
      <c r="K10" s="29">
        <f t="shared" si="1"/>
        <v>40</v>
      </c>
      <c r="L10" s="314" t="s">
        <v>504</v>
      </c>
      <c r="M10" s="314"/>
      <c r="N10" s="314"/>
      <c r="O10" s="314"/>
      <c r="P10" s="314"/>
      <c r="Q10" s="314"/>
      <c r="R10" s="314"/>
      <c r="S10" s="314"/>
      <c r="T10" s="314"/>
      <c r="U10" s="314"/>
      <c r="V10" s="350"/>
      <c r="W10" s="350"/>
      <c r="X10" s="350"/>
      <c r="Y10" s="350"/>
      <c r="Z10" s="307"/>
      <c r="AA10" s="350">
        <f t="shared" si="2"/>
        <v>0</v>
      </c>
      <c r="AB10" s="307"/>
      <c r="AC10" s="307"/>
      <c r="AD10" s="303"/>
      <c r="AE10" s="303"/>
      <c r="AF10" s="303"/>
      <c r="AG10" s="303"/>
      <c r="AH10" s="314"/>
      <c r="AI10" s="297">
        <f t="shared" si="3"/>
        <v>0</v>
      </c>
      <c r="AJ10" s="303"/>
      <c r="AK10" s="361"/>
      <c r="AL10" s="303"/>
      <c r="AM10" s="303"/>
      <c r="AN10" s="303"/>
      <c r="AO10" s="303"/>
      <c r="AP10" s="303"/>
      <c r="AQ10" s="289">
        <f t="shared" si="4"/>
        <v>0</v>
      </c>
      <c r="AR10" s="314"/>
      <c r="AS10" s="314"/>
      <c r="AT10" s="303" t="s">
        <v>510</v>
      </c>
      <c r="AU10" s="303" t="s">
        <v>510</v>
      </c>
      <c r="AV10" s="303" t="s">
        <v>510</v>
      </c>
      <c r="AW10" s="303" t="s">
        <v>510</v>
      </c>
      <c r="AX10" s="314">
        <v>40</v>
      </c>
      <c r="AY10" s="139">
        <f t="shared" si="5"/>
        <v>40</v>
      </c>
      <c r="AZ10" s="303" t="s">
        <v>504</v>
      </c>
      <c r="BA10" s="361"/>
      <c r="BB10" s="303"/>
      <c r="BC10" s="303"/>
      <c r="BD10" s="303"/>
      <c r="BE10" s="303"/>
      <c r="BF10" s="303"/>
      <c r="BG10" s="353">
        <f t="shared" si="7"/>
        <v>0</v>
      </c>
      <c r="BH10" s="303"/>
      <c r="BI10" s="303"/>
      <c r="BJ10" s="354">
        <f t="shared" si="0"/>
        <v>2</v>
      </c>
      <c r="BK10" s="316" t="str">
        <f t="shared" si="6"/>
        <v>Habilitado</v>
      </c>
    </row>
    <row r="11" spans="1:66" ht="25.5" x14ac:dyDescent="0.25">
      <c r="A11" s="324">
        <v>9</v>
      </c>
      <c r="B11" s="345" t="s">
        <v>1852</v>
      </c>
      <c r="C11" s="335" t="s">
        <v>518</v>
      </c>
      <c r="D11" s="360" t="s">
        <v>1853</v>
      </c>
      <c r="E11" s="347">
        <v>1</v>
      </c>
      <c r="F11" s="314" t="s">
        <v>510</v>
      </c>
      <c r="G11" s="314" t="s">
        <v>510</v>
      </c>
      <c r="H11" s="314" t="s">
        <v>510</v>
      </c>
      <c r="I11" s="314" t="s">
        <v>510</v>
      </c>
      <c r="J11" s="314">
        <v>40</v>
      </c>
      <c r="K11" s="29">
        <f t="shared" si="1"/>
        <v>40</v>
      </c>
      <c r="L11" s="314" t="s">
        <v>504</v>
      </c>
      <c r="M11" s="314"/>
      <c r="N11" s="314"/>
      <c r="O11" s="314"/>
      <c r="P11" s="314"/>
      <c r="Q11" s="314"/>
      <c r="R11" s="314"/>
      <c r="S11" s="314"/>
      <c r="T11" s="314"/>
      <c r="U11" s="314"/>
      <c r="V11" s="350"/>
      <c r="W11" s="350"/>
      <c r="X11" s="350"/>
      <c r="Y11" s="350"/>
      <c r="Z11" s="307"/>
      <c r="AA11" s="350">
        <f t="shared" si="2"/>
        <v>0</v>
      </c>
      <c r="AB11" s="307"/>
      <c r="AC11" s="307"/>
      <c r="AD11" s="303"/>
      <c r="AE11" s="303"/>
      <c r="AF11" s="303"/>
      <c r="AG11" s="303"/>
      <c r="AH11" s="314"/>
      <c r="AI11" s="297">
        <f t="shared" si="3"/>
        <v>0</v>
      </c>
      <c r="AJ11" s="303"/>
      <c r="AK11" s="361"/>
      <c r="AL11" s="303"/>
      <c r="AM11" s="303"/>
      <c r="AN11" s="303"/>
      <c r="AO11" s="303"/>
      <c r="AP11" s="303"/>
      <c r="AQ11" s="289">
        <f t="shared" si="4"/>
        <v>0</v>
      </c>
      <c r="AR11" s="314"/>
      <c r="AS11" s="314"/>
      <c r="AT11" s="329"/>
      <c r="AU11" s="329"/>
      <c r="AV11" s="329"/>
      <c r="AW11" s="329"/>
      <c r="AX11" s="329"/>
      <c r="AY11" s="139">
        <f t="shared" si="5"/>
        <v>0</v>
      </c>
      <c r="AZ11" s="303"/>
      <c r="BA11" s="303"/>
      <c r="BB11" s="303"/>
      <c r="BC11" s="303"/>
      <c r="BD11" s="303"/>
      <c r="BE11" s="303"/>
      <c r="BF11" s="303"/>
      <c r="BG11" s="353">
        <f t="shared" si="7"/>
        <v>0</v>
      </c>
      <c r="BH11" s="303"/>
      <c r="BI11" s="303"/>
      <c r="BJ11" s="354">
        <f t="shared" si="0"/>
        <v>1</v>
      </c>
      <c r="BK11" s="316" t="str">
        <f t="shared" si="6"/>
        <v>Habilitado</v>
      </c>
    </row>
    <row r="12" spans="1:66" ht="25.5" x14ac:dyDescent="0.25">
      <c r="A12" s="324">
        <v>10</v>
      </c>
      <c r="B12" s="345" t="s">
        <v>1854</v>
      </c>
      <c r="C12" s="335" t="s">
        <v>518</v>
      </c>
      <c r="D12" s="360" t="s">
        <v>1572</v>
      </c>
      <c r="E12" s="347">
        <v>1</v>
      </c>
      <c r="F12" s="314" t="s">
        <v>510</v>
      </c>
      <c r="G12" s="314" t="s">
        <v>510</v>
      </c>
      <c r="H12" s="314" t="s">
        <v>510</v>
      </c>
      <c r="I12" s="314" t="s">
        <v>510</v>
      </c>
      <c r="J12" s="314">
        <v>40</v>
      </c>
      <c r="K12" s="29">
        <f t="shared" si="1"/>
        <v>40</v>
      </c>
      <c r="L12" s="314" t="s">
        <v>504</v>
      </c>
      <c r="M12" s="314"/>
      <c r="N12" s="314"/>
      <c r="O12" s="314"/>
      <c r="P12" s="314"/>
      <c r="Q12" s="314"/>
      <c r="R12" s="314"/>
      <c r="S12" s="314"/>
      <c r="T12" s="314"/>
      <c r="U12" s="314"/>
      <c r="V12" s="350"/>
      <c r="W12" s="350"/>
      <c r="X12" s="350"/>
      <c r="Y12" s="350"/>
      <c r="Z12" s="307"/>
      <c r="AA12" s="350">
        <f t="shared" si="2"/>
        <v>0</v>
      </c>
      <c r="AB12" s="307"/>
      <c r="AC12" s="307"/>
      <c r="AD12" s="303"/>
      <c r="AE12" s="303"/>
      <c r="AF12" s="303"/>
      <c r="AG12" s="303"/>
      <c r="AH12" s="314"/>
      <c r="AI12" s="297">
        <f t="shared" si="3"/>
        <v>0</v>
      </c>
      <c r="AJ12" s="303"/>
      <c r="AK12" s="361"/>
      <c r="AL12" s="303"/>
      <c r="AM12" s="303"/>
      <c r="AN12" s="303"/>
      <c r="AO12" s="303"/>
      <c r="AP12" s="303"/>
      <c r="AQ12" s="289">
        <f t="shared" si="4"/>
        <v>0</v>
      </c>
      <c r="AR12" s="314"/>
      <c r="AS12" s="314"/>
      <c r="AT12" s="329"/>
      <c r="AU12" s="329"/>
      <c r="AV12" s="329"/>
      <c r="AW12" s="329"/>
      <c r="AX12" s="329"/>
      <c r="AY12" s="139">
        <f t="shared" si="5"/>
        <v>0</v>
      </c>
      <c r="AZ12" s="303"/>
      <c r="BA12" s="303"/>
      <c r="BB12" s="303"/>
      <c r="BC12" s="303"/>
      <c r="BD12" s="303"/>
      <c r="BE12" s="303"/>
      <c r="BF12" s="303"/>
      <c r="BG12" s="353">
        <f t="shared" si="7"/>
        <v>0</v>
      </c>
      <c r="BH12" s="303"/>
      <c r="BI12" s="303"/>
      <c r="BJ12" s="354">
        <f t="shared" si="0"/>
        <v>1</v>
      </c>
      <c r="BK12" s="316" t="str">
        <f t="shared" si="6"/>
        <v>Habilitado</v>
      </c>
    </row>
    <row r="13" spans="1:66" ht="25.5" x14ac:dyDescent="0.25">
      <c r="A13" s="324">
        <v>11</v>
      </c>
      <c r="B13" s="345" t="s">
        <v>1855</v>
      </c>
      <c r="C13" s="335" t="s">
        <v>518</v>
      </c>
      <c r="D13" s="360" t="s">
        <v>1853</v>
      </c>
      <c r="E13" s="347">
        <v>1</v>
      </c>
      <c r="F13" s="314" t="s">
        <v>510</v>
      </c>
      <c r="G13" s="314" t="s">
        <v>510</v>
      </c>
      <c r="H13" s="314" t="s">
        <v>510</v>
      </c>
      <c r="I13" s="314" t="s">
        <v>510</v>
      </c>
      <c r="J13" s="314">
        <v>40</v>
      </c>
      <c r="K13" s="29">
        <f t="shared" si="1"/>
        <v>40</v>
      </c>
      <c r="L13" s="314" t="s">
        <v>504</v>
      </c>
      <c r="M13" s="314"/>
      <c r="N13" s="314"/>
      <c r="O13" s="314"/>
      <c r="P13" s="314"/>
      <c r="Q13" s="314"/>
      <c r="R13" s="314"/>
      <c r="S13" s="314"/>
      <c r="T13" s="314"/>
      <c r="U13" s="314"/>
      <c r="V13" s="350"/>
      <c r="W13" s="350"/>
      <c r="X13" s="350"/>
      <c r="Y13" s="350"/>
      <c r="Z13" s="307"/>
      <c r="AA13" s="350">
        <f t="shared" si="2"/>
        <v>0</v>
      </c>
      <c r="AB13" s="307"/>
      <c r="AC13" s="307"/>
      <c r="AD13" s="303"/>
      <c r="AE13" s="303"/>
      <c r="AF13" s="303"/>
      <c r="AG13" s="303"/>
      <c r="AH13" s="314"/>
      <c r="AI13" s="297">
        <f t="shared" si="3"/>
        <v>0</v>
      </c>
      <c r="AJ13" s="303"/>
      <c r="AK13" s="361"/>
      <c r="AL13" s="303"/>
      <c r="AM13" s="303"/>
      <c r="AN13" s="303"/>
      <c r="AO13" s="303"/>
      <c r="AP13" s="303"/>
      <c r="AQ13" s="289">
        <f t="shared" si="4"/>
        <v>0</v>
      </c>
      <c r="AR13" s="314"/>
      <c r="AS13" s="314"/>
      <c r="AT13" s="329"/>
      <c r="AU13" s="329"/>
      <c r="AV13" s="329"/>
      <c r="AW13" s="329"/>
      <c r="AX13" s="329"/>
      <c r="AY13" s="139">
        <f t="shared" si="5"/>
        <v>0</v>
      </c>
      <c r="AZ13" s="303"/>
      <c r="BA13" s="303"/>
      <c r="BB13" s="303"/>
      <c r="BC13" s="303"/>
      <c r="BD13" s="303"/>
      <c r="BE13" s="303"/>
      <c r="BF13" s="303"/>
      <c r="BG13" s="353">
        <f t="shared" si="7"/>
        <v>0</v>
      </c>
      <c r="BH13" s="303"/>
      <c r="BI13" s="303"/>
      <c r="BJ13" s="354">
        <f t="shared" si="0"/>
        <v>1</v>
      </c>
      <c r="BK13" s="316" t="str">
        <f t="shared" si="6"/>
        <v>Habilitado</v>
      </c>
    </row>
    <row r="14" spans="1:66" x14ac:dyDescent="0.25">
      <c r="A14" s="324">
        <v>12</v>
      </c>
      <c r="B14" s="345" t="s">
        <v>1856</v>
      </c>
      <c r="C14" s="335" t="s">
        <v>518</v>
      </c>
      <c r="D14" s="360" t="s">
        <v>1857</v>
      </c>
      <c r="E14" s="347">
        <v>1</v>
      </c>
      <c r="F14" s="314" t="s">
        <v>510</v>
      </c>
      <c r="G14" s="314" t="s">
        <v>510</v>
      </c>
      <c r="H14" s="314" t="s">
        <v>511</v>
      </c>
      <c r="I14" s="314" t="s">
        <v>510</v>
      </c>
      <c r="J14" s="314">
        <v>40</v>
      </c>
      <c r="K14" s="29">
        <f t="shared" si="1"/>
        <v>40</v>
      </c>
      <c r="L14" s="314" t="s">
        <v>504</v>
      </c>
      <c r="M14" s="314"/>
      <c r="N14" s="314"/>
      <c r="O14" s="314"/>
      <c r="P14" s="314"/>
      <c r="Q14" s="314"/>
      <c r="R14" s="314"/>
      <c r="S14" s="314"/>
      <c r="T14" s="314"/>
      <c r="U14" s="314"/>
      <c r="V14" s="350"/>
      <c r="W14" s="350"/>
      <c r="X14" s="350"/>
      <c r="Y14" s="350"/>
      <c r="Z14" s="307"/>
      <c r="AA14" s="350">
        <f t="shared" si="2"/>
        <v>0</v>
      </c>
      <c r="AB14" s="307"/>
      <c r="AC14" s="307"/>
      <c r="AD14" s="303"/>
      <c r="AE14" s="303"/>
      <c r="AF14" s="303"/>
      <c r="AG14" s="303"/>
      <c r="AH14" s="314"/>
      <c r="AI14" s="297">
        <f t="shared" si="3"/>
        <v>0</v>
      </c>
      <c r="AJ14" s="303"/>
      <c r="AK14" s="303"/>
      <c r="AL14" s="303"/>
      <c r="AM14" s="303"/>
      <c r="AN14" s="303"/>
      <c r="AO14" s="303"/>
      <c r="AP14" s="303"/>
      <c r="AQ14" s="289">
        <f t="shared" si="4"/>
        <v>0</v>
      </c>
      <c r="AR14" s="303"/>
      <c r="AS14" s="303"/>
      <c r="AT14" s="329"/>
      <c r="AU14" s="329"/>
      <c r="AV14" s="329"/>
      <c r="AW14" s="329"/>
      <c r="AX14" s="329"/>
      <c r="AY14" s="139">
        <f t="shared" si="5"/>
        <v>0</v>
      </c>
      <c r="AZ14" s="303"/>
      <c r="BA14" s="303"/>
      <c r="BB14" s="303"/>
      <c r="BC14" s="303"/>
      <c r="BD14" s="303"/>
      <c r="BE14" s="303"/>
      <c r="BF14" s="303"/>
      <c r="BG14" s="353">
        <f t="shared" si="7"/>
        <v>0</v>
      </c>
      <c r="BH14" s="303"/>
      <c r="BI14" s="303"/>
      <c r="BJ14" s="354">
        <f t="shared" si="0"/>
        <v>1</v>
      </c>
      <c r="BK14" s="316" t="str">
        <f t="shared" si="6"/>
        <v>Habilitado</v>
      </c>
    </row>
    <row r="15" spans="1:66" ht="25.5" x14ac:dyDescent="0.25">
      <c r="A15" s="324">
        <v>13</v>
      </c>
      <c r="B15" s="325" t="s">
        <v>1858</v>
      </c>
      <c r="C15" s="325" t="s">
        <v>518</v>
      </c>
      <c r="D15" s="325" t="s">
        <v>1859</v>
      </c>
      <c r="E15" s="362">
        <v>1</v>
      </c>
      <c r="F15" s="406" t="s">
        <v>510</v>
      </c>
      <c r="G15" s="406" t="s">
        <v>510</v>
      </c>
      <c r="H15" s="406" t="s">
        <v>511</v>
      </c>
      <c r="I15" s="406" t="s">
        <v>510</v>
      </c>
      <c r="J15" s="406">
        <v>40</v>
      </c>
      <c r="K15" s="29">
        <f t="shared" si="1"/>
        <v>40</v>
      </c>
      <c r="L15" s="406" t="s">
        <v>504</v>
      </c>
      <c r="M15" s="406" t="s">
        <v>551</v>
      </c>
      <c r="N15" s="406"/>
      <c r="O15" s="406"/>
      <c r="P15" s="406"/>
      <c r="Q15" s="406"/>
      <c r="R15" s="406"/>
      <c r="S15" s="406"/>
      <c r="T15" s="406"/>
      <c r="U15" s="406"/>
      <c r="V15" s="406"/>
      <c r="W15" s="406"/>
      <c r="X15" s="406"/>
      <c r="Y15" s="406"/>
      <c r="Z15" s="304"/>
      <c r="AA15" s="350">
        <f t="shared" si="2"/>
        <v>0</v>
      </c>
      <c r="AB15" s="304"/>
      <c r="AC15" s="304"/>
      <c r="AD15" s="304"/>
      <c r="AE15" s="304"/>
      <c r="AF15" s="304"/>
      <c r="AG15" s="304"/>
      <c r="AH15" s="326"/>
      <c r="AI15" s="297">
        <f t="shared" si="3"/>
        <v>0</v>
      </c>
      <c r="AJ15" s="304"/>
      <c r="AK15" s="304"/>
      <c r="AL15" s="304"/>
      <c r="AM15" s="304"/>
      <c r="AN15" s="304"/>
      <c r="AO15" s="304"/>
      <c r="AP15" s="304"/>
      <c r="AQ15" s="289">
        <f t="shared" si="4"/>
        <v>0</v>
      </c>
      <c r="AR15" s="304"/>
      <c r="AS15" s="304"/>
      <c r="AT15" s="325"/>
      <c r="AU15" s="325"/>
      <c r="AV15" s="325"/>
      <c r="AW15" s="325"/>
      <c r="AX15" s="325"/>
      <c r="AY15" s="139">
        <f t="shared" si="5"/>
        <v>0</v>
      </c>
      <c r="AZ15" s="304"/>
      <c r="BA15" s="304"/>
      <c r="BB15" s="303"/>
      <c r="BC15" s="303"/>
      <c r="BD15" s="303"/>
      <c r="BE15" s="303"/>
      <c r="BF15" s="303"/>
      <c r="BG15" s="353">
        <f t="shared" si="7"/>
        <v>0</v>
      </c>
      <c r="BH15" s="303"/>
      <c r="BI15" s="303"/>
      <c r="BJ15" s="354">
        <f t="shared" si="0"/>
        <v>1</v>
      </c>
      <c r="BK15" s="316" t="str">
        <f t="shared" si="6"/>
        <v>Habilitado</v>
      </c>
    </row>
    <row r="16" spans="1:66" ht="25.5" x14ac:dyDescent="0.25">
      <c r="A16" s="324">
        <v>14</v>
      </c>
      <c r="B16" s="345" t="s">
        <v>1860</v>
      </c>
      <c r="C16" s="335" t="s">
        <v>518</v>
      </c>
      <c r="D16" s="360" t="s">
        <v>140</v>
      </c>
      <c r="E16" s="347">
        <v>1</v>
      </c>
      <c r="F16" s="314"/>
      <c r="G16" s="314"/>
      <c r="H16" s="314"/>
      <c r="I16" s="314"/>
      <c r="J16" s="314"/>
      <c r="K16" s="29">
        <f t="shared" si="1"/>
        <v>0</v>
      </c>
      <c r="L16" s="314"/>
      <c r="M16" s="407"/>
      <c r="N16" s="407"/>
      <c r="O16" s="407"/>
      <c r="P16" s="407"/>
      <c r="Q16" s="407"/>
      <c r="R16" s="407"/>
      <c r="S16" s="407"/>
      <c r="T16" s="407"/>
      <c r="U16" s="407"/>
      <c r="V16" s="350"/>
      <c r="W16" s="350"/>
      <c r="X16" s="350"/>
      <c r="Y16" s="350"/>
      <c r="Z16" s="307"/>
      <c r="AA16" s="350">
        <f t="shared" si="2"/>
        <v>0</v>
      </c>
      <c r="AB16" s="307"/>
      <c r="AC16" s="306"/>
      <c r="AD16" s="303" t="s">
        <v>510</v>
      </c>
      <c r="AE16" s="303" t="s">
        <v>510</v>
      </c>
      <c r="AF16" s="303" t="s">
        <v>511</v>
      </c>
      <c r="AG16" s="303" t="s">
        <v>510</v>
      </c>
      <c r="AH16" s="314">
        <v>0</v>
      </c>
      <c r="AI16" s="297">
        <f t="shared" si="3"/>
        <v>0</v>
      </c>
      <c r="AJ16" s="348" t="s">
        <v>504</v>
      </c>
      <c r="AK16" s="303"/>
      <c r="AL16" s="303"/>
      <c r="AM16" s="303"/>
      <c r="AN16" s="303"/>
      <c r="AO16" s="303"/>
      <c r="AP16" s="303"/>
      <c r="AQ16" s="289">
        <f t="shared" si="4"/>
        <v>0</v>
      </c>
      <c r="AR16" s="303"/>
      <c r="AS16" s="303"/>
      <c r="AT16" s="303" t="s">
        <v>510</v>
      </c>
      <c r="AU16" s="303" t="s">
        <v>510</v>
      </c>
      <c r="AV16" s="303" t="s">
        <v>511</v>
      </c>
      <c r="AW16" s="303" t="s">
        <v>510</v>
      </c>
      <c r="AX16" s="314">
        <v>40</v>
      </c>
      <c r="AY16" s="139">
        <f t="shared" si="5"/>
        <v>40</v>
      </c>
      <c r="AZ16" s="303" t="s">
        <v>504</v>
      </c>
      <c r="BA16" s="303"/>
      <c r="BB16" s="356" t="s">
        <v>510</v>
      </c>
      <c r="BC16" s="356" t="s">
        <v>510</v>
      </c>
      <c r="BD16" s="356" t="s">
        <v>511</v>
      </c>
      <c r="BE16" s="303" t="s">
        <v>510</v>
      </c>
      <c r="BF16" s="352">
        <v>0</v>
      </c>
      <c r="BG16" s="353">
        <f t="shared" si="7"/>
        <v>0</v>
      </c>
      <c r="BH16" s="303" t="s">
        <v>504</v>
      </c>
      <c r="BI16" s="303"/>
      <c r="BJ16" s="354">
        <f t="shared" si="0"/>
        <v>3</v>
      </c>
      <c r="BK16" s="316" t="str">
        <f t="shared" si="6"/>
        <v>Habilitado</v>
      </c>
    </row>
    <row r="17" spans="1:63" x14ac:dyDescent="0.25">
      <c r="A17" s="324">
        <v>15</v>
      </c>
      <c r="B17" s="345" t="s">
        <v>1861</v>
      </c>
      <c r="C17" s="335" t="s">
        <v>518</v>
      </c>
      <c r="D17" s="360" t="s">
        <v>1862</v>
      </c>
      <c r="E17" s="347">
        <v>1</v>
      </c>
      <c r="F17" s="314" t="s">
        <v>510</v>
      </c>
      <c r="G17" s="314" t="s">
        <v>510</v>
      </c>
      <c r="H17" s="314" t="s">
        <v>510</v>
      </c>
      <c r="I17" s="314" t="s">
        <v>510</v>
      </c>
      <c r="J17" s="314">
        <v>40</v>
      </c>
      <c r="K17" s="29">
        <f t="shared" si="1"/>
        <v>40</v>
      </c>
      <c r="L17" s="314" t="s">
        <v>504</v>
      </c>
      <c r="M17" s="314"/>
      <c r="N17" s="314"/>
      <c r="O17" s="314"/>
      <c r="P17" s="314"/>
      <c r="Q17" s="314"/>
      <c r="R17" s="314"/>
      <c r="S17" s="314"/>
      <c r="T17" s="314"/>
      <c r="U17" s="314"/>
      <c r="V17" s="350"/>
      <c r="W17" s="350"/>
      <c r="X17" s="350"/>
      <c r="Y17" s="350"/>
      <c r="Z17" s="307"/>
      <c r="AA17" s="350">
        <f t="shared" si="2"/>
        <v>0</v>
      </c>
      <c r="AB17" s="307"/>
      <c r="AC17" s="307"/>
      <c r="AD17" s="303"/>
      <c r="AE17" s="303"/>
      <c r="AF17" s="303"/>
      <c r="AG17" s="303"/>
      <c r="AH17" s="314"/>
      <c r="AI17" s="297">
        <f t="shared" si="3"/>
        <v>0</v>
      </c>
      <c r="AJ17" s="303"/>
      <c r="AK17" s="303"/>
      <c r="AL17" s="303"/>
      <c r="AM17" s="303"/>
      <c r="AN17" s="303"/>
      <c r="AO17" s="303"/>
      <c r="AP17" s="303"/>
      <c r="AQ17" s="289">
        <f t="shared" si="4"/>
        <v>0</v>
      </c>
      <c r="AR17" s="303"/>
      <c r="AS17" s="303"/>
      <c r="AT17" s="329"/>
      <c r="AU17" s="329"/>
      <c r="AV17" s="329"/>
      <c r="AW17" s="329"/>
      <c r="AX17" s="329"/>
      <c r="AY17" s="139">
        <f t="shared" si="5"/>
        <v>0</v>
      </c>
      <c r="AZ17" s="303"/>
      <c r="BA17" s="303"/>
      <c r="BB17" s="304"/>
      <c r="BC17" s="304"/>
      <c r="BD17" s="304"/>
      <c r="BE17" s="304"/>
      <c r="BF17" s="304"/>
      <c r="BG17" s="353">
        <f t="shared" si="7"/>
        <v>0</v>
      </c>
      <c r="BH17" s="304"/>
      <c r="BI17" s="304"/>
      <c r="BJ17" s="354">
        <f t="shared" si="0"/>
        <v>1</v>
      </c>
      <c r="BK17" s="316" t="str">
        <f t="shared" si="6"/>
        <v>Habilitado</v>
      </c>
    </row>
    <row r="18" spans="1:63" x14ac:dyDescent="0.25">
      <c r="A18" s="324">
        <v>16</v>
      </c>
      <c r="B18" s="345" t="s">
        <v>1863</v>
      </c>
      <c r="C18" s="335" t="s">
        <v>518</v>
      </c>
      <c r="D18" s="360" t="s">
        <v>1862</v>
      </c>
      <c r="E18" s="347">
        <v>1</v>
      </c>
      <c r="F18" s="314" t="s">
        <v>510</v>
      </c>
      <c r="G18" s="314" t="s">
        <v>510</v>
      </c>
      <c r="H18" s="314" t="s">
        <v>510</v>
      </c>
      <c r="I18" s="314" t="s">
        <v>510</v>
      </c>
      <c r="J18" s="314">
        <v>40</v>
      </c>
      <c r="K18" s="29">
        <f t="shared" si="1"/>
        <v>40</v>
      </c>
      <c r="L18" s="314" t="s">
        <v>504</v>
      </c>
      <c r="M18" s="314"/>
      <c r="N18" s="314"/>
      <c r="O18" s="314"/>
      <c r="P18" s="314"/>
      <c r="Q18" s="314"/>
      <c r="R18" s="314"/>
      <c r="S18" s="314"/>
      <c r="T18" s="314"/>
      <c r="U18" s="314"/>
      <c r="V18" s="350"/>
      <c r="W18" s="350"/>
      <c r="X18" s="350"/>
      <c r="Y18" s="350"/>
      <c r="Z18" s="307"/>
      <c r="AA18" s="350">
        <f t="shared" si="2"/>
        <v>0</v>
      </c>
      <c r="AB18" s="307"/>
      <c r="AC18" s="307"/>
      <c r="AD18" s="303"/>
      <c r="AE18" s="303"/>
      <c r="AF18" s="303"/>
      <c r="AG18" s="303"/>
      <c r="AH18" s="314"/>
      <c r="AI18" s="297">
        <f t="shared" si="3"/>
        <v>0</v>
      </c>
      <c r="AJ18" s="303"/>
      <c r="AK18" s="303"/>
      <c r="AL18" s="303"/>
      <c r="AM18" s="303"/>
      <c r="AN18" s="303"/>
      <c r="AO18" s="303"/>
      <c r="AP18" s="303"/>
      <c r="AQ18" s="289">
        <f t="shared" si="4"/>
        <v>0</v>
      </c>
      <c r="AR18" s="303"/>
      <c r="AS18" s="303"/>
      <c r="AT18" s="329"/>
      <c r="AU18" s="329"/>
      <c r="AV18" s="329"/>
      <c r="AW18" s="329"/>
      <c r="AX18" s="329"/>
      <c r="AY18" s="139">
        <f t="shared" si="5"/>
        <v>0</v>
      </c>
      <c r="AZ18" s="303"/>
      <c r="BA18" s="303"/>
      <c r="BB18" s="303"/>
      <c r="BC18" s="303"/>
      <c r="BD18" s="303"/>
      <c r="BE18" s="303"/>
      <c r="BF18" s="303"/>
      <c r="BG18" s="353">
        <f t="shared" si="7"/>
        <v>0</v>
      </c>
      <c r="BH18" s="303"/>
      <c r="BI18" s="303"/>
      <c r="BJ18" s="354">
        <f t="shared" si="0"/>
        <v>1</v>
      </c>
      <c r="BK18" s="316" t="str">
        <f t="shared" si="6"/>
        <v>Habilitado</v>
      </c>
    </row>
    <row r="19" spans="1:63" x14ac:dyDescent="0.25">
      <c r="A19" s="324">
        <v>17</v>
      </c>
      <c r="B19" s="345" t="s">
        <v>1864</v>
      </c>
      <c r="C19" s="335" t="s">
        <v>518</v>
      </c>
      <c r="D19" s="360" t="s">
        <v>140</v>
      </c>
      <c r="E19" s="347">
        <v>1</v>
      </c>
      <c r="F19" s="314"/>
      <c r="G19" s="314"/>
      <c r="H19" s="314"/>
      <c r="I19" s="314"/>
      <c r="J19" s="314"/>
      <c r="K19" s="29">
        <f t="shared" si="1"/>
        <v>0</v>
      </c>
      <c r="L19" s="314"/>
      <c r="M19" s="314"/>
      <c r="N19" s="314"/>
      <c r="O19" s="314"/>
      <c r="P19" s="314"/>
      <c r="Q19" s="314"/>
      <c r="R19" s="314"/>
      <c r="S19" s="314"/>
      <c r="T19" s="314"/>
      <c r="U19" s="314"/>
      <c r="V19" s="350"/>
      <c r="W19" s="350"/>
      <c r="X19" s="350"/>
      <c r="Y19" s="350"/>
      <c r="Z19" s="307"/>
      <c r="AA19" s="350">
        <f t="shared" si="2"/>
        <v>0</v>
      </c>
      <c r="AB19" s="307"/>
      <c r="AC19" s="307"/>
      <c r="AD19" s="303"/>
      <c r="AE19" s="303"/>
      <c r="AF19" s="303"/>
      <c r="AG19" s="303"/>
      <c r="AH19" s="314"/>
      <c r="AI19" s="297">
        <f t="shared" si="3"/>
        <v>0</v>
      </c>
      <c r="AJ19" s="303"/>
      <c r="AK19" s="303"/>
      <c r="AL19" s="303"/>
      <c r="AM19" s="303"/>
      <c r="AN19" s="303"/>
      <c r="AO19" s="303"/>
      <c r="AP19" s="303"/>
      <c r="AQ19" s="289">
        <f t="shared" si="4"/>
        <v>0</v>
      </c>
      <c r="AR19" s="303"/>
      <c r="AS19" s="303"/>
      <c r="AT19" s="329"/>
      <c r="AU19" s="329"/>
      <c r="AV19" s="329"/>
      <c r="AW19" s="329"/>
      <c r="AX19" s="329"/>
      <c r="AY19" s="139">
        <f t="shared" si="5"/>
        <v>0</v>
      </c>
      <c r="AZ19" s="303"/>
      <c r="BA19" s="303"/>
      <c r="BB19" s="303"/>
      <c r="BC19" s="303"/>
      <c r="BD19" s="303"/>
      <c r="BE19" s="303"/>
      <c r="BF19" s="303"/>
      <c r="BG19" s="353">
        <f t="shared" si="7"/>
        <v>0</v>
      </c>
      <c r="BH19" s="303"/>
      <c r="BI19" s="303"/>
      <c r="BJ19" s="354">
        <f t="shared" si="0"/>
        <v>0</v>
      </c>
      <c r="BK19" s="316" t="str">
        <f t="shared" si="6"/>
        <v>Desierto</v>
      </c>
    </row>
    <row r="20" spans="1:63" ht="25.5" x14ac:dyDescent="0.25">
      <c r="A20" s="324">
        <v>18</v>
      </c>
      <c r="B20" s="345" t="s">
        <v>1865</v>
      </c>
      <c r="C20" s="335" t="s">
        <v>518</v>
      </c>
      <c r="D20" s="357" t="s">
        <v>1061</v>
      </c>
      <c r="E20" s="347">
        <v>1</v>
      </c>
      <c r="F20" s="314"/>
      <c r="G20" s="314"/>
      <c r="H20" s="314"/>
      <c r="I20" s="314"/>
      <c r="J20" s="314"/>
      <c r="K20" s="29">
        <f t="shared" si="1"/>
        <v>0</v>
      </c>
      <c r="L20" s="314"/>
      <c r="M20" s="314"/>
      <c r="N20" s="314"/>
      <c r="O20" s="314"/>
      <c r="P20" s="314"/>
      <c r="Q20" s="314"/>
      <c r="R20" s="314"/>
      <c r="S20" s="314"/>
      <c r="T20" s="314"/>
      <c r="U20" s="314"/>
      <c r="V20" s="350"/>
      <c r="W20" s="350"/>
      <c r="X20" s="350"/>
      <c r="Y20" s="350"/>
      <c r="Z20" s="307"/>
      <c r="AA20" s="350">
        <f t="shared" si="2"/>
        <v>0</v>
      </c>
      <c r="AB20" s="307"/>
      <c r="AC20" s="307"/>
      <c r="AD20" s="303"/>
      <c r="AE20" s="303"/>
      <c r="AF20" s="303"/>
      <c r="AG20" s="303"/>
      <c r="AH20" s="314"/>
      <c r="AI20" s="297">
        <f t="shared" si="3"/>
        <v>0</v>
      </c>
      <c r="AJ20" s="303"/>
      <c r="AK20" s="303"/>
      <c r="AL20" s="303"/>
      <c r="AM20" s="303"/>
      <c r="AN20" s="303"/>
      <c r="AO20" s="303"/>
      <c r="AP20" s="303"/>
      <c r="AQ20" s="289">
        <f t="shared" si="4"/>
        <v>0</v>
      </c>
      <c r="AR20" s="303"/>
      <c r="AS20" s="303"/>
      <c r="AT20" s="303" t="s">
        <v>510</v>
      </c>
      <c r="AU20" s="303" t="s">
        <v>510</v>
      </c>
      <c r="AV20" s="303" t="s">
        <v>510</v>
      </c>
      <c r="AW20" s="303" t="s">
        <v>510</v>
      </c>
      <c r="AX20" s="314">
        <v>40</v>
      </c>
      <c r="AY20" s="139">
        <f t="shared" si="5"/>
        <v>40</v>
      </c>
      <c r="AZ20" s="303" t="s">
        <v>504</v>
      </c>
      <c r="BA20" s="303"/>
      <c r="BB20" s="303"/>
      <c r="BC20" s="303"/>
      <c r="BD20" s="303"/>
      <c r="BE20" s="303"/>
      <c r="BF20" s="303"/>
      <c r="BG20" s="353">
        <f t="shared" si="7"/>
        <v>0</v>
      </c>
      <c r="BH20" s="303"/>
      <c r="BI20" s="303"/>
      <c r="BJ20" s="354">
        <f t="shared" si="0"/>
        <v>1</v>
      </c>
      <c r="BK20" s="316" t="str">
        <f t="shared" si="6"/>
        <v>Habilitado</v>
      </c>
    </row>
    <row r="21" spans="1:63" x14ac:dyDescent="0.25">
      <c r="A21" s="324">
        <v>19</v>
      </c>
      <c r="B21" s="345" t="s">
        <v>1866</v>
      </c>
      <c r="C21" s="335" t="s">
        <v>518</v>
      </c>
      <c r="D21" s="360" t="s">
        <v>1492</v>
      </c>
      <c r="E21" s="347">
        <v>1</v>
      </c>
      <c r="F21" s="314" t="s">
        <v>519</v>
      </c>
      <c r="G21" s="314" t="s">
        <v>519</v>
      </c>
      <c r="H21" s="314" t="s">
        <v>511</v>
      </c>
      <c r="I21" s="314" t="s">
        <v>510</v>
      </c>
      <c r="J21" s="314">
        <v>0</v>
      </c>
      <c r="K21" s="29">
        <f t="shared" si="1"/>
        <v>0</v>
      </c>
      <c r="L21" s="314" t="s">
        <v>520</v>
      </c>
      <c r="M21" s="314" t="s">
        <v>1867</v>
      </c>
      <c r="N21" s="314"/>
      <c r="O21" s="314"/>
      <c r="P21" s="314"/>
      <c r="Q21" s="314"/>
      <c r="R21" s="314"/>
      <c r="S21" s="314"/>
      <c r="T21" s="314"/>
      <c r="U21" s="314"/>
      <c r="V21" s="350"/>
      <c r="W21" s="350"/>
      <c r="X21" s="350"/>
      <c r="Y21" s="350"/>
      <c r="Z21" s="307"/>
      <c r="AA21" s="350">
        <f t="shared" si="2"/>
        <v>0</v>
      </c>
      <c r="AB21" s="307"/>
      <c r="AC21" s="307"/>
      <c r="AD21" s="303"/>
      <c r="AE21" s="303"/>
      <c r="AF21" s="303"/>
      <c r="AG21" s="303"/>
      <c r="AH21" s="314"/>
      <c r="AI21" s="297">
        <f t="shared" si="3"/>
        <v>0</v>
      </c>
      <c r="AJ21" s="303"/>
      <c r="AK21" s="303"/>
      <c r="AL21" s="303"/>
      <c r="AM21" s="303"/>
      <c r="AN21" s="303"/>
      <c r="AO21" s="303"/>
      <c r="AP21" s="303"/>
      <c r="AQ21" s="289">
        <f t="shared" si="4"/>
        <v>0</v>
      </c>
      <c r="AR21" s="303"/>
      <c r="AS21" s="303"/>
      <c r="AT21" s="329"/>
      <c r="AU21" s="329"/>
      <c r="AV21" s="329"/>
      <c r="AW21" s="329"/>
      <c r="AX21" s="329"/>
      <c r="AY21" s="139">
        <f t="shared" si="5"/>
        <v>0</v>
      </c>
      <c r="AZ21" s="303"/>
      <c r="BA21" s="303"/>
      <c r="BB21" s="303"/>
      <c r="BC21" s="303"/>
      <c r="BD21" s="303"/>
      <c r="BE21" s="303"/>
      <c r="BF21" s="303"/>
      <c r="BG21" s="353">
        <f t="shared" si="7"/>
        <v>0</v>
      </c>
      <c r="BH21" s="303"/>
      <c r="BI21" s="303"/>
      <c r="BJ21" s="354">
        <f t="shared" si="0"/>
        <v>0</v>
      </c>
      <c r="BK21" s="316" t="str">
        <f t="shared" si="6"/>
        <v>Desierto</v>
      </c>
    </row>
    <row r="22" spans="1:63" ht="63.75" x14ac:dyDescent="0.25">
      <c r="A22" s="324">
        <v>20</v>
      </c>
      <c r="B22" s="325" t="s">
        <v>1868</v>
      </c>
      <c r="C22" s="325" t="s">
        <v>518</v>
      </c>
      <c r="D22" s="325" t="s">
        <v>140</v>
      </c>
      <c r="E22" s="362">
        <v>1</v>
      </c>
      <c r="F22" s="406" t="s">
        <v>519</v>
      </c>
      <c r="G22" s="406" t="s">
        <v>519</v>
      </c>
      <c r="H22" s="406" t="s">
        <v>519</v>
      </c>
      <c r="I22" s="406" t="s">
        <v>510</v>
      </c>
      <c r="J22" s="406">
        <v>0</v>
      </c>
      <c r="K22" s="29">
        <f t="shared" si="1"/>
        <v>0</v>
      </c>
      <c r="L22" s="406" t="s">
        <v>593</v>
      </c>
      <c r="M22" s="406" t="s">
        <v>1869</v>
      </c>
      <c r="N22" s="406"/>
      <c r="O22" s="406"/>
      <c r="P22" s="406"/>
      <c r="Q22" s="406"/>
      <c r="R22" s="406"/>
      <c r="S22" s="406"/>
      <c r="T22" s="406"/>
      <c r="U22" s="406"/>
      <c r="V22" s="350"/>
      <c r="W22" s="350"/>
      <c r="X22" s="350"/>
      <c r="Y22" s="350"/>
      <c r="Z22" s="307"/>
      <c r="AA22" s="350">
        <f t="shared" si="2"/>
        <v>0</v>
      </c>
      <c r="AB22" s="307"/>
      <c r="AC22" s="307"/>
      <c r="AD22" s="304" t="s">
        <v>510</v>
      </c>
      <c r="AE22" s="304" t="s">
        <v>510</v>
      </c>
      <c r="AF22" s="304" t="s">
        <v>519</v>
      </c>
      <c r="AG22" s="322" t="s">
        <v>510</v>
      </c>
      <c r="AH22" s="326">
        <v>0</v>
      </c>
      <c r="AI22" s="297">
        <f t="shared" si="3"/>
        <v>0</v>
      </c>
      <c r="AJ22" s="303" t="s">
        <v>520</v>
      </c>
      <c r="AK22" s="304" t="s">
        <v>1870</v>
      </c>
      <c r="AL22" s="304"/>
      <c r="AM22" s="304"/>
      <c r="AN22" s="304"/>
      <c r="AO22" s="304"/>
      <c r="AP22" s="304"/>
      <c r="AQ22" s="289">
        <f t="shared" si="4"/>
        <v>0</v>
      </c>
      <c r="AR22" s="304"/>
      <c r="AS22" s="304"/>
      <c r="AT22" s="325"/>
      <c r="AU22" s="325"/>
      <c r="AV22" s="325"/>
      <c r="AW22" s="325"/>
      <c r="AX22" s="325"/>
      <c r="AY22" s="139">
        <f t="shared" si="5"/>
        <v>0</v>
      </c>
      <c r="AZ22" s="304"/>
      <c r="BA22" s="304"/>
      <c r="BB22" s="363" t="s">
        <v>510</v>
      </c>
      <c r="BC22" s="364" t="s">
        <v>510</v>
      </c>
      <c r="BD22" s="364" t="s">
        <v>510</v>
      </c>
      <c r="BE22" s="303" t="s">
        <v>510</v>
      </c>
      <c r="BF22" s="352">
        <v>0</v>
      </c>
      <c r="BG22" s="353">
        <f t="shared" si="7"/>
        <v>0</v>
      </c>
      <c r="BH22" s="303" t="s">
        <v>504</v>
      </c>
      <c r="BI22" s="303"/>
      <c r="BJ22" s="354">
        <f t="shared" si="0"/>
        <v>1</v>
      </c>
      <c r="BK22" s="316" t="str">
        <f t="shared" si="6"/>
        <v>Habilitado</v>
      </c>
    </row>
    <row r="23" spans="1:63" ht="51" x14ac:dyDescent="0.25">
      <c r="A23" s="332">
        <v>21</v>
      </c>
      <c r="B23" s="333" t="s">
        <v>1871</v>
      </c>
      <c r="C23" s="333" t="s">
        <v>518</v>
      </c>
      <c r="D23" s="333" t="s">
        <v>1872</v>
      </c>
      <c r="E23" s="365">
        <v>1</v>
      </c>
      <c r="F23" s="406" t="s">
        <v>510</v>
      </c>
      <c r="G23" s="406" t="s">
        <v>510</v>
      </c>
      <c r="H23" s="406" t="s">
        <v>511</v>
      </c>
      <c r="I23" s="406" t="s">
        <v>510</v>
      </c>
      <c r="J23" s="406">
        <v>40</v>
      </c>
      <c r="K23" s="29">
        <f t="shared" si="1"/>
        <v>40</v>
      </c>
      <c r="L23" s="406" t="s">
        <v>504</v>
      </c>
      <c r="M23" s="406" t="s">
        <v>551</v>
      </c>
      <c r="N23" s="406"/>
      <c r="O23" s="406"/>
      <c r="P23" s="406"/>
      <c r="Q23" s="406"/>
      <c r="R23" s="406"/>
      <c r="S23" s="406"/>
      <c r="T23" s="406"/>
      <c r="U23" s="406"/>
      <c r="V23" s="406" t="s">
        <v>510</v>
      </c>
      <c r="W23" s="406" t="s">
        <v>510</v>
      </c>
      <c r="X23" s="406" t="s">
        <v>511</v>
      </c>
      <c r="Y23" s="350" t="s">
        <v>1873</v>
      </c>
      <c r="Z23" s="304">
        <v>20</v>
      </c>
      <c r="AA23" s="350">
        <f t="shared" si="2"/>
        <v>20</v>
      </c>
      <c r="AB23" s="304" t="s">
        <v>504</v>
      </c>
      <c r="AC23" s="304"/>
      <c r="AD23" s="327"/>
      <c r="AE23" s="327"/>
      <c r="AF23" s="327"/>
      <c r="AG23" s="327"/>
      <c r="AH23" s="334"/>
      <c r="AI23" s="297">
        <f t="shared" si="3"/>
        <v>0</v>
      </c>
      <c r="AJ23" s="327"/>
      <c r="AK23" s="327"/>
      <c r="AL23" s="327"/>
      <c r="AM23" s="327"/>
      <c r="AN23" s="327"/>
      <c r="AO23" s="327"/>
      <c r="AP23" s="327"/>
      <c r="AQ23" s="289">
        <f t="shared" si="4"/>
        <v>0</v>
      </c>
      <c r="AR23" s="327"/>
      <c r="AS23" s="327"/>
      <c r="AT23" s="327" t="s">
        <v>510</v>
      </c>
      <c r="AU23" s="327" t="s">
        <v>510</v>
      </c>
      <c r="AV23" s="327" t="s">
        <v>510</v>
      </c>
      <c r="AW23" s="303" t="s">
        <v>510</v>
      </c>
      <c r="AX23" s="327">
        <v>40</v>
      </c>
      <c r="AY23" s="139">
        <f t="shared" si="5"/>
        <v>40</v>
      </c>
      <c r="AZ23" s="303" t="s">
        <v>504</v>
      </c>
      <c r="BA23" s="327"/>
      <c r="BB23" s="322" t="s">
        <v>510</v>
      </c>
      <c r="BC23" s="322" t="s">
        <v>519</v>
      </c>
      <c r="BD23" s="322" t="s">
        <v>511</v>
      </c>
      <c r="BE23" s="303" t="s">
        <v>510</v>
      </c>
      <c r="BF23" s="352">
        <v>0</v>
      </c>
      <c r="BG23" s="353">
        <f t="shared" si="7"/>
        <v>0</v>
      </c>
      <c r="BH23" s="303" t="s">
        <v>520</v>
      </c>
      <c r="BI23" s="301" t="s">
        <v>1874</v>
      </c>
      <c r="BJ23" s="354">
        <f t="shared" si="0"/>
        <v>3</v>
      </c>
      <c r="BK23" s="316" t="str">
        <f t="shared" si="6"/>
        <v>Habilitado</v>
      </c>
    </row>
    <row r="24" spans="1:63" x14ac:dyDescent="0.25">
      <c r="A24" s="324">
        <v>22</v>
      </c>
      <c r="B24" s="325" t="s">
        <v>1875</v>
      </c>
      <c r="C24" s="325" t="s">
        <v>518</v>
      </c>
      <c r="D24" s="325" t="s">
        <v>140</v>
      </c>
      <c r="E24" s="362">
        <v>1</v>
      </c>
      <c r="F24" s="406"/>
      <c r="G24" s="406"/>
      <c r="H24" s="406"/>
      <c r="I24" s="406"/>
      <c r="J24" s="406"/>
      <c r="K24" s="29">
        <f t="shared" si="1"/>
        <v>0</v>
      </c>
      <c r="L24" s="406"/>
      <c r="M24" s="406" t="s">
        <v>551</v>
      </c>
      <c r="N24" s="406"/>
      <c r="O24" s="406"/>
      <c r="P24" s="406"/>
      <c r="Q24" s="406"/>
      <c r="R24" s="406"/>
      <c r="S24" s="406"/>
      <c r="T24" s="406"/>
      <c r="U24" s="406"/>
      <c r="V24" s="350"/>
      <c r="W24" s="350"/>
      <c r="X24" s="350"/>
      <c r="Y24" s="350"/>
      <c r="Z24" s="307"/>
      <c r="AA24" s="350">
        <f t="shared" si="2"/>
        <v>0</v>
      </c>
      <c r="AB24" s="307"/>
      <c r="AC24" s="307"/>
      <c r="AD24" s="304" t="s">
        <v>510</v>
      </c>
      <c r="AE24" s="304" t="s">
        <v>510</v>
      </c>
      <c r="AF24" s="304" t="s">
        <v>1876</v>
      </c>
      <c r="AG24" s="322" t="s">
        <v>510</v>
      </c>
      <c r="AH24" s="326">
        <v>0</v>
      </c>
      <c r="AI24" s="297">
        <f t="shared" si="3"/>
        <v>0</v>
      </c>
      <c r="AJ24" s="303" t="s">
        <v>504</v>
      </c>
      <c r="AK24" s="304" t="s">
        <v>551</v>
      </c>
      <c r="AL24" s="304"/>
      <c r="AM24" s="304"/>
      <c r="AN24" s="304"/>
      <c r="AO24" s="304"/>
      <c r="AP24" s="304"/>
      <c r="AQ24" s="289">
        <f t="shared" si="4"/>
        <v>0</v>
      </c>
      <c r="AR24" s="304"/>
      <c r="AS24" s="304"/>
      <c r="AT24" s="325"/>
      <c r="AU24" s="325"/>
      <c r="AV24" s="325"/>
      <c r="AW24" s="325"/>
      <c r="AX24" s="325"/>
      <c r="AY24" s="139">
        <f t="shared" si="5"/>
        <v>0</v>
      </c>
      <c r="AZ24" s="304"/>
      <c r="BA24" s="304"/>
      <c r="BB24" s="356" t="s">
        <v>519</v>
      </c>
      <c r="BC24" s="356" t="s">
        <v>519</v>
      </c>
      <c r="BD24" s="356" t="s">
        <v>511</v>
      </c>
      <c r="BE24" s="303" t="s">
        <v>510</v>
      </c>
      <c r="BF24" s="352">
        <v>0</v>
      </c>
      <c r="BG24" s="353">
        <f t="shared" si="7"/>
        <v>0</v>
      </c>
      <c r="BH24" s="303" t="s">
        <v>520</v>
      </c>
      <c r="BI24" s="303" t="s">
        <v>1877</v>
      </c>
      <c r="BJ24" s="354">
        <f t="shared" si="0"/>
        <v>1</v>
      </c>
      <c r="BK24" s="316" t="str">
        <f t="shared" si="6"/>
        <v>Habilitado</v>
      </c>
    </row>
    <row r="25" spans="1:63" ht="25.5" x14ac:dyDescent="0.25">
      <c r="A25" s="332">
        <v>23</v>
      </c>
      <c r="B25" s="333" t="s">
        <v>1878</v>
      </c>
      <c r="C25" s="333" t="s">
        <v>518</v>
      </c>
      <c r="D25" s="333" t="s">
        <v>140</v>
      </c>
      <c r="E25" s="365">
        <v>1</v>
      </c>
      <c r="F25" s="406"/>
      <c r="G25" s="406"/>
      <c r="H25" s="406"/>
      <c r="I25" s="406"/>
      <c r="J25" s="406"/>
      <c r="K25" s="29">
        <f t="shared" si="1"/>
        <v>0</v>
      </c>
      <c r="L25" s="406"/>
      <c r="M25" s="406" t="s">
        <v>551</v>
      </c>
      <c r="N25" s="406"/>
      <c r="O25" s="406"/>
      <c r="P25" s="406"/>
      <c r="Q25" s="406"/>
      <c r="R25" s="406"/>
      <c r="S25" s="406"/>
      <c r="T25" s="406"/>
      <c r="U25" s="406"/>
      <c r="V25" s="350"/>
      <c r="W25" s="350"/>
      <c r="X25" s="350"/>
      <c r="Y25" s="350"/>
      <c r="Z25" s="307"/>
      <c r="AA25" s="350">
        <f t="shared" si="2"/>
        <v>0</v>
      </c>
      <c r="AB25" s="307"/>
      <c r="AC25" s="307"/>
      <c r="AD25" s="327" t="s">
        <v>510</v>
      </c>
      <c r="AE25" s="327" t="s">
        <v>510</v>
      </c>
      <c r="AF25" s="327" t="s">
        <v>1876</v>
      </c>
      <c r="AG25" s="322" t="s">
        <v>510</v>
      </c>
      <c r="AH25" s="334">
        <v>0</v>
      </c>
      <c r="AI25" s="297">
        <f t="shared" si="3"/>
        <v>0</v>
      </c>
      <c r="AJ25" s="303" t="s">
        <v>504</v>
      </c>
      <c r="AK25" s="327" t="s">
        <v>551</v>
      </c>
      <c r="AL25" s="327"/>
      <c r="AM25" s="327"/>
      <c r="AN25" s="327"/>
      <c r="AO25" s="327"/>
      <c r="AP25" s="327"/>
      <c r="AQ25" s="289">
        <f t="shared" si="4"/>
        <v>0</v>
      </c>
      <c r="AR25" s="327"/>
      <c r="AS25" s="327"/>
      <c r="AT25" s="333"/>
      <c r="AU25" s="333"/>
      <c r="AV25" s="333"/>
      <c r="AW25" s="333"/>
      <c r="AX25" s="333"/>
      <c r="AY25" s="139">
        <f t="shared" si="5"/>
        <v>0</v>
      </c>
      <c r="AZ25" s="327"/>
      <c r="BA25" s="327"/>
      <c r="BB25" s="356" t="s">
        <v>510</v>
      </c>
      <c r="BC25" s="356" t="s">
        <v>510</v>
      </c>
      <c r="BD25" s="356" t="s">
        <v>511</v>
      </c>
      <c r="BE25" s="303" t="s">
        <v>510</v>
      </c>
      <c r="BF25" s="366">
        <v>0</v>
      </c>
      <c r="BG25" s="353">
        <f t="shared" si="7"/>
        <v>0</v>
      </c>
      <c r="BH25" s="303" t="s">
        <v>504</v>
      </c>
      <c r="BI25" s="303"/>
      <c r="BJ25" s="354">
        <f t="shared" si="0"/>
        <v>2</v>
      </c>
      <c r="BK25" s="316" t="str">
        <f t="shared" si="6"/>
        <v>Habilitado</v>
      </c>
    </row>
    <row r="26" spans="1:63" x14ac:dyDescent="0.25">
      <c r="A26" s="324">
        <v>24</v>
      </c>
      <c r="B26" s="345" t="s">
        <v>1879</v>
      </c>
      <c r="C26" s="335" t="s">
        <v>1880</v>
      </c>
      <c r="D26" s="357" t="s">
        <v>1881</v>
      </c>
      <c r="E26" s="347">
        <v>1</v>
      </c>
      <c r="F26" s="314" t="s">
        <v>510</v>
      </c>
      <c r="G26" s="314" t="s">
        <v>510</v>
      </c>
      <c r="H26" s="314" t="s">
        <v>511</v>
      </c>
      <c r="I26" s="314" t="s">
        <v>510</v>
      </c>
      <c r="J26" s="314">
        <v>40</v>
      </c>
      <c r="K26" s="29">
        <f t="shared" si="1"/>
        <v>40</v>
      </c>
      <c r="L26" s="314" t="s">
        <v>504</v>
      </c>
      <c r="M26" s="314"/>
      <c r="N26" s="314"/>
      <c r="O26" s="314"/>
      <c r="P26" s="314"/>
      <c r="Q26" s="314"/>
      <c r="R26" s="314"/>
      <c r="S26" s="314"/>
      <c r="T26" s="314"/>
      <c r="U26" s="314"/>
      <c r="V26" s="350" t="s">
        <v>510</v>
      </c>
      <c r="W26" s="350" t="s">
        <v>510</v>
      </c>
      <c r="X26" s="350" t="s">
        <v>511</v>
      </c>
      <c r="Y26" s="350" t="s">
        <v>510</v>
      </c>
      <c r="Z26" s="304">
        <v>20</v>
      </c>
      <c r="AA26" s="350">
        <f t="shared" si="2"/>
        <v>20</v>
      </c>
      <c r="AB26" s="307" t="s">
        <v>504</v>
      </c>
      <c r="AC26" s="304"/>
      <c r="AD26" s="303" t="s">
        <v>510</v>
      </c>
      <c r="AE26" s="303" t="s">
        <v>510</v>
      </c>
      <c r="AF26" s="303" t="s">
        <v>511</v>
      </c>
      <c r="AG26" s="322" t="s">
        <v>510</v>
      </c>
      <c r="AH26" s="314">
        <v>0</v>
      </c>
      <c r="AI26" s="297">
        <f t="shared" si="3"/>
        <v>0</v>
      </c>
      <c r="AJ26" s="303" t="s">
        <v>504</v>
      </c>
      <c r="AK26" s="303"/>
      <c r="AL26" s="303"/>
      <c r="AM26" s="303"/>
      <c r="AN26" s="303"/>
      <c r="AO26" s="303"/>
      <c r="AP26" s="303"/>
      <c r="AQ26" s="289">
        <f t="shared" si="4"/>
        <v>0</v>
      </c>
      <c r="AR26" s="303"/>
      <c r="AS26" s="301"/>
      <c r="AT26" s="303" t="s">
        <v>510</v>
      </c>
      <c r="AU26" s="303" t="s">
        <v>510</v>
      </c>
      <c r="AV26" s="303" t="s">
        <v>510</v>
      </c>
      <c r="AW26" s="303" t="s">
        <v>510</v>
      </c>
      <c r="AX26" s="303">
        <v>40</v>
      </c>
      <c r="AY26" s="139">
        <f t="shared" si="5"/>
        <v>40</v>
      </c>
      <c r="AZ26" s="303" t="s">
        <v>504</v>
      </c>
      <c r="BA26" s="301"/>
      <c r="BB26" s="356" t="s">
        <v>510</v>
      </c>
      <c r="BC26" s="356" t="s">
        <v>510</v>
      </c>
      <c r="BD26" s="356" t="s">
        <v>511</v>
      </c>
      <c r="BE26" s="303" t="s">
        <v>510</v>
      </c>
      <c r="BF26" s="367">
        <v>0</v>
      </c>
      <c r="BG26" s="353">
        <f t="shared" si="7"/>
        <v>0</v>
      </c>
      <c r="BH26" s="303" t="s">
        <v>504</v>
      </c>
      <c r="BI26" s="303"/>
      <c r="BJ26" s="354">
        <f t="shared" si="0"/>
        <v>5</v>
      </c>
      <c r="BK26" s="316" t="str">
        <f t="shared" si="6"/>
        <v>Habilitado</v>
      </c>
    </row>
    <row r="27" spans="1:63" ht="25.5" x14ac:dyDescent="0.25">
      <c r="A27" s="324">
        <v>25</v>
      </c>
      <c r="B27" s="345" t="s">
        <v>1882</v>
      </c>
      <c r="C27" s="335" t="s">
        <v>1883</v>
      </c>
      <c r="D27" s="360" t="s">
        <v>1525</v>
      </c>
      <c r="E27" s="347">
        <v>1</v>
      </c>
      <c r="F27" s="314" t="s">
        <v>510</v>
      </c>
      <c r="G27" s="314" t="s">
        <v>510</v>
      </c>
      <c r="H27" s="314" t="s">
        <v>511</v>
      </c>
      <c r="I27" s="314" t="s">
        <v>510</v>
      </c>
      <c r="J27" s="314">
        <v>40</v>
      </c>
      <c r="K27" s="29">
        <f t="shared" si="1"/>
        <v>40</v>
      </c>
      <c r="L27" s="314" t="s">
        <v>504</v>
      </c>
      <c r="M27" s="407"/>
      <c r="N27" s="407"/>
      <c r="O27" s="407"/>
      <c r="P27" s="407"/>
      <c r="Q27" s="407"/>
      <c r="R27" s="407"/>
      <c r="S27" s="407"/>
      <c r="T27" s="407"/>
      <c r="U27" s="407"/>
      <c r="V27" s="350"/>
      <c r="W27" s="350"/>
      <c r="X27" s="350"/>
      <c r="Y27" s="350"/>
      <c r="Z27" s="307"/>
      <c r="AA27" s="350">
        <f t="shared" si="2"/>
        <v>0</v>
      </c>
      <c r="AB27" s="307"/>
      <c r="AC27" s="307"/>
      <c r="AD27" s="303" t="s">
        <v>510</v>
      </c>
      <c r="AE27" s="303" t="s">
        <v>510</v>
      </c>
      <c r="AF27" s="303" t="s">
        <v>510</v>
      </c>
      <c r="AG27" s="322" t="s">
        <v>510</v>
      </c>
      <c r="AH27" s="314">
        <v>0</v>
      </c>
      <c r="AI27" s="297">
        <f t="shared" si="3"/>
        <v>0</v>
      </c>
      <c r="AJ27" s="303" t="s">
        <v>504</v>
      </c>
      <c r="AK27" s="303"/>
      <c r="AL27" s="303"/>
      <c r="AM27" s="303"/>
      <c r="AN27" s="303"/>
      <c r="AO27" s="303"/>
      <c r="AP27" s="303"/>
      <c r="AQ27" s="289">
        <f t="shared" si="4"/>
        <v>0</v>
      </c>
      <c r="AR27" s="303"/>
      <c r="AS27" s="303"/>
      <c r="AT27" s="303" t="s">
        <v>510</v>
      </c>
      <c r="AU27" s="303" t="s">
        <v>510</v>
      </c>
      <c r="AV27" s="303" t="s">
        <v>511</v>
      </c>
      <c r="AW27" s="303" t="s">
        <v>510</v>
      </c>
      <c r="AX27" s="303">
        <v>40</v>
      </c>
      <c r="AY27" s="139">
        <f t="shared" si="5"/>
        <v>40</v>
      </c>
      <c r="AZ27" s="303" t="s">
        <v>504</v>
      </c>
      <c r="BA27" s="301"/>
      <c r="BB27" s="356" t="s">
        <v>510</v>
      </c>
      <c r="BC27" s="356" t="s">
        <v>510</v>
      </c>
      <c r="BD27" s="356" t="s">
        <v>511</v>
      </c>
      <c r="BE27" s="303" t="s">
        <v>510</v>
      </c>
      <c r="BF27" s="352">
        <v>0</v>
      </c>
      <c r="BG27" s="353">
        <f t="shared" si="7"/>
        <v>0</v>
      </c>
      <c r="BH27" s="303" t="s">
        <v>504</v>
      </c>
      <c r="BI27" s="303"/>
      <c r="BJ27" s="354">
        <f t="shared" si="0"/>
        <v>4</v>
      </c>
      <c r="BK27" s="316" t="str">
        <f t="shared" si="6"/>
        <v>Habilitado</v>
      </c>
    </row>
    <row r="28" spans="1:63" ht="25.5" x14ac:dyDescent="0.25">
      <c r="A28" s="324">
        <v>26</v>
      </c>
      <c r="B28" s="345" t="s">
        <v>1884</v>
      </c>
      <c r="C28" s="335" t="s">
        <v>518</v>
      </c>
      <c r="D28" s="360" t="s">
        <v>140</v>
      </c>
      <c r="E28" s="347">
        <v>1</v>
      </c>
      <c r="F28" s="314"/>
      <c r="G28" s="314"/>
      <c r="H28" s="314"/>
      <c r="I28" s="314"/>
      <c r="J28" s="314"/>
      <c r="K28" s="29">
        <f t="shared" si="1"/>
        <v>0</v>
      </c>
      <c r="L28" s="314"/>
      <c r="M28" s="314"/>
      <c r="N28" s="314"/>
      <c r="O28" s="314"/>
      <c r="P28" s="314"/>
      <c r="Q28" s="314"/>
      <c r="R28" s="314"/>
      <c r="S28" s="314"/>
      <c r="T28" s="314"/>
      <c r="U28" s="314"/>
      <c r="V28" s="350"/>
      <c r="W28" s="350"/>
      <c r="X28" s="350"/>
      <c r="Y28" s="350"/>
      <c r="Z28" s="307"/>
      <c r="AA28" s="350">
        <f t="shared" si="2"/>
        <v>0</v>
      </c>
      <c r="AB28" s="307"/>
      <c r="AC28" s="307"/>
      <c r="AD28" s="303" t="s">
        <v>510</v>
      </c>
      <c r="AE28" s="303" t="s">
        <v>510</v>
      </c>
      <c r="AF28" s="303" t="s">
        <v>511</v>
      </c>
      <c r="AG28" s="322" t="s">
        <v>510</v>
      </c>
      <c r="AH28" s="314">
        <v>0</v>
      </c>
      <c r="AI28" s="297">
        <f t="shared" si="3"/>
        <v>0</v>
      </c>
      <c r="AJ28" s="303" t="s">
        <v>504</v>
      </c>
      <c r="AK28" s="303"/>
      <c r="AL28" s="303"/>
      <c r="AM28" s="303"/>
      <c r="AN28" s="303"/>
      <c r="AO28" s="303"/>
      <c r="AP28" s="303"/>
      <c r="AQ28" s="289">
        <f t="shared" si="4"/>
        <v>0</v>
      </c>
      <c r="AR28" s="303"/>
      <c r="AS28" s="303"/>
      <c r="AT28" s="329"/>
      <c r="AU28" s="329"/>
      <c r="AV28" s="329"/>
      <c r="AW28" s="329"/>
      <c r="AX28" s="329"/>
      <c r="AY28" s="139">
        <f t="shared" si="5"/>
        <v>0</v>
      </c>
      <c r="AZ28" s="303"/>
      <c r="BA28" s="303"/>
      <c r="BB28" s="356" t="s">
        <v>510</v>
      </c>
      <c r="BC28" s="356" t="s">
        <v>510</v>
      </c>
      <c r="BD28" s="356" t="s">
        <v>511</v>
      </c>
      <c r="BE28" s="303" t="s">
        <v>510</v>
      </c>
      <c r="BF28" s="352">
        <v>0</v>
      </c>
      <c r="BG28" s="353">
        <f t="shared" si="7"/>
        <v>0</v>
      </c>
      <c r="BH28" s="303" t="s">
        <v>504</v>
      </c>
      <c r="BI28" s="303"/>
      <c r="BJ28" s="354">
        <f t="shared" si="0"/>
        <v>2</v>
      </c>
      <c r="BK28" s="316" t="str">
        <f t="shared" si="6"/>
        <v>Habilitado</v>
      </c>
    </row>
    <row r="29" spans="1:63" ht="25.5" x14ac:dyDescent="0.25">
      <c r="A29" s="324">
        <v>27</v>
      </c>
      <c r="B29" s="345" t="s">
        <v>1885</v>
      </c>
      <c r="C29" s="335" t="s">
        <v>518</v>
      </c>
      <c r="D29" s="360" t="s">
        <v>140</v>
      </c>
      <c r="E29" s="347">
        <v>1</v>
      </c>
      <c r="F29" s="314" t="s">
        <v>510</v>
      </c>
      <c r="G29" s="314" t="s">
        <v>510</v>
      </c>
      <c r="H29" s="314" t="s">
        <v>511</v>
      </c>
      <c r="I29" s="314" t="s">
        <v>510</v>
      </c>
      <c r="J29" s="314">
        <v>40</v>
      </c>
      <c r="K29" s="29">
        <f t="shared" si="1"/>
        <v>40</v>
      </c>
      <c r="L29" s="314" t="s">
        <v>504</v>
      </c>
      <c r="M29" s="314"/>
      <c r="N29" s="314"/>
      <c r="O29" s="314"/>
      <c r="P29" s="314"/>
      <c r="Q29" s="314"/>
      <c r="R29" s="314"/>
      <c r="S29" s="314"/>
      <c r="T29" s="314"/>
      <c r="U29" s="314"/>
      <c r="V29" s="350"/>
      <c r="W29" s="350"/>
      <c r="X29" s="350"/>
      <c r="Y29" s="350"/>
      <c r="Z29" s="307"/>
      <c r="AA29" s="350">
        <f t="shared" si="2"/>
        <v>0</v>
      </c>
      <c r="AB29" s="307"/>
      <c r="AC29" s="307"/>
      <c r="AD29" s="303" t="s">
        <v>510</v>
      </c>
      <c r="AE29" s="303" t="s">
        <v>510</v>
      </c>
      <c r="AF29" s="303" t="s">
        <v>511</v>
      </c>
      <c r="AG29" s="322" t="s">
        <v>510</v>
      </c>
      <c r="AH29" s="314">
        <v>0</v>
      </c>
      <c r="AI29" s="297">
        <f t="shared" si="3"/>
        <v>0</v>
      </c>
      <c r="AJ29" s="303" t="s">
        <v>504</v>
      </c>
      <c r="AK29" s="303"/>
      <c r="AL29" s="303"/>
      <c r="AM29" s="303"/>
      <c r="AN29" s="303"/>
      <c r="AO29" s="303"/>
      <c r="AP29" s="303"/>
      <c r="AQ29" s="289">
        <f t="shared" si="4"/>
        <v>0</v>
      </c>
      <c r="AR29" s="303"/>
      <c r="AS29" s="303"/>
      <c r="AT29" s="329"/>
      <c r="AU29" s="329"/>
      <c r="AV29" s="329"/>
      <c r="AW29" s="329"/>
      <c r="AX29" s="329"/>
      <c r="AY29" s="139">
        <f t="shared" si="5"/>
        <v>0</v>
      </c>
      <c r="AZ29" s="303"/>
      <c r="BA29" s="303"/>
      <c r="BB29" s="356" t="s">
        <v>510</v>
      </c>
      <c r="BC29" s="356" t="s">
        <v>510</v>
      </c>
      <c r="BD29" s="356" t="s">
        <v>511</v>
      </c>
      <c r="BE29" s="303" t="s">
        <v>510</v>
      </c>
      <c r="BF29" s="352">
        <v>0</v>
      </c>
      <c r="BG29" s="353">
        <f t="shared" si="7"/>
        <v>0</v>
      </c>
      <c r="BH29" s="303" t="s">
        <v>504</v>
      </c>
      <c r="BI29" s="303"/>
      <c r="BJ29" s="354">
        <f t="shared" si="0"/>
        <v>3</v>
      </c>
      <c r="BK29" s="316" t="str">
        <f t="shared" si="6"/>
        <v>Habilitado</v>
      </c>
    </row>
    <row r="30" spans="1:63" ht="87" customHeight="1" x14ac:dyDescent="0.25">
      <c r="A30" s="324">
        <v>28</v>
      </c>
      <c r="B30" s="345" t="s">
        <v>1886</v>
      </c>
      <c r="C30" s="335" t="s">
        <v>1887</v>
      </c>
      <c r="D30" s="360" t="s">
        <v>140</v>
      </c>
      <c r="E30" s="347">
        <v>1</v>
      </c>
      <c r="F30" s="314" t="s">
        <v>510</v>
      </c>
      <c r="G30" s="314" t="s">
        <v>519</v>
      </c>
      <c r="H30" s="314" t="s">
        <v>510</v>
      </c>
      <c r="I30" s="314" t="s">
        <v>510</v>
      </c>
      <c r="J30" s="406">
        <v>0</v>
      </c>
      <c r="K30" s="29">
        <f t="shared" si="1"/>
        <v>0</v>
      </c>
      <c r="L30" s="314" t="s">
        <v>520</v>
      </c>
      <c r="M30" s="407" t="s">
        <v>1888</v>
      </c>
      <c r="N30" s="407"/>
      <c r="O30" s="407"/>
      <c r="P30" s="407"/>
      <c r="Q30" s="407"/>
      <c r="R30" s="407"/>
      <c r="S30" s="407"/>
      <c r="T30" s="407"/>
      <c r="U30" s="407"/>
      <c r="V30" s="350"/>
      <c r="W30" s="350"/>
      <c r="X30" s="350"/>
      <c r="Y30" s="350"/>
      <c r="Z30" s="307"/>
      <c r="AA30" s="350">
        <f t="shared" si="2"/>
        <v>0</v>
      </c>
      <c r="AB30" s="307"/>
      <c r="AC30" s="307"/>
      <c r="AD30" s="303"/>
      <c r="AE30" s="303"/>
      <c r="AF30" s="303"/>
      <c r="AG30" s="303"/>
      <c r="AH30" s="314"/>
      <c r="AI30" s="297">
        <f t="shared" si="3"/>
        <v>0</v>
      </c>
      <c r="AJ30" s="303"/>
      <c r="AK30" s="301"/>
      <c r="AL30" s="303"/>
      <c r="AM30" s="303"/>
      <c r="AN30" s="303"/>
      <c r="AO30" s="303"/>
      <c r="AP30" s="303"/>
      <c r="AQ30" s="289">
        <f t="shared" si="4"/>
        <v>0</v>
      </c>
      <c r="AR30" s="303"/>
      <c r="AS30" s="301"/>
      <c r="AT30" s="303" t="s">
        <v>510</v>
      </c>
      <c r="AU30" s="303" t="s">
        <v>510</v>
      </c>
      <c r="AV30" s="303" t="s">
        <v>510</v>
      </c>
      <c r="AW30" s="303" t="s">
        <v>510</v>
      </c>
      <c r="AX30" s="303">
        <v>40</v>
      </c>
      <c r="AY30" s="139">
        <f t="shared" si="5"/>
        <v>40</v>
      </c>
      <c r="AZ30" s="303" t="s">
        <v>504</v>
      </c>
      <c r="BA30" s="301"/>
      <c r="BB30" s="303"/>
      <c r="BC30" s="303"/>
      <c r="BD30" s="303"/>
      <c r="BE30" s="303"/>
      <c r="BF30" s="303"/>
      <c r="BG30" s="353">
        <f t="shared" si="7"/>
        <v>0</v>
      </c>
      <c r="BH30" s="303"/>
      <c r="BI30" s="303"/>
      <c r="BJ30" s="354">
        <f t="shared" si="0"/>
        <v>1</v>
      </c>
      <c r="BK30" s="316" t="str">
        <f t="shared" si="6"/>
        <v>Habilitado</v>
      </c>
    </row>
    <row r="31" spans="1:63" ht="99" customHeight="1" x14ac:dyDescent="0.25">
      <c r="A31" s="324">
        <v>29</v>
      </c>
      <c r="B31" s="345" t="s">
        <v>1889</v>
      </c>
      <c r="C31" s="335" t="s">
        <v>1887</v>
      </c>
      <c r="D31" s="360" t="s">
        <v>140</v>
      </c>
      <c r="E31" s="347">
        <v>1</v>
      </c>
      <c r="F31" s="314" t="s">
        <v>510</v>
      </c>
      <c r="G31" s="314" t="s">
        <v>510</v>
      </c>
      <c r="H31" s="314" t="s">
        <v>510</v>
      </c>
      <c r="I31" s="314" t="s">
        <v>510</v>
      </c>
      <c r="J31" s="314">
        <v>40</v>
      </c>
      <c r="K31" s="29">
        <f t="shared" si="1"/>
        <v>40</v>
      </c>
      <c r="L31" s="314" t="s">
        <v>504</v>
      </c>
      <c r="M31" s="314"/>
      <c r="N31" s="314"/>
      <c r="O31" s="314"/>
      <c r="P31" s="314"/>
      <c r="Q31" s="314"/>
      <c r="R31" s="314"/>
      <c r="S31" s="314"/>
      <c r="T31" s="314"/>
      <c r="U31" s="314"/>
      <c r="V31" s="350"/>
      <c r="W31" s="350"/>
      <c r="X31" s="350"/>
      <c r="Y31" s="350"/>
      <c r="Z31" s="307"/>
      <c r="AA31" s="350">
        <f t="shared" si="2"/>
        <v>0</v>
      </c>
      <c r="AB31" s="307"/>
      <c r="AC31" s="307"/>
      <c r="AD31" s="303"/>
      <c r="AE31" s="303"/>
      <c r="AF31" s="303"/>
      <c r="AG31" s="303"/>
      <c r="AH31" s="314"/>
      <c r="AI31" s="297">
        <f t="shared" si="3"/>
        <v>0</v>
      </c>
      <c r="AJ31" s="303"/>
      <c r="AK31" s="301"/>
      <c r="AL31" s="303"/>
      <c r="AM31" s="303"/>
      <c r="AN31" s="303"/>
      <c r="AO31" s="303"/>
      <c r="AP31" s="303"/>
      <c r="AQ31" s="289">
        <f t="shared" si="4"/>
        <v>0</v>
      </c>
      <c r="AR31" s="303"/>
      <c r="AS31" s="301"/>
      <c r="AT31" s="303" t="s">
        <v>510</v>
      </c>
      <c r="AU31" s="303" t="s">
        <v>510</v>
      </c>
      <c r="AV31" s="303" t="s">
        <v>510</v>
      </c>
      <c r="AW31" s="303" t="s">
        <v>510</v>
      </c>
      <c r="AX31" s="303">
        <v>40</v>
      </c>
      <c r="AY31" s="139">
        <f t="shared" si="5"/>
        <v>40</v>
      </c>
      <c r="AZ31" s="303" t="s">
        <v>504</v>
      </c>
      <c r="BA31" s="301"/>
      <c r="BB31" s="303"/>
      <c r="BC31" s="303"/>
      <c r="BD31" s="303"/>
      <c r="BE31" s="303"/>
      <c r="BF31" s="303"/>
      <c r="BG31" s="353">
        <f t="shared" si="7"/>
        <v>0</v>
      </c>
      <c r="BH31" s="303"/>
      <c r="BI31" s="303"/>
      <c r="BJ31" s="354">
        <f t="shared" si="0"/>
        <v>2</v>
      </c>
      <c r="BK31" s="316" t="str">
        <f t="shared" si="6"/>
        <v>Habilitado</v>
      </c>
    </row>
    <row r="32" spans="1:63" ht="38.25" x14ac:dyDescent="0.25">
      <c r="A32" s="324">
        <v>30</v>
      </c>
      <c r="B32" s="345" t="s">
        <v>1890</v>
      </c>
      <c r="C32" s="335" t="s">
        <v>1887</v>
      </c>
      <c r="D32" s="357" t="s">
        <v>140</v>
      </c>
      <c r="E32" s="347">
        <v>1</v>
      </c>
      <c r="F32" s="314" t="s">
        <v>510</v>
      </c>
      <c r="G32" s="314" t="s">
        <v>510</v>
      </c>
      <c r="H32" s="314" t="s">
        <v>510</v>
      </c>
      <c r="I32" s="314" t="s">
        <v>510</v>
      </c>
      <c r="J32" s="314">
        <v>40</v>
      </c>
      <c r="K32" s="29">
        <f t="shared" si="1"/>
        <v>40</v>
      </c>
      <c r="L32" s="314" t="s">
        <v>504</v>
      </c>
      <c r="M32" s="314"/>
      <c r="N32" s="314"/>
      <c r="O32" s="314"/>
      <c r="P32" s="314"/>
      <c r="Q32" s="314"/>
      <c r="R32" s="314"/>
      <c r="S32" s="314"/>
      <c r="T32" s="314"/>
      <c r="U32" s="314"/>
      <c r="V32" s="350" t="s">
        <v>510</v>
      </c>
      <c r="W32" s="350" t="s">
        <v>510</v>
      </c>
      <c r="X32" s="350" t="s">
        <v>510</v>
      </c>
      <c r="Y32" s="350" t="s">
        <v>510</v>
      </c>
      <c r="Z32" s="304">
        <v>20</v>
      </c>
      <c r="AA32" s="350">
        <f t="shared" si="2"/>
        <v>20</v>
      </c>
      <c r="AB32" s="307" t="s">
        <v>504</v>
      </c>
      <c r="AC32" s="307"/>
      <c r="AD32" s="303"/>
      <c r="AE32" s="303"/>
      <c r="AF32" s="303"/>
      <c r="AG32" s="303"/>
      <c r="AH32" s="314"/>
      <c r="AI32" s="297">
        <f t="shared" si="3"/>
        <v>0</v>
      </c>
      <c r="AJ32" s="303"/>
      <c r="AK32" s="303"/>
      <c r="AL32" s="303"/>
      <c r="AM32" s="303"/>
      <c r="AN32" s="303"/>
      <c r="AO32" s="303"/>
      <c r="AP32" s="303"/>
      <c r="AQ32" s="289">
        <f t="shared" si="4"/>
        <v>0</v>
      </c>
      <c r="AR32" s="303"/>
      <c r="AS32" s="303"/>
      <c r="AT32" s="303" t="s">
        <v>510</v>
      </c>
      <c r="AU32" s="303" t="s">
        <v>510</v>
      </c>
      <c r="AV32" s="303" t="s">
        <v>510</v>
      </c>
      <c r="AW32" s="303" t="s">
        <v>510</v>
      </c>
      <c r="AX32" s="303">
        <v>40</v>
      </c>
      <c r="AY32" s="139">
        <f t="shared" si="5"/>
        <v>40</v>
      </c>
      <c r="AZ32" s="303" t="s">
        <v>504</v>
      </c>
      <c r="BA32" s="361"/>
      <c r="BB32" s="303"/>
      <c r="BC32" s="303"/>
      <c r="BD32" s="303"/>
      <c r="BE32" s="303"/>
      <c r="BF32" s="303"/>
      <c r="BG32" s="353">
        <f t="shared" si="7"/>
        <v>0</v>
      </c>
      <c r="BH32" s="303"/>
      <c r="BI32" s="303"/>
      <c r="BJ32" s="354">
        <f t="shared" si="0"/>
        <v>3</v>
      </c>
      <c r="BK32" s="316" t="str">
        <f t="shared" ref="BK32:BK95" si="8">IF(BJ32&gt;=1,"Habilitado","Desierto")</f>
        <v>Habilitado</v>
      </c>
    </row>
    <row r="33" spans="1:63" ht="38.25" x14ac:dyDescent="0.25">
      <c r="A33" s="324">
        <v>31</v>
      </c>
      <c r="B33" s="345" t="s">
        <v>1891</v>
      </c>
      <c r="C33" s="335" t="s">
        <v>1887</v>
      </c>
      <c r="D33" s="357" t="s">
        <v>140</v>
      </c>
      <c r="E33" s="347">
        <v>1</v>
      </c>
      <c r="F33" s="314" t="s">
        <v>510</v>
      </c>
      <c r="G33" s="314" t="s">
        <v>510</v>
      </c>
      <c r="H33" s="314" t="s">
        <v>510</v>
      </c>
      <c r="I33" s="314" t="s">
        <v>510</v>
      </c>
      <c r="J33" s="314">
        <v>40</v>
      </c>
      <c r="K33" s="29">
        <f t="shared" si="1"/>
        <v>40</v>
      </c>
      <c r="L33" s="314" t="s">
        <v>504</v>
      </c>
      <c r="M33" s="314"/>
      <c r="N33" s="314"/>
      <c r="O33" s="314"/>
      <c r="P33" s="314"/>
      <c r="Q33" s="314"/>
      <c r="R33" s="314"/>
      <c r="S33" s="314"/>
      <c r="T33" s="314"/>
      <c r="U33" s="314"/>
      <c r="V33" s="350" t="s">
        <v>510</v>
      </c>
      <c r="W33" s="350" t="s">
        <v>510</v>
      </c>
      <c r="X33" s="350" t="s">
        <v>510</v>
      </c>
      <c r="Y33" s="350" t="s">
        <v>510</v>
      </c>
      <c r="Z33" s="304">
        <v>20</v>
      </c>
      <c r="AA33" s="350">
        <f t="shared" si="2"/>
        <v>20</v>
      </c>
      <c r="AB33" s="307" t="s">
        <v>504</v>
      </c>
      <c r="AC33" s="307"/>
      <c r="AD33" s="303"/>
      <c r="AE33" s="303"/>
      <c r="AF33" s="303"/>
      <c r="AG33" s="303"/>
      <c r="AH33" s="314"/>
      <c r="AI33" s="297">
        <f t="shared" si="3"/>
        <v>0</v>
      </c>
      <c r="AJ33" s="303"/>
      <c r="AK33" s="303"/>
      <c r="AL33" s="303"/>
      <c r="AM33" s="303"/>
      <c r="AN33" s="303"/>
      <c r="AO33" s="303"/>
      <c r="AP33" s="303"/>
      <c r="AQ33" s="289">
        <f t="shared" si="4"/>
        <v>0</v>
      </c>
      <c r="AR33" s="303"/>
      <c r="AS33" s="303"/>
      <c r="AT33" s="303" t="s">
        <v>510</v>
      </c>
      <c r="AU33" s="303" t="s">
        <v>510</v>
      </c>
      <c r="AV33" s="303" t="s">
        <v>510</v>
      </c>
      <c r="AW33" s="303" t="s">
        <v>510</v>
      </c>
      <c r="AX33" s="303">
        <v>40</v>
      </c>
      <c r="AY33" s="139">
        <f t="shared" si="5"/>
        <v>40</v>
      </c>
      <c r="AZ33" s="303" t="s">
        <v>504</v>
      </c>
      <c r="BA33" s="361"/>
      <c r="BB33" s="303"/>
      <c r="BC33" s="303"/>
      <c r="BD33" s="303"/>
      <c r="BE33" s="303"/>
      <c r="BF33" s="303"/>
      <c r="BG33" s="353">
        <f t="shared" si="7"/>
        <v>0</v>
      </c>
      <c r="BH33" s="303"/>
      <c r="BI33" s="301"/>
      <c r="BJ33" s="354">
        <f t="shared" si="0"/>
        <v>3</v>
      </c>
      <c r="BK33" s="316" t="str">
        <f t="shared" si="8"/>
        <v>Habilitado</v>
      </c>
    </row>
    <row r="34" spans="1:63" ht="102" x14ac:dyDescent="0.25">
      <c r="A34" s="324">
        <v>32</v>
      </c>
      <c r="B34" s="345" t="s">
        <v>1892</v>
      </c>
      <c r="C34" s="335" t="s">
        <v>1887</v>
      </c>
      <c r="D34" s="360" t="s">
        <v>140</v>
      </c>
      <c r="E34" s="347">
        <v>1</v>
      </c>
      <c r="F34" s="314"/>
      <c r="G34" s="314"/>
      <c r="H34" s="314"/>
      <c r="I34" s="314"/>
      <c r="J34" s="314"/>
      <c r="K34" s="29">
        <f t="shared" si="1"/>
        <v>0</v>
      </c>
      <c r="L34" s="314"/>
      <c r="M34" s="314"/>
      <c r="N34" s="314"/>
      <c r="O34" s="314"/>
      <c r="P34" s="314"/>
      <c r="Q34" s="314"/>
      <c r="R34" s="314"/>
      <c r="S34" s="314"/>
      <c r="T34" s="314"/>
      <c r="U34" s="314"/>
      <c r="V34" s="350"/>
      <c r="W34" s="350"/>
      <c r="X34" s="350"/>
      <c r="Y34" s="350"/>
      <c r="Z34" s="307"/>
      <c r="AA34" s="350">
        <f t="shared" si="2"/>
        <v>0</v>
      </c>
      <c r="AB34" s="307"/>
      <c r="AC34" s="307"/>
      <c r="AD34" s="303"/>
      <c r="AE34" s="303"/>
      <c r="AF34" s="303"/>
      <c r="AG34" s="303"/>
      <c r="AH34" s="314"/>
      <c r="AI34" s="297">
        <f t="shared" si="3"/>
        <v>0</v>
      </c>
      <c r="AJ34" s="303"/>
      <c r="AK34" s="303"/>
      <c r="AL34" s="303"/>
      <c r="AM34" s="303"/>
      <c r="AN34" s="303"/>
      <c r="AO34" s="303"/>
      <c r="AP34" s="303"/>
      <c r="AQ34" s="289">
        <f t="shared" si="4"/>
        <v>0</v>
      </c>
      <c r="AR34" s="303"/>
      <c r="AS34" s="303"/>
      <c r="AT34" s="303" t="s">
        <v>510</v>
      </c>
      <c r="AU34" s="303" t="s">
        <v>510</v>
      </c>
      <c r="AV34" s="303" t="s">
        <v>510</v>
      </c>
      <c r="AW34" s="303" t="s">
        <v>510</v>
      </c>
      <c r="AX34" s="303">
        <v>40</v>
      </c>
      <c r="AY34" s="139">
        <f t="shared" si="5"/>
        <v>40</v>
      </c>
      <c r="AZ34" s="303" t="s">
        <v>504</v>
      </c>
      <c r="BA34" s="361"/>
      <c r="BB34" s="303"/>
      <c r="BC34" s="303"/>
      <c r="BD34" s="303"/>
      <c r="BE34" s="303"/>
      <c r="BF34" s="303"/>
      <c r="BG34" s="353">
        <f t="shared" si="7"/>
        <v>0</v>
      </c>
      <c r="BH34" s="303"/>
      <c r="BI34" s="303"/>
      <c r="BJ34" s="354">
        <f t="shared" si="0"/>
        <v>1</v>
      </c>
      <c r="BK34" s="316" t="str">
        <f t="shared" si="8"/>
        <v>Habilitado</v>
      </c>
    </row>
    <row r="35" spans="1:63" ht="96.75" customHeight="1" x14ac:dyDescent="0.25">
      <c r="A35" s="324">
        <v>33</v>
      </c>
      <c r="B35" s="345" t="s">
        <v>1893</v>
      </c>
      <c r="C35" s="331" t="s">
        <v>1887</v>
      </c>
      <c r="D35" s="329" t="s">
        <v>140</v>
      </c>
      <c r="E35" s="347">
        <v>1</v>
      </c>
      <c r="F35" s="314" t="s">
        <v>510</v>
      </c>
      <c r="G35" s="314" t="s">
        <v>510</v>
      </c>
      <c r="H35" s="314" t="s">
        <v>510</v>
      </c>
      <c r="I35" s="314" t="s">
        <v>510</v>
      </c>
      <c r="J35" s="314">
        <v>40</v>
      </c>
      <c r="K35" s="29">
        <f t="shared" si="1"/>
        <v>40</v>
      </c>
      <c r="L35" s="314" t="s">
        <v>504</v>
      </c>
      <c r="M35" s="314"/>
      <c r="N35" s="314"/>
      <c r="O35" s="314"/>
      <c r="P35" s="314"/>
      <c r="Q35" s="314"/>
      <c r="R35" s="314"/>
      <c r="S35" s="314"/>
      <c r="T35" s="314"/>
      <c r="U35" s="314"/>
      <c r="V35" s="350"/>
      <c r="W35" s="350"/>
      <c r="X35" s="350"/>
      <c r="Y35" s="350"/>
      <c r="Z35" s="307"/>
      <c r="AA35" s="350">
        <f t="shared" si="2"/>
        <v>0</v>
      </c>
      <c r="AB35" s="307"/>
      <c r="AC35" s="307"/>
      <c r="AD35" s="303"/>
      <c r="AE35" s="303"/>
      <c r="AF35" s="303"/>
      <c r="AG35" s="303"/>
      <c r="AH35" s="314"/>
      <c r="AI35" s="297">
        <f t="shared" si="3"/>
        <v>0</v>
      </c>
      <c r="AJ35" s="303"/>
      <c r="AK35" s="301"/>
      <c r="AL35" s="303"/>
      <c r="AM35" s="303"/>
      <c r="AN35" s="303"/>
      <c r="AO35" s="303"/>
      <c r="AP35" s="303"/>
      <c r="AQ35" s="289">
        <f t="shared" si="4"/>
        <v>0</v>
      </c>
      <c r="AR35" s="303"/>
      <c r="AS35" s="301"/>
      <c r="AT35" s="303" t="s">
        <v>510</v>
      </c>
      <c r="AU35" s="303" t="s">
        <v>510</v>
      </c>
      <c r="AV35" s="303" t="s">
        <v>510</v>
      </c>
      <c r="AW35" s="303" t="s">
        <v>510</v>
      </c>
      <c r="AX35" s="303">
        <v>40</v>
      </c>
      <c r="AY35" s="139">
        <f t="shared" si="5"/>
        <v>40</v>
      </c>
      <c r="AZ35" s="303" t="s">
        <v>504</v>
      </c>
      <c r="BA35" s="301"/>
      <c r="BB35" s="303"/>
      <c r="BC35" s="303"/>
      <c r="BD35" s="303"/>
      <c r="BE35" s="303"/>
      <c r="BF35" s="303"/>
      <c r="BG35" s="353">
        <f t="shared" si="7"/>
        <v>0</v>
      </c>
      <c r="BH35" s="303"/>
      <c r="BI35" s="303"/>
      <c r="BJ35" s="354">
        <f t="shared" si="0"/>
        <v>2</v>
      </c>
      <c r="BK35" s="316" t="str">
        <f t="shared" si="8"/>
        <v>Habilitado</v>
      </c>
    </row>
    <row r="36" spans="1:63" ht="70.5" customHeight="1" x14ac:dyDescent="0.25">
      <c r="A36" s="324">
        <v>34</v>
      </c>
      <c r="B36" s="345" t="s">
        <v>1894</v>
      </c>
      <c r="C36" s="335" t="s">
        <v>1887</v>
      </c>
      <c r="D36" s="360" t="s">
        <v>140</v>
      </c>
      <c r="E36" s="347">
        <v>1</v>
      </c>
      <c r="F36" s="314" t="s">
        <v>510</v>
      </c>
      <c r="G36" s="314" t="s">
        <v>519</v>
      </c>
      <c r="H36" s="314" t="s">
        <v>510</v>
      </c>
      <c r="I36" s="314" t="s">
        <v>510</v>
      </c>
      <c r="J36" s="406">
        <v>0</v>
      </c>
      <c r="K36" s="29">
        <f t="shared" si="1"/>
        <v>0</v>
      </c>
      <c r="L36" s="314" t="s">
        <v>520</v>
      </c>
      <c r="M36" s="407" t="s">
        <v>1895</v>
      </c>
      <c r="N36" s="407"/>
      <c r="O36" s="407"/>
      <c r="P36" s="407"/>
      <c r="Q36" s="407"/>
      <c r="R36" s="407"/>
      <c r="S36" s="407"/>
      <c r="T36" s="407"/>
      <c r="U36" s="407"/>
      <c r="V36" s="350"/>
      <c r="W36" s="350"/>
      <c r="X36" s="350"/>
      <c r="Y36" s="350"/>
      <c r="Z36" s="307"/>
      <c r="AA36" s="350">
        <f t="shared" si="2"/>
        <v>0</v>
      </c>
      <c r="AB36" s="307"/>
      <c r="AC36" s="307"/>
      <c r="AD36" s="303"/>
      <c r="AE36" s="303"/>
      <c r="AF36" s="303"/>
      <c r="AG36" s="303"/>
      <c r="AH36" s="314"/>
      <c r="AI36" s="297">
        <f t="shared" si="3"/>
        <v>0</v>
      </c>
      <c r="AJ36" s="303"/>
      <c r="AK36" s="301"/>
      <c r="AL36" s="303"/>
      <c r="AM36" s="303"/>
      <c r="AN36" s="303"/>
      <c r="AO36" s="303"/>
      <c r="AP36" s="303"/>
      <c r="AQ36" s="289">
        <f t="shared" si="4"/>
        <v>0</v>
      </c>
      <c r="AR36" s="303"/>
      <c r="AS36" s="301"/>
      <c r="AT36" s="303" t="s">
        <v>510</v>
      </c>
      <c r="AU36" s="303" t="s">
        <v>510</v>
      </c>
      <c r="AV36" s="303" t="s">
        <v>510</v>
      </c>
      <c r="AW36" s="303" t="s">
        <v>510</v>
      </c>
      <c r="AX36" s="303">
        <v>40</v>
      </c>
      <c r="AY36" s="139">
        <f t="shared" si="5"/>
        <v>40</v>
      </c>
      <c r="AZ36" s="303" t="s">
        <v>504</v>
      </c>
      <c r="BA36" s="301"/>
      <c r="BB36" s="303"/>
      <c r="BC36" s="303"/>
      <c r="BD36" s="303"/>
      <c r="BE36" s="303"/>
      <c r="BF36" s="303"/>
      <c r="BG36" s="353">
        <f t="shared" si="7"/>
        <v>0</v>
      </c>
      <c r="BH36" s="303"/>
      <c r="BI36" s="303"/>
      <c r="BJ36" s="354">
        <f t="shared" si="0"/>
        <v>1</v>
      </c>
      <c r="BK36" s="316" t="str">
        <f t="shared" si="8"/>
        <v>Habilitado</v>
      </c>
    </row>
    <row r="37" spans="1:63" ht="38.25" x14ac:dyDescent="0.25">
      <c r="A37" s="324">
        <v>35</v>
      </c>
      <c r="B37" s="345" t="s">
        <v>1896</v>
      </c>
      <c r="C37" s="335" t="s">
        <v>1887</v>
      </c>
      <c r="D37" s="357" t="s">
        <v>140</v>
      </c>
      <c r="E37" s="347">
        <v>1</v>
      </c>
      <c r="F37" s="314" t="s">
        <v>510</v>
      </c>
      <c r="G37" s="314" t="s">
        <v>510</v>
      </c>
      <c r="H37" s="314" t="s">
        <v>510</v>
      </c>
      <c r="I37" s="314" t="s">
        <v>510</v>
      </c>
      <c r="J37" s="314">
        <v>40</v>
      </c>
      <c r="K37" s="29">
        <f t="shared" si="1"/>
        <v>40</v>
      </c>
      <c r="L37" s="314" t="s">
        <v>504</v>
      </c>
      <c r="M37" s="314"/>
      <c r="N37" s="314"/>
      <c r="O37" s="314"/>
      <c r="P37" s="314"/>
      <c r="Q37" s="314"/>
      <c r="R37" s="314"/>
      <c r="S37" s="314"/>
      <c r="T37" s="314"/>
      <c r="U37" s="314"/>
      <c r="V37" s="350"/>
      <c r="W37" s="350"/>
      <c r="X37" s="350"/>
      <c r="Y37" s="350"/>
      <c r="Z37" s="307"/>
      <c r="AA37" s="350">
        <f t="shared" si="2"/>
        <v>0</v>
      </c>
      <c r="AB37" s="307"/>
      <c r="AC37" s="307"/>
      <c r="AD37" s="303"/>
      <c r="AE37" s="303"/>
      <c r="AF37" s="303"/>
      <c r="AG37" s="303"/>
      <c r="AH37" s="314"/>
      <c r="AI37" s="297">
        <f t="shared" si="3"/>
        <v>0</v>
      </c>
      <c r="AJ37" s="303"/>
      <c r="AK37" s="303"/>
      <c r="AL37" s="303"/>
      <c r="AM37" s="303"/>
      <c r="AN37" s="303"/>
      <c r="AO37" s="303"/>
      <c r="AP37" s="303"/>
      <c r="AQ37" s="289">
        <f t="shared" si="4"/>
        <v>0</v>
      </c>
      <c r="AR37" s="303"/>
      <c r="AS37" s="303"/>
      <c r="AT37" s="303" t="s">
        <v>510</v>
      </c>
      <c r="AU37" s="303" t="s">
        <v>510</v>
      </c>
      <c r="AV37" s="303" t="s">
        <v>510</v>
      </c>
      <c r="AW37" s="303" t="s">
        <v>510</v>
      </c>
      <c r="AX37" s="303">
        <v>40</v>
      </c>
      <c r="AY37" s="139">
        <f t="shared" si="5"/>
        <v>40</v>
      </c>
      <c r="AZ37" s="303" t="s">
        <v>504</v>
      </c>
      <c r="BA37" s="301"/>
      <c r="BB37" s="303"/>
      <c r="BC37" s="303"/>
      <c r="BD37" s="303"/>
      <c r="BE37" s="303"/>
      <c r="BF37" s="303"/>
      <c r="BG37" s="353">
        <f t="shared" si="7"/>
        <v>0</v>
      </c>
      <c r="BH37" s="303"/>
      <c r="BI37" s="303"/>
      <c r="BJ37" s="354">
        <f t="shared" si="0"/>
        <v>2</v>
      </c>
      <c r="BK37" s="316" t="str">
        <f t="shared" si="8"/>
        <v>Habilitado</v>
      </c>
    </row>
    <row r="38" spans="1:63" ht="38.25" x14ac:dyDescent="0.25">
      <c r="A38" s="324">
        <v>36</v>
      </c>
      <c r="B38" s="345" t="s">
        <v>1897</v>
      </c>
      <c r="C38" s="335" t="s">
        <v>1887</v>
      </c>
      <c r="D38" s="357" t="s">
        <v>140</v>
      </c>
      <c r="E38" s="347">
        <v>1</v>
      </c>
      <c r="F38" s="314" t="s">
        <v>510</v>
      </c>
      <c r="G38" s="314" t="s">
        <v>510</v>
      </c>
      <c r="H38" s="314" t="s">
        <v>510</v>
      </c>
      <c r="I38" s="314" t="s">
        <v>510</v>
      </c>
      <c r="J38" s="314">
        <v>40</v>
      </c>
      <c r="K38" s="29">
        <f t="shared" si="1"/>
        <v>40</v>
      </c>
      <c r="L38" s="314" t="s">
        <v>504</v>
      </c>
      <c r="M38" s="314"/>
      <c r="N38" s="314"/>
      <c r="O38" s="314"/>
      <c r="P38" s="314"/>
      <c r="Q38" s="314"/>
      <c r="R38" s="314"/>
      <c r="S38" s="314"/>
      <c r="T38" s="314"/>
      <c r="U38" s="314"/>
      <c r="V38" s="350"/>
      <c r="W38" s="350"/>
      <c r="X38" s="350"/>
      <c r="Y38" s="350"/>
      <c r="Z38" s="307"/>
      <c r="AA38" s="350">
        <f t="shared" si="2"/>
        <v>0</v>
      </c>
      <c r="AB38" s="307"/>
      <c r="AC38" s="307"/>
      <c r="AD38" s="303"/>
      <c r="AE38" s="303"/>
      <c r="AF38" s="303"/>
      <c r="AG38" s="303"/>
      <c r="AH38" s="314"/>
      <c r="AI38" s="297">
        <f t="shared" si="3"/>
        <v>0</v>
      </c>
      <c r="AJ38" s="303"/>
      <c r="AK38" s="303"/>
      <c r="AL38" s="303"/>
      <c r="AM38" s="303"/>
      <c r="AN38" s="303"/>
      <c r="AO38" s="303"/>
      <c r="AP38" s="303"/>
      <c r="AQ38" s="289">
        <f t="shared" si="4"/>
        <v>0</v>
      </c>
      <c r="AR38" s="303"/>
      <c r="AS38" s="303"/>
      <c r="AT38" s="303" t="s">
        <v>510</v>
      </c>
      <c r="AU38" s="303" t="s">
        <v>510</v>
      </c>
      <c r="AV38" s="303" t="s">
        <v>510</v>
      </c>
      <c r="AW38" s="303" t="s">
        <v>510</v>
      </c>
      <c r="AX38" s="303">
        <v>40</v>
      </c>
      <c r="AY38" s="139">
        <f t="shared" si="5"/>
        <v>40</v>
      </c>
      <c r="AZ38" s="303" t="s">
        <v>504</v>
      </c>
      <c r="BA38" s="301"/>
      <c r="BB38" s="303"/>
      <c r="BC38" s="303"/>
      <c r="BD38" s="303"/>
      <c r="BE38" s="303"/>
      <c r="BF38" s="303"/>
      <c r="BG38" s="353">
        <f t="shared" si="7"/>
        <v>0</v>
      </c>
      <c r="BH38" s="303"/>
      <c r="BI38" s="303"/>
      <c r="BJ38" s="354">
        <f t="shared" si="0"/>
        <v>2</v>
      </c>
      <c r="BK38" s="316" t="str">
        <f t="shared" si="8"/>
        <v>Habilitado</v>
      </c>
    </row>
    <row r="39" spans="1:63" ht="25.5" x14ac:dyDescent="0.25">
      <c r="A39" s="324">
        <v>37</v>
      </c>
      <c r="B39" s="345" t="s">
        <v>1898</v>
      </c>
      <c r="C39" s="331" t="s">
        <v>518</v>
      </c>
      <c r="D39" s="329" t="s">
        <v>140</v>
      </c>
      <c r="E39" s="347">
        <v>1</v>
      </c>
      <c r="F39" s="314"/>
      <c r="G39" s="314"/>
      <c r="H39" s="314"/>
      <c r="I39" s="314"/>
      <c r="J39" s="314"/>
      <c r="K39" s="29">
        <f t="shared" si="1"/>
        <v>0</v>
      </c>
      <c r="L39" s="314"/>
      <c r="M39" s="314"/>
      <c r="N39" s="314"/>
      <c r="O39" s="314"/>
      <c r="P39" s="314"/>
      <c r="Q39" s="314"/>
      <c r="R39" s="314"/>
      <c r="S39" s="314"/>
      <c r="T39" s="314"/>
      <c r="U39" s="314"/>
      <c r="V39" s="350"/>
      <c r="W39" s="350"/>
      <c r="X39" s="350"/>
      <c r="Y39" s="350"/>
      <c r="Z39" s="307"/>
      <c r="AA39" s="350">
        <f t="shared" si="2"/>
        <v>0</v>
      </c>
      <c r="AB39" s="307"/>
      <c r="AC39" s="307"/>
      <c r="AD39" s="303"/>
      <c r="AE39" s="303"/>
      <c r="AF39" s="303"/>
      <c r="AG39" s="303"/>
      <c r="AH39" s="314"/>
      <c r="AI39" s="297">
        <f t="shared" si="3"/>
        <v>0</v>
      </c>
      <c r="AJ39" s="303"/>
      <c r="AK39" s="303"/>
      <c r="AL39" s="303"/>
      <c r="AM39" s="303"/>
      <c r="AN39" s="303"/>
      <c r="AO39" s="303"/>
      <c r="AP39" s="303"/>
      <c r="AQ39" s="289">
        <f t="shared" si="4"/>
        <v>0</v>
      </c>
      <c r="AR39" s="303"/>
      <c r="AS39" s="303"/>
      <c r="AT39" s="303" t="s">
        <v>510</v>
      </c>
      <c r="AU39" s="303" t="s">
        <v>510</v>
      </c>
      <c r="AV39" s="303" t="s">
        <v>510</v>
      </c>
      <c r="AW39" s="303" t="s">
        <v>510</v>
      </c>
      <c r="AX39" s="303">
        <v>40</v>
      </c>
      <c r="AY39" s="139">
        <f t="shared" si="5"/>
        <v>40</v>
      </c>
      <c r="AZ39" s="303" t="s">
        <v>504</v>
      </c>
      <c r="BA39" s="301"/>
      <c r="BB39" s="303"/>
      <c r="BC39" s="303"/>
      <c r="BD39" s="303"/>
      <c r="BE39" s="303"/>
      <c r="BF39" s="303"/>
      <c r="BG39" s="353">
        <f t="shared" si="7"/>
        <v>0</v>
      </c>
      <c r="BH39" s="303"/>
      <c r="BI39" s="303"/>
      <c r="BJ39" s="354">
        <f t="shared" si="0"/>
        <v>1</v>
      </c>
      <c r="BK39" s="316" t="str">
        <f t="shared" si="8"/>
        <v>Habilitado</v>
      </c>
    </row>
    <row r="40" spans="1:63" ht="38.25" x14ac:dyDescent="0.25">
      <c r="A40" s="324">
        <v>38</v>
      </c>
      <c r="B40" s="345" t="s">
        <v>1899</v>
      </c>
      <c r="C40" s="335" t="s">
        <v>518</v>
      </c>
      <c r="D40" s="360" t="s">
        <v>140</v>
      </c>
      <c r="E40" s="347">
        <v>1</v>
      </c>
      <c r="F40" s="314"/>
      <c r="G40" s="314"/>
      <c r="H40" s="314"/>
      <c r="I40" s="314"/>
      <c r="J40" s="314"/>
      <c r="K40" s="29">
        <f t="shared" si="1"/>
        <v>0</v>
      </c>
      <c r="L40" s="314"/>
      <c r="M40" s="407"/>
      <c r="N40" s="407"/>
      <c r="O40" s="407"/>
      <c r="P40" s="407"/>
      <c r="Q40" s="407"/>
      <c r="R40" s="407"/>
      <c r="S40" s="407"/>
      <c r="T40" s="407"/>
      <c r="U40" s="407"/>
      <c r="V40" s="350"/>
      <c r="W40" s="350"/>
      <c r="X40" s="350"/>
      <c r="Y40" s="350"/>
      <c r="Z40" s="307"/>
      <c r="AA40" s="350">
        <f t="shared" si="2"/>
        <v>0</v>
      </c>
      <c r="AB40" s="307"/>
      <c r="AC40" s="307"/>
      <c r="AD40" s="303" t="s">
        <v>510</v>
      </c>
      <c r="AE40" s="303" t="s">
        <v>510</v>
      </c>
      <c r="AF40" s="303" t="s">
        <v>510</v>
      </c>
      <c r="AG40" s="303" t="s">
        <v>510</v>
      </c>
      <c r="AH40" s="314">
        <v>0</v>
      </c>
      <c r="AI40" s="297">
        <f t="shared" si="3"/>
        <v>0</v>
      </c>
      <c r="AJ40" s="303" t="s">
        <v>504</v>
      </c>
      <c r="AK40" s="303"/>
      <c r="AL40" s="303"/>
      <c r="AM40" s="303"/>
      <c r="AN40" s="303"/>
      <c r="AO40" s="303"/>
      <c r="AP40" s="303"/>
      <c r="AQ40" s="289">
        <f t="shared" si="4"/>
        <v>0</v>
      </c>
      <c r="AR40" s="303"/>
      <c r="AS40" s="301"/>
      <c r="AT40" s="329"/>
      <c r="AU40" s="329"/>
      <c r="AV40" s="329"/>
      <c r="AW40" s="329"/>
      <c r="AX40" s="329"/>
      <c r="AY40" s="139">
        <f t="shared" si="5"/>
        <v>0</v>
      </c>
      <c r="AZ40" s="301"/>
      <c r="BA40" s="368"/>
      <c r="BB40" s="369" t="s">
        <v>510</v>
      </c>
      <c r="BC40" s="369" t="s">
        <v>510</v>
      </c>
      <c r="BD40" s="356" t="s">
        <v>511</v>
      </c>
      <c r="BE40" s="303" t="s">
        <v>510</v>
      </c>
      <c r="BF40" s="352">
        <v>0</v>
      </c>
      <c r="BG40" s="353">
        <f t="shared" si="7"/>
        <v>0</v>
      </c>
      <c r="BH40" s="303" t="s">
        <v>504</v>
      </c>
      <c r="BI40" s="301"/>
      <c r="BJ40" s="354">
        <f t="shared" si="0"/>
        <v>2</v>
      </c>
      <c r="BK40" s="316" t="str">
        <f t="shared" si="8"/>
        <v>Habilitado</v>
      </c>
    </row>
    <row r="41" spans="1:63" ht="38.25" x14ac:dyDescent="0.25">
      <c r="A41" s="324">
        <v>39</v>
      </c>
      <c r="B41" s="345" t="s">
        <v>1900</v>
      </c>
      <c r="C41" s="335" t="s">
        <v>518</v>
      </c>
      <c r="D41" s="360" t="s">
        <v>140</v>
      </c>
      <c r="E41" s="347">
        <v>1</v>
      </c>
      <c r="F41" s="314"/>
      <c r="G41" s="314"/>
      <c r="H41" s="314"/>
      <c r="I41" s="314"/>
      <c r="J41" s="314"/>
      <c r="K41" s="29">
        <f t="shared" si="1"/>
        <v>0</v>
      </c>
      <c r="L41" s="314"/>
      <c r="M41" s="407"/>
      <c r="N41" s="407"/>
      <c r="O41" s="407"/>
      <c r="P41" s="407"/>
      <c r="Q41" s="407"/>
      <c r="R41" s="407"/>
      <c r="S41" s="407"/>
      <c r="T41" s="407"/>
      <c r="U41" s="407"/>
      <c r="V41" s="350"/>
      <c r="W41" s="350"/>
      <c r="X41" s="350"/>
      <c r="Y41" s="350"/>
      <c r="Z41" s="307"/>
      <c r="AA41" s="350">
        <f t="shared" si="2"/>
        <v>0</v>
      </c>
      <c r="AB41" s="307"/>
      <c r="AC41" s="307"/>
      <c r="AD41" s="303" t="s">
        <v>510</v>
      </c>
      <c r="AE41" s="303" t="s">
        <v>510</v>
      </c>
      <c r="AF41" s="303" t="s">
        <v>510</v>
      </c>
      <c r="AG41" s="303" t="s">
        <v>510</v>
      </c>
      <c r="AH41" s="314">
        <v>0</v>
      </c>
      <c r="AI41" s="297">
        <f t="shared" si="3"/>
        <v>0</v>
      </c>
      <c r="AJ41" s="303" t="s">
        <v>504</v>
      </c>
      <c r="AK41" s="303"/>
      <c r="AL41" s="303"/>
      <c r="AM41" s="303"/>
      <c r="AN41" s="303"/>
      <c r="AO41" s="303"/>
      <c r="AP41" s="303"/>
      <c r="AQ41" s="289">
        <f t="shared" si="4"/>
        <v>0</v>
      </c>
      <c r="AR41" s="303"/>
      <c r="AS41" s="301"/>
      <c r="AT41" s="329"/>
      <c r="AU41" s="329"/>
      <c r="AV41" s="329"/>
      <c r="AW41" s="329"/>
      <c r="AX41" s="329"/>
      <c r="AY41" s="139">
        <f t="shared" si="5"/>
        <v>0</v>
      </c>
      <c r="AZ41" s="301"/>
      <c r="BA41" s="301"/>
      <c r="BB41" s="356" t="s">
        <v>510</v>
      </c>
      <c r="BC41" s="356" t="s">
        <v>510</v>
      </c>
      <c r="BD41" s="356" t="s">
        <v>511</v>
      </c>
      <c r="BE41" s="303" t="s">
        <v>510</v>
      </c>
      <c r="BF41" s="352">
        <v>0</v>
      </c>
      <c r="BG41" s="353">
        <f t="shared" si="7"/>
        <v>0</v>
      </c>
      <c r="BH41" s="303" t="s">
        <v>504</v>
      </c>
      <c r="BI41" s="301"/>
      <c r="BJ41" s="354">
        <f t="shared" si="0"/>
        <v>2</v>
      </c>
      <c r="BK41" s="316" t="str">
        <f t="shared" si="8"/>
        <v>Habilitado</v>
      </c>
    </row>
    <row r="42" spans="1:63" ht="51" x14ac:dyDescent="0.25">
      <c r="A42" s="324">
        <v>40</v>
      </c>
      <c r="B42" s="345" t="s">
        <v>1901</v>
      </c>
      <c r="C42" s="335" t="s">
        <v>1902</v>
      </c>
      <c r="D42" s="360" t="s">
        <v>140</v>
      </c>
      <c r="E42" s="347">
        <v>1</v>
      </c>
      <c r="F42" s="314"/>
      <c r="G42" s="314"/>
      <c r="H42" s="314"/>
      <c r="I42" s="314"/>
      <c r="J42" s="314"/>
      <c r="K42" s="29">
        <f t="shared" si="1"/>
        <v>0</v>
      </c>
      <c r="L42" s="314"/>
      <c r="M42" s="314"/>
      <c r="N42" s="314"/>
      <c r="O42" s="314"/>
      <c r="P42" s="314"/>
      <c r="Q42" s="314"/>
      <c r="R42" s="314"/>
      <c r="S42" s="314"/>
      <c r="T42" s="314"/>
      <c r="U42" s="314"/>
      <c r="V42" s="350" t="s">
        <v>519</v>
      </c>
      <c r="W42" s="350" t="s">
        <v>519</v>
      </c>
      <c r="X42" s="350" t="s">
        <v>511</v>
      </c>
      <c r="Y42" s="350" t="s">
        <v>510</v>
      </c>
      <c r="Z42" s="304">
        <v>0</v>
      </c>
      <c r="AA42" s="350">
        <f t="shared" si="2"/>
        <v>0</v>
      </c>
      <c r="AB42" s="307" t="s">
        <v>520</v>
      </c>
      <c r="AC42" s="306" t="s">
        <v>1903</v>
      </c>
      <c r="AD42" s="303" t="s">
        <v>510</v>
      </c>
      <c r="AE42" s="303" t="s">
        <v>510</v>
      </c>
      <c r="AF42" s="303" t="s">
        <v>510</v>
      </c>
      <c r="AG42" s="303" t="s">
        <v>510</v>
      </c>
      <c r="AH42" s="314">
        <v>0</v>
      </c>
      <c r="AI42" s="297">
        <f t="shared" si="3"/>
        <v>0</v>
      </c>
      <c r="AJ42" s="303" t="s">
        <v>504</v>
      </c>
      <c r="AK42" s="303"/>
      <c r="AL42" s="303"/>
      <c r="AM42" s="303"/>
      <c r="AN42" s="303"/>
      <c r="AO42" s="303"/>
      <c r="AP42" s="303"/>
      <c r="AQ42" s="289">
        <f t="shared" si="4"/>
        <v>0</v>
      </c>
      <c r="AR42" s="303"/>
      <c r="AS42" s="301"/>
      <c r="AT42" s="329"/>
      <c r="AU42" s="329"/>
      <c r="AV42" s="329"/>
      <c r="AW42" s="329"/>
      <c r="AX42" s="329"/>
      <c r="AY42" s="139">
        <f t="shared" si="5"/>
        <v>0</v>
      </c>
      <c r="AZ42" s="301"/>
      <c r="BA42" s="301"/>
      <c r="BB42" s="356" t="s">
        <v>510</v>
      </c>
      <c r="BC42" s="356" t="s">
        <v>519</v>
      </c>
      <c r="BD42" s="356" t="s">
        <v>511</v>
      </c>
      <c r="BE42" s="303" t="s">
        <v>510</v>
      </c>
      <c r="BF42" s="352">
        <v>0</v>
      </c>
      <c r="BG42" s="353">
        <f t="shared" si="7"/>
        <v>0</v>
      </c>
      <c r="BH42" s="303" t="s">
        <v>520</v>
      </c>
      <c r="BI42" s="301" t="s">
        <v>1904</v>
      </c>
      <c r="BJ42" s="354">
        <f t="shared" si="0"/>
        <v>1</v>
      </c>
      <c r="BK42" s="316" t="str">
        <f t="shared" si="8"/>
        <v>Habilitado</v>
      </c>
    </row>
    <row r="43" spans="1:63" ht="38.25" x14ac:dyDescent="0.25">
      <c r="A43" s="324">
        <v>41</v>
      </c>
      <c r="B43" s="345" t="s">
        <v>1905</v>
      </c>
      <c r="C43" s="335" t="s">
        <v>1906</v>
      </c>
      <c r="D43" s="360" t="s">
        <v>140</v>
      </c>
      <c r="E43" s="347">
        <v>1</v>
      </c>
      <c r="F43" s="314" t="s">
        <v>510</v>
      </c>
      <c r="G43" s="314" t="s">
        <v>510</v>
      </c>
      <c r="H43" s="314" t="s">
        <v>510</v>
      </c>
      <c r="I43" s="314" t="s">
        <v>510</v>
      </c>
      <c r="J43" s="314">
        <v>40</v>
      </c>
      <c r="K43" s="29">
        <f t="shared" si="1"/>
        <v>40</v>
      </c>
      <c r="L43" s="314" t="s">
        <v>504</v>
      </c>
      <c r="M43" s="314"/>
      <c r="N43" s="314"/>
      <c r="O43" s="314"/>
      <c r="P43" s="314"/>
      <c r="Q43" s="314"/>
      <c r="R43" s="314"/>
      <c r="S43" s="314"/>
      <c r="T43" s="314"/>
      <c r="U43" s="314"/>
      <c r="V43" s="350"/>
      <c r="W43" s="350"/>
      <c r="X43" s="350"/>
      <c r="Y43" s="350"/>
      <c r="Z43" s="307"/>
      <c r="AA43" s="350">
        <f t="shared" si="2"/>
        <v>0</v>
      </c>
      <c r="AB43" s="307"/>
      <c r="AC43" s="307"/>
      <c r="AD43" s="303" t="s">
        <v>510</v>
      </c>
      <c r="AE43" s="303" t="s">
        <v>510</v>
      </c>
      <c r="AF43" s="303" t="s">
        <v>510</v>
      </c>
      <c r="AG43" s="303" t="s">
        <v>510</v>
      </c>
      <c r="AH43" s="314">
        <v>0</v>
      </c>
      <c r="AI43" s="297">
        <f t="shared" si="3"/>
        <v>0</v>
      </c>
      <c r="AJ43" s="303" t="s">
        <v>504</v>
      </c>
      <c r="AK43" s="303"/>
      <c r="AL43" s="303"/>
      <c r="AM43" s="303"/>
      <c r="AN43" s="303"/>
      <c r="AO43" s="303"/>
      <c r="AP43" s="303"/>
      <c r="AQ43" s="289">
        <f t="shared" si="4"/>
        <v>0</v>
      </c>
      <c r="AR43" s="303"/>
      <c r="AS43" s="303"/>
      <c r="AT43" s="303" t="s">
        <v>510</v>
      </c>
      <c r="AU43" s="303" t="s">
        <v>510</v>
      </c>
      <c r="AV43" s="303" t="s">
        <v>510</v>
      </c>
      <c r="AW43" s="303" t="s">
        <v>510</v>
      </c>
      <c r="AX43" s="303">
        <v>40</v>
      </c>
      <c r="AY43" s="139">
        <f t="shared" si="5"/>
        <v>40</v>
      </c>
      <c r="AZ43" s="303" t="s">
        <v>504</v>
      </c>
      <c r="BA43" s="301"/>
      <c r="BB43" s="356" t="s">
        <v>510</v>
      </c>
      <c r="BC43" s="356" t="s">
        <v>510</v>
      </c>
      <c r="BD43" s="356" t="s">
        <v>510</v>
      </c>
      <c r="BE43" s="303" t="s">
        <v>510</v>
      </c>
      <c r="BF43" s="352">
        <v>0</v>
      </c>
      <c r="BG43" s="353">
        <f t="shared" si="7"/>
        <v>0</v>
      </c>
      <c r="BH43" s="303" t="s">
        <v>504</v>
      </c>
      <c r="BI43" s="303"/>
      <c r="BJ43" s="354">
        <f t="shared" si="0"/>
        <v>4</v>
      </c>
      <c r="BK43" s="316" t="str">
        <f t="shared" si="8"/>
        <v>Habilitado</v>
      </c>
    </row>
    <row r="44" spans="1:63" ht="38.25" x14ac:dyDescent="0.25">
      <c r="A44" s="324">
        <v>42</v>
      </c>
      <c r="B44" s="345" t="s">
        <v>1907</v>
      </c>
      <c r="C44" s="335" t="s">
        <v>1906</v>
      </c>
      <c r="D44" s="360" t="s">
        <v>140</v>
      </c>
      <c r="E44" s="347">
        <v>1</v>
      </c>
      <c r="F44" s="314" t="s">
        <v>510</v>
      </c>
      <c r="G44" s="314" t="s">
        <v>510</v>
      </c>
      <c r="H44" s="314" t="s">
        <v>510</v>
      </c>
      <c r="I44" s="314" t="s">
        <v>510</v>
      </c>
      <c r="J44" s="314">
        <v>40</v>
      </c>
      <c r="K44" s="29">
        <f t="shared" si="1"/>
        <v>40</v>
      </c>
      <c r="L44" s="314" t="s">
        <v>504</v>
      </c>
      <c r="M44" s="314"/>
      <c r="N44" s="314"/>
      <c r="O44" s="314"/>
      <c r="P44" s="314"/>
      <c r="Q44" s="314"/>
      <c r="R44" s="314"/>
      <c r="S44" s="314"/>
      <c r="T44" s="314"/>
      <c r="U44" s="314"/>
      <c r="V44" s="350"/>
      <c r="W44" s="350"/>
      <c r="X44" s="350"/>
      <c r="Y44" s="350"/>
      <c r="Z44" s="307"/>
      <c r="AA44" s="350">
        <f t="shared" si="2"/>
        <v>0</v>
      </c>
      <c r="AB44" s="307"/>
      <c r="AC44" s="307"/>
      <c r="AD44" s="303" t="s">
        <v>510</v>
      </c>
      <c r="AE44" s="303" t="s">
        <v>510</v>
      </c>
      <c r="AF44" s="303" t="s">
        <v>510</v>
      </c>
      <c r="AG44" s="303" t="s">
        <v>510</v>
      </c>
      <c r="AH44" s="314">
        <v>0</v>
      </c>
      <c r="AI44" s="297">
        <f t="shared" si="3"/>
        <v>0</v>
      </c>
      <c r="AJ44" s="303" t="s">
        <v>504</v>
      </c>
      <c r="AK44" s="303"/>
      <c r="AL44" s="303"/>
      <c r="AM44" s="303"/>
      <c r="AN44" s="303"/>
      <c r="AO44" s="303"/>
      <c r="AP44" s="303"/>
      <c r="AQ44" s="289">
        <f t="shared" si="4"/>
        <v>0</v>
      </c>
      <c r="AR44" s="303"/>
      <c r="AS44" s="303"/>
      <c r="AT44" s="303" t="s">
        <v>510</v>
      </c>
      <c r="AU44" s="303" t="s">
        <v>510</v>
      </c>
      <c r="AV44" s="303" t="s">
        <v>510</v>
      </c>
      <c r="AW44" s="303" t="s">
        <v>510</v>
      </c>
      <c r="AX44" s="303">
        <v>40</v>
      </c>
      <c r="AY44" s="139">
        <f t="shared" si="5"/>
        <v>40</v>
      </c>
      <c r="AZ44" s="303" t="s">
        <v>504</v>
      </c>
      <c r="BA44" s="301"/>
      <c r="BB44" s="356" t="s">
        <v>510</v>
      </c>
      <c r="BC44" s="356" t="s">
        <v>510</v>
      </c>
      <c r="BD44" s="356" t="s">
        <v>510</v>
      </c>
      <c r="BE44" s="303" t="s">
        <v>510</v>
      </c>
      <c r="BF44" s="352">
        <v>0</v>
      </c>
      <c r="BG44" s="353">
        <f t="shared" si="7"/>
        <v>0</v>
      </c>
      <c r="BH44" s="303" t="s">
        <v>504</v>
      </c>
      <c r="BI44" s="303"/>
      <c r="BJ44" s="354">
        <f t="shared" si="0"/>
        <v>4</v>
      </c>
      <c r="BK44" s="316" t="str">
        <f t="shared" si="8"/>
        <v>Habilitado</v>
      </c>
    </row>
    <row r="45" spans="1:63" ht="51" x14ac:dyDescent="0.25">
      <c r="A45" s="324">
        <v>43</v>
      </c>
      <c r="B45" s="325" t="s">
        <v>1908</v>
      </c>
      <c r="C45" s="325" t="s">
        <v>1906</v>
      </c>
      <c r="D45" s="325" t="s">
        <v>140</v>
      </c>
      <c r="E45" s="362">
        <v>1</v>
      </c>
      <c r="F45" s="406" t="s">
        <v>510</v>
      </c>
      <c r="G45" s="406" t="s">
        <v>510</v>
      </c>
      <c r="H45" s="406" t="s">
        <v>510</v>
      </c>
      <c r="I45" s="406" t="s">
        <v>510</v>
      </c>
      <c r="J45" s="406">
        <v>40</v>
      </c>
      <c r="K45" s="29">
        <f t="shared" si="1"/>
        <v>40</v>
      </c>
      <c r="L45" s="406" t="s">
        <v>504</v>
      </c>
      <c r="M45" s="406"/>
      <c r="N45" s="406"/>
      <c r="O45" s="406"/>
      <c r="P45" s="406"/>
      <c r="Q45" s="406"/>
      <c r="R45" s="406"/>
      <c r="S45" s="406"/>
      <c r="T45" s="406"/>
      <c r="U45" s="406"/>
      <c r="V45" s="350"/>
      <c r="W45" s="350"/>
      <c r="X45" s="350"/>
      <c r="Y45" s="350"/>
      <c r="Z45" s="307"/>
      <c r="AA45" s="350">
        <f t="shared" si="2"/>
        <v>0</v>
      </c>
      <c r="AB45" s="307"/>
      <c r="AC45" s="307"/>
      <c r="AD45" s="304" t="s">
        <v>510</v>
      </c>
      <c r="AE45" s="304" t="s">
        <v>510</v>
      </c>
      <c r="AF45" s="304" t="s">
        <v>510</v>
      </c>
      <c r="AG45" s="303" t="s">
        <v>510</v>
      </c>
      <c r="AH45" s="326">
        <v>0</v>
      </c>
      <c r="AI45" s="297">
        <f t="shared" si="3"/>
        <v>0</v>
      </c>
      <c r="AJ45" s="322" t="s">
        <v>504</v>
      </c>
      <c r="AK45" s="304" t="s">
        <v>551</v>
      </c>
      <c r="AL45" s="304"/>
      <c r="AM45" s="304"/>
      <c r="AN45" s="304"/>
      <c r="AO45" s="304"/>
      <c r="AP45" s="304"/>
      <c r="AQ45" s="289">
        <f t="shared" si="4"/>
        <v>0</v>
      </c>
      <c r="AR45" s="304"/>
      <c r="AS45" s="304"/>
      <c r="AT45" s="325"/>
      <c r="AU45" s="325"/>
      <c r="AV45" s="325"/>
      <c r="AW45" s="325"/>
      <c r="AX45" s="325"/>
      <c r="AY45" s="139">
        <f t="shared" si="5"/>
        <v>0</v>
      </c>
      <c r="AZ45" s="304"/>
      <c r="BA45" s="304"/>
      <c r="BB45" s="363" t="s">
        <v>510</v>
      </c>
      <c r="BC45" s="364" t="s">
        <v>519</v>
      </c>
      <c r="BD45" s="364" t="s">
        <v>510</v>
      </c>
      <c r="BE45" s="303" t="s">
        <v>510</v>
      </c>
      <c r="BF45" s="352">
        <v>0</v>
      </c>
      <c r="BG45" s="353">
        <f t="shared" si="7"/>
        <v>0</v>
      </c>
      <c r="BH45" s="303" t="s">
        <v>520</v>
      </c>
      <c r="BI45" s="370" t="s">
        <v>1909</v>
      </c>
      <c r="BJ45" s="354">
        <f t="shared" si="0"/>
        <v>2</v>
      </c>
      <c r="BK45" s="316" t="str">
        <f t="shared" si="8"/>
        <v>Habilitado</v>
      </c>
    </row>
    <row r="46" spans="1:63" ht="25.5" x14ac:dyDescent="0.25">
      <c r="A46" s="332">
        <v>44</v>
      </c>
      <c r="B46" s="333" t="s">
        <v>1910</v>
      </c>
      <c r="C46" s="333" t="s">
        <v>1906</v>
      </c>
      <c r="D46" s="333" t="s">
        <v>140</v>
      </c>
      <c r="E46" s="365">
        <v>1</v>
      </c>
      <c r="F46" s="406" t="s">
        <v>510</v>
      </c>
      <c r="G46" s="406" t="s">
        <v>510</v>
      </c>
      <c r="H46" s="406" t="s">
        <v>510</v>
      </c>
      <c r="I46" s="406" t="s">
        <v>510</v>
      </c>
      <c r="J46" s="406">
        <v>40</v>
      </c>
      <c r="K46" s="29">
        <f t="shared" si="1"/>
        <v>40</v>
      </c>
      <c r="L46" s="406" t="s">
        <v>504</v>
      </c>
      <c r="M46" s="406"/>
      <c r="N46" s="406"/>
      <c r="O46" s="406"/>
      <c r="P46" s="406"/>
      <c r="Q46" s="406"/>
      <c r="R46" s="406"/>
      <c r="S46" s="406"/>
      <c r="T46" s="406"/>
      <c r="U46" s="406"/>
      <c r="V46" s="350"/>
      <c r="W46" s="350"/>
      <c r="X46" s="350"/>
      <c r="Y46" s="350"/>
      <c r="Z46" s="307"/>
      <c r="AA46" s="350">
        <f t="shared" si="2"/>
        <v>0</v>
      </c>
      <c r="AB46" s="307"/>
      <c r="AC46" s="307"/>
      <c r="AD46" s="327" t="s">
        <v>510</v>
      </c>
      <c r="AE46" s="327" t="s">
        <v>510</v>
      </c>
      <c r="AF46" s="327" t="s">
        <v>510</v>
      </c>
      <c r="AG46" s="303" t="s">
        <v>510</v>
      </c>
      <c r="AH46" s="334">
        <v>0</v>
      </c>
      <c r="AI46" s="297">
        <f t="shared" si="3"/>
        <v>0</v>
      </c>
      <c r="AJ46" s="322" t="s">
        <v>504</v>
      </c>
      <c r="AK46" s="327" t="s">
        <v>551</v>
      </c>
      <c r="AL46" s="327"/>
      <c r="AM46" s="327"/>
      <c r="AN46" s="327"/>
      <c r="AO46" s="327"/>
      <c r="AP46" s="327"/>
      <c r="AQ46" s="289">
        <f t="shared" si="4"/>
        <v>0</v>
      </c>
      <c r="AR46" s="327"/>
      <c r="AS46" s="327"/>
      <c r="AT46" s="327" t="s">
        <v>510</v>
      </c>
      <c r="AU46" s="327" t="s">
        <v>510</v>
      </c>
      <c r="AV46" s="327" t="s">
        <v>510</v>
      </c>
      <c r="AW46" s="303" t="s">
        <v>510</v>
      </c>
      <c r="AX46" s="303">
        <v>40</v>
      </c>
      <c r="AY46" s="139">
        <f t="shared" si="5"/>
        <v>40</v>
      </c>
      <c r="AZ46" s="327" t="s">
        <v>504</v>
      </c>
      <c r="BA46" s="327"/>
      <c r="BB46" s="371" t="s">
        <v>510</v>
      </c>
      <c r="BC46" s="372" t="s">
        <v>519</v>
      </c>
      <c r="BD46" s="372" t="s">
        <v>510</v>
      </c>
      <c r="BE46" s="303" t="s">
        <v>510</v>
      </c>
      <c r="BF46" s="352">
        <v>0</v>
      </c>
      <c r="BG46" s="353">
        <f t="shared" si="7"/>
        <v>0</v>
      </c>
      <c r="BH46" s="303" t="s">
        <v>520</v>
      </c>
      <c r="BI46" s="373" t="s">
        <v>1911</v>
      </c>
      <c r="BJ46" s="354">
        <f t="shared" si="0"/>
        <v>3</v>
      </c>
      <c r="BK46" s="316" t="str">
        <f t="shared" si="8"/>
        <v>Habilitado</v>
      </c>
    </row>
    <row r="47" spans="1:63" ht="25.5" x14ac:dyDescent="0.25">
      <c r="A47" s="324">
        <v>45</v>
      </c>
      <c r="B47" s="325" t="s">
        <v>1912</v>
      </c>
      <c r="C47" s="325" t="s">
        <v>1906</v>
      </c>
      <c r="D47" s="325" t="s">
        <v>140</v>
      </c>
      <c r="E47" s="362">
        <v>1</v>
      </c>
      <c r="F47" s="406" t="s">
        <v>510</v>
      </c>
      <c r="G47" s="406" t="s">
        <v>510</v>
      </c>
      <c r="H47" s="406" t="s">
        <v>510</v>
      </c>
      <c r="I47" s="406" t="s">
        <v>510</v>
      </c>
      <c r="J47" s="406">
        <v>40</v>
      </c>
      <c r="K47" s="29">
        <f t="shared" si="1"/>
        <v>40</v>
      </c>
      <c r="L47" s="406" t="s">
        <v>504</v>
      </c>
      <c r="M47" s="406"/>
      <c r="N47" s="406"/>
      <c r="O47" s="406"/>
      <c r="P47" s="406"/>
      <c r="Q47" s="406"/>
      <c r="R47" s="406"/>
      <c r="S47" s="406"/>
      <c r="T47" s="406"/>
      <c r="U47" s="406"/>
      <c r="V47" s="406" t="s">
        <v>510</v>
      </c>
      <c r="W47" s="406" t="s">
        <v>510</v>
      </c>
      <c r="X47" s="406" t="s">
        <v>510</v>
      </c>
      <c r="Y47" s="350" t="s">
        <v>510</v>
      </c>
      <c r="Z47" s="304">
        <v>20</v>
      </c>
      <c r="AA47" s="350">
        <f t="shared" si="2"/>
        <v>20</v>
      </c>
      <c r="AB47" s="304" t="s">
        <v>504</v>
      </c>
      <c r="AC47" s="304"/>
      <c r="AD47" s="304" t="s">
        <v>510</v>
      </c>
      <c r="AE47" s="304" t="s">
        <v>510</v>
      </c>
      <c r="AF47" s="304" t="s">
        <v>510</v>
      </c>
      <c r="AG47" s="303" t="s">
        <v>510</v>
      </c>
      <c r="AH47" s="326">
        <v>0</v>
      </c>
      <c r="AI47" s="297">
        <f t="shared" si="3"/>
        <v>0</v>
      </c>
      <c r="AJ47" s="322" t="s">
        <v>504</v>
      </c>
      <c r="AK47" s="304" t="s">
        <v>551</v>
      </c>
      <c r="AL47" s="304"/>
      <c r="AM47" s="304"/>
      <c r="AN47" s="304"/>
      <c r="AO47" s="304"/>
      <c r="AP47" s="304"/>
      <c r="AQ47" s="289">
        <f t="shared" si="4"/>
        <v>0</v>
      </c>
      <c r="AR47" s="304"/>
      <c r="AS47" s="304"/>
      <c r="AT47" s="304" t="s">
        <v>510</v>
      </c>
      <c r="AU47" s="304" t="s">
        <v>510</v>
      </c>
      <c r="AV47" s="304" t="s">
        <v>510</v>
      </c>
      <c r="AW47" s="303" t="s">
        <v>510</v>
      </c>
      <c r="AX47" s="303">
        <v>40</v>
      </c>
      <c r="AY47" s="139">
        <f t="shared" si="5"/>
        <v>40</v>
      </c>
      <c r="AZ47" s="304" t="s">
        <v>504</v>
      </c>
      <c r="BA47" s="304"/>
      <c r="BB47" s="371" t="s">
        <v>510</v>
      </c>
      <c r="BC47" s="372" t="s">
        <v>519</v>
      </c>
      <c r="BD47" s="372" t="s">
        <v>510</v>
      </c>
      <c r="BE47" s="303" t="s">
        <v>510</v>
      </c>
      <c r="BF47" s="352">
        <v>0</v>
      </c>
      <c r="BG47" s="353">
        <f t="shared" si="7"/>
        <v>0</v>
      </c>
      <c r="BH47" s="303" t="s">
        <v>520</v>
      </c>
      <c r="BI47" s="373" t="s">
        <v>1911</v>
      </c>
      <c r="BJ47" s="354">
        <f t="shared" si="0"/>
        <v>4</v>
      </c>
      <c r="BK47" s="316" t="str">
        <f t="shared" si="8"/>
        <v>Habilitado</v>
      </c>
    </row>
    <row r="48" spans="1:63" ht="51" x14ac:dyDescent="0.25">
      <c r="A48" s="324">
        <v>46</v>
      </c>
      <c r="B48" s="345" t="s">
        <v>1913</v>
      </c>
      <c r="C48" s="331" t="s">
        <v>1914</v>
      </c>
      <c r="D48" s="329" t="s">
        <v>140</v>
      </c>
      <c r="E48" s="347">
        <v>1</v>
      </c>
      <c r="F48" s="314" t="s">
        <v>510</v>
      </c>
      <c r="G48" s="314" t="s">
        <v>510</v>
      </c>
      <c r="H48" s="314" t="s">
        <v>511</v>
      </c>
      <c r="I48" s="314" t="s">
        <v>510</v>
      </c>
      <c r="J48" s="314">
        <v>40</v>
      </c>
      <c r="K48" s="29">
        <f t="shared" si="1"/>
        <v>40</v>
      </c>
      <c r="L48" s="314" t="s">
        <v>504</v>
      </c>
      <c r="M48" s="314"/>
      <c r="N48" s="314"/>
      <c r="O48" s="314"/>
      <c r="P48" s="314"/>
      <c r="Q48" s="314"/>
      <c r="R48" s="314"/>
      <c r="S48" s="314"/>
      <c r="T48" s="314"/>
      <c r="U48" s="314"/>
      <c r="V48" s="350"/>
      <c r="W48" s="350"/>
      <c r="X48" s="350"/>
      <c r="Y48" s="350"/>
      <c r="Z48" s="307"/>
      <c r="AA48" s="350">
        <f t="shared" si="2"/>
        <v>0</v>
      </c>
      <c r="AB48" s="307"/>
      <c r="AC48" s="307"/>
      <c r="AD48" s="303" t="s">
        <v>510</v>
      </c>
      <c r="AE48" s="303" t="s">
        <v>510</v>
      </c>
      <c r="AF48" s="303" t="s">
        <v>511</v>
      </c>
      <c r="AG48" s="303" t="s">
        <v>510</v>
      </c>
      <c r="AH48" s="314">
        <v>0</v>
      </c>
      <c r="AI48" s="297">
        <f t="shared" si="3"/>
        <v>0</v>
      </c>
      <c r="AJ48" s="303" t="s">
        <v>504</v>
      </c>
      <c r="AK48" s="301"/>
      <c r="AL48" s="303"/>
      <c r="AM48" s="303"/>
      <c r="AN48" s="303"/>
      <c r="AO48" s="303"/>
      <c r="AP48" s="303"/>
      <c r="AQ48" s="289">
        <f t="shared" si="4"/>
        <v>0</v>
      </c>
      <c r="AR48" s="303"/>
      <c r="AS48" s="301"/>
      <c r="AT48" s="329"/>
      <c r="AU48" s="329"/>
      <c r="AV48" s="329"/>
      <c r="AW48" s="329"/>
      <c r="AX48" s="329"/>
      <c r="AY48" s="139">
        <f t="shared" si="5"/>
        <v>0</v>
      </c>
      <c r="AZ48" s="303"/>
      <c r="BA48" s="301"/>
      <c r="BB48" s="356" t="s">
        <v>519</v>
      </c>
      <c r="BC48" s="356" t="s">
        <v>519</v>
      </c>
      <c r="BD48" s="356" t="s">
        <v>511</v>
      </c>
      <c r="BE48" s="303" t="s">
        <v>510</v>
      </c>
      <c r="BF48" s="352">
        <v>0</v>
      </c>
      <c r="BG48" s="353">
        <f t="shared" si="7"/>
        <v>0</v>
      </c>
      <c r="BH48" s="303" t="s">
        <v>520</v>
      </c>
      <c r="BI48" s="303" t="s">
        <v>1877</v>
      </c>
      <c r="BJ48" s="354">
        <f t="shared" si="0"/>
        <v>2</v>
      </c>
      <c r="BK48" s="316" t="str">
        <f t="shared" si="8"/>
        <v>Habilitado</v>
      </c>
    </row>
    <row r="49" spans="1:63" ht="63.75" x14ac:dyDescent="0.25">
      <c r="A49" s="324">
        <v>47</v>
      </c>
      <c r="B49" s="345" t="s">
        <v>1915</v>
      </c>
      <c r="C49" s="331" t="s">
        <v>518</v>
      </c>
      <c r="D49" s="329" t="s">
        <v>140</v>
      </c>
      <c r="E49" s="347">
        <v>1</v>
      </c>
      <c r="F49" s="314" t="s">
        <v>519</v>
      </c>
      <c r="G49" s="314" t="s">
        <v>519</v>
      </c>
      <c r="H49" s="314" t="s">
        <v>511</v>
      </c>
      <c r="I49" s="314" t="s">
        <v>510</v>
      </c>
      <c r="J49" s="406">
        <v>0</v>
      </c>
      <c r="K49" s="29">
        <f t="shared" si="1"/>
        <v>0</v>
      </c>
      <c r="L49" s="314" t="s">
        <v>520</v>
      </c>
      <c r="M49" s="407" t="s">
        <v>1916</v>
      </c>
      <c r="N49" s="407"/>
      <c r="O49" s="407"/>
      <c r="P49" s="407"/>
      <c r="Q49" s="407"/>
      <c r="R49" s="407"/>
      <c r="S49" s="407"/>
      <c r="T49" s="407"/>
      <c r="U49" s="407"/>
      <c r="V49" s="350" t="s">
        <v>519</v>
      </c>
      <c r="W49" s="350" t="s">
        <v>519</v>
      </c>
      <c r="X49" s="350" t="s">
        <v>511</v>
      </c>
      <c r="Y49" s="350" t="s">
        <v>510</v>
      </c>
      <c r="Z49" s="304">
        <v>0</v>
      </c>
      <c r="AA49" s="350">
        <f t="shared" si="2"/>
        <v>0</v>
      </c>
      <c r="AB49" s="307" t="s">
        <v>520</v>
      </c>
      <c r="AC49" s="306" t="s">
        <v>1903</v>
      </c>
      <c r="AD49" s="303" t="s">
        <v>510</v>
      </c>
      <c r="AE49" s="303" t="s">
        <v>510</v>
      </c>
      <c r="AF49" s="303" t="s">
        <v>511</v>
      </c>
      <c r="AG49" s="303" t="s">
        <v>510</v>
      </c>
      <c r="AH49" s="314">
        <v>0</v>
      </c>
      <c r="AI49" s="297">
        <f t="shared" si="3"/>
        <v>0</v>
      </c>
      <c r="AJ49" s="303" t="s">
        <v>504</v>
      </c>
      <c r="AK49" s="301"/>
      <c r="AL49" s="303"/>
      <c r="AM49" s="303"/>
      <c r="AN49" s="303"/>
      <c r="AO49" s="303"/>
      <c r="AP49" s="303"/>
      <c r="AQ49" s="289">
        <f t="shared" si="4"/>
        <v>0</v>
      </c>
      <c r="AR49" s="303"/>
      <c r="AS49" s="301"/>
      <c r="AT49" s="329"/>
      <c r="AU49" s="329"/>
      <c r="AV49" s="329"/>
      <c r="AW49" s="329"/>
      <c r="AX49" s="329"/>
      <c r="AY49" s="139">
        <f t="shared" si="5"/>
        <v>0</v>
      </c>
      <c r="AZ49" s="303"/>
      <c r="BA49" s="301"/>
      <c r="BB49" s="356" t="s">
        <v>510</v>
      </c>
      <c r="BC49" s="356" t="s">
        <v>510</v>
      </c>
      <c r="BD49" s="356" t="s">
        <v>511</v>
      </c>
      <c r="BE49" s="303" t="s">
        <v>510</v>
      </c>
      <c r="BF49" s="352">
        <v>0</v>
      </c>
      <c r="BG49" s="353">
        <f t="shared" si="7"/>
        <v>0</v>
      </c>
      <c r="BH49" s="303" t="s">
        <v>504</v>
      </c>
      <c r="BI49" s="301"/>
      <c r="BJ49" s="354">
        <f t="shared" si="0"/>
        <v>2</v>
      </c>
      <c r="BK49" s="316" t="str">
        <f t="shared" si="8"/>
        <v>Habilitado</v>
      </c>
    </row>
    <row r="50" spans="1:63" ht="63.75" x14ac:dyDescent="0.25">
      <c r="A50" s="324">
        <v>48</v>
      </c>
      <c r="B50" s="345" t="s">
        <v>1917</v>
      </c>
      <c r="C50" s="335" t="s">
        <v>518</v>
      </c>
      <c r="D50" s="357" t="s">
        <v>140</v>
      </c>
      <c r="E50" s="347">
        <v>1</v>
      </c>
      <c r="F50" s="314" t="s">
        <v>519</v>
      </c>
      <c r="G50" s="314" t="s">
        <v>519</v>
      </c>
      <c r="H50" s="314" t="s">
        <v>511</v>
      </c>
      <c r="I50" s="314" t="s">
        <v>510</v>
      </c>
      <c r="J50" s="406">
        <v>0</v>
      </c>
      <c r="K50" s="29">
        <f t="shared" si="1"/>
        <v>0</v>
      </c>
      <c r="L50" s="314" t="s">
        <v>520</v>
      </c>
      <c r="M50" s="407" t="s">
        <v>1918</v>
      </c>
      <c r="N50" s="407"/>
      <c r="O50" s="407"/>
      <c r="P50" s="407"/>
      <c r="Q50" s="407"/>
      <c r="R50" s="407"/>
      <c r="S50" s="407"/>
      <c r="T50" s="407"/>
      <c r="U50" s="407"/>
      <c r="V50" s="350"/>
      <c r="W50" s="350"/>
      <c r="X50" s="350"/>
      <c r="Y50" s="350"/>
      <c r="Z50" s="307"/>
      <c r="AA50" s="350">
        <f t="shared" si="2"/>
        <v>0</v>
      </c>
      <c r="AB50" s="307"/>
      <c r="AC50" s="307"/>
      <c r="AD50" s="303" t="s">
        <v>510</v>
      </c>
      <c r="AE50" s="303" t="s">
        <v>510</v>
      </c>
      <c r="AF50" s="303" t="s">
        <v>511</v>
      </c>
      <c r="AG50" s="303" t="s">
        <v>510</v>
      </c>
      <c r="AH50" s="314">
        <v>0</v>
      </c>
      <c r="AI50" s="297">
        <f t="shared" si="3"/>
        <v>0</v>
      </c>
      <c r="AJ50" s="303" t="s">
        <v>504</v>
      </c>
      <c r="AK50" s="301"/>
      <c r="AL50" s="303"/>
      <c r="AM50" s="303"/>
      <c r="AN50" s="303"/>
      <c r="AO50" s="303"/>
      <c r="AP50" s="303"/>
      <c r="AQ50" s="289">
        <f t="shared" si="4"/>
        <v>0</v>
      </c>
      <c r="AR50" s="303"/>
      <c r="AS50" s="303"/>
      <c r="AT50" s="329"/>
      <c r="AU50" s="329"/>
      <c r="AV50" s="329"/>
      <c r="AW50" s="329"/>
      <c r="AX50" s="329"/>
      <c r="AY50" s="139">
        <f t="shared" si="5"/>
        <v>0</v>
      </c>
      <c r="AZ50" s="303"/>
      <c r="BA50" s="303"/>
      <c r="BB50" s="356" t="s">
        <v>510</v>
      </c>
      <c r="BC50" s="356" t="s">
        <v>510</v>
      </c>
      <c r="BD50" s="356" t="s">
        <v>511</v>
      </c>
      <c r="BE50" s="303" t="s">
        <v>510</v>
      </c>
      <c r="BF50" s="352">
        <v>0</v>
      </c>
      <c r="BG50" s="353">
        <f t="shared" si="7"/>
        <v>0</v>
      </c>
      <c r="BH50" s="303" t="s">
        <v>504</v>
      </c>
      <c r="BI50" s="303"/>
      <c r="BJ50" s="354">
        <f t="shared" si="0"/>
        <v>2</v>
      </c>
      <c r="BK50" s="316" t="str">
        <f t="shared" si="8"/>
        <v>Habilitado</v>
      </c>
    </row>
    <row r="51" spans="1:63" ht="38.25" x14ac:dyDescent="0.25">
      <c r="A51" s="324">
        <v>49</v>
      </c>
      <c r="B51" s="345" t="s">
        <v>1919</v>
      </c>
      <c r="C51" s="335" t="s">
        <v>518</v>
      </c>
      <c r="D51" s="357" t="s">
        <v>140</v>
      </c>
      <c r="E51" s="347">
        <v>1</v>
      </c>
      <c r="F51" s="314" t="s">
        <v>510</v>
      </c>
      <c r="G51" s="314" t="s">
        <v>510</v>
      </c>
      <c r="H51" s="314" t="s">
        <v>511</v>
      </c>
      <c r="I51" s="314" t="s">
        <v>510</v>
      </c>
      <c r="J51" s="314">
        <v>40</v>
      </c>
      <c r="K51" s="29">
        <f t="shared" si="1"/>
        <v>40</v>
      </c>
      <c r="L51" s="314" t="s">
        <v>504</v>
      </c>
      <c r="M51" s="314"/>
      <c r="N51" s="314"/>
      <c r="O51" s="314"/>
      <c r="P51" s="314"/>
      <c r="Q51" s="314"/>
      <c r="R51" s="314"/>
      <c r="S51" s="314"/>
      <c r="T51" s="314"/>
      <c r="U51" s="314"/>
      <c r="V51" s="350"/>
      <c r="W51" s="350"/>
      <c r="X51" s="350"/>
      <c r="Y51" s="350"/>
      <c r="Z51" s="307"/>
      <c r="AA51" s="350">
        <f t="shared" si="2"/>
        <v>0</v>
      </c>
      <c r="AB51" s="307"/>
      <c r="AC51" s="307"/>
      <c r="AD51" s="303" t="s">
        <v>510</v>
      </c>
      <c r="AE51" s="303" t="s">
        <v>510</v>
      </c>
      <c r="AF51" s="303" t="s">
        <v>511</v>
      </c>
      <c r="AG51" s="303" t="s">
        <v>510</v>
      </c>
      <c r="AH51" s="314">
        <v>0</v>
      </c>
      <c r="AI51" s="297">
        <f t="shared" si="3"/>
        <v>0</v>
      </c>
      <c r="AJ51" s="303" t="s">
        <v>504</v>
      </c>
      <c r="AK51" s="301"/>
      <c r="AL51" s="303"/>
      <c r="AM51" s="303"/>
      <c r="AN51" s="303"/>
      <c r="AO51" s="303"/>
      <c r="AP51" s="303"/>
      <c r="AQ51" s="289">
        <f t="shared" si="4"/>
        <v>0</v>
      </c>
      <c r="AR51" s="303"/>
      <c r="AS51" s="303"/>
      <c r="AT51" s="329"/>
      <c r="AU51" s="329"/>
      <c r="AV51" s="329"/>
      <c r="AW51" s="329"/>
      <c r="AX51" s="329"/>
      <c r="AY51" s="139">
        <f t="shared" si="5"/>
        <v>0</v>
      </c>
      <c r="AZ51" s="303"/>
      <c r="BA51" s="303"/>
      <c r="BB51" s="356" t="s">
        <v>510</v>
      </c>
      <c r="BC51" s="356" t="s">
        <v>510</v>
      </c>
      <c r="BD51" s="356" t="s">
        <v>511</v>
      </c>
      <c r="BE51" s="303" t="s">
        <v>510</v>
      </c>
      <c r="BF51" s="352">
        <v>0</v>
      </c>
      <c r="BG51" s="353">
        <f t="shared" si="7"/>
        <v>0</v>
      </c>
      <c r="BH51" s="303" t="s">
        <v>504</v>
      </c>
      <c r="BI51" s="303"/>
      <c r="BJ51" s="354">
        <f t="shared" si="0"/>
        <v>3</v>
      </c>
      <c r="BK51" s="316" t="str">
        <f t="shared" si="8"/>
        <v>Habilitado</v>
      </c>
    </row>
    <row r="52" spans="1:63" ht="38.25" x14ac:dyDescent="0.25">
      <c r="A52" s="324">
        <v>50</v>
      </c>
      <c r="B52" s="345" t="s">
        <v>1920</v>
      </c>
      <c r="C52" s="335" t="s">
        <v>518</v>
      </c>
      <c r="D52" s="360" t="s">
        <v>1921</v>
      </c>
      <c r="E52" s="347">
        <v>1</v>
      </c>
      <c r="F52" s="314"/>
      <c r="G52" s="314"/>
      <c r="H52" s="314"/>
      <c r="I52" s="314"/>
      <c r="J52" s="314"/>
      <c r="K52" s="29">
        <f t="shared" si="1"/>
        <v>0</v>
      </c>
      <c r="L52" s="314"/>
      <c r="M52" s="314"/>
      <c r="N52" s="314"/>
      <c r="O52" s="314"/>
      <c r="P52" s="314"/>
      <c r="Q52" s="314"/>
      <c r="R52" s="314"/>
      <c r="S52" s="314"/>
      <c r="T52" s="314"/>
      <c r="U52" s="314"/>
      <c r="V52" s="350"/>
      <c r="W52" s="350"/>
      <c r="X52" s="350"/>
      <c r="Y52" s="350"/>
      <c r="Z52" s="307"/>
      <c r="AA52" s="350">
        <f t="shared" si="2"/>
        <v>0</v>
      </c>
      <c r="AB52" s="307"/>
      <c r="AC52" s="307"/>
      <c r="AD52" s="303" t="s">
        <v>510</v>
      </c>
      <c r="AE52" s="303" t="s">
        <v>510</v>
      </c>
      <c r="AF52" s="303" t="s">
        <v>511</v>
      </c>
      <c r="AG52" s="303" t="s">
        <v>510</v>
      </c>
      <c r="AH52" s="314">
        <v>0</v>
      </c>
      <c r="AI52" s="297">
        <f t="shared" si="3"/>
        <v>0</v>
      </c>
      <c r="AJ52" s="303" t="s">
        <v>504</v>
      </c>
      <c r="AK52" s="301"/>
      <c r="AL52" s="303"/>
      <c r="AM52" s="303"/>
      <c r="AN52" s="303"/>
      <c r="AO52" s="303"/>
      <c r="AP52" s="303"/>
      <c r="AQ52" s="289">
        <f t="shared" si="4"/>
        <v>0</v>
      </c>
      <c r="AR52" s="303"/>
      <c r="AS52" s="301"/>
      <c r="AT52" s="329"/>
      <c r="AU52" s="329"/>
      <c r="AV52" s="329"/>
      <c r="AW52" s="329"/>
      <c r="AX52" s="329"/>
      <c r="AY52" s="139">
        <f t="shared" si="5"/>
        <v>0</v>
      </c>
      <c r="AZ52" s="303"/>
      <c r="BA52" s="301"/>
      <c r="BB52" s="356" t="s">
        <v>510</v>
      </c>
      <c r="BC52" s="356" t="s">
        <v>519</v>
      </c>
      <c r="BD52" s="356" t="s">
        <v>511</v>
      </c>
      <c r="BE52" s="303" t="s">
        <v>510</v>
      </c>
      <c r="BF52" s="352">
        <v>0</v>
      </c>
      <c r="BG52" s="353">
        <f t="shared" si="7"/>
        <v>0</v>
      </c>
      <c r="BH52" s="303" t="s">
        <v>520</v>
      </c>
      <c r="BI52" s="301" t="s">
        <v>1922</v>
      </c>
      <c r="BJ52" s="354">
        <f t="shared" si="0"/>
        <v>1</v>
      </c>
      <c r="BK52" s="316" t="str">
        <f t="shared" si="8"/>
        <v>Habilitado</v>
      </c>
    </row>
    <row r="53" spans="1:63" ht="25.5" x14ac:dyDescent="0.25">
      <c r="A53" s="324">
        <v>51</v>
      </c>
      <c r="B53" s="345" t="s">
        <v>1923</v>
      </c>
      <c r="C53" s="335" t="s">
        <v>518</v>
      </c>
      <c r="D53" s="360" t="s">
        <v>140</v>
      </c>
      <c r="E53" s="347">
        <v>1</v>
      </c>
      <c r="F53" s="314"/>
      <c r="G53" s="314"/>
      <c r="H53" s="314"/>
      <c r="I53" s="314"/>
      <c r="J53" s="314"/>
      <c r="K53" s="29">
        <f t="shared" si="1"/>
        <v>0</v>
      </c>
      <c r="L53" s="314"/>
      <c r="M53" s="314"/>
      <c r="N53" s="314"/>
      <c r="O53" s="314"/>
      <c r="P53" s="314"/>
      <c r="Q53" s="314"/>
      <c r="R53" s="314"/>
      <c r="S53" s="314"/>
      <c r="T53" s="314"/>
      <c r="U53" s="314"/>
      <c r="V53" s="350"/>
      <c r="W53" s="350"/>
      <c r="X53" s="350"/>
      <c r="Y53" s="350"/>
      <c r="Z53" s="307"/>
      <c r="AA53" s="350">
        <f t="shared" si="2"/>
        <v>0</v>
      </c>
      <c r="AB53" s="307"/>
      <c r="AC53" s="307"/>
      <c r="AD53" s="303" t="s">
        <v>510</v>
      </c>
      <c r="AE53" s="303" t="s">
        <v>510</v>
      </c>
      <c r="AF53" s="303" t="s">
        <v>511</v>
      </c>
      <c r="AG53" s="303" t="s">
        <v>510</v>
      </c>
      <c r="AH53" s="314">
        <v>0</v>
      </c>
      <c r="AI53" s="297">
        <f t="shared" si="3"/>
        <v>0</v>
      </c>
      <c r="AJ53" s="303" t="s">
        <v>504</v>
      </c>
      <c r="AK53" s="303"/>
      <c r="AL53" s="303"/>
      <c r="AM53" s="303"/>
      <c r="AN53" s="303"/>
      <c r="AO53" s="303"/>
      <c r="AP53" s="303"/>
      <c r="AQ53" s="289">
        <f t="shared" si="4"/>
        <v>0</v>
      </c>
      <c r="AR53" s="303"/>
      <c r="AS53" s="303"/>
      <c r="AT53" s="329"/>
      <c r="AU53" s="329"/>
      <c r="AV53" s="329"/>
      <c r="AW53" s="329"/>
      <c r="AX53" s="329"/>
      <c r="AY53" s="139">
        <f t="shared" si="5"/>
        <v>0</v>
      </c>
      <c r="AZ53" s="303"/>
      <c r="BA53" s="303"/>
      <c r="BB53" s="356" t="s">
        <v>519</v>
      </c>
      <c r="BC53" s="356" t="s">
        <v>519</v>
      </c>
      <c r="BD53" s="356" t="s">
        <v>511</v>
      </c>
      <c r="BE53" s="303" t="s">
        <v>510</v>
      </c>
      <c r="BF53" s="352">
        <v>0</v>
      </c>
      <c r="BG53" s="353">
        <f t="shared" si="7"/>
        <v>0</v>
      </c>
      <c r="BH53" s="303" t="s">
        <v>520</v>
      </c>
      <c r="BI53" s="303" t="s">
        <v>1877</v>
      </c>
      <c r="BJ53" s="354">
        <f t="shared" si="0"/>
        <v>1</v>
      </c>
      <c r="BK53" s="316" t="str">
        <f t="shared" si="8"/>
        <v>Habilitado</v>
      </c>
    </row>
    <row r="54" spans="1:63" x14ac:dyDescent="0.25">
      <c r="A54" s="324">
        <v>52</v>
      </c>
      <c r="B54" s="345" t="s">
        <v>1924</v>
      </c>
      <c r="C54" s="335" t="s">
        <v>1925</v>
      </c>
      <c r="D54" s="360" t="s">
        <v>1572</v>
      </c>
      <c r="E54" s="347">
        <v>1</v>
      </c>
      <c r="F54" s="314" t="s">
        <v>510</v>
      </c>
      <c r="G54" s="314" t="s">
        <v>510</v>
      </c>
      <c r="H54" s="314" t="s">
        <v>511</v>
      </c>
      <c r="I54" s="314" t="s">
        <v>510</v>
      </c>
      <c r="J54" s="314">
        <v>40</v>
      </c>
      <c r="K54" s="29">
        <f t="shared" si="1"/>
        <v>40</v>
      </c>
      <c r="L54" s="314" t="s">
        <v>504</v>
      </c>
      <c r="M54" s="314"/>
      <c r="N54" s="314"/>
      <c r="O54" s="314"/>
      <c r="P54" s="314"/>
      <c r="Q54" s="314"/>
      <c r="R54" s="314"/>
      <c r="S54" s="314"/>
      <c r="T54" s="314"/>
      <c r="U54" s="314"/>
      <c r="V54" s="350"/>
      <c r="W54" s="350"/>
      <c r="X54" s="350"/>
      <c r="Y54" s="350"/>
      <c r="Z54" s="307"/>
      <c r="AA54" s="350">
        <f t="shared" si="2"/>
        <v>0</v>
      </c>
      <c r="AB54" s="307"/>
      <c r="AC54" s="307"/>
      <c r="AD54" s="303" t="s">
        <v>510</v>
      </c>
      <c r="AE54" s="303" t="s">
        <v>510</v>
      </c>
      <c r="AF54" s="303" t="s">
        <v>511</v>
      </c>
      <c r="AG54" s="303" t="s">
        <v>510</v>
      </c>
      <c r="AH54" s="314">
        <v>0</v>
      </c>
      <c r="AI54" s="297">
        <f t="shared" si="3"/>
        <v>0</v>
      </c>
      <c r="AJ54" s="303" t="s">
        <v>504</v>
      </c>
      <c r="AK54" s="301"/>
      <c r="AL54" s="303"/>
      <c r="AM54" s="303"/>
      <c r="AN54" s="303"/>
      <c r="AO54" s="303"/>
      <c r="AP54" s="303"/>
      <c r="AQ54" s="289">
        <f t="shared" si="4"/>
        <v>0</v>
      </c>
      <c r="AR54" s="303"/>
      <c r="AS54" s="301"/>
      <c r="AT54" s="329"/>
      <c r="AU54" s="329"/>
      <c r="AV54" s="329"/>
      <c r="AW54" s="329"/>
      <c r="AX54" s="329"/>
      <c r="AY54" s="139">
        <f t="shared" si="5"/>
        <v>0</v>
      </c>
      <c r="AZ54" s="303"/>
      <c r="BA54" s="301"/>
      <c r="BB54" s="356" t="s">
        <v>510</v>
      </c>
      <c r="BC54" s="356" t="s">
        <v>510</v>
      </c>
      <c r="BD54" s="356" t="s">
        <v>511</v>
      </c>
      <c r="BE54" s="303" t="s">
        <v>510</v>
      </c>
      <c r="BF54" s="352">
        <v>0</v>
      </c>
      <c r="BG54" s="353">
        <f t="shared" si="7"/>
        <v>0</v>
      </c>
      <c r="BH54" s="303" t="s">
        <v>504</v>
      </c>
      <c r="BI54" s="303"/>
      <c r="BJ54" s="354">
        <f t="shared" si="0"/>
        <v>3</v>
      </c>
      <c r="BK54" s="316" t="str">
        <f t="shared" si="8"/>
        <v>Habilitado</v>
      </c>
    </row>
    <row r="55" spans="1:63" ht="25.5" x14ac:dyDescent="0.25">
      <c r="A55" s="324">
        <v>53</v>
      </c>
      <c r="B55" s="345" t="s">
        <v>1926</v>
      </c>
      <c r="C55" s="335" t="s">
        <v>1927</v>
      </c>
      <c r="D55" s="360" t="s">
        <v>1928</v>
      </c>
      <c r="E55" s="347">
        <v>1</v>
      </c>
      <c r="F55" s="314" t="s">
        <v>510</v>
      </c>
      <c r="G55" s="314" t="s">
        <v>510</v>
      </c>
      <c r="H55" s="314" t="s">
        <v>510</v>
      </c>
      <c r="I55" s="314" t="s">
        <v>510</v>
      </c>
      <c r="J55" s="314">
        <v>40</v>
      </c>
      <c r="K55" s="29">
        <f t="shared" si="1"/>
        <v>40</v>
      </c>
      <c r="L55" s="314" t="s">
        <v>504</v>
      </c>
      <c r="M55" s="314"/>
      <c r="N55" s="314"/>
      <c r="O55" s="314"/>
      <c r="P55" s="314"/>
      <c r="Q55" s="314"/>
      <c r="R55" s="314"/>
      <c r="S55" s="314"/>
      <c r="T55" s="314"/>
      <c r="U55" s="314"/>
      <c r="V55" s="350"/>
      <c r="W55" s="350"/>
      <c r="X55" s="350"/>
      <c r="Y55" s="350"/>
      <c r="Z55" s="307"/>
      <c r="AA55" s="350">
        <f t="shared" si="2"/>
        <v>0</v>
      </c>
      <c r="AB55" s="307"/>
      <c r="AC55" s="307"/>
      <c r="AD55" s="303" t="s">
        <v>510</v>
      </c>
      <c r="AE55" s="303" t="s">
        <v>510</v>
      </c>
      <c r="AF55" s="303" t="s">
        <v>510</v>
      </c>
      <c r="AG55" s="303" t="s">
        <v>510</v>
      </c>
      <c r="AH55" s="314">
        <v>0</v>
      </c>
      <c r="AI55" s="297">
        <f t="shared" si="3"/>
        <v>0</v>
      </c>
      <c r="AJ55" s="303" t="s">
        <v>504</v>
      </c>
      <c r="AK55" s="303"/>
      <c r="AL55" s="303"/>
      <c r="AM55" s="303"/>
      <c r="AN55" s="303"/>
      <c r="AO55" s="303"/>
      <c r="AP55" s="303"/>
      <c r="AQ55" s="289">
        <f t="shared" si="4"/>
        <v>0</v>
      </c>
      <c r="AR55" s="303"/>
      <c r="AS55" s="303"/>
      <c r="AT55" s="329"/>
      <c r="AU55" s="329"/>
      <c r="AV55" s="329"/>
      <c r="AW55" s="329"/>
      <c r="AX55" s="329"/>
      <c r="AY55" s="139">
        <f t="shared" si="5"/>
        <v>0</v>
      </c>
      <c r="AZ55" s="303"/>
      <c r="BA55" s="303"/>
      <c r="BB55" s="356" t="s">
        <v>519</v>
      </c>
      <c r="BC55" s="356" t="s">
        <v>519</v>
      </c>
      <c r="BD55" s="356" t="s">
        <v>519</v>
      </c>
      <c r="BE55" s="303" t="s">
        <v>510</v>
      </c>
      <c r="BF55" s="352">
        <v>0</v>
      </c>
      <c r="BG55" s="353">
        <f t="shared" si="7"/>
        <v>0</v>
      </c>
      <c r="BH55" s="303" t="s">
        <v>520</v>
      </c>
      <c r="BI55" s="303" t="s">
        <v>1877</v>
      </c>
      <c r="BJ55" s="354">
        <f t="shared" si="0"/>
        <v>2</v>
      </c>
      <c r="BK55" s="316" t="str">
        <f t="shared" si="8"/>
        <v>Habilitado</v>
      </c>
    </row>
    <row r="56" spans="1:63" ht="36" customHeight="1" x14ac:dyDescent="0.25">
      <c r="A56" s="324">
        <v>54</v>
      </c>
      <c r="B56" s="325" t="s">
        <v>1929</v>
      </c>
      <c r="C56" s="325" t="s">
        <v>1930</v>
      </c>
      <c r="D56" s="325" t="s">
        <v>1928</v>
      </c>
      <c r="E56" s="362">
        <v>1</v>
      </c>
      <c r="F56" s="406" t="s">
        <v>510</v>
      </c>
      <c r="G56" s="406" t="s">
        <v>510</v>
      </c>
      <c r="H56" s="406" t="s">
        <v>510</v>
      </c>
      <c r="I56" s="406" t="s">
        <v>510</v>
      </c>
      <c r="J56" s="406">
        <v>40</v>
      </c>
      <c r="K56" s="29">
        <f t="shared" si="1"/>
        <v>40</v>
      </c>
      <c r="L56" s="406" t="s">
        <v>504</v>
      </c>
      <c r="M56" s="406" t="s">
        <v>1931</v>
      </c>
      <c r="N56" s="406"/>
      <c r="O56" s="406"/>
      <c r="P56" s="406"/>
      <c r="Q56" s="406"/>
      <c r="R56" s="406"/>
      <c r="S56" s="406"/>
      <c r="T56" s="406"/>
      <c r="U56" s="406"/>
      <c r="V56" s="350"/>
      <c r="W56" s="350"/>
      <c r="X56" s="350"/>
      <c r="Y56" s="350"/>
      <c r="Z56" s="307"/>
      <c r="AA56" s="350">
        <f t="shared" si="2"/>
        <v>0</v>
      </c>
      <c r="AB56" s="307"/>
      <c r="AC56" s="307"/>
      <c r="AD56" s="304" t="s">
        <v>510</v>
      </c>
      <c r="AE56" s="304" t="s">
        <v>510</v>
      </c>
      <c r="AF56" s="304" t="s">
        <v>510</v>
      </c>
      <c r="AG56" s="322" t="s">
        <v>510</v>
      </c>
      <c r="AH56" s="326">
        <v>0</v>
      </c>
      <c r="AI56" s="297">
        <f t="shared" si="3"/>
        <v>0</v>
      </c>
      <c r="AJ56" s="303" t="s">
        <v>504</v>
      </c>
      <c r="AK56" s="304"/>
      <c r="AL56" s="304"/>
      <c r="AM56" s="304"/>
      <c r="AN56" s="304"/>
      <c r="AO56" s="304"/>
      <c r="AP56" s="304"/>
      <c r="AQ56" s="289">
        <f t="shared" si="4"/>
        <v>0</v>
      </c>
      <c r="AR56" s="304"/>
      <c r="AS56" s="304"/>
      <c r="AT56" s="325"/>
      <c r="AU56" s="325"/>
      <c r="AV56" s="325"/>
      <c r="AW56" s="325"/>
      <c r="AX56" s="325"/>
      <c r="AY56" s="139">
        <f t="shared" si="5"/>
        <v>0</v>
      </c>
      <c r="AZ56" s="304"/>
      <c r="BA56" s="304"/>
      <c r="BB56" s="356" t="s">
        <v>519</v>
      </c>
      <c r="BC56" s="356" t="s">
        <v>519</v>
      </c>
      <c r="BD56" s="356" t="s">
        <v>519</v>
      </c>
      <c r="BE56" s="303" t="s">
        <v>510</v>
      </c>
      <c r="BF56" s="367">
        <v>0</v>
      </c>
      <c r="BG56" s="353">
        <f t="shared" si="7"/>
        <v>0</v>
      </c>
      <c r="BH56" s="303" t="s">
        <v>520</v>
      </c>
      <c r="BI56" s="303" t="s">
        <v>1877</v>
      </c>
      <c r="BJ56" s="354">
        <f t="shared" si="0"/>
        <v>2</v>
      </c>
      <c r="BK56" s="316" t="str">
        <f t="shared" si="8"/>
        <v>Habilitado</v>
      </c>
    </row>
    <row r="57" spans="1:63" ht="25.5" x14ac:dyDescent="0.25">
      <c r="A57" s="324">
        <v>55</v>
      </c>
      <c r="B57" s="345" t="s">
        <v>1932</v>
      </c>
      <c r="C57" s="335" t="s">
        <v>1933</v>
      </c>
      <c r="D57" s="360" t="s">
        <v>1848</v>
      </c>
      <c r="E57" s="347">
        <v>1</v>
      </c>
      <c r="F57" s="314" t="s">
        <v>510</v>
      </c>
      <c r="G57" s="314" t="s">
        <v>510</v>
      </c>
      <c r="H57" s="314" t="s">
        <v>510</v>
      </c>
      <c r="I57" s="314" t="s">
        <v>510</v>
      </c>
      <c r="J57" s="314">
        <v>40</v>
      </c>
      <c r="K57" s="29">
        <f t="shared" si="1"/>
        <v>40</v>
      </c>
      <c r="L57" s="314" t="s">
        <v>504</v>
      </c>
      <c r="M57" s="314"/>
      <c r="N57" s="314"/>
      <c r="O57" s="314"/>
      <c r="P57" s="314"/>
      <c r="Q57" s="314"/>
      <c r="R57" s="314"/>
      <c r="S57" s="314"/>
      <c r="T57" s="314"/>
      <c r="U57" s="314"/>
      <c r="V57" s="350"/>
      <c r="W57" s="350"/>
      <c r="X57" s="350"/>
      <c r="Y57" s="350"/>
      <c r="Z57" s="307"/>
      <c r="AA57" s="350">
        <f t="shared" si="2"/>
        <v>0</v>
      </c>
      <c r="AB57" s="307"/>
      <c r="AC57" s="307"/>
      <c r="AD57" s="303" t="s">
        <v>510</v>
      </c>
      <c r="AE57" s="303" t="s">
        <v>510</v>
      </c>
      <c r="AF57" s="304" t="s">
        <v>510</v>
      </c>
      <c r="AG57" s="303" t="s">
        <v>510</v>
      </c>
      <c r="AH57" s="314">
        <v>0</v>
      </c>
      <c r="AI57" s="297">
        <f t="shared" si="3"/>
        <v>0</v>
      </c>
      <c r="AJ57" s="303" t="s">
        <v>504</v>
      </c>
      <c r="AK57" s="303"/>
      <c r="AL57" s="303"/>
      <c r="AM57" s="303"/>
      <c r="AN57" s="303"/>
      <c r="AO57" s="303"/>
      <c r="AP57" s="303"/>
      <c r="AQ57" s="289">
        <f t="shared" si="4"/>
        <v>0</v>
      </c>
      <c r="AR57" s="303"/>
      <c r="AS57" s="303"/>
      <c r="AT57" s="329"/>
      <c r="AU57" s="329"/>
      <c r="AV57" s="329"/>
      <c r="AW57" s="329"/>
      <c r="AX57" s="329"/>
      <c r="AY57" s="139">
        <f t="shared" si="5"/>
        <v>0</v>
      </c>
      <c r="AZ57" s="303"/>
      <c r="BA57" s="303"/>
      <c r="BB57" s="356" t="s">
        <v>519</v>
      </c>
      <c r="BC57" s="356" t="s">
        <v>519</v>
      </c>
      <c r="BD57" s="356" t="s">
        <v>519</v>
      </c>
      <c r="BE57" s="303" t="s">
        <v>510</v>
      </c>
      <c r="BF57" s="352">
        <v>0</v>
      </c>
      <c r="BG57" s="353">
        <f t="shared" si="7"/>
        <v>0</v>
      </c>
      <c r="BH57" s="303" t="s">
        <v>520</v>
      </c>
      <c r="BI57" s="303" t="s">
        <v>1877</v>
      </c>
      <c r="BJ57" s="354">
        <f t="shared" si="0"/>
        <v>2</v>
      </c>
      <c r="BK57" s="316" t="str">
        <f t="shared" si="8"/>
        <v>Habilitado</v>
      </c>
    </row>
    <row r="58" spans="1:63" ht="25.5" x14ac:dyDescent="0.25">
      <c r="A58" s="324">
        <v>56</v>
      </c>
      <c r="B58" s="345" t="s">
        <v>1934</v>
      </c>
      <c r="C58" s="335" t="s">
        <v>1935</v>
      </c>
      <c r="D58" s="360" t="s">
        <v>1928</v>
      </c>
      <c r="E58" s="347">
        <v>1</v>
      </c>
      <c r="F58" s="314" t="s">
        <v>510</v>
      </c>
      <c r="G58" s="314" t="s">
        <v>510</v>
      </c>
      <c r="H58" s="314" t="s">
        <v>510</v>
      </c>
      <c r="I58" s="314" t="s">
        <v>510</v>
      </c>
      <c r="J58" s="314">
        <v>40</v>
      </c>
      <c r="K58" s="29">
        <f t="shared" si="1"/>
        <v>40</v>
      </c>
      <c r="L58" s="314" t="s">
        <v>504</v>
      </c>
      <c r="M58" s="314"/>
      <c r="N58" s="314"/>
      <c r="O58" s="314"/>
      <c r="P58" s="314"/>
      <c r="Q58" s="314"/>
      <c r="R58" s="314"/>
      <c r="S58" s="314"/>
      <c r="T58" s="314"/>
      <c r="U58" s="314"/>
      <c r="V58" s="350"/>
      <c r="W58" s="350"/>
      <c r="X58" s="350"/>
      <c r="Y58" s="350"/>
      <c r="Z58" s="307"/>
      <c r="AA58" s="350">
        <f t="shared" si="2"/>
        <v>0</v>
      </c>
      <c r="AB58" s="307"/>
      <c r="AC58" s="307"/>
      <c r="AD58" s="303" t="s">
        <v>510</v>
      </c>
      <c r="AE58" s="303" t="s">
        <v>510</v>
      </c>
      <c r="AF58" s="304" t="s">
        <v>510</v>
      </c>
      <c r="AG58" s="303" t="s">
        <v>510</v>
      </c>
      <c r="AH58" s="314">
        <v>0</v>
      </c>
      <c r="AI58" s="297">
        <f t="shared" si="3"/>
        <v>0</v>
      </c>
      <c r="AJ58" s="303" t="s">
        <v>504</v>
      </c>
      <c r="AK58" s="303"/>
      <c r="AL58" s="303"/>
      <c r="AM58" s="303"/>
      <c r="AN58" s="303"/>
      <c r="AO58" s="303"/>
      <c r="AP58" s="303"/>
      <c r="AQ58" s="289">
        <f t="shared" si="4"/>
        <v>0</v>
      </c>
      <c r="AR58" s="303"/>
      <c r="AS58" s="303"/>
      <c r="AT58" s="329"/>
      <c r="AU58" s="329"/>
      <c r="AV58" s="329"/>
      <c r="AW58" s="329"/>
      <c r="AX58" s="329"/>
      <c r="AY58" s="139">
        <f t="shared" si="5"/>
        <v>0</v>
      </c>
      <c r="AZ58" s="303"/>
      <c r="BA58" s="303"/>
      <c r="BB58" s="356" t="s">
        <v>519</v>
      </c>
      <c r="BC58" s="356" t="s">
        <v>519</v>
      </c>
      <c r="BD58" s="356" t="s">
        <v>519</v>
      </c>
      <c r="BE58" s="303" t="s">
        <v>510</v>
      </c>
      <c r="BF58" s="352">
        <v>0</v>
      </c>
      <c r="BG58" s="353">
        <f t="shared" si="7"/>
        <v>0</v>
      </c>
      <c r="BH58" s="303" t="s">
        <v>520</v>
      </c>
      <c r="BI58" s="303" t="s">
        <v>1877</v>
      </c>
      <c r="BJ58" s="354">
        <f t="shared" si="0"/>
        <v>2</v>
      </c>
      <c r="BK58" s="316" t="str">
        <f t="shared" si="8"/>
        <v>Habilitado</v>
      </c>
    </row>
    <row r="59" spans="1:63" x14ac:dyDescent="0.25">
      <c r="A59" s="324">
        <v>57</v>
      </c>
      <c r="B59" s="321" t="s">
        <v>1936</v>
      </c>
      <c r="C59" s="357" t="s">
        <v>518</v>
      </c>
      <c r="D59" s="360" t="s">
        <v>1529</v>
      </c>
      <c r="E59" s="347">
        <v>1</v>
      </c>
      <c r="F59" s="314" t="s">
        <v>510</v>
      </c>
      <c r="G59" s="314" t="s">
        <v>510</v>
      </c>
      <c r="H59" s="314" t="s">
        <v>511</v>
      </c>
      <c r="I59" s="314" t="s">
        <v>510</v>
      </c>
      <c r="J59" s="314">
        <v>40</v>
      </c>
      <c r="K59" s="29">
        <f t="shared" si="1"/>
        <v>40</v>
      </c>
      <c r="L59" s="314" t="s">
        <v>504</v>
      </c>
      <c r="M59" s="314"/>
      <c r="N59" s="314"/>
      <c r="O59" s="314"/>
      <c r="P59" s="314"/>
      <c r="Q59" s="314"/>
      <c r="R59" s="314"/>
      <c r="S59" s="314"/>
      <c r="T59" s="314"/>
      <c r="U59" s="314"/>
      <c r="V59" s="350"/>
      <c r="W59" s="350"/>
      <c r="X59" s="350"/>
      <c r="Y59" s="350"/>
      <c r="Z59" s="307"/>
      <c r="AA59" s="350">
        <f t="shared" si="2"/>
        <v>0</v>
      </c>
      <c r="AB59" s="307"/>
      <c r="AC59" s="307"/>
      <c r="AD59" s="303" t="s">
        <v>510</v>
      </c>
      <c r="AE59" s="303" t="s">
        <v>510</v>
      </c>
      <c r="AF59" s="303" t="s">
        <v>511</v>
      </c>
      <c r="AG59" s="303" t="s">
        <v>510</v>
      </c>
      <c r="AH59" s="314">
        <v>0</v>
      </c>
      <c r="AI59" s="297">
        <f t="shared" si="3"/>
        <v>0</v>
      </c>
      <c r="AJ59" s="303" t="s">
        <v>504</v>
      </c>
      <c r="AK59" s="303"/>
      <c r="AL59" s="303"/>
      <c r="AM59" s="303"/>
      <c r="AN59" s="303"/>
      <c r="AO59" s="303"/>
      <c r="AP59" s="303"/>
      <c r="AQ59" s="289">
        <f t="shared" si="4"/>
        <v>0</v>
      </c>
      <c r="AR59" s="303"/>
      <c r="AS59" s="303"/>
      <c r="AT59" s="329"/>
      <c r="AU59" s="329"/>
      <c r="AV59" s="329"/>
      <c r="AW59" s="329"/>
      <c r="AX59" s="329"/>
      <c r="AY59" s="139">
        <f t="shared" si="5"/>
        <v>0</v>
      </c>
      <c r="AZ59" s="303"/>
      <c r="BA59" s="303"/>
      <c r="BB59" s="356" t="s">
        <v>510</v>
      </c>
      <c r="BC59" s="356" t="s">
        <v>510</v>
      </c>
      <c r="BD59" s="356" t="s">
        <v>511</v>
      </c>
      <c r="BE59" s="303" t="s">
        <v>510</v>
      </c>
      <c r="BF59" s="352">
        <v>0</v>
      </c>
      <c r="BG59" s="353">
        <f t="shared" si="7"/>
        <v>0</v>
      </c>
      <c r="BH59" s="303" t="s">
        <v>504</v>
      </c>
      <c r="BI59" s="301"/>
      <c r="BJ59" s="354">
        <f t="shared" si="0"/>
        <v>3</v>
      </c>
      <c r="BK59" s="316" t="str">
        <f t="shared" si="8"/>
        <v>Habilitado</v>
      </c>
    </row>
    <row r="60" spans="1:63" ht="25.5" x14ac:dyDescent="0.25">
      <c r="A60" s="324">
        <v>58</v>
      </c>
      <c r="B60" s="345" t="s">
        <v>1937</v>
      </c>
      <c r="C60" s="357" t="s">
        <v>518</v>
      </c>
      <c r="D60" s="360" t="s">
        <v>1529</v>
      </c>
      <c r="E60" s="347">
        <v>1</v>
      </c>
      <c r="F60" s="314" t="s">
        <v>510</v>
      </c>
      <c r="G60" s="314" t="s">
        <v>510</v>
      </c>
      <c r="H60" s="314" t="s">
        <v>511</v>
      </c>
      <c r="I60" s="314" t="s">
        <v>510</v>
      </c>
      <c r="J60" s="314">
        <v>40</v>
      </c>
      <c r="K60" s="29">
        <f t="shared" si="1"/>
        <v>40</v>
      </c>
      <c r="L60" s="314" t="s">
        <v>504</v>
      </c>
      <c r="M60" s="314"/>
      <c r="N60" s="314"/>
      <c r="O60" s="314"/>
      <c r="P60" s="314"/>
      <c r="Q60" s="314"/>
      <c r="R60" s="314"/>
      <c r="S60" s="314"/>
      <c r="T60" s="314"/>
      <c r="U60" s="314"/>
      <c r="V60" s="350"/>
      <c r="W60" s="350"/>
      <c r="X60" s="350"/>
      <c r="Y60" s="350"/>
      <c r="Z60" s="307"/>
      <c r="AA60" s="350">
        <f t="shared" si="2"/>
        <v>0</v>
      </c>
      <c r="AB60" s="307"/>
      <c r="AC60" s="307"/>
      <c r="AD60" s="303" t="s">
        <v>510</v>
      </c>
      <c r="AE60" s="303" t="s">
        <v>510</v>
      </c>
      <c r="AF60" s="303" t="s">
        <v>511</v>
      </c>
      <c r="AG60" s="303" t="s">
        <v>510</v>
      </c>
      <c r="AH60" s="314">
        <v>0</v>
      </c>
      <c r="AI60" s="297">
        <f t="shared" si="3"/>
        <v>0</v>
      </c>
      <c r="AJ60" s="303" t="s">
        <v>504</v>
      </c>
      <c r="AK60" s="303"/>
      <c r="AL60" s="303"/>
      <c r="AM60" s="303"/>
      <c r="AN60" s="303"/>
      <c r="AO60" s="303"/>
      <c r="AP60" s="303"/>
      <c r="AQ60" s="289">
        <f t="shared" si="4"/>
        <v>0</v>
      </c>
      <c r="AR60" s="303"/>
      <c r="AS60" s="303"/>
      <c r="AT60" s="329"/>
      <c r="AU60" s="329"/>
      <c r="AV60" s="329"/>
      <c r="AW60" s="329"/>
      <c r="AX60" s="329"/>
      <c r="AY60" s="139">
        <f t="shared" si="5"/>
        <v>0</v>
      </c>
      <c r="AZ60" s="303"/>
      <c r="BA60" s="303"/>
      <c r="BB60" s="356" t="s">
        <v>510</v>
      </c>
      <c r="BC60" s="356" t="s">
        <v>510</v>
      </c>
      <c r="BD60" s="356" t="s">
        <v>511</v>
      </c>
      <c r="BE60" s="303" t="s">
        <v>510</v>
      </c>
      <c r="BF60" s="352">
        <v>0</v>
      </c>
      <c r="BG60" s="353">
        <f t="shared" si="7"/>
        <v>0</v>
      </c>
      <c r="BH60" s="303" t="s">
        <v>504</v>
      </c>
      <c r="BI60" s="301"/>
      <c r="BJ60" s="354">
        <f t="shared" si="0"/>
        <v>3</v>
      </c>
      <c r="BK60" s="316" t="str">
        <f t="shared" si="8"/>
        <v>Habilitado</v>
      </c>
    </row>
    <row r="61" spans="1:63" ht="25.5" x14ac:dyDescent="0.25">
      <c r="A61" s="324">
        <v>59</v>
      </c>
      <c r="B61" s="345" t="s">
        <v>1938</v>
      </c>
      <c r="C61" s="357" t="s">
        <v>518</v>
      </c>
      <c r="D61" s="360" t="s">
        <v>1939</v>
      </c>
      <c r="E61" s="347">
        <v>1</v>
      </c>
      <c r="F61" s="314" t="s">
        <v>510</v>
      </c>
      <c r="G61" s="314" t="s">
        <v>510</v>
      </c>
      <c r="H61" s="314" t="s">
        <v>511</v>
      </c>
      <c r="I61" s="314" t="s">
        <v>510</v>
      </c>
      <c r="J61" s="314">
        <v>40</v>
      </c>
      <c r="K61" s="29">
        <f t="shared" si="1"/>
        <v>40</v>
      </c>
      <c r="L61" s="314" t="s">
        <v>504</v>
      </c>
      <c r="M61" s="314"/>
      <c r="N61" s="314"/>
      <c r="O61" s="314"/>
      <c r="P61" s="314"/>
      <c r="Q61" s="314"/>
      <c r="R61" s="314"/>
      <c r="S61" s="314"/>
      <c r="T61" s="314"/>
      <c r="U61" s="314"/>
      <c r="V61" s="350"/>
      <c r="W61" s="350"/>
      <c r="X61" s="350"/>
      <c r="Y61" s="350"/>
      <c r="Z61" s="307"/>
      <c r="AA61" s="350">
        <f t="shared" si="2"/>
        <v>0</v>
      </c>
      <c r="AB61" s="307"/>
      <c r="AC61" s="307"/>
      <c r="AD61" s="303" t="s">
        <v>510</v>
      </c>
      <c r="AE61" s="303" t="s">
        <v>510</v>
      </c>
      <c r="AF61" s="303" t="s">
        <v>511</v>
      </c>
      <c r="AG61" s="303" t="s">
        <v>510</v>
      </c>
      <c r="AH61" s="314">
        <v>0</v>
      </c>
      <c r="AI61" s="297">
        <f t="shared" si="3"/>
        <v>0</v>
      </c>
      <c r="AJ61" s="303" t="s">
        <v>504</v>
      </c>
      <c r="AK61" s="374"/>
      <c r="AL61" s="303"/>
      <c r="AM61" s="303"/>
      <c r="AN61" s="303"/>
      <c r="AO61" s="303"/>
      <c r="AP61" s="303"/>
      <c r="AQ61" s="289">
        <f t="shared" si="4"/>
        <v>0</v>
      </c>
      <c r="AR61" s="314"/>
      <c r="AS61" s="314"/>
      <c r="AT61" s="329"/>
      <c r="AU61" s="329"/>
      <c r="AV61" s="329"/>
      <c r="AW61" s="329"/>
      <c r="AX61" s="329"/>
      <c r="AY61" s="139">
        <f t="shared" si="5"/>
        <v>0</v>
      </c>
      <c r="AZ61" s="303"/>
      <c r="BA61" s="303"/>
      <c r="BB61" s="356" t="s">
        <v>510</v>
      </c>
      <c r="BC61" s="356" t="s">
        <v>510</v>
      </c>
      <c r="BD61" s="356" t="s">
        <v>511</v>
      </c>
      <c r="BE61" s="303" t="s">
        <v>510</v>
      </c>
      <c r="BF61" s="352">
        <v>0</v>
      </c>
      <c r="BG61" s="353">
        <f t="shared" si="7"/>
        <v>0</v>
      </c>
      <c r="BH61" s="303" t="s">
        <v>504</v>
      </c>
      <c r="BI61" s="301"/>
      <c r="BJ61" s="354">
        <f t="shared" si="0"/>
        <v>3</v>
      </c>
      <c r="BK61" s="316" t="str">
        <f t="shared" si="8"/>
        <v>Habilitado</v>
      </c>
    </row>
    <row r="62" spans="1:63" ht="25.5" x14ac:dyDescent="0.25">
      <c r="A62" s="324">
        <v>60</v>
      </c>
      <c r="B62" s="345" t="s">
        <v>1940</v>
      </c>
      <c r="C62" s="335" t="s">
        <v>518</v>
      </c>
      <c r="D62" s="360" t="s">
        <v>140</v>
      </c>
      <c r="E62" s="347">
        <v>1</v>
      </c>
      <c r="F62" s="314"/>
      <c r="G62" s="314"/>
      <c r="H62" s="314"/>
      <c r="I62" s="314"/>
      <c r="J62" s="314"/>
      <c r="K62" s="29">
        <f t="shared" si="1"/>
        <v>0</v>
      </c>
      <c r="L62" s="314"/>
      <c r="M62" s="314"/>
      <c r="N62" s="314"/>
      <c r="O62" s="314"/>
      <c r="P62" s="314"/>
      <c r="Q62" s="314"/>
      <c r="R62" s="314"/>
      <c r="S62" s="314"/>
      <c r="T62" s="314"/>
      <c r="U62" s="314"/>
      <c r="V62" s="350"/>
      <c r="W62" s="350"/>
      <c r="X62" s="350"/>
      <c r="Y62" s="350"/>
      <c r="Z62" s="307"/>
      <c r="AA62" s="350">
        <f t="shared" si="2"/>
        <v>0</v>
      </c>
      <c r="AB62" s="307"/>
      <c r="AC62" s="307"/>
      <c r="AD62" s="303" t="s">
        <v>510</v>
      </c>
      <c r="AE62" s="303" t="s">
        <v>510</v>
      </c>
      <c r="AF62" s="303" t="s">
        <v>511</v>
      </c>
      <c r="AG62" s="303" t="s">
        <v>510</v>
      </c>
      <c r="AH62" s="314">
        <v>0</v>
      </c>
      <c r="AI62" s="297">
        <f t="shared" si="3"/>
        <v>0</v>
      </c>
      <c r="AJ62" s="303" t="s">
        <v>504</v>
      </c>
      <c r="AK62" s="303"/>
      <c r="AL62" s="303"/>
      <c r="AM62" s="303"/>
      <c r="AN62" s="303"/>
      <c r="AO62" s="303"/>
      <c r="AP62" s="303"/>
      <c r="AQ62" s="289">
        <f t="shared" si="4"/>
        <v>0</v>
      </c>
      <c r="AR62" s="303"/>
      <c r="AS62" s="303"/>
      <c r="AT62" s="329"/>
      <c r="AU62" s="329"/>
      <c r="AV62" s="329"/>
      <c r="AW62" s="329"/>
      <c r="AX62" s="329"/>
      <c r="AY62" s="139">
        <f t="shared" si="5"/>
        <v>0</v>
      </c>
      <c r="AZ62" s="303"/>
      <c r="BA62" s="303"/>
      <c r="BB62" s="356" t="s">
        <v>510</v>
      </c>
      <c r="BC62" s="356" t="s">
        <v>510</v>
      </c>
      <c r="BD62" s="356" t="s">
        <v>511</v>
      </c>
      <c r="BE62" s="303" t="s">
        <v>510</v>
      </c>
      <c r="BF62" s="352">
        <v>0</v>
      </c>
      <c r="BG62" s="353">
        <f t="shared" si="7"/>
        <v>0</v>
      </c>
      <c r="BH62" s="303" t="s">
        <v>504</v>
      </c>
      <c r="BI62" s="301"/>
      <c r="BJ62" s="354">
        <f t="shared" si="0"/>
        <v>2</v>
      </c>
      <c r="BK62" s="316" t="str">
        <f t="shared" si="8"/>
        <v>Habilitado</v>
      </c>
    </row>
    <row r="63" spans="1:63" ht="25.5" x14ac:dyDescent="0.25">
      <c r="A63" s="324">
        <v>61</v>
      </c>
      <c r="B63" s="345" t="s">
        <v>1941</v>
      </c>
      <c r="C63" s="335" t="s">
        <v>518</v>
      </c>
      <c r="D63" s="360" t="s">
        <v>1942</v>
      </c>
      <c r="E63" s="347">
        <v>1</v>
      </c>
      <c r="F63" s="314" t="s">
        <v>510</v>
      </c>
      <c r="G63" s="314" t="s">
        <v>510</v>
      </c>
      <c r="H63" s="314" t="s">
        <v>511</v>
      </c>
      <c r="I63" s="314" t="s">
        <v>510</v>
      </c>
      <c r="J63" s="314">
        <v>40</v>
      </c>
      <c r="K63" s="29">
        <f t="shared" si="1"/>
        <v>40</v>
      </c>
      <c r="L63" s="314" t="s">
        <v>504</v>
      </c>
      <c r="M63" s="314"/>
      <c r="N63" s="314"/>
      <c r="O63" s="314"/>
      <c r="P63" s="314"/>
      <c r="Q63" s="314"/>
      <c r="R63" s="314"/>
      <c r="S63" s="314"/>
      <c r="T63" s="314"/>
      <c r="U63" s="314"/>
      <c r="V63" s="350"/>
      <c r="W63" s="350"/>
      <c r="X63" s="350"/>
      <c r="Y63" s="350"/>
      <c r="Z63" s="307"/>
      <c r="AA63" s="350">
        <f t="shared" si="2"/>
        <v>0</v>
      </c>
      <c r="AB63" s="307"/>
      <c r="AC63" s="307"/>
      <c r="AD63" s="303" t="s">
        <v>510</v>
      </c>
      <c r="AE63" s="303" t="s">
        <v>510</v>
      </c>
      <c r="AF63" s="303" t="s">
        <v>511</v>
      </c>
      <c r="AG63" s="303" t="s">
        <v>510</v>
      </c>
      <c r="AH63" s="314">
        <v>0</v>
      </c>
      <c r="AI63" s="297">
        <f t="shared" si="3"/>
        <v>0</v>
      </c>
      <c r="AJ63" s="303" t="s">
        <v>504</v>
      </c>
      <c r="AK63" s="301"/>
      <c r="AL63" s="303"/>
      <c r="AM63" s="303"/>
      <c r="AN63" s="303"/>
      <c r="AO63" s="303"/>
      <c r="AP63" s="303"/>
      <c r="AQ63" s="289">
        <f t="shared" si="4"/>
        <v>0</v>
      </c>
      <c r="AR63" s="303"/>
      <c r="AS63" s="301"/>
      <c r="AT63" s="329"/>
      <c r="AU63" s="329"/>
      <c r="AV63" s="329"/>
      <c r="AW63" s="329"/>
      <c r="AX63" s="329"/>
      <c r="AY63" s="139">
        <f t="shared" si="5"/>
        <v>0</v>
      </c>
      <c r="AZ63" s="303"/>
      <c r="BA63" s="301"/>
      <c r="BB63" s="356" t="s">
        <v>510</v>
      </c>
      <c r="BC63" s="356" t="s">
        <v>510</v>
      </c>
      <c r="BD63" s="356" t="s">
        <v>511</v>
      </c>
      <c r="BE63" s="303" t="s">
        <v>510</v>
      </c>
      <c r="BF63" s="352">
        <v>0</v>
      </c>
      <c r="BG63" s="353">
        <f t="shared" si="7"/>
        <v>0</v>
      </c>
      <c r="BH63" s="303" t="s">
        <v>504</v>
      </c>
      <c r="BI63" s="303"/>
      <c r="BJ63" s="354">
        <f t="shared" si="0"/>
        <v>3</v>
      </c>
      <c r="BK63" s="316" t="str">
        <f t="shared" si="8"/>
        <v>Habilitado</v>
      </c>
    </row>
    <row r="64" spans="1:63" ht="25.5" x14ac:dyDescent="0.25">
      <c r="A64" s="324">
        <v>62</v>
      </c>
      <c r="B64" s="345" t="s">
        <v>1943</v>
      </c>
      <c r="C64" s="357" t="s">
        <v>518</v>
      </c>
      <c r="D64" s="360" t="s">
        <v>1572</v>
      </c>
      <c r="E64" s="347">
        <v>1</v>
      </c>
      <c r="F64" s="314"/>
      <c r="G64" s="314"/>
      <c r="H64" s="314"/>
      <c r="I64" s="314"/>
      <c r="J64" s="314"/>
      <c r="K64" s="29">
        <f t="shared" si="1"/>
        <v>0</v>
      </c>
      <c r="L64" s="314"/>
      <c r="M64" s="314"/>
      <c r="N64" s="314"/>
      <c r="O64" s="314"/>
      <c r="P64" s="314"/>
      <c r="Q64" s="314"/>
      <c r="R64" s="314"/>
      <c r="S64" s="314"/>
      <c r="T64" s="314"/>
      <c r="U64" s="314"/>
      <c r="V64" s="350"/>
      <c r="W64" s="350"/>
      <c r="X64" s="350"/>
      <c r="Y64" s="350"/>
      <c r="Z64" s="307"/>
      <c r="AA64" s="350">
        <f t="shared" si="2"/>
        <v>0</v>
      </c>
      <c r="AB64" s="307"/>
      <c r="AC64" s="307"/>
      <c r="AD64" s="303" t="s">
        <v>510</v>
      </c>
      <c r="AE64" s="303" t="s">
        <v>510</v>
      </c>
      <c r="AF64" s="303" t="s">
        <v>511</v>
      </c>
      <c r="AG64" s="303" t="s">
        <v>510</v>
      </c>
      <c r="AH64" s="314">
        <v>0</v>
      </c>
      <c r="AI64" s="297">
        <f t="shared" si="3"/>
        <v>0</v>
      </c>
      <c r="AJ64" s="303" t="s">
        <v>504</v>
      </c>
      <c r="AK64" s="303"/>
      <c r="AL64" s="303"/>
      <c r="AM64" s="303"/>
      <c r="AN64" s="303"/>
      <c r="AO64" s="303"/>
      <c r="AP64" s="303"/>
      <c r="AQ64" s="289">
        <f t="shared" si="4"/>
        <v>0</v>
      </c>
      <c r="AR64" s="303"/>
      <c r="AS64" s="303"/>
      <c r="AT64" s="329"/>
      <c r="AU64" s="329"/>
      <c r="AV64" s="329"/>
      <c r="AW64" s="329"/>
      <c r="AX64" s="329"/>
      <c r="AY64" s="139">
        <f t="shared" si="5"/>
        <v>0</v>
      </c>
      <c r="AZ64" s="303"/>
      <c r="BA64" s="303"/>
      <c r="BB64" s="369" t="s">
        <v>510</v>
      </c>
      <c r="BC64" s="369" t="s">
        <v>510</v>
      </c>
      <c r="BD64" s="356" t="s">
        <v>511</v>
      </c>
      <c r="BE64" s="303" t="s">
        <v>510</v>
      </c>
      <c r="BF64" s="366">
        <v>0</v>
      </c>
      <c r="BG64" s="353">
        <f t="shared" si="7"/>
        <v>0</v>
      </c>
      <c r="BH64" s="303" t="s">
        <v>504</v>
      </c>
      <c r="BI64" s="301"/>
      <c r="BJ64" s="354">
        <f t="shared" si="0"/>
        <v>2</v>
      </c>
      <c r="BK64" s="316" t="str">
        <f t="shared" si="8"/>
        <v>Habilitado</v>
      </c>
    </row>
    <row r="65" spans="1:63" ht="25.5" x14ac:dyDescent="0.25">
      <c r="A65" s="324">
        <v>63</v>
      </c>
      <c r="B65" s="345" t="s">
        <v>1944</v>
      </c>
      <c r="C65" s="335" t="s">
        <v>518</v>
      </c>
      <c r="D65" s="360" t="s">
        <v>1942</v>
      </c>
      <c r="E65" s="347">
        <v>1</v>
      </c>
      <c r="F65" s="314" t="s">
        <v>510</v>
      </c>
      <c r="G65" s="314" t="s">
        <v>510</v>
      </c>
      <c r="H65" s="314" t="s">
        <v>511</v>
      </c>
      <c r="I65" s="314" t="s">
        <v>510</v>
      </c>
      <c r="J65" s="314">
        <v>40</v>
      </c>
      <c r="K65" s="29">
        <f t="shared" si="1"/>
        <v>40</v>
      </c>
      <c r="L65" s="314" t="s">
        <v>504</v>
      </c>
      <c r="M65" s="314"/>
      <c r="N65" s="314"/>
      <c r="O65" s="314"/>
      <c r="P65" s="314"/>
      <c r="Q65" s="314"/>
      <c r="R65" s="314"/>
      <c r="S65" s="314"/>
      <c r="T65" s="314"/>
      <c r="U65" s="314"/>
      <c r="V65" s="350"/>
      <c r="W65" s="350"/>
      <c r="X65" s="350"/>
      <c r="Y65" s="350"/>
      <c r="Z65" s="307"/>
      <c r="AA65" s="350">
        <f t="shared" si="2"/>
        <v>0</v>
      </c>
      <c r="AB65" s="307"/>
      <c r="AC65" s="307"/>
      <c r="AD65" s="303" t="s">
        <v>510</v>
      </c>
      <c r="AE65" s="303" t="s">
        <v>510</v>
      </c>
      <c r="AF65" s="303" t="s">
        <v>511</v>
      </c>
      <c r="AG65" s="303" t="s">
        <v>510</v>
      </c>
      <c r="AH65" s="314">
        <v>0</v>
      </c>
      <c r="AI65" s="297">
        <f t="shared" si="3"/>
        <v>0</v>
      </c>
      <c r="AJ65" s="303" t="s">
        <v>504</v>
      </c>
      <c r="AK65" s="374"/>
      <c r="AL65" s="303"/>
      <c r="AM65" s="303"/>
      <c r="AN65" s="303"/>
      <c r="AO65" s="303"/>
      <c r="AP65" s="303"/>
      <c r="AQ65" s="289">
        <f t="shared" si="4"/>
        <v>0</v>
      </c>
      <c r="AR65" s="314"/>
      <c r="AS65" s="314"/>
      <c r="AT65" s="329"/>
      <c r="AU65" s="329"/>
      <c r="AV65" s="329"/>
      <c r="AW65" s="329"/>
      <c r="AX65" s="329"/>
      <c r="AY65" s="139">
        <f t="shared" si="5"/>
        <v>0</v>
      </c>
      <c r="AZ65" s="375"/>
      <c r="BA65" s="375"/>
      <c r="BB65" s="356" t="s">
        <v>510</v>
      </c>
      <c r="BC65" s="356" t="s">
        <v>510</v>
      </c>
      <c r="BD65" s="356" t="s">
        <v>511</v>
      </c>
      <c r="BE65" s="303" t="s">
        <v>510</v>
      </c>
      <c r="BF65" s="352">
        <v>0</v>
      </c>
      <c r="BG65" s="353">
        <f t="shared" si="7"/>
        <v>0</v>
      </c>
      <c r="BH65" s="303" t="s">
        <v>504</v>
      </c>
      <c r="BI65" s="301"/>
      <c r="BJ65" s="354">
        <f t="shared" si="0"/>
        <v>3</v>
      </c>
      <c r="BK65" s="316" t="str">
        <f t="shared" si="8"/>
        <v>Habilitado</v>
      </c>
    </row>
    <row r="66" spans="1:63" ht="25.5" x14ac:dyDescent="0.25">
      <c r="A66" s="324">
        <v>64</v>
      </c>
      <c r="B66" s="345" t="s">
        <v>1945</v>
      </c>
      <c r="C66" s="335" t="s">
        <v>518</v>
      </c>
      <c r="D66" s="360" t="s">
        <v>1572</v>
      </c>
      <c r="E66" s="347">
        <v>1</v>
      </c>
      <c r="F66" s="314" t="s">
        <v>510</v>
      </c>
      <c r="G66" s="314" t="s">
        <v>510</v>
      </c>
      <c r="H66" s="314" t="s">
        <v>511</v>
      </c>
      <c r="I66" s="314" t="s">
        <v>510</v>
      </c>
      <c r="J66" s="314">
        <v>40</v>
      </c>
      <c r="K66" s="29">
        <f t="shared" si="1"/>
        <v>40</v>
      </c>
      <c r="L66" s="314" t="s">
        <v>504</v>
      </c>
      <c r="M66" s="314"/>
      <c r="N66" s="314"/>
      <c r="O66" s="314"/>
      <c r="P66" s="314"/>
      <c r="Q66" s="314"/>
      <c r="R66" s="314"/>
      <c r="S66" s="314"/>
      <c r="T66" s="314"/>
      <c r="U66" s="314"/>
      <c r="V66" s="350"/>
      <c r="W66" s="350"/>
      <c r="X66" s="350"/>
      <c r="Y66" s="350"/>
      <c r="Z66" s="307"/>
      <c r="AA66" s="350">
        <f t="shared" si="2"/>
        <v>0</v>
      </c>
      <c r="AB66" s="307"/>
      <c r="AC66" s="307"/>
      <c r="AD66" s="303" t="s">
        <v>510</v>
      </c>
      <c r="AE66" s="303" t="s">
        <v>510</v>
      </c>
      <c r="AF66" s="303" t="s">
        <v>511</v>
      </c>
      <c r="AG66" s="303" t="s">
        <v>510</v>
      </c>
      <c r="AH66" s="314">
        <v>0</v>
      </c>
      <c r="AI66" s="297">
        <f t="shared" si="3"/>
        <v>0</v>
      </c>
      <c r="AJ66" s="303" t="s">
        <v>504</v>
      </c>
      <c r="AK66" s="301"/>
      <c r="AL66" s="303"/>
      <c r="AM66" s="303"/>
      <c r="AN66" s="303"/>
      <c r="AO66" s="303"/>
      <c r="AP66" s="303"/>
      <c r="AQ66" s="289">
        <f t="shared" si="4"/>
        <v>0</v>
      </c>
      <c r="AR66" s="314"/>
      <c r="AS66" s="314"/>
      <c r="AT66" s="329"/>
      <c r="AU66" s="329"/>
      <c r="AV66" s="329"/>
      <c r="AW66" s="329"/>
      <c r="AX66" s="329"/>
      <c r="AY66" s="139">
        <f t="shared" si="5"/>
        <v>0</v>
      </c>
      <c r="AZ66" s="375"/>
      <c r="BA66" s="375"/>
      <c r="BB66" s="356" t="s">
        <v>510</v>
      </c>
      <c r="BC66" s="356" t="s">
        <v>510</v>
      </c>
      <c r="BD66" s="356" t="s">
        <v>511</v>
      </c>
      <c r="BE66" s="303" t="s">
        <v>510</v>
      </c>
      <c r="BF66" s="367">
        <v>0</v>
      </c>
      <c r="BG66" s="353">
        <f t="shared" si="7"/>
        <v>0</v>
      </c>
      <c r="BH66" s="303" t="s">
        <v>504</v>
      </c>
      <c r="BI66" s="301"/>
      <c r="BJ66" s="354">
        <f t="shared" si="0"/>
        <v>3</v>
      </c>
      <c r="BK66" s="316" t="str">
        <f t="shared" si="8"/>
        <v>Habilitado</v>
      </c>
    </row>
    <row r="67" spans="1:63" ht="53.25" customHeight="1" x14ac:dyDescent="0.25">
      <c r="A67" s="324">
        <v>65</v>
      </c>
      <c r="B67" s="345" t="s">
        <v>1946</v>
      </c>
      <c r="C67" s="335" t="s">
        <v>518</v>
      </c>
      <c r="D67" s="360" t="s">
        <v>1947</v>
      </c>
      <c r="E67" s="347">
        <v>1</v>
      </c>
      <c r="F67" s="314" t="s">
        <v>510</v>
      </c>
      <c r="G67" s="314" t="s">
        <v>510</v>
      </c>
      <c r="H67" s="314" t="s">
        <v>510</v>
      </c>
      <c r="I67" s="314" t="s">
        <v>510</v>
      </c>
      <c r="J67" s="314">
        <v>40</v>
      </c>
      <c r="K67" s="29">
        <f t="shared" si="1"/>
        <v>40</v>
      </c>
      <c r="L67" s="314" t="s">
        <v>504</v>
      </c>
      <c r="M67" s="407"/>
      <c r="N67" s="314"/>
      <c r="O67" s="314"/>
      <c r="P67" s="314"/>
      <c r="Q67" s="314"/>
      <c r="R67" s="314"/>
      <c r="S67" s="314"/>
      <c r="T67" s="314"/>
      <c r="U67" s="314"/>
      <c r="V67" s="350"/>
      <c r="W67" s="350"/>
      <c r="X67" s="350"/>
      <c r="Y67" s="350"/>
      <c r="Z67" s="307"/>
      <c r="AA67" s="350">
        <f t="shared" si="2"/>
        <v>0</v>
      </c>
      <c r="AB67" s="307"/>
      <c r="AC67" s="307"/>
      <c r="AD67" s="303" t="s">
        <v>510</v>
      </c>
      <c r="AE67" s="303" t="s">
        <v>519</v>
      </c>
      <c r="AF67" s="303" t="s">
        <v>511</v>
      </c>
      <c r="AG67" s="303" t="s">
        <v>510</v>
      </c>
      <c r="AH67" s="314">
        <v>0</v>
      </c>
      <c r="AI67" s="297">
        <f t="shared" si="3"/>
        <v>0</v>
      </c>
      <c r="AJ67" s="303" t="s">
        <v>520</v>
      </c>
      <c r="AK67" s="301" t="s">
        <v>1948</v>
      </c>
      <c r="AL67" s="303"/>
      <c r="AM67" s="303"/>
      <c r="AN67" s="303"/>
      <c r="AO67" s="303"/>
      <c r="AP67" s="303"/>
      <c r="AQ67" s="289">
        <f t="shared" si="4"/>
        <v>0</v>
      </c>
      <c r="AR67" s="303"/>
      <c r="AS67" s="301"/>
      <c r="AT67" s="329"/>
      <c r="AU67" s="329"/>
      <c r="AV67" s="329"/>
      <c r="AW67" s="329"/>
      <c r="AX67" s="329"/>
      <c r="AY67" s="139">
        <f t="shared" si="5"/>
        <v>0</v>
      </c>
      <c r="AZ67" s="303"/>
      <c r="BA67" s="301"/>
      <c r="BB67" s="356" t="s">
        <v>519</v>
      </c>
      <c r="BC67" s="356" t="s">
        <v>519</v>
      </c>
      <c r="BD67" s="356" t="s">
        <v>511</v>
      </c>
      <c r="BE67" s="303" t="s">
        <v>510</v>
      </c>
      <c r="BF67" s="352">
        <v>0</v>
      </c>
      <c r="BG67" s="353">
        <f t="shared" si="7"/>
        <v>0</v>
      </c>
      <c r="BH67" s="303" t="s">
        <v>520</v>
      </c>
      <c r="BI67" s="303" t="s">
        <v>1877</v>
      </c>
      <c r="BJ67" s="354">
        <f t="shared" ref="BJ67:BJ130" si="9">COUNTIF(L67,"Habilitado")+COUNTIF(T67,"Habilitado")+COUNTIF(AB67,"Habilitado")+COUNTIF(AJ67,"Habilitado")+COUNTIF(AR67,"Habilitado")+COUNTIF(AZ67,"Habilitado")+COUNTIF(BH67,"Habilitado")</f>
        <v>1</v>
      </c>
      <c r="BK67" s="316" t="str">
        <f t="shared" si="8"/>
        <v>Habilitado</v>
      </c>
    </row>
    <row r="68" spans="1:63" ht="25.5" x14ac:dyDescent="0.25">
      <c r="A68" s="324">
        <v>66</v>
      </c>
      <c r="B68" s="345" t="s">
        <v>1949</v>
      </c>
      <c r="C68" s="335" t="s">
        <v>518</v>
      </c>
      <c r="D68" s="376" t="s">
        <v>1572</v>
      </c>
      <c r="E68" s="347">
        <v>1</v>
      </c>
      <c r="F68" s="314" t="s">
        <v>510</v>
      </c>
      <c r="G68" s="314" t="s">
        <v>510</v>
      </c>
      <c r="H68" s="314" t="s">
        <v>511</v>
      </c>
      <c r="I68" s="314" t="s">
        <v>510</v>
      </c>
      <c r="J68" s="314">
        <v>40</v>
      </c>
      <c r="K68" s="29">
        <f t="shared" ref="K68:K131" si="10">+J68</f>
        <v>40</v>
      </c>
      <c r="L68" s="314" t="s">
        <v>504</v>
      </c>
      <c r="M68" s="314"/>
      <c r="N68" s="314"/>
      <c r="O68" s="314"/>
      <c r="P68" s="314"/>
      <c r="Q68" s="314"/>
      <c r="R68" s="314"/>
      <c r="S68" s="314"/>
      <c r="T68" s="314"/>
      <c r="U68" s="314"/>
      <c r="V68" s="350"/>
      <c r="W68" s="350"/>
      <c r="X68" s="350"/>
      <c r="Y68" s="350"/>
      <c r="Z68" s="307"/>
      <c r="AA68" s="350">
        <f t="shared" ref="AA68:AA131" si="11">(Z68)</f>
        <v>0</v>
      </c>
      <c r="AB68" s="307"/>
      <c r="AC68" s="307"/>
      <c r="AD68" s="303" t="s">
        <v>510</v>
      </c>
      <c r="AE68" s="303" t="s">
        <v>510</v>
      </c>
      <c r="AF68" s="303" t="s">
        <v>511</v>
      </c>
      <c r="AG68" s="303" t="s">
        <v>510</v>
      </c>
      <c r="AH68" s="314">
        <v>0</v>
      </c>
      <c r="AI68" s="297">
        <f t="shared" ref="AI68:AI131" si="12">+AH68</f>
        <v>0</v>
      </c>
      <c r="AJ68" s="303" t="s">
        <v>504</v>
      </c>
      <c r="AK68" s="301"/>
      <c r="AL68" s="303"/>
      <c r="AM68" s="303"/>
      <c r="AN68" s="303"/>
      <c r="AO68" s="303"/>
      <c r="AP68" s="303"/>
      <c r="AQ68" s="289">
        <f t="shared" ref="AQ68:AQ131" si="13">+AP68</f>
        <v>0</v>
      </c>
      <c r="AR68" s="314"/>
      <c r="AS68" s="314"/>
      <c r="AT68" s="329"/>
      <c r="AU68" s="329"/>
      <c r="AV68" s="329"/>
      <c r="AW68" s="329"/>
      <c r="AX68" s="329"/>
      <c r="AY68" s="139">
        <f t="shared" ref="AY68:AY131" si="14">+AX68</f>
        <v>0</v>
      </c>
      <c r="AZ68" s="375"/>
      <c r="BA68" s="375"/>
      <c r="BB68" s="356" t="s">
        <v>519</v>
      </c>
      <c r="BC68" s="356" t="s">
        <v>519</v>
      </c>
      <c r="BD68" s="356" t="s">
        <v>511</v>
      </c>
      <c r="BE68" s="303" t="s">
        <v>510</v>
      </c>
      <c r="BF68" s="352">
        <v>0</v>
      </c>
      <c r="BG68" s="353">
        <f t="shared" ref="BG68:BG131" si="15">+BF68</f>
        <v>0</v>
      </c>
      <c r="BH68" s="303" t="s">
        <v>520</v>
      </c>
      <c r="BI68" s="303" t="s">
        <v>1877</v>
      </c>
      <c r="BJ68" s="354">
        <f t="shared" si="9"/>
        <v>2</v>
      </c>
      <c r="BK68" s="316" t="str">
        <f t="shared" si="8"/>
        <v>Habilitado</v>
      </c>
    </row>
    <row r="69" spans="1:63" ht="38.25" x14ac:dyDescent="0.25">
      <c r="A69" s="324">
        <v>67</v>
      </c>
      <c r="B69" s="345" t="s">
        <v>1950</v>
      </c>
      <c r="C69" s="335" t="s">
        <v>1951</v>
      </c>
      <c r="D69" s="360" t="s">
        <v>1952</v>
      </c>
      <c r="E69" s="347">
        <v>1</v>
      </c>
      <c r="F69" s="314" t="s">
        <v>510</v>
      </c>
      <c r="G69" s="314" t="s">
        <v>510</v>
      </c>
      <c r="H69" s="314" t="s">
        <v>510</v>
      </c>
      <c r="I69" s="314" t="s">
        <v>510</v>
      </c>
      <c r="J69" s="314">
        <v>40</v>
      </c>
      <c r="K69" s="29">
        <f t="shared" si="10"/>
        <v>40</v>
      </c>
      <c r="L69" s="314" t="s">
        <v>504</v>
      </c>
      <c r="M69" s="314"/>
      <c r="N69" s="314"/>
      <c r="O69" s="314"/>
      <c r="P69" s="314"/>
      <c r="Q69" s="314"/>
      <c r="R69" s="314"/>
      <c r="S69" s="314"/>
      <c r="T69" s="314"/>
      <c r="U69" s="314"/>
      <c r="V69" s="350"/>
      <c r="W69" s="350"/>
      <c r="X69" s="350"/>
      <c r="Y69" s="350"/>
      <c r="Z69" s="307"/>
      <c r="AA69" s="350">
        <f t="shared" si="11"/>
        <v>0</v>
      </c>
      <c r="AB69" s="307"/>
      <c r="AC69" s="307"/>
      <c r="AD69" s="303" t="s">
        <v>510</v>
      </c>
      <c r="AE69" s="303" t="s">
        <v>510</v>
      </c>
      <c r="AF69" s="303" t="s">
        <v>510</v>
      </c>
      <c r="AG69" s="303" t="s">
        <v>510</v>
      </c>
      <c r="AH69" s="314">
        <v>0</v>
      </c>
      <c r="AI69" s="297">
        <f t="shared" si="12"/>
        <v>0</v>
      </c>
      <c r="AJ69" s="303" t="s">
        <v>504</v>
      </c>
      <c r="AK69" s="377"/>
      <c r="AL69" s="303"/>
      <c r="AM69" s="303"/>
      <c r="AN69" s="303"/>
      <c r="AO69" s="303"/>
      <c r="AP69" s="303"/>
      <c r="AQ69" s="289">
        <f t="shared" si="13"/>
        <v>0</v>
      </c>
      <c r="AR69" s="314"/>
      <c r="AS69" s="314"/>
      <c r="AT69" s="329"/>
      <c r="AU69" s="329"/>
      <c r="AV69" s="329"/>
      <c r="AW69" s="329"/>
      <c r="AX69" s="329"/>
      <c r="AY69" s="139">
        <f t="shared" si="14"/>
        <v>0</v>
      </c>
      <c r="AZ69" s="375"/>
      <c r="BA69" s="375"/>
      <c r="BB69" s="356" t="s">
        <v>519</v>
      </c>
      <c r="BC69" s="356" t="s">
        <v>519</v>
      </c>
      <c r="BD69" s="356" t="s">
        <v>519</v>
      </c>
      <c r="BE69" s="303" t="s">
        <v>510</v>
      </c>
      <c r="BF69" s="352">
        <v>0</v>
      </c>
      <c r="BG69" s="353">
        <f t="shared" si="15"/>
        <v>0</v>
      </c>
      <c r="BH69" s="303" t="s">
        <v>520</v>
      </c>
      <c r="BI69" s="303" t="s">
        <v>1877</v>
      </c>
      <c r="BJ69" s="354">
        <f t="shared" si="9"/>
        <v>2</v>
      </c>
      <c r="BK69" s="316" t="str">
        <f t="shared" si="8"/>
        <v>Habilitado</v>
      </c>
    </row>
    <row r="70" spans="1:63" ht="38.25" x14ac:dyDescent="0.25">
      <c r="A70" s="324">
        <v>68</v>
      </c>
      <c r="B70" s="345" t="s">
        <v>1953</v>
      </c>
      <c r="C70" s="357" t="s">
        <v>1954</v>
      </c>
      <c r="D70" s="360" t="s">
        <v>1955</v>
      </c>
      <c r="E70" s="347">
        <v>1</v>
      </c>
      <c r="F70" s="314" t="s">
        <v>510</v>
      </c>
      <c r="G70" s="314" t="s">
        <v>510</v>
      </c>
      <c r="H70" s="314" t="s">
        <v>510</v>
      </c>
      <c r="I70" s="314" t="s">
        <v>510</v>
      </c>
      <c r="J70" s="314">
        <v>40</v>
      </c>
      <c r="K70" s="29">
        <f t="shared" si="10"/>
        <v>40</v>
      </c>
      <c r="L70" s="314" t="s">
        <v>504</v>
      </c>
      <c r="M70" s="314"/>
      <c r="N70" s="314"/>
      <c r="O70" s="314"/>
      <c r="P70" s="314"/>
      <c r="Q70" s="314"/>
      <c r="R70" s="314"/>
      <c r="S70" s="314"/>
      <c r="T70" s="314"/>
      <c r="U70" s="314"/>
      <c r="V70" s="350"/>
      <c r="W70" s="350"/>
      <c r="X70" s="350"/>
      <c r="Y70" s="350"/>
      <c r="Z70" s="307"/>
      <c r="AA70" s="350">
        <f t="shared" si="11"/>
        <v>0</v>
      </c>
      <c r="AB70" s="307"/>
      <c r="AC70" s="307"/>
      <c r="AD70" s="303" t="s">
        <v>510</v>
      </c>
      <c r="AE70" s="303" t="s">
        <v>510</v>
      </c>
      <c r="AF70" s="303" t="s">
        <v>510</v>
      </c>
      <c r="AG70" s="303" t="s">
        <v>510</v>
      </c>
      <c r="AH70" s="314">
        <v>0</v>
      </c>
      <c r="AI70" s="297">
        <f t="shared" si="12"/>
        <v>0</v>
      </c>
      <c r="AJ70" s="303" t="s">
        <v>504</v>
      </c>
      <c r="AK70" s="303"/>
      <c r="AL70" s="303"/>
      <c r="AM70" s="303"/>
      <c r="AN70" s="303"/>
      <c r="AO70" s="303"/>
      <c r="AP70" s="303"/>
      <c r="AQ70" s="289">
        <f t="shared" si="13"/>
        <v>0</v>
      </c>
      <c r="AR70" s="303"/>
      <c r="AS70" s="303"/>
      <c r="AT70" s="329"/>
      <c r="AU70" s="329"/>
      <c r="AV70" s="329"/>
      <c r="AW70" s="329"/>
      <c r="AX70" s="329"/>
      <c r="AY70" s="139">
        <f t="shared" si="14"/>
        <v>0</v>
      </c>
      <c r="AZ70" s="303"/>
      <c r="BA70" s="303"/>
      <c r="BB70" s="356" t="s">
        <v>519</v>
      </c>
      <c r="BC70" s="356" t="s">
        <v>519</v>
      </c>
      <c r="BD70" s="356" t="s">
        <v>519</v>
      </c>
      <c r="BE70" s="303" t="s">
        <v>510</v>
      </c>
      <c r="BF70" s="352">
        <v>0</v>
      </c>
      <c r="BG70" s="353">
        <f t="shared" si="15"/>
        <v>0</v>
      </c>
      <c r="BH70" s="303" t="s">
        <v>520</v>
      </c>
      <c r="BI70" s="303" t="s">
        <v>1877</v>
      </c>
      <c r="BJ70" s="354">
        <f t="shared" si="9"/>
        <v>2</v>
      </c>
      <c r="BK70" s="316" t="str">
        <f t="shared" si="8"/>
        <v>Habilitado</v>
      </c>
    </row>
    <row r="71" spans="1:63" ht="38.25" x14ac:dyDescent="0.25">
      <c r="A71" s="324">
        <v>69</v>
      </c>
      <c r="B71" s="345" t="s">
        <v>1956</v>
      </c>
      <c r="C71" s="335" t="s">
        <v>1957</v>
      </c>
      <c r="D71" s="360" t="s">
        <v>1955</v>
      </c>
      <c r="E71" s="347">
        <v>1</v>
      </c>
      <c r="F71" s="314" t="s">
        <v>510</v>
      </c>
      <c r="G71" s="314" t="s">
        <v>510</v>
      </c>
      <c r="H71" s="314" t="s">
        <v>510</v>
      </c>
      <c r="I71" s="314" t="s">
        <v>510</v>
      </c>
      <c r="J71" s="314">
        <v>40</v>
      </c>
      <c r="K71" s="29">
        <f t="shared" si="10"/>
        <v>40</v>
      </c>
      <c r="L71" s="314" t="s">
        <v>504</v>
      </c>
      <c r="M71" s="314"/>
      <c r="N71" s="314"/>
      <c r="O71" s="314"/>
      <c r="P71" s="314"/>
      <c r="Q71" s="314"/>
      <c r="R71" s="314"/>
      <c r="S71" s="314"/>
      <c r="T71" s="314"/>
      <c r="U71" s="314"/>
      <c r="V71" s="350"/>
      <c r="W71" s="350"/>
      <c r="X71" s="350"/>
      <c r="Y71" s="350"/>
      <c r="Z71" s="307"/>
      <c r="AA71" s="350">
        <f t="shared" si="11"/>
        <v>0</v>
      </c>
      <c r="AB71" s="307"/>
      <c r="AC71" s="307"/>
      <c r="AD71" s="303" t="s">
        <v>510</v>
      </c>
      <c r="AE71" s="303" t="s">
        <v>510</v>
      </c>
      <c r="AF71" s="303" t="s">
        <v>510</v>
      </c>
      <c r="AG71" s="303" t="s">
        <v>510</v>
      </c>
      <c r="AH71" s="314">
        <v>0</v>
      </c>
      <c r="AI71" s="297">
        <f t="shared" si="12"/>
        <v>0</v>
      </c>
      <c r="AJ71" s="303" t="s">
        <v>504</v>
      </c>
      <c r="AK71" s="303"/>
      <c r="AL71" s="303"/>
      <c r="AM71" s="303"/>
      <c r="AN71" s="303"/>
      <c r="AO71" s="303"/>
      <c r="AP71" s="303"/>
      <c r="AQ71" s="289">
        <f t="shared" si="13"/>
        <v>0</v>
      </c>
      <c r="AR71" s="303"/>
      <c r="AS71" s="303"/>
      <c r="AT71" s="329"/>
      <c r="AU71" s="329"/>
      <c r="AV71" s="329"/>
      <c r="AW71" s="329"/>
      <c r="AX71" s="329"/>
      <c r="AY71" s="139">
        <f t="shared" si="14"/>
        <v>0</v>
      </c>
      <c r="AZ71" s="303"/>
      <c r="BA71" s="303"/>
      <c r="BB71" s="356" t="s">
        <v>519</v>
      </c>
      <c r="BC71" s="356" t="s">
        <v>519</v>
      </c>
      <c r="BD71" s="356" t="s">
        <v>519</v>
      </c>
      <c r="BE71" s="303" t="s">
        <v>510</v>
      </c>
      <c r="BF71" s="352">
        <v>0</v>
      </c>
      <c r="BG71" s="353">
        <f t="shared" si="15"/>
        <v>0</v>
      </c>
      <c r="BH71" s="303" t="s">
        <v>520</v>
      </c>
      <c r="BI71" s="303" t="s">
        <v>1877</v>
      </c>
      <c r="BJ71" s="354">
        <f t="shared" si="9"/>
        <v>2</v>
      </c>
      <c r="BK71" s="316" t="str">
        <f t="shared" si="8"/>
        <v>Habilitado</v>
      </c>
    </row>
    <row r="72" spans="1:63" ht="25.5" x14ac:dyDescent="0.25">
      <c r="A72" s="324">
        <v>70</v>
      </c>
      <c r="B72" s="345" t="s">
        <v>1958</v>
      </c>
      <c r="C72" s="335" t="s">
        <v>1959</v>
      </c>
      <c r="D72" s="357" t="s">
        <v>1960</v>
      </c>
      <c r="E72" s="347">
        <v>1</v>
      </c>
      <c r="F72" s="314" t="s">
        <v>510</v>
      </c>
      <c r="G72" s="314" t="s">
        <v>510</v>
      </c>
      <c r="H72" s="314" t="s">
        <v>510</v>
      </c>
      <c r="I72" s="314" t="s">
        <v>510</v>
      </c>
      <c r="J72" s="314">
        <v>40</v>
      </c>
      <c r="K72" s="29">
        <f t="shared" si="10"/>
        <v>40</v>
      </c>
      <c r="L72" s="314" t="s">
        <v>504</v>
      </c>
      <c r="M72" s="314"/>
      <c r="N72" s="314"/>
      <c r="O72" s="314"/>
      <c r="P72" s="314"/>
      <c r="Q72" s="314"/>
      <c r="R72" s="314"/>
      <c r="S72" s="314"/>
      <c r="T72" s="314"/>
      <c r="U72" s="314"/>
      <c r="V72" s="350"/>
      <c r="W72" s="350"/>
      <c r="X72" s="350"/>
      <c r="Y72" s="350"/>
      <c r="Z72" s="307"/>
      <c r="AA72" s="350">
        <f t="shared" si="11"/>
        <v>0</v>
      </c>
      <c r="AB72" s="307"/>
      <c r="AC72" s="307"/>
      <c r="AD72" s="303" t="s">
        <v>510</v>
      </c>
      <c r="AE72" s="303" t="s">
        <v>510</v>
      </c>
      <c r="AF72" s="303" t="s">
        <v>510</v>
      </c>
      <c r="AG72" s="303" t="s">
        <v>510</v>
      </c>
      <c r="AH72" s="314">
        <v>0</v>
      </c>
      <c r="AI72" s="297">
        <f t="shared" si="12"/>
        <v>0</v>
      </c>
      <c r="AJ72" s="303" t="s">
        <v>504</v>
      </c>
      <c r="AK72" s="303"/>
      <c r="AL72" s="303"/>
      <c r="AM72" s="303"/>
      <c r="AN72" s="303"/>
      <c r="AO72" s="303"/>
      <c r="AP72" s="303"/>
      <c r="AQ72" s="289">
        <f t="shared" si="13"/>
        <v>0</v>
      </c>
      <c r="AR72" s="303"/>
      <c r="AS72" s="303"/>
      <c r="AT72" s="329"/>
      <c r="AU72" s="329"/>
      <c r="AV72" s="329"/>
      <c r="AW72" s="329"/>
      <c r="AX72" s="329"/>
      <c r="AY72" s="139">
        <f t="shared" si="14"/>
        <v>0</v>
      </c>
      <c r="AZ72" s="303"/>
      <c r="BA72" s="303"/>
      <c r="BB72" s="356" t="s">
        <v>519</v>
      </c>
      <c r="BC72" s="356" t="s">
        <v>519</v>
      </c>
      <c r="BD72" s="356" t="s">
        <v>519</v>
      </c>
      <c r="BE72" s="303" t="s">
        <v>510</v>
      </c>
      <c r="BF72" s="352">
        <v>0</v>
      </c>
      <c r="BG72" s="353">
        <f t="shared" si="15"/>
        <v>0</v>
      </c>
      <c r="BH72" s="303" t="s">
        <v>520</v>
      </c>
      <c r="BI72" s="303" t="s">
        <v>1877</v>
      </c>
      <c r="BJ72" s="354">
        <f t="shared" si="9"/>
        <v>2</v>
      </c>
      <c r="BK72" s="316" t="str">
        <f t="shared" si="8"/>
        <v>Habilitado</v>
      </c>
    </row>
    <row r="73" spans="1:63" ht="25.5" x14ac:dyDescent="0.25">
      <c r="A73" s="324">
        <v>71</v>
      </c>
      <c r="B73" s="345" t="s">
        <v>1961</v>
      </c>
      <c r="C73" s="335" t="s">
        <v>1962</v>
      </c>
      <c r="D73" s="360" t="s">
        <v>1955</v>
      </c>
      <c r="E73" s="347">
        <v>1</v>
      </c>
      <c r="F73" s="314" t="s">
        <v>510</v>
      </c>
      <c r="G73" s="314" t="s">
        <v>510</v>
      </c>
      <c r="H73" s="314" t="s">
        <v>510</v>
      </c>
      <c r="I73" s="314" t="s">
        <v>510</v>
      </c>
      <c r="J73" s="314">
        <v>40</v>
      </c>
      <c r="K73" s="29">
        <f t="shared" si="10"/>
        <v>40</v>
      </c>
      <c r="L73" s="314" t="s">
        <v>504</v>
      </c>
      <c r="M73" s="314"/>
      <c r="N73" s="314"/>
      <c r="O73" s="314"/>
      <c r="P73" s="314"/>
      <c r="Q73" s="314"/>
      <c r="R73" s="314"/>
      <c r="S73" s="314"/>
      <c r="T73" s="314"/>
      <c r="U73" s="314"/>
      <c r="V73" s="350"/>
      <c r="W73" s="350"/>
      <c r="X73" s="350"/>
      <c r="Y73" s="350"/>
      <c r="Z73" s="307"/>
      <c r="AA73" s="350">
        <f t="shared" si="11"/>
        <v>0</v>
      </c>
      <c r="AB73" s="307"/>
      <c r="AC73" s="307"/>
      <c r="AD73" s="303" t="s">
        <v>510</v>
      </c>
      <c r="AE73" s="303" t="s">
        <v>510</v>
      </c>
      <c r="AF73" s="303" t="s">
        <v>510</v>
      </c>
      <c r="AG73" s="303" t="s">
        <v>510</v>
      </c>
      <c r="AH73" s="314">
        <v>0</v>
      </c>
      <c r="AI73" s="297">
        <f t="shared" si="12"/>
        <v>0</v>
      </c>
      <c r="AJ73" s="303" t="s">
        <v>504</v>
      </c>
      <c r="AK73" s="377"/>
      <c r="AL73" s="303"/>
      <c r="AM73" s="303"/>
      <c r="AN73" s="303"/>
      <c r="AO73" s="303"/>
      <c r="AP73" s="303"/>
      <c r="AQ73" s="289">
        <f t="shared" si="13"/>
        <v>0</v>
      </c>
      <c r="AR73" s="314"/>
      <c r="AS73" s="314"/>
      <c r="AT73" s="329"/>
      <c r="AU73" s="378"/>
      <c r="AV73" s="378"/>
      <c r="AW73" s="378"/>
      <c r="AX73" s="378"/>
      <c r="AY73" s="139">
        <f t="shared" si="14"/>
        <v>0</v>
      </c>
      <c r="AZ73" s="375"/>
      <c r="BA73" s="375"/>
      <c r="BB73" s="356" t="s">
        <v>519</v>
      </c>
      <c r="BC73" s="356" t="s">
        <v>519</v>
      </c>
      <c r="BD73" s="356" t="s">
        <v>519</v>
      </c>
      <c r="BE73" s="303" t="s">
        <v>510</v>
      </c>
      <c r="BF73" s="352">
        <v>0</v>
      </c>
      <c r="BG73" s="353">
        <f t="shared" si="15"/>
        <v>0</v>
      </c>
      <c r="BH73" s="303" t="s">
        <v>520</v>
      </c>
      <c r="BI73" s="303" t="s">
        <v>1877</v>
      </c>
      <c r="BJ73" s="354">
        <f t="shared" si="9"/>
        <v>2</v>
      </c>
      <c r="BK73" s="316" t="str">
        <f t="shared" si="8"/>
        <v>Habilitado</v>
      </c>
    </row>
    <row r="74" spans="1:63" ht="51" x14ac:dyDescent="0.25">
      <c r="A74" s="324">
        <v>72</v>
      </c>
      <c r="B74" s="325" t="s">
        <v>1963</v>
      </c>
      <c r="C74" s="325" t="s">
        <v>518</v>
      </c>
      <c r="D74" s="325" t="s">
        <v>1964</v>
      </c>
      <c r="E74" s="362">
        <v>1</v>
      </c>
      <c r="F74" s="406" t="s">
        <v>510</v>
      </c>
      <c r="G74" s="406" t="s">
        <v>510</v>
      </c>
      <c r="H74" s="406" t="s">
        <v>511</v>
      </c>
      <c r="I74" s="406" t="s">
        <v>510</v>
      </c>
      <c r="J74" s="406">
        <v>40</v>
      </c>
      <c r="K74" s="29">
        <f t="shared" si="10"/>
        <v>40</v>
      </c>
      <c r="L74" s="406" t="s">
        <v>504</v>
      </c>
      <c r="M74" s="406" t="s">
        <v>1931</v>
      </c>
      <c r="N74" s="406"/>
      <c r="O74" s="406"/>
      <c r="P74" s="406"/>
      <c r="Q74" s="406"/>
      <c r="R74" s="406"/>
      <c r="S74" s="406"/>
      <c r="T74" s="406"/>
      <c r="U74" s="406"/>
      <c r="V74" s="350"/>
      <c r="W74" s="350"/>
      <c r="X74" s="350"/>
      <c r="Y74" s="350"/>
      <c r="Z74" s="307"/>
      <c r="AA74" s="350">
        <f t="shared" si="11"/>
        <v>0</v>
      </c>
      <c r="AB74" s="307"/>
      <c r="AC74" s="307"/>
      <c r="AD74" s="304" t="s">
        <v>510</v>
      </c>
      <c r="AE74" s="304" t="s">
        <v>510</v>
      </c>
      <c r="AF74" s="304" t="s">
        <v>511</v>
      </c>
      <c r="AG74" s="303" t="s">
        <v>510</v>
      </c>
      <c r="AH74" s="326">
        <v>0</v>
      </c>
      <c r="AI74" s="297">
        <f t="shared" si="12"/>
        <v>0</v>
      </c>
      <c r="AJ74" s="303" t="s">
        <v>504</v>
      </c>
      <c r="AK74" s="304"/>
      <c r="AL74" s="304"/>
      <c r="AM74" s="304"/>
      <c r="AN74" s="304"/>
      <c r="AO74" s="304"/>
      <c r="AP74" s="304"/>
      <c r="AQ74" s="289">
        <f t="shared" si="13"/>
        <v>0</v>
      </c>
      <c r="AR74" s="304"/>
      <c r="AS74" s="304"/>
      <c r="AT74" s="325"/>
      <c r="AU74" s="325"/>
      <c r="AV74" s="325"/>
      <c r="AW74" s="325"/>
      <c r="AX74" s="325"/>
      <c r="AY74" s="139">
        <f t="shared" si="14"/>
        <v>0</v>
      </c>
      <c r="AZ74" s="304"/>
      <c r="BA74" s="304"/>
      <c r="BB74" s="363" t="s">
        <v>510</v>
      </c>
      <c r="BC74" s="364" t="s">
        <v>510</v>
      </c>
      <c r="BD74" s="356" t="s">
        <v>511</v>
      </c>
      <c r="BE74" s="303" t="s">
        <v>510</v>
      </c>
      <c r="BF74" s="352">
        <v>0</v>
      </c>
      <c r="BG74" s="353">
        <f t="shared" si="15"/>
        <v>0</v>
      </c>
      <c r="BH74" s="303" t="s">
        <v>504</v>
      </c>
      <c r="BI74" s="303"/>
      <c r="BJ74" s="354">
        <f t="shared" si="9"/>
        <v>3</v>
      </c>
      <c r="BK74" s="316" t="str">
        <f t="shared" si="8"/>
        <v>Habilitado</v>
      </c>
    </row>
    <row r="75" spans="1:63" ht="25.5" x14ac:dyDescent="0.25">
      <c r="A75" s="324">
        <v>73</v>
      </c>
      <c r="B75" s="325" t="s">
        <v>1965</v>
      </c>
      <c r="C75" s="325" t="s">
        <v>518</v>
      </c>
      <c r="D75" s="325" t="s">
        <v>1966</v>
      </c>
      <c r="E75" s="362">
        <v>1</v>
      </c>
      <c r="F75" s="406"/>
      <c r="G75" s="406"/>
      <c r="H75" s="406"/>
      <c r="I75" s="406"/>
      <c r="J75" s="406"/>
      <c r="K75" s="29">
        <f t="shared" si="10"/>
        <v>0</v>
      </c>
      <c r="L75" s="406"/>
      <c r="M75" s="406"/>
      <c r="N75" s="406"/>
      <c r="O75" s="406"/>
      <c r="P75" s="406"/>
      <c r="Q75" s="406"/>
      <c r="R75" s="406"/>
      <c r="S75" s="406"/>
      <c r="T75" s="406"/>
      <c r="U75" s="406"/>
      <c r="V75" s="350"/>
      <c r="W75" s="350"/>
      <c r="X75" s="350"/>
      <c r="Y75" s="350"/>
      <c r="Z75" s="307"/>
      <c r="AA75" s="350">
        <f t="shared" si="11"/>
        <v>0</v>
      </c>
      <c r="AB75" s="307"/>
      <c r="AC75" s="307"/>
      <c r="AD75" s="379" t="s">
        <v>510</v>
      </c>
      <c r="AE75" s="379" t="s">
        <v>510</v>
      </c>
      <c r="AF75" s="304" t="s">
        <v>511</v>
      </c>
      <c r="AG75" s="303" t="s">
        <v>510</v>
      </c>
      <c r="AH75" s="326">
        <v>0</v>
      </c>
      <c r="AI75" s="297">
        <f t="shared" si="12"/>
        <v>0</v>
      </c>
      <c r="AJ75" s="303" t="s">
        <v>504</v>
      </c>
      <c r="AK75" s="304"/>
      <c r="AL75" s="304"/>
      <c r="AM75" s="304"/>
      <c r="AN75" s="304"/>
      <c r="AO75" s="304"/>
      <c r="AP75" s="304"/>
      <c r="AQ75" s="289">
        <f t="shared" si="13"/>
        <v>0</v>
      </c>
      <c r="AR75" s="304"/>
      <c r="AS75" s="304"/>
      <c r="AT75" s="325"/>
      <c r="AU75" s="325"/>
      <c r="AV75" s="325"/>
      <c r="AW75" s="325"/>
      <c r="AX75" s="325"/>
      <c r="AY75" s="139">
        <f t="shared" si="14"/>
        <v>0</v>
      </c>
      <c r="AZ75" s="304"/>
      <c r="BA75" s="304"/>
      <c r="BB75" s="371" t="s">
        <v>510</v>
      </c>
      <c r="BC75" s="372" t="s">
        <v>510</v>
      </c>
      <c r="BD75" s="356" t="s">
        <v>511</v>
      </c>
      <c r="BE75" s="303" t="s">
        <v>510</v>
      </c>
      <c r="BF75" s="367">
        <v>0</v>
      </c>
      <c r="BG75" s="353">
        <f t="shared" si="15"/>
        <v>0</v>
      </c>
      <c r="BH75" s="303" t="s">
        <v>504</v>
      </c>
      <c r="BI75" s="303"/>
      <c r="BJ75" s="354">
        <f t="shared" si="9"/>
        <v>2</v>
      </c>
      <c r="BK75" s="316" t="str">
        <f t="shared" si="8"/>
        <v>Habilitado</v>
      </c>
    </row>
    <row r="76" spans="1:63" ht="59.25" customHeight="1" x14ac:dyDescent="0.25">
      <c r="A76" s="324">
        <v>74</v>
      </c>
      <c r="B76" s="345" t="s">
        <v>1967</v>
      </c>
      <c r="C76" s="335" t="s">
        <v>1968</v>
      </c>
      <c r="D76" s="360" t="s">
        <v>140</v>
      </c>
      <c r="E76" s="347">
        <v>1</v>
      </c>
      <c r="F76" s="314" t="s">
        <v>510</v>
      </c>
      <c r="G76" s="314" t="s">
        <v>510</v>
      </c>
      <c r="H76" s="314" t="s">
        <v>511</v>
      </c>
      <c r="I76" s="314" t="s">
        <v>510</v>
      </c>
      <c r="J76" s="314">
        <v>40</v>
      </c>
      <c r="K76" s="29">
        <f t="shared" si="10"/>
        <v>40</v>
      </c>
      <c r="L76" s="314" t="s">
        <v>504</v>
      </c>
      <c r="M76" s="314"/>
      <c r="N76" s="314"/>
      <c r="O76" s="314"/>
      <c r="P76" s="314"/>
      <c r="Q76" s="314"/>
      <c r="R76" s="314"/>
      <c r="S76" s="314"/>
      <c r="T76" s="314"/>
      <c r="U76" s="314"/>
      <c r="V76" s="350"/>
      <c r="W76" s="350"/>
      <c r="X76" s="350"/>
      <c r="Y76" s="350"/>
      <c r="Z76" s="307"/>
      <c r="AA76" s="350">
        <f t="shared" si="11"/>
        <v>0</v>
      </c>
      <c r="AB76" s="307"/>
      <c r="AC76" s="307"/>
      <c r="AD76" s="303" t="s">
        <v>510</v>
      </c>
      <c r="AE76" s="303" t="s">
        <v>510</v>
      </c>
      <c r="AF76" s="303" t="s">
        <v>511</v>
      </c>
      <c r="AG76" s="303" t="s">
        <v>510</v>
      </c>
      <c r="AH76" s="314">
        <v>0</v>
      </c>
      <c r="AI76" s="297">
        <f t="shared" si="12"/>
        <v>0</v>
      </c>
      <c r="AJ76" s="303" t="s">
        <v>504</v>
      </c>
      <c r="AK76" s="301"/>
      <c r="AL76" s="303"/>
      <c r="AM76" s="303"/>
      <c r="AN76" s="303"/>
      <c r="AO76" s="303"/>
      <c r="AP76" s="303"/>
      <c r="AQ76" s="289">
        <f t="shared" si="13"/>
        <v>0</v>
      </c>
      <c r="AR76" s="303"/>
      <c r="AS76" s="303"/>
      <c r="AT76" s="329"/>
      <c r="AU76" s="329"/>
      <c r="AV76" s="329"/>
      <c r="AW76" s="329"/>
      <c r="AX76" s="329"/>
      <c r="AY76" s="139">
        <f t="shared" si="14"/>
        <v>0</v>
      </c>
      <c r="AZ76" s="303"/>
      <c r="BA76" s="303"/>
      <c r="BB76" s="356" t="s">
        <v>519</v>
      </c>
      <c r="BC76" s="356" t="s">
        <v>519</v>
      </c>
      <c r="BD76" s="356" t="s">
        <v>511</v>
      </c>
      <c r="BE76" s="303" t="s">
        <v>510</v>
      </c>
      <c r="BF76" s="352">
        <v>0</v>
      </c>
      <c r="BG76" s="353">
        <f t="shared" si="15"/>
        <v>0</v>
      </c>
      <c r="BH76" s="303" t="s">
        <v>520</v>
      </c>
      <c r="BI76" s="303" t="s">
        <v>1877</v>
      </c>
      <c r="BJ76" s="354">
        <f t="shared" si="9"/>
        <v>2</v>
      </c>
      <c r="BK76" s="316" t="str">
        <f t="shared" si="8"/>
        <v>Habilitado</v>
      </c>
    </row>
    <row r="77" spans="1:63" ht="39.75" customHeight="1" x14ac:dyDescent="0.25">
      <c r="A77" s="324">
        <v>75</v>
      </c>
      <c r="B77" s="345" t="s">
        <v>1969</v>
      </c>
      <c r="C77" s="335" t="s">
        <v>1970</v>
      </c>
      <c r="D77" s="357" t="s">
        <v>140</v>
      </c>
      <c r="E77" s="347">
        <v>1</v>
      </c>
      <c r="F77" s="314"/>
      <c r="G77" s="314"/>
      <c r="H77" s="314"/>
      <c r="I77" s="314"/>
      <c r="J77" s="314"/>
      <c r="K77" s="29">
        <f t="shared" si="10"/>
        <v>0</v>
      </c>
      <c r="L77" s="314"/>
      <c r="M77" s="314"/>
      <c r="N77" s="314"/>
      <c r="O77" s="314"/>
      <c r="P77" s="314"/>
      <c r="Q77" s="314"/>
      <c r="R77" s="314"/>
      <c r="S77" s="314"/>
      <c r="T77" s="314"/>
      <c r="U77" s="314"/>
      <c r="V77" s="350"/>
      <c r="W77" s="350"/>
      <c r="X77" s="350"/>
      <c r="Y77" s="350"/>
      <c r="Z77" s="307"/>
      <c r="AA77" s="350">
        <f t="shared" si="11"/>
        <v>0</v>
      </c>
      <c r="AB77" s="307"/>
      <c r="AC77" s="307"/>
      <c r="AD77" s="303" t="s">
        <v>510</v>
      </c>
      <c r="AE77" s="303" t="s">
        <v>510</v>
      </c>
      <c r="AF77" s="303" t="s">
        <v>511</v>
      </c>
      <c r="AG77" s="303" t="s">
        <v>510</v>
      </c>
      <c r="AH77" s="314">
        <v>0</v>
      </c>
      <c r="AI77" s="297">
        <f t="shared" si="12"/>
        <v>0</v>
      </c>
      <c r="AJ77" s="303" t="s">
        <v>504</v>
      </c>
      <c r="AK77" s="305"/>
      <c r="AL77" s="303"/>
      <c r="AM77" s="303"/>
      <c r="AN77" s="303"/>
      <c r="AO77" s="303"/>
      <c r="AP77" s="303"/>
      <c r="AQ77" s="289">
        <f t="shared" si="13"/>
        <v>0</v>
      </c>
      <c r="AR77" s="303"/>
      <c r="AS77" s="303"/>
      <c r="AT77" s="329"/>
      <c r="AU77" s="329"/>
      <c r="AV77" s="329"/>
      <c r="AW77" s="329"/>
      <c r="AX77" s="329"/>
      <c r="AY77" s="139">
        <f t="shared" si="14"/>
        <v>0</v>
      </c>
      <c r="AZ77" s="303"/>
      <c r="BA77" s="303"/>
      <c r="BB77" s="356" t="s">
        <v>519</v>
      </c>
      <c r="BC77" s="356" t="s">
        <v>519</v>
      </c>
      <c r="BD77" s="356" t="s">
        <v>511</v>
      </c>
      <c r="BE77" s="303" t="s">
        <v>510</v>
      </c>
      <c r="BF77" s="352">
        <v>0</v>
      </c>
      <c r="BG77" s="353">
        <f t="shared" si="15"/>
        <v>0</v>
      </c>
      <c r="BH77" s="303" t="s">
        <v>520</v>
      </c>
      <c r="BI77" s="303" t="s">
        <v>1877</v>
      </c>
      <c r="BJ77" s="354">
        <f t="shared" si="9"/>
        <v>1</v>
      </c>
      <c r="BK77" s="316" t="str">
        <f t="shared" si="8"/>
        <v>Habilitado</v>
      </c>
    </row>
    <row r="78" spans="1:63" x14ac:dyDescent="0.25">
      <c r="A78" s="324">
        <v>76</v>
      </c>
      <c r="B78" s="345" t="s">
        <v>1971</v>
      </c>
      <c r="C78" s="335" t="s">
        <v>2</v>
      </c>
      <c r="D78" s="360" t="s">
        <v>140</v>
      </c>
      <c r="E78" s="347">
        <v>1</v>
      </c>
      <c r="F78" s="314"/>
      <c r="G78" s="314"/>
      <c r="H78" s="314"/>
      <c r="I78" s="314"/>
      <c r="J78" s="314"/>
      <c r="K78" s="29">
        <f t="shared" si="10"/>
        <v>0</v>
      </c>
      <c r="L78" s="314"/>
      <c r="M78" s="314"/>
      <c r="N78" s="314"/>
      <c r="O78" s="314"/>
      <c r="P78" s="314"/>
      <c r="Q78" s="314"/>
      <c r="R78" s="314"/>
      <c r="S78" s="314"/>
      <c r="T78" s="314"/>
      <c r="U78" s="314"/>
      <c r="V78" s="350"/>
      <c r="W78" s="350"/>
      <c r="X78" s="350"/>
      <c r="Y78" s="350"/>
      <c r="Z78" s="307"/>
      <c r="AA78" s="350">
        <f t="shared" si="11"/>
        <v>0</v>
      </c>
      <c r="AB78" s="307"/>
      <c r="AC78" s="307"/>
      <c r="AD78" s="303" t="s">
        <v>510</v>
      </c>
      <c r="AE78" s="303" t="s">
        <v>510</v>
      </c>
      <c r="AF78" s="303" t="s">
        <v>511</v>
      </c>
      <c r="AG78" s="303" t="s">
        <v>510</v>
      </c>
      <c r="AH78" s="314">
        <v>0</v>
      </c>
      <c r="AI78" s="297">
        <f t="shared" si="12"/>
        <v>0</v>
      </c>
      <c r="AJ78" s="303" t="s">
        <v>504</v>
      </c>
      <c r="AK78" s="303"/>
      <c r="AL78" s="303"/>
      <c r="AM78" s="303"/>
      <c r="AN78" s="303"/>
      <c r="AO78" s="303"/>
      <c r="AP78" s="303"/>
      <c r="AQ78" s="289">
        <f t="shared" si="13"/>
        <v>0</v>
      </c>
      <c r="AR78" s="303"/>
      <c r="AS78" s="303"/>
      <c r="AT78" s="329"/>
      <c r="AU78" s="329"/>
      <c r="AV78" s="329"/>
      <c r="AW78" s="329"/>
      <c r="AX78" s="329"/>
      <c r="AY78" s="139">
        <f t="shared" si="14"/>
        <v>0</v>
      </c>
      <c r="AZ78" s="303"/>
      <c r="BA78" s="303"/>
      <c r="BB78" s="356" t="s">
        <v>519</v>
      </c>
      <c r="BC78" s="356" t="s">
        <v>519</v>
      </c>
      <c r="BD78" s="356" t="s">
        <v>511</v>
      </c>
      <c r="BE78" s="303" t="s">
        <v>510</v>
      </c>
      <c r="BF78" s="352">
        <v>0</v>
      </c>
      <c r="BG78" s="353">
        <f t="shared" si="15"/>
        <v>0</v>
      </c>
      <c r="BH78" s="303" t="s">
        <v>520</v>
      </c>
      <c r="BI78" s="303" t="s">
        <v>1972</v>
      </c>
      <c r="BJ78" s="354">
        <f t="shared" si="9"/>
        <v>1</v>
      </c>
      <c r="BK78" s="316" t="str">
        <f t="shared" si="8"/>
        <v>Habilitado</v>
      </c>
    </row>
    <row r="79" spans="1:63" ht="25.5" x14ac:dyDescent="0.25">
      <c r="A79" s="324">
        <v>77</v>
      </c>
      <c r="B79" s="345" t="s">
        <v>1973</v>
      </c>
      <c r="C79" s="335" t="s">
        <v>518</v>
      </c>
      <c r="D79" s="360" t="s">
        <v>140</v>
      </c>
      <c r="E79" s="347">
        <v>1</v>
      </c>
      <c r="F79" s="314"/>
      <c r="G79" s="314"/>
      <c r="H79" s="314"/>
      <c r="I79" s="314"/>
      <c r="J79" s="314"/>
      <c r="K79" s="29">
        <f t="shared" si="10"/>
        <v>0</v>
      </c>
      <c r="L79" s="314"/>
      <c r="M79" s="314"/>
      <c r="N79" s="314"/>
      <c r="O79" s="314"/>
      <c r="P79" s="314"/>
      <c r="Q79" s="314"/>
      <c r="R79" s="314"/>
      <c r="S79" s="314"/>
      <c r="T79" s="314"/>
      <c r="U79" s="314"/>
      <c r="V79" s="350"/>
      <c r="W79" s="350"/>
      <c r="X79" s="350"/>
      <c r="Y79" s="350"/>
      <c r="Z79" s="307"/>
      <c r="AA79" s="350">
        <f t="shared" si="11"/>
        <v>0</v>
      </c>
      <c r="AB79" s="307"/>
      <c r="AC79" s="307"/>
      <c r="AD79" s="303" t="s">
        <v>510</v>
      </c>
      <c r="AE79" s="303" t="s">
        <v>510</v>
      </c>
      <c r="AF79" s="303" t="s">
        <v>511</v>
      </c>
      <c r="AG79" s="303" t="s">
        <v>510</v>
      </c>
      <c r="AH79" s="314">
        <v>0</v>
      </c>
      <c r="AI79" s="297">
        <f t="shared" si="12"/>
        <v>0</v>
      </c>
      <c r="AJ79" s="303" t="s">
        <v>504</v>
      </c>
      <c r="AK79" s="303"/>
      <c r="AL79" s="303"/>
      <c r="AM79" s="303"/>
      <c r="AN79" s="303"/>
      <c r="AO79" s="303"/>
      <c r="AP79" s="303"/>
      <c r="AQ79" s="289">
        <f t="shared" si="13"/>
        <v>0</v>
      </c>
      <c r="AR79" s="303"/>
      <c r="AS79" s="303"/>
      <c r="AT79" s="329"/>
      <c r="AU79" s="329"/>
      <c r="AV79" s="329"/>
      <c r="AW79" s="329"/>
      <c r="AX79" s="329"/>
      <c r="AY79" s="139">
        <f t="shared" si="14"/>
        <v>0</v>
      </c>
      <c r="AZ79" s="303"/>
      <c r="BA79" s="303"/>
      <c r="BB79" s="356" t="s">
        <v>519</v>
      </c>
      <c r="BC79" s="356" t="s">
        <v>519</v>
      </c>
      <c r="BD79" s="356" t="s">
        <v>511</v>
      </c>
      <c r="BE79" s="303" t="s">
        <v>510</v>
      </c>
      <c r="BF79" s="352">
        <v>0</v>
      </c>
      <c r="BG79" s="353">
        <f t="shared" si="15"/>
        <v>0</v>
      </c>
      <c r="BH79" s="303" t="s">
        <v>520</v>
      </c>
      <c r="BI79" s="303" t="s">
        <v>1877</v>
      </c>
      <c r="BJ79" s="354">
        <f t="shared" si="9"/>
        <v>1</v>
      </c>
      <c r="BK79" s="316" t="str">
        <f t="shared" si="8"/>
        <v>Habilitado</v>
      </c>
    </row>
    <row r="80" spans="1:63" ht="25.5" x14ac:dyDescent="0.25">
      <c r="A80" s="324">
        <v>78</v>
      </c>
      <c r="B80" s="345" t="s">
        <v>1974</v>
      </c>
      <c r="C80" s="335" t="s">
        <v>1975</v>
      </c>
      <c r="D80" s="357" t="s">
        <v>140</v>
      </c>
      <c r="E80" s="347">
        <v>1</v>
      </c>
      <c r="F80" s="314" t="s">
        <v>510</v>
      </c>
      <c r="G80" s="314" t="s">
        <v>510</v>
      </c>
      <c r="H80" s="314" t="s">
        <v>511</v>
      </c>
      <c r="I80" s="314" t="s">
        <v>510</v>
      </c>
      <c r="J80" s="314">
        <v>40</v>
      </c>
      <c r="K80" s="29">
        <f t="shared" si="10"/>
        <v>40</v>
      </c>
      <c r="L80" s="314" t="s">
        <v>504</v>
      </c>
      <c r="M80" s="314"/>
      <c r="N80" s="314"/>
      <c r="O80" s="314"/>
      <c r="P80" s="314"/>
      <c r="Q80" s="314"/>
      <c r="R80" s="314"/>
      <c r="S80" s="314"/>
      <c r="T80" s="314"/>
      <c r="U80" s="314"/>
      <c r="V80" s="350"/>
      <c r="W80" s="350"/>
      <c r="X80" s="350"/>
      <c r="Y80" s="350"/>
      <c r="Z80" s="307"/>
      <c r="AA80" s="350">
        <f t="shared" si="11"/>
        <v>0</v>
      </c>
      <c r="AB80" s="307"/>
      <c r="AC80" s="307"/>
      <c r="AD80" s="303" t="s">
        <v>510</v>
      </c>
      <c r="AE80" s="303" t="s">
        <v>510</v>
      </c>
      <c r="AF80" s="303" t="s">
        <v>511</v>
      </c>
      <c r="AG80" s="303" t="s">
        <v>510</v>
      </c>
      <c r="AH80" s="314">
        <v>0</v>
      </c>
      <c r="AI80" s="297">
        <f t="shared" si="12"/>
        <v>0</v>
      </c>
      <c r="AJ80" s="303" t="s">
        <v>504</v>
      </c>
      <c r="AK80" s="303"/>
      <c r="AL80" s="303"/>
      <c r="AM80" s="303"/>
      <c r="AN80" s="303"/>
      <c r="AO80" s="303"/>
      <c r="AP80" s="303"/>
      <c r="AQ80" s="289">
        <f t="shared" si="13"/>
        <v>0</v>
      </c>
      <c r="AR80" s="303"/>
      <c r="AS80" s="303"/>
      <c r="AT80" s="329"/>
      <c r="AU80" s="329"/>
      <c r="AV80" s="329"/>
      <c r="AW80" s="329"/>
      <c r="AX80" s="329"/>
      <c r="AY80" s="139">
        <f t="shared" si="14"/>
        <v>0</v>
      </c>
      <c r="AZ80" s="303"/>
      <c r="BA80" s="303"/>
      <c r="BB80" s="356" t="s">
        <v>519</v>
      </c>
      <c r="BC80" s="356" t="s">
        <v>519</v>
      </c>
      <c r="BD80" s="356" t="s">
        <v>511</v>
      </c>
      <c r="BE80" s="303" t="s">
        <v>510</v>
      </c>
      <c r="BF80" s="352">
        <v>0</v>
      </c>
      <c r="BG80" s="353">
        <f t="shared" si="15"/>
        <v>0</v>
      </c>
      <c r="BH80" s="303" t="s">
        <v>520</v>
      </c>
      <c r="BI80" s="303" t="s">
        <v>1877</v>
      </c>
      <c r="BJ80" s="354">
        <f t="shared" si="9"/>
        <v>2</v>
      </c>
      <c r="BK80" s="316" t="str">
        <f t="shared" si="8"/>
        <v>Habilitado</v>
      </c>
    </row>
    <row r="81" spans="1:63" ht="39" customHeight="1" x14ac:dyDescent="0.25">
      <c r="A81" s="324">
        <v>79</v>
      </c>
      <c r="B81" s="345" t="s">
        <v>1976</v>
      </c>
      <c r="C81" s="357" t="s">
        <v>518</v>
      </c>
      <c r="D81" s="360" t="s">
        <v>140</v>
      </c>
      <c r="E81" s="347">
        <v>1</v>
      </c>
      <c r="F81" s="314" t="s">
        <v>510</v>
      </c>
      <c r="G81" s="314" t="s">
        <v>510</v>
      </c>
      <c r="H81" s="314" t="s">
        <v>511</v>
      </c>
      <c r="I81" s="314" t="s">
        <v>510</v>
      </c>
      <c r="J81" s="314">
        <v>40</v>
      </c>
      <c r="K81" s="29">
        <f t="shared" si="10"/>
        <v>40</v>
      </c>
      <c r="L81" s="314" t="s">
        <v>504</v>
      </c>
      <c r="M81" s="407"/>
      <c r="N81" s="314"/>
      <c r="O81" s="314"/>
      <c r="P81" s="314"/>
      <c r="Q81" s="314"/>
      <c r="R81" s="314"/>
      <c r="S81" s="314"/>
      <c r="T81" s="314"/>
      <c r="U81" s="314"/>
      <c r="V81" s="350"/>
      <c r="W81" s="350"/>
      <c r="X81" s="350"/>
      <c r="Y81" s="350"/>
      <c r="Z81" s="307"/>
      <c r="AA81" s="350">
        <f t="shared" si="11"/>
        <v>0</v>
      </c>
      <c r="AB81" s="307"/>
      <c r="AC81" s="307"/>
      <c r="AD81" s="303" t="s">
        <v>510</v>
      </c>
      <c r="AE81" s="303" t="s">
        <v>510</v>
      </c>
      <c r="AF81" s="303" t="s">
        <v>511</v>
      </c>
      <c r="AG81" s="303" t="s">
        <v>510</v>
      </c>
      <c r="AH81" s="314">
        <v>0</v>
      </c>
      <c r="AI81" s="297">
        <f t="shared" si="12"/>
        <v>0</v>
      </c>
      <c r="AJ81" s="303" t="s">
        <v>504</v>
      </c>
      <c r="AK81" s="301"/>
      <c r="AL81" s="303"/>
      <c r="AM81" s="303"/>
      <c r="AN81" s="303"/>
      <c r="AO81" s="303"/>
      <c r="AP81" s="303"/>
      <c r="AQ81" s="289">
        <f t="shared" si="13"/>
        <v>0</v>
      </c>
      <c r="AR81" s="303"/>
      <c r="AS81" s="301"/>
      <c r="AT81" s="329"/>
      <c r="AU81" s="329"/>
      <c r="AV81" s="329"/>
      <c r="AW81" s="329"/>
      <c r="AX81" s="329"/>
      <c r="AY81" s="139">
        <f t="shared" si="14"/>
        <v>0</v>
      </c>
      <c r="AZ81" s="303"/>
      <c r="BA81" s="301"/>
      <c r="BB81" s="356" t="s">
        <v>510</v>
      </c>
      <c r="BC81" s="356" t="s">
        <v>510</v>
      </c>
      <c r="BD81" s="356" t="s">
        <v>511</v>
      </c>
      <c r="BE81" s="303" t="s">
        <v>510</v>
      </c>
      <c r="BF81" s="352">
        <v>0</v>
      </c>
      <c r="BG81" s="353">
        <f t="shared" si="15"/>
        <v>0</v>
      </c>
      <c r="BH81" s="303" t="s">
        <v>504</v>
      </c>
      <c r="BI81" s="303"/>
      <c r="BJ81" s="354">
        <f t="shared" si="9"/>
        <v>3</v>
      </c>
      <c r="BK81" s="316" t="str">
        <f t="shared" si="8"/>
        <v>Habilitado</v>
      </c>
    </row>
    <row r="82" spans="1:63" ht="25.5" x14ac:dyDescent="0.25">
      <c r="A82" s="324">
        <v>80</v>
      </c>
      <c r="B82" s="345" t="s">
        <v>1977</v>
      </c>
      <c r="C82" s="335" t="s">
        <v>1978</v>
      </c>
      <c r="D82" s="357" t="s">
        <v>1645</v>
      </c>
      <c r="E82" s="347">
        <v>1</v>
      </c>
      <c r="F82" s="314" t="s">
        <v>510</v>
      </c>
      <c r="G82" s="314" t="s">
        <v>510</v>
      </c>
      <c r="H82" s="314" t="s">
        <v>511</v>
      </c>
      <c r="I82" s="314" t="s">
        <v>510</v>
      </c>
      <c r="J82" s="314">
        <v>40</v>
      </c>
      <c r="K82" s="29">
        <f t="shared" si="10"/>
        <v>40</v>
      </c>
      <c r="L82" s="314" t="s">
        <v>504</v>
      </c>
      <c r="M82" s="314"/>
      <c r="N82" s="314"/>
      <c r="O82" s="314"/>
      <c r="P82" s="314"/>
      <c r="Q82" s="314"/>
      <c r="R82" s="314"/>
      <c r="S82" s="314"/>
      <c r="T82" s="314"/>
      <c r="U82" s="314"/>
      <c r="V82" s="350" t="s">
        <v>510</v>
      </c>
      <c r="W82" s="350" t="s">
        <v>510</v>
      </c>
      <c r="X82" s="350" t="s">
        <v>510</v>
      </c>
      <c r="Y82" s="350" t="s">
        <v>510</v>
      </c>
      <c r="Z82" s="304">
        <v>20</v>
      </c>
      <c r="AA82" s="350">
        <f t="shared" si="11"/>
        <v>20</v>
      </c>
      <c r="AB82" s="307" t="s">
        <v>504</v>
      </c>
      <c r="AC82" s="307"/>
      <c r="AD82" s="303" t="s">
        <v>510</v>
      </c>
      <c r="AE82" s="303" t="s">
        <v>510</v>
      </c>
      <c r="AF82" s="303" t="s">
        <v>511</v>
      </c>
      <c r="AG82" s="303" t="s">
        <v>510</v>
      </c>
      <c r="AH82" s="314">
        <v>0</v>
      </c>
      <c r="AI82" s="297">
        <f t="shared" si="12"/>
        <v>0</v>
      </c>
      <c r="AJ82" s="303" t="s">
        <v>504</v>
      </c>
      <c r="AK82" s="303"/>
      <c r="AL82" s="303"/>
      <c r="AM82" s="303"/>
      <c r="AN82" s="303"/>
      <c r="AO82" s="303"/>
      <c r="AP82" s="303"/>
      <c r="AQ82" s="289">
        <f t="shared" si="13"/>
        <v>0</v>
      </c>
      <c r="AR82" s="303"/>
      <c r="AS82" s="303"/>
      <c r="AT82" s="329"/>
      <c r="AU82" s="329"/>
      <c r="AV82" s="329"/>
      <c r="AW82" s="329"/>
      <c r="AX82" s="329"/>
      <c r="AY82" s="139">
        <f t="shared" si="14"/>
        <v>0</v>
      </c>
      <c r="AZ82" s="303"/>
      <c r="BA82" s="303"/>
      <c r="BB82" s="356" t="s">
        <v>519</v>
      </c>
      <c r="BC82" s="356" t="s">
        <v>519</v>
      </c>
      <c r="BD82" s="356" t="s">
        <v>511</v>
      </c>
      <c r="BE82" s="303" t="s">
        <v>510</v>
      </c>
      <c r="BF82" s="352">
        <v>0</v>
      </c>
      <c r="BG82" s="353">
        <f t="shared" si="15"/>
        <v>0</v>
      </c>
      <c r="BH82" s="303" t="s">
        <v>520</v>
      </c>
      <c r="BI82" s="303" t="s">
        <v>1877</v>
      </c>
      <c r="BJ82" s="354">
        <f t="shared" si="9"/>
        <v>3</v>
      </c>
      <c r="BK82" s="316" t="str">
        <f t="shared" si="8"/>
        <v>Habilitado</v>
      </c>
    </row>
    <row r="83" spans="1:63" ht="25.5" x14ac:dyDescent="0.25">
      <c r="A83" s="324">
        <v>81</v>
      </c>
      <c r="B83" s="345" t="s">
        <v>1979</v>
      </c>
      <c r="C83" s="335" t="s">
        <v>518</v>
      </c>
      <c r="D83" s="360" t="s">
        <v>140</v>
      </c>
      <c r="E83" s="347">
        <v>1</v>
      </c>
      <c r="F83" s="314"/>
      <c r="G83" s="314"/>
      <c r="H83" s="314"/>
      <c r="I83" s="314"/>
      <c r="J83" s="314"/>
      <c r="K83" s="29">
        <f t="shared" si="10"/>
        <v>0</v>
      </c>
      <c r="L83" s="314"/>
      <c r="M83" s="314"/>
      <c r="N83" s="314"/>
      <c r="O83" s="314"/>
      <c r="P83" s="314"/>
      <c r="Q83" s="314"/>
      <c r="R83" s="314"/>
      <c r="S83" s="314"/>
      <c r="T83" s="314"/>
      <c r="U83" s="314"/>
      <c r="V83" s="350"/>
      <c r="W83" s="350"/>
      <c r="X83" s="350"/>
      <c r="Y83" s="350"/>
      <c r="Z83" s="307"/>
      <c r="AA83" s="350">
        <f t="shared" si="11"/>
        <v>0</v>
      </c>
      <c r="AB83" s="307"/>
      <c r="AC83" s="307"/>
      <c r="AD83" s="303" t="s">
        <v>510</v>
      </c>
      <c r="AE83" s="303" t="s">
        <v>510</v>
      </c>
      <c r="AF83" s="303" t="s">
        <v>511</v>
      </c>
      <c r="AG83" s="303" t="s">
        <v>510</v>
      </c>
      <c r="AH83" s="314">
        <v>0</v>
      </c>
      <c r="AI83" s="297">
        <f t="shared" si="12"/>
        <v>0</v>
      </c>
      <c r="AJ83" s="303" t="s">
        <v>504</v>
      </c>
      <c r="AK83" s="303"/>
      <c r="AL83" s="303"/>
      <c r="AM83" s="303"/>
      <c r="AN83" s="303"/>
      <c r="AO83" s="303"/>
      <c r="AP83" s="303"/>
      <c r="AQ83" s="289">
        <f t="shared" si="13"/>
        <v>0</v>
      </c>
      <c r="AR83" s="303"/>
      <c r="AS83" s="303"/>
      <c r="AT83" s="329"/>
      <c r="AU83" s="329"/>
      <c r="AV83" s="329"/>
      <c r="AW83" s="329"/>
      <c r="AX83" s="329"/>
      <c r="AY83" s="139">
        <f t="shared" si="14"/>
        <v>0</v>
      </c>
      <c r="AZ83" s="303"/>
      <c r="BA83" s="303"/>
      <c r="BB83" s="356" t="s">
        <v>519</v>
      </c>
      <c r="BC83" s="356" t="s">
        <v>519</v>
      </c>
      <c r="BD83" s="356" t="s">
        <v>511</v>
      </c>
      <c r="BE83" s="303" t="s">
        <v>510</v>
      </c>
      <c r="BF83" s="352">
        <v>0</v>
      </c>
      <c r="BG83" s="353">
        <f t="shared" si="15"/>
        <v>0</v>
      </c>
      <c r="BH83" s="303" t="s">
        <v>520</v>
      </c>
      <c r="BI83" s="303" t="s">
        <v>1877</v>
      </c>
      <c r="BJ83" s="354">
        <f t="shared" si="9"/>
        <v>1</v>
      </c>
      <c r="BK83" s="316" t="str">
        <f t="shared" si="8"/>
        <v>Habilitado</v>
      </c>
    </row>
    <row r="84" spans="1:63" ht="25.5" x14ac:dyDescent="0.25">
      <c r="A84" s="324">
        <v>82</v>
      </c>
      <c r="B84" s="345" t="s">
        <v>1980</v>
      </c>
      <c r="C84" s="335" t="s">
        <v>518</v>
      </c>
      <c r="D84" s="357" t="s">
        <v>1061</v>
      </c>
      <c r="E84" s="347">
        <v>1</v>
      </c>
      <c r="F84" s="314"/>
      <c r="G84" s="314"/>
      <c r="H84" s="314"/>
      <c r="I84" s="314"/>
      <c r="J84" s="314"/>
      <c r="K84" s="29">
        <f t="shared" si="10"/>
        <v>0</v>
      </c>
      <c r="L84" s="314"/>
      <c r="M84" s="314"/>
      <c r="N84" s="314"/>
      <c r="O84" s="314"/>
      <c r="P84" s="314"/>
      <c r="Q84" s="314"/>
      <c r="R84" s="314"/>
      <c r="S84" s="314"/>
      <c r="T84" s="314"/>
      <c r="U84" s="314"/>
      <c r="V84" s="350"/>
      <c r="W84" s="350"/>
      <c r="X84" s="350"/>
      <c r="Y84" s="350"/>
      <c r="Z84" s="307"/>
      <c r="AA84" s="350">
        <f t="shared" si="11"/>
        <v>0</v>
      </c>
      <c r="AB84" s="307"/>
      <c r="AC84" s="307"/>
      <c r="AD84" s="303" t="s">
        <v>510</v>
      </c>
      <c r="AE84" s="303" t="s">
        <v>510</v>
      </c>
      <c r="AF84" s="303" t="s">
        <v>510</v>
      </c>
      <c r="AG84" s="303" t="s">
        <v>510</v>
      </c>
      <c r="AH84" s="314">
        <v>0</v>
      </c>
      <c r="AI84" s="297">
        <f t="shared" si="12"/>
        <v>0</v>
      </c>
      <c r="AJ84" s="303" t="s">
        <v>504</v>
      </c>
      <c r="AK84" s="303"/>
      <c r="AL84" s="303"/>
      <c r="AM84" s="303"/>
      <c r="AN84" s="303"/>
      <c r="AO84" s="303"/>
      <c r="AP84" s="303"/>
      <c r="AQ84" s="289">
        <f t="shared" si="13"/>
        <v>0</v>
      </c>
      <c r="AR84" s="303"/>
      <c r="AS84" s="303"/>
      <c r="AT84" s="303" t="s">
        <v>510</v>
      </c>
      <c r="AU84" s="303" t="s">
        <v>510</v>
      </c>
      <c r="AV84" s="303" t="s">
        <v>510</v>
      </c>
      <c r="AW84" s="303" t="s">
        <v>510</v>
      </c>
      <c r="AX84" s="303">
        <v>40</v>
      </c>
      <c r="AY84" s="139">
        <f t="shared" si="14"/>
        <v>40</v>
      </c>
      <c r="AZ84" s="303" t="s">
        <v>504</v>
      </c>
      <c r="BA84" s="301"/>
      <c r="BB84" s="356" t="s">
        <v>519</v>
      </c>
      <c r="BC84" s="356" t="s">
        <v>519</v>
      </c>
      <c r="BD84" s="356" t="s">
        <v>519</v>
      </c>
      <c r="BE84" s="303" t="s">
        <v>510</v>
      </c>
      <c r="BF84" s="352">
        <v>0</v>
      </c>
      <c r="BG84" s="353">
        <f t="shared" si="15"/>
        <v>0</v>
      </c>
      <c r="BH84" s="303" t="s">
        <v>520</v>
      </c>
      <c r="BI84" s="303" t="s">
        <v>1877</v>
      </c>
      <c r="BJ84" s="354">
        <f t="shared" si="9"/>
        <v>2</v>
      </c>
      <c r="BK84" s="316" t="str">
        <f t="shared" si="8"/>
        <v>Habilitado</v>
      </c>
    </row>
    <row r="85" spans="1:63" ht="25.5" x14ac:dyDescent="0.25">
      <c r="A85" s="324">
        <v>83</v>
      </c>
      <c r="B85" s="345" t="s">
        <v>1981</v>
      </c>
      <c r="C85" s="335" t="s">
        <v>1982</v>
      </c>
      <c r="D85" s="360" t="s">
        <v>1983</v>
      </c>
      <c r="E85" s="347">
        <v>1</v>
      </c>
      <c r="F85" s="314"/>
      <c r="G85" s="314"/>
      <c r="H85" s="314"/>
      <c r="I85" s="314"/>
      <c r="J85" s="314"/>
      <c r="K85" s="29">
        <f t="shared" si="10"/>
        <v>0</v>
      </c>
      <c r="L85" s="314"/>
      <c r="M85" s="314"/>
      <c r="N85" s="314"/>
      <c r="O85" s="314"/>
      <c r="P85" s="314"/>
      <c r="Q85" s="314"/>
      <c r="R85" s="314"/>
      <c r="S85" s="314"/>
      <c r="T85" s="314"/>
      <c r="U85" s="314"/>
      <c r="V85" s="350"/>
      <c r="W85" s="350"/>
      <c r="X85" s="350"/>
      <c r="Y85" s="350"/>
      <c r="Z85" s="307"/>
      <c r="AA85" s="350">
        <f t="shared" si="11"/>
        <v>0</v>
      </c>
      <c r="AB85" s="307"/>
      <c r="AC85" s="307"/>
      <c r="AD85" s="303" t="s">
        <v>510</v>
      </c>
      <c r="AE85" s="303" t="s">
        <v>510</v>
      </c>
      <c r="AF85" s="303" t="s">
        <v>510</v>
      </c>
      <c r="AG85" s="303" t="s">
        <v>510</v>
      </c>
      <c r="AH85" s="314">
        <v>0</v>
      </c>
      <c r="AI85" s="297">
        <f t="shared" si="12"/>
        <v>0</v>
      </c>
      <c r="AJ85" s="303" t="s">
        <v>504</v>
      </c>
      <c r="AK85" s="303"/>
      <c r="AL85" s="303"/>
      <c r="AM85" s="303"/>
      <c r="AN85" s="303"/>
      <c r="AO85" s="303"/>
      <c r="AP85" s="303"/>
      <c r="AQ85" s="289">
        <f t="shared" si="13"/>
        <v>0</v>
      </c>
      <c r="AR85" s="303"/>
      <c r="AS85" s="303"/>
      <c r="AT85" s="303" t="s">
        <v>510</v>
      </c>
      <c r="AU85" s="303" t="s">
        <v>510</v>
      </c>
      <c r="AV85" s="303" t="s">
        <v>510</v>
      </c>
      <c r="AW85" s="303" t="s">
        <v>510</v>
      </c>
      <c r="AX85" s="303">
        <v>40</v>
      </c>
      <c r="AY85" s="139">
        <f t="shared" si="14"/>
        <v>40</v>
      </c>
      <c r="AZ85" s="303" t="s">
        <v>504</v>
      </c>
      <c r="BA85" s="301"/>
      <c r="BB85" s="356" t="s">
        <v>519</v>
      </c>
      <c r="BC85" s="356" t="s">
        <v>519</v>
      </c>
      <c r="BD85" s="356" t="s">
        <v>519</v>
      </c>
      <c r="BE85" s="303" t="s">
        <v>510</v>
      </c>
      <c r="BF85" s="352">
        <v>0</v>
      </c>
      <c r="BG85" s="353">
        <f t="shared" si="15"/>
        <v>0</v>
      </c>
      <c r="BH85" s="303" t="s">
        <v>520</v>
      </c>
      <c r="BI85" s="303" t="s">
        <v>1877</v>
      </c>
      <c r="BJ85" s="354">
        <f t="shared" si="9"/>
        <v>2</v>
      </c>
      <c r="BK85" s="316" t="str">
        <f t="shared" si="8"/>
        <v>Habilitado</v>
      </c>
    </row>
    <row r="86" spans="1:63" ht="25.5" x14ac:dyDescent="0.25">
      <c r="A86" s="324">
        <v>84</v>
      </c>
      <c r="B86" s="345" t="s">
        <v>1984</v>
      </c>
      <c r="C86" s="335" t="s">
        <v>518</v>
      </c>
      <c r="D86" s="360" t="s">
        <v>1985</v>
      </c>
      <c r="E86" s="347">
        <v>1</v>
      </c>
      <c r="F86" s="314" t="s">
        <v>510</v>
      </c>
      <c r="G86" s="314" t="s">
        <v>510</v>
      </c>
      <c r="H86" s="314" t="s">
        <v>510</v>
      </c>
      <c r="I86" s="314" t="s">
        <v>510</v>
      </c>
      <c r="J86" s="314">
        <v>40</v>
      </c>
      <c r="K86" s="29">
        <f t="shared" si="10"/>
        <v>40</v>
      </c>
      <c r="L86" s="314" t="s">
        <v>504</v>
      </c>
      <c r="M86" s="314"/>
      <c r="N86" s="314"/>
      <c r="O86" s="314"/>
      <c r="P86" s="314"/>
      <c r="Q86" s="314"/>
      <c r="R86" s="314"/>
      <c r="S86" s="314"/>
      <c r="T86" s="314"/>
      <c r="U86" s="314"/>
      <c r="V86" s="350"/>
      <c r="W86" s="350"/>
      <c r="X86" s="350"/>
      <c r="Y86" s="350"/>
      <c r="Z86" s="307"/>
      <c r="AA86" s="350">
        <f t="shared" si="11"/>
        <v>0</v>
      </c>
      <c r="AB86" s="307"/>
      <c r="AC86" s="307"/>
      <c r="AD86" s="303" t="s">
        <v>510</v>
      </c>
      <c r="AE86" s="303" t="s">
        <v>510</v>
      </c>
      <c r="AF86" s="303" t="s">
        <v>510</v>
      </c>
      <c r="AG86" s="303" t="s">
        <v>510</v>
      </c>
      <c r="AH86" s="314">
        <v>0</v>
      </c>
      <c r="AI86" s="297">
        <f t="shared" si="12"/>
        <v>0</v>
      </c>
      <c r="AJ86" s="303" t="s">
        <v>504</v>
      </c>
      <c r="AK86" s="303"/>
      <c r="AL86" s="303"/>
      <c r="AM86" s="303"/>
      <c r="AN86" s="303"/>
      <c r="AO86" s="303"/>
      <c r="AP86" s="303"/>
      <c r="AQ86" s="289">
        <f t="shared" si="13"/>
        <v>0</v>
      </c>
      <c r="AR86" s="303"/>
      <c r="AS86" s="303"/>
      <c r="AT86" s="303" t="s">
        <v>510</v>
      </c>
      <c r="AU86" s="303" t="s">
        <v>510</v>
      </c>
      <c r="AV86" s="303" t="s">
        <v>510</v>
      </c>
      <c r="AW86" s="303" t="s">
        <v>510</v>
      </c>
      <c r="AX86" s="303">
        <v>40</v>
      </c>
      <c r="AY86" s="139">
        <f t="shared" si="14"/>
        <v>40</v>
      </c>
      <c r="AZ86" s="303" t="s">
        <v>504</v>
      </c>
      <c r="BA86" s="301"/>
      <c r="BB86" s="356" t="s">
        <v>519</v>
      </c>
      <c r="BC86" s="356" t="s">
        <v>519</v>
      </c>
      <c r="BD86" s="356" t="s">
        <v>519</v>
      </c>
      <c r="BE86" s="303" t="s">
        <v>510</v>
      </c>
      <c r="BF86" s="352">
        <v>0</v>
      </c>
      <c r="BG86" s="353">
        <f t="shared" si="15"/>
        <v>0</v>
      </c>
      <c r="BH86" s="303" t="s">
        <v>520</v>
      </c>
      <c r="BI86" s="303" t="s">
        <v>1877</v>
      </c>
      <c r="BJ86" s="354">
        <f t="shared" si="9"/>
        <v>3</v>
      </c>
      <c r="BK86" s="316" t="str">
        <f t="shared" si="8"/>
        <v>Habilitado</v>
      </c>
    </row>
    <row r="87" spans="1:63" ht="38.25" x14ac:dyDescent="0.25">
      <c r="A87" s="324">
        <v>85</v>
      </c>
      <c r="B87" s="345" t="s">
        <v>1986</v>
      </c>
      <c r="C87" s="335" t="s">
        <v>518</v>
      </c>
      <c r="D87" s="360" t="s">
        <v>1960</v>
      </c>
      <c r="E87" s="347">
        <v>1</v>
      </c>
      <c r="F87" s="314"/>
      <c r="G87" s="314"/>
      <c r="H87" s="314"/>
      <c r="I87" s="314"/>
      <c r="J87" s="314"/>
      <c r="K87" s="29">
        <f t="shared" si="10"/>
        <v>0</v>
      </c>
      <c r="L87" s="314"/>
      <c r="M87" s="314"/>
      <c r="N87" s="314"/>
      <c r="O87" s="314"/>
      <c r="P87" s="314"/>
      <c r="Q87" s="314"/>
      <c r="R87" s="314"/>
      <c r="S87" s="314"/>
      <c r="T87" s="314"/>
      <c r="U87" s="314"/>
      <c r="V87" s="350"/>
      <c r="W87" s="350"/>
      <c r="X87" s="350"/>
      <c r="Y87" s="350"/>
      <c r="Z87" s="307"/>
      <c r="AA87" s="350">
        <f t="shared" si="11"/>
        <v>0</v>
      </c>
      <c r="AB87" s="307"/>
      <c r="AC87" s="307"/>
      <c r="AD87" s="303" t="s">
        <v>510</v>
      </c>
      <c r="AE87" s="303" t="s">
        <v>510</v>
      </c>
      <c r="AF87" s="303" t="s">
        <v>510</v>
      </c>
      <c r="AG87" s="303" t="s">
        <v>510</v>
      </c>
      <c r="AH87" s="314">
        <v>0</v>
      </c>
      <c r="AI87" s="297">
        <f t="shared" si="12"/>
        <v>0</v>
      </c>
      <c r="AJ87" s="303" t="s">
        <v>504</v>
      </c>
      <c r="AK87" s="303"/>
      <c r="AL87" s="303"/>
      <c r="AM87" s="303"/>
      <c r="AN87" s="303"/>
      <c r="AO87" s="303"/>
      <c r="AP87" s="303"/>
      <c r="AQ87" s="289">
        <f t="shared" si="13"/>
        <v>0</v>
      </c>
      <c r="AR87" s="303"/>
      <c r="AS87" s="303"/>
      <c r="AT87" s="303" t="s">
        <v>510</v>
      </c>
      <c r="AU87" s="303" t="s">
        <v>510</v>
      </c>
      <c r="AV87" s="303" t="s">
        <v>510</v>
      </c>
      <c r="AW87" s="303" t="s">
        <v>510</v>
      </c>
      <c r="AX87" s="303">
        <v>40</v>
      </c>
      <c r="AY87" s="139">
        <f t="shared" si="14"/>
        <v>40</v>
      </c>
      <c r="AZ87" s="303" t="s">
        <v>504</v>
      </c>
      <c r="BA87" s="301" t="s">
        <v>1987</v>
      </c>
      <c r="BB87" s="356" t="s">
        <v>519</v>
      </c>
      <c r="BC87" s="356" t="s">
        <v>519</v>
      </c>
      <c r="BD87" s="356" t="s">
        <v>519</v>
      </c>
      <c r="BE87" s="303" t="s">
        <v>510</v>
      </c>
      <c r="BF87" s="352">
        <v>0</v>
      </c>
      <c r="BG87" s="353">
        <f t="shared" si="15"/>
        <v>0</v>
      </c>
      <c r="BH87" s="303" t="s">
        <v>520</v>
      </c>
      <c r="BI87" s="303" t="s">
        <v>1877</v>
      </c>
      <c r="BJ87" s="354">
        <f t="shared" si="9"/>
        <v>2</v>
      </c>
      <c r="BK87" s="316" t="str">
        <f t="shared" si="8"/>
        <v>Habilitado</v>
      </c>
    </row>
    <row r="88" spans="1:63" ht="114.75" customHeight="1" x14ac:dyDescent="0.25">
      <c r="A88" s="324">
        <v>86</v>
      </c>
      <c r="B88" s="325" t="s">
        <v>1988</v>
      </c>
      <c r="C88" s="325" t="s">
        <v>518</v>
      </c>
      <c r="D88" s="325" t="s">
        <v>1989</v>
      </c>
      <c r="E88" s="362">
        <v>1</v>
      </c>
      <c r="F88" s="406" t="s">
        <v>510</v>
      </c>
      <c r="G88" s="406" t="s">
        <v>510</v>
      </c>
      <c r="H88" s="406" t="s">
        <v>510</v>
      </c>
      <c r="I88" s="406" t="s">
        <v>510</v>
      </c>
      <c r="J88" s="406">
        <v>40</v>
      </c>
      <c r="K88" s="29">
        <f t="shared" si="10"/>
        <v>40</v>
      </c>
      <c r="L88" s="406" t="s">
        <v>504</v>
      </c>
      <c r="M88" s="406" t="s">
        <v>551</v>
      </c>
      <c r="N88" s="406"/>
      <c r="O88" s="406"/>
      <c r="P88" s="406"/>
      <c r="Q88" s="406"/>
      <c r="R88" s="406"/>
      <c r="S88" s="406"/>
      <c r="T88" s="406"/>
      <c r="U88" s="406"/>
      <c r="V88" s="350"/>
      <c r="W88" s="350"/>
      <c r="X88" s="350"/>
      <c r="Y88" s="350"/>
      <c r="Z88" s="307"/>
      <c r="AA88" s="350">
        <f t="shared" si="11"/>
        <v>0</v>
      </c>
      <c r="AB88" s="307"/>
      <c r="AC88" s="307"/>
      <c r="AD88" s="304" t="s">
        <v>510</v>
      </c>
      <c r="AE88" s="304" t="s">
        <v>510</v>
      </c>
      <c r="AF88" s="304" t="s">
        <v>510</v>
      </c>
      <c r="AG88" s="322" t="s">
        <v>510</v>
      </c>
      <c r="AH88" s="326">
        <v>0</v>
      </c>
      <c r="AI88" s="297">
        <f t="shared" si="12"/>
        <v>0</v>
      </c>
      <c r="AJ88" s="348" t="s">
        <v>504</v>
      </c>
      <c r="AK88" s="304" t="s">
        <v>1990</v>
      </c>
      <c r="AL88" s="304"/>
      <c r="AM88" s="304"/>
      <c r="AN88" s="304"/>
      <c r="AO88" s="304"/>
      <c r="AP88" s="304"/>
      <c r="AQ88" s="289">
        <f t="shared" si="13"/>
        <v>0</v>
      </c>
      <c r="AR88" s="304"/>
      <c r="AS88" s="304"/>
      <c r="AT88" s="304" t="s">
        <v>510</v>
      </c>
      <c r="AU88" s="304" t="s">
        <v>510</v>
      </c>
      <c r="AV88" s="304" t="s">
        <v>510</v>
      </c>
      <c r="AW88" s="303" t="s">
        <v>510</v>
      </c>
      <c r="AX88" s="303">
        <v>40</v>
      </c>
      <c r="AY88" s="139">
        <f t="shared" si="14"/>
        <v>40</v>
      </c>
      <c r="AZ88" s="303" t="s">
        <v>504</v>
      </c>
      <c r="BA88" s="304"/>
      <c r="BB88" s="356" t="s">
        <v>519</v>
      </c>
      <c r="BC88" s="356" t="s">
        <v>519</v>
      </c>
      <c r="BD88" s="356" t="s">
        <v>519</v>
      </c>
      <c r="BE88" s="303" t="s">
        <v>510</v>
      </c>
      <c r="BF88" s="352">
        <v>0</v>
      </c>
      <c r="BG88" s="353">
        <f t="shared" si="15"/>
        <v>0</v>
      </c>
      <c r="BH88" s="303" t="s">
        <v>520</v>
      </c>
      <c r="BI88" s="303" t="s">
        <v>1877</v>
      </c>
      <c r="BJ88" s="354">
        <f t="shared" si="9"/>
        <v>3</v>
      </c>
      <c r="BK88" s="316" t="str">
        <f t="shared" si="8"/>
        <v>Habilitado</v>
      </c>
    </row>
    <row r="89" spans="1:63" ht="39.75" customHeight="1" x14ac:dyDescent="0.25">
      <c r="A89" s="324">
        <v>87</v>
      </c>
      <c r="B89" s="345" t="s">
        <v>1991</v>
      </c>
      <c r="C89" s="335" t="s">
        <v>518</v>
      </c>
      <c r="D89" s="357" t="s">
        <v>1992</v>
      </c>
      <c r="E89" s="347">
        <v>1</v>
      </c>
      <c r="F89" s="314"/>
      <c r="G89" s="314"/>
      <c r="H89" s="314"/>
      <c r="I89" s="314"/>
      <c r="J89" s="314"/>
      <c r="K89" s="29">
        <f t="shared" si="10"/>
        <v>0</v>
      </c>
      <c r="L89" s="314"/>
      <c r="M89" s="314"/>
      <c r="N89" s="314"/>
      <c r="O89" s="314"/>
      <c r="P89" s="314"/>
      <c r="Q89" s="314"/>
      <c r="R89" s="314"/>
      <c r="S89" s="314"/>
      <c r="T89" s="314"/>
      <c r="U89" s="314"/>
      <c r="V89" s="350"/>
      <c r="W89" s="350"/>
      <c r="X89" s="350"/>
      <c r="Y89" s="350"/>
      <c r="Z89" s="307"/>
      <c r="AA89" s="350">
        <f t="shared" si="11"/>
        <v>0</v>
      </c>
      <c r="AB89" s="307"/>
      <c r="AC89" s="307"/>
      <c r="AD89" s="303" t="s">
        <v>510</v>
      </c>
      <c r="AE89" s="303" t="s">
        <v>519</v>
      </c>
      <c r="AF89" s="303" t="s">
        <v>510</v>
      </c>
      <c r="AG89" s="322" t="s">
        <v>510</v>
      </c>
      <c r="AH89" s="314">
        <v>0</v>
      </c>
      <c r="AI89" s="297">
        <f t="shared" si="12"/>
        <v>0</v>
      </c>
      <c r="AJ89" s="303" t="s">
        <v>520</v>
      </c>
      <c r="AK89" s="301" t="s">
        <v>1993</v>
      </c>
      <c r="AL89" s="303"/>
      <c r="AM89" s="303"/>
      <c r="AN89" s="303"/>
      <c r="AO89" s="303"/>
      <c r="AP89" s="303"/>
      <c r="AQ89" s="289">
        <f t="shared" si="13"/>
        <v>0</v>
      </c>
      <c r="AR89" s="303"/>
      <c r="AS89" s="303"/>
      <c r="AT89" s="303" t="s">
        <v>510</v>
      </c>
      <c r="AU89" s="303" t="s">
        <v>519</v>
      </c>
      <c r="AV89" s="303" t="s">
        <v>510</v>
      </c>
      <c r="AW89" s="303" t="s">
        <v>510</v>
      </c>
      <c r="AX89" s="303">
        <v>0</v>
      </c>
      <c r="AY89" s="139">
        <f t="shared" si="14"/>
        <v>0</v>
      </c>
      <c r="AZ89" s="303" t="s">
        <v>520</v>
      </c>
      <c r="BA89" s="301" t="s">
        <v>1994</v>
      </c>
      <c r="BB89" s="356" t="s">
        <v>519</v>
      </c>
      <c r="BC89" s="356" t="s">
        <v>519</v>
      </c>
      <c r="BD89" s="356" t="s">
        <v>519</v>
      </c>
      <c r="BE89" s="303" t="s">
        <v>510</v>
      </c>
      <c r="BF89" s="352">
        <v>0</v>
      </c>
      <c r="BG89" s="353">
        <f t="shared" si="15"/>
        <v>0</v>
      </c>
      <c r="BH89" s="303" t="s">
        <v>520</v>
      </c>
      <c r="BI89" s="303" t="s">
        <v>1877</v>
      </c>
      <c r="BJ89" s="354">
        <f t="shared" si="9"/>
        <v>0</v>
      </c>
      <c r="BK89" s="316" t="str">
        <f t="shared" si="8"/>
        <v>Desierto</v>
      </c>
    </row>
    <row r="90" spans="1:63" ht="60" customHeight="1" x14ac:dyDescent="0.25">
      <c r="A90" s="324">
        <v>88</v>
      </c>
      <c r="B90" s="325" t="s">
        <v>1995</v>
      </c>
      <c r="C90" s="325" t="s">
        <v>1996</v>
      </c>
      <c r="D90" s="325" t="s">
        <v>140</v>
      </c>
      <c r="E90" s="362">
        <v>1</v>
      </c>
      <c r="F90" s="406"/>
      <c r="G90" s="406"/>
      <c r="H90" s="406"/>
      <c r="I90" s="406"/>
      <c r="J90" s="406"/>
      <c r="K90" s="29">
        <f t="shared" si="10"/>
        <v>0</v>
      </c>
      <c r="L90" s="406"/>
      <c r="M90" s="406"/>
      <c r="N90" s="406"/>
      <c r="O90" s="406"/>
      <c r="P90" s="406"/>
      <c r="Q90" s="406"/>
      <c r="R90" s="406"/>
      <c r="S90" s="406"/>
      <c r="T90" s="406"/>
      <c r="U90" s="406"/>
      <c r="V90" s="350"/>
      <c r="W90" s="350"/>
      <c r="X90" s="350"/>
      <c r="Y90" s="350"/>
      <c r="Z90" s="307"/>
      <c r="AA90" s="350">
        <f t="shared" si="11"/>
        <v>0</v>
      </c>
      <c r="AB90" s="307"/>
      <c r="AC90" s="307"/>
      <c r="AD90" s="304" t="s">
        <v>510</v>
      </c>
      <c r="AE90" s="304" t="s">
        <v>510</v>
      </c>
      <c r="AF90" s="304" t="s">
        <v>510</v>
      </c>
      <c r="AG90" s="322" t="s">
        <v>510</v>
      </c>
      <c r="AH90" s="326">
        <v>0</v>
      </c>
      <c r="AI90" s="297">
        <f t="shared" si="12"/>
        <v>0</v>
      </c>
      <c r="AJ90" s="348" t="s">
        <v>504</v>
      </c>
      <c r="AK90" s="304"/>
      <c r="AL90" s="304"/>
      <c r="AM90" s="304"/>
      <c r="AN90" s="304"/>
      <c r="AO90" s="304"/>
      <c r="AP90" s="304"/>
      <c r="AQ90" s="289">
        <f t="shared" si="13"/>
        <v>0</v>
      </c>
      <c r="AR90" s="304"/>
      <c r="AS90" s="304"/>
      <c r="AT90" s="325"/>
      <c r="AU90" s="325"/>
      <c r="AV90" s="325"/>
      <c r="AW90" s="325"/>
      <c r="AX90" s="325"/>
      <c r="AY90" s="139">
        <f t="shared" si="14"/>
        <v>0</v>
      </c>
      <c r="AZ90" s="304"/>
      <c r="BA90" s="304"/>
      <c r="BB90" s="356" t="s">
        <v>519</v>
      </c>
      <c r="BC90" s="356" t="s">
        <v>519</v>
      </c>
      <c r="BD90" s="356" t="s">
        <v>519</v>
      </c>
      <c r="BE90" s="303" t="s">
        <v>510</v>
      </c>
      <c r="BF90" s="352">
        <v>0</v>
      </c>
      <c r="BG90" s="353">
        <f t="shared" si="15"/>
        <v>0</v>
      </c>
      <c r="BH90" s="303" t="s">
        <v>520</v>
      </c>
      <c r="BI90" s="303" t="s">
        <v>1877</v>
      </c>
      <c r="BJ90" s="354">
        <f t="shared" si="9"/>
        <v>1</v>
      </c>
      <c r="BK90" s="316" t="str">
        <f t="shared" si="8"/>
        <v>Habilitado</v>
      </c>
    </row>
    <row r="91" spans="1:63" ht="127.5" x14ac:dyDescent="0.25">
      <c r="A91" s="324">
        <v>89</v>
      </c>
      <c r="B91" s="345" t="s">
        <v>1997</v>
      </c>
      <c r="C91" s="335" t="s">
        <v>1998</v>
      </c>
      <c r="D91" s="335" t="s">
        <v>140</v>
      </c>
      <c r="E91" s="347">
        <v>1</v>
      </c>
      <c r="F91" s="314" t="s">
        <v>510</v>
      </c>
      <c r="G91" s="314" t="s">
        <v>510</v>
      </c>
      <c r="H91" s="314" t="s">
        <v>510</v>
      </c>
      <c r="I91" s="314" t="s">
        <v>510</v>
      </c>
      <c r="J91" s="314">
        <v>40</v>
      </c>
      <c r="K91" s="29">
        <f t="shared" si="10"/>
        <v>40</v>
      </c>
      <c r="L91" s="314" t="s">
        <v>504</v>
      </c>
      <c r="M91" s="314"/>
      <c r="N91" s="314"/>
      <c r="O91" s="314"/>
      <c r="P91" s="314"/>
      <c r="Q91" s="314"/>
      <c r="R91" s="314"/>
      <c r="S91" s="314"/>
      <c r="T91" s="314"/>
      <c r="U91" s="314"/>
      <c r="V91" s="350"/>
      <c r="W91" s="350"/>
      <c r="X91" s="350"/>
      <c r="Y91" s="350"/>
      <c r="Z91" s="307"/>
      <c r="AA91" s="350">
        <f t="shared" si="11"/>
        <v>0</v>
      </c>
      <c r="AB91" s="307"/>
      <c r="AC91" s="307"/>
      <c r="AD91" s="303"/>
      <c r="AE91" s="303"/>
      <c r="AF91" s="303"/>
      <c r="AG91" s="303"/>
      <c r="AH91" s="314"/>
      <c r="AI91" s="297">
        <f t="shared" si="12"/>
        <v>0</v>
      </c>
      <c r="AJ91" s="303"/>
      <c r="AK91" s="303"/>
      <c r="AL91" s="303"/>
      <c r="AM91" s="303"/>
      <c r="AN91" s="303"/>
      <c r="AO91" s="303"/>
      <c r="AP91" s="303"/>
      <c r="AQ91" s="289">
        <f t="shared" si="13"/>
        <v>0</v>
      </c>
      <c r="AR91" s="303"/>
      <c r="AS91" s="303"/>
      <c r="AT91" s="329"/>
      <c r="AU91" s="329"/>
      <c r="AV91" s="329"/>
      <c r="AW91" s="329"/>
      <c r="AX91" s="329"/>
      <c r="AY91" s="139">
        <f t="shared" si="14"/>
        <v>0</v>
      </c>
      <c r="AZ91" s="303"/>
      <c r="BA91" s="303"/>
      <c r="BB91" s="356" t="s">
        <v>510</v>
      </c>
      <c r="BC91" s="356" t="s">
        <v>519</v>
      </c>
      <c r="BD91" s="356" t="s">
        <v>510</v>
      </c>
      <c r="BE91" s="303" t="s">
        <v>510</v>
      </c>
      <c r="BF91" s="352">
        <v>0</v>
      </c>
      <c r="BG91" s="353">
        <f t="shared" si="15"/>
        <v>0</v>
      </c>
      <c r="BH91" s="303" t="s">
        <v>520</v>
      </c>
      <c r="BI91" s="301" t="s">
        <v>1999</v>
      </c>
      <c r="BJ91" s="354">
        <f t="shared" si="9"/>
        <v>1</v>
      </c>
      <c r="BK91" s="316" t="str">
        <f t="shared" si="8"/>
        <v>Habilitado</v>
      </c>
    </row>
    <row r="92" spans="1:63" ht="25.5" x14ac:dyDescent="0.25">
      <c r="A92" s="324">
        <v>90</v>
      </c>
      <c r="B92" s="345" t="s">
        <v>2000</v>
      </c>
      <c r="C92" s="335" t="s">
        <v>518</v>
      </c>
      <c r="D92" s="357" t="s">
        <v>140</v>
      </c>
      <c r="E92" s="347">
        <v>1</v>
      </c>
      <c r="F92" s="314" t="s">
        <v>510</v>
      </c>
      <c r="G92" s="314" t="s">
        <v>510</v>
      </c>
      <c r="H92" s="314" t="s">
        <v>519</v>
      </c>
      <c r="I92" s="314" t="s">
        <v>510</v>
      </c>
      <c r="J92" s="406">
        <v>0</v>
      </c>
      <c r="K92" s="29">
        <f t="shared" si="10"/>
        <v>0</v>
      </c>
      <c r="L92" s="314" t="s">
        <v>520</v>
      </c>
      <c r="M92" s="407" t="s">
        <v>2001</v>
      </c>
      <c r="N92" s="407"/>
      <c r="O92" s="407"/>
      <c r="P92" s="407"/>
      <c r="Q92" s="407"/>
      <c r="R92" s="407"/>
      <c r="S92" s="407"/>
      <c r="T92" s="407"/>
      <c r="U92" s="407"/>
      <c r="V92" s="350"/>
      <c r="W92" s="350"/>
      <c r="X92" s="350"/>
      <c r="Y92" s="350"/>
      <c r="Z92" s="307"/>
      <c r="AA92" s="350">
        <f t="shared" si="11"/>
        <v>0</v>
      </c>
      <c r="AB92" s="307"/>
      <c r="AC92" s="307"/>
      <c r="AD92" s="303" t="s">
        <v>510</v>
      </c>
      <c r="AE92" s="303" t="s">
        <v>510</v>
      </c>
      <c r="AF92" s="303" t="s">
        <v>510</v>
      </c>
      <c r="AG92" s="303" t="s">
        <v>510</v>
      </c>
      <c r="AH92" s="314">
        <v>0</v>
      </c>
      <c r="AI92" s="297">
        <f t="shared" si="12"/>
        <v>0</v>
      </c>
      <c r="AJ92" s="303" t="s">
        <v>504</v>
      </c>
      <c r="AK92" s="301"/>
      <c r="AL92" s="303"/>
      <c r="AM92" s="303"/>
      <c r="AN92" s="303"/>
      <c r="AO92" s="303"/>
      <c r="AP92" s="303"/>
      <c r="AQ92" s="289">
        <f t="shared" si="13"/>
        <v>0</v>
      </c>
      <c r="AR92" s="303"/>
      <c r="AS92" s="303"/>
      <c r="AT92" s="329"/>
      <c r="AU92" s="329"/>
      <c r="AV92" s="329"/>
      <c r="AW92" s="329"/>
      <c r="AX92" s="329"/>
      <c r="AY92" s="139">
        <f t="shared" si="14"/>
        <v>0</v>
      </c>
      <c r="AZ92" s="303"/>
      <c r="BA92" s="301"/>
      <c r="BB92" s="356" t="s">
        <v>519</v>
      </c>
      <c r="BC92" s="356" t="s">
        <v>519</v>
      </c>
      <c r="BD92" s="356" t="s">
        <v>519</v>
      </c>
      <c r="BE92" s="303" t="s">
        <v>510</v>
      </c>
      <c r="BF92" s="352">
        <v>0</v>
      </c>
      <c r="BG92" s="353">
        <f t="shared" si="15"/>
        <v>0</v>
      </c>
      <c r="BH92" s="303" t="s">
        <v>520</v>
      </c>
      <c r="BI92" s="303" t="s">
        <v>1877</v>
      </c>
      <c r="BJ92" s="354">
        <f t="shared" si="9"/>
        <v>1</v>
      </c>
      <c r="BK92" s="316" t="str">
        <f t="shared" si="8"/>
        <v>Habilitado</v>
      </c>
    </row>
    <row r="93" spans="1:63" ht="25.5" x14ac:dyDescent="0.25">
      <c r="A93" s="324">
        <v>91</v>
      </c>
      <c r="B93" s="345" t="s">
        <v>2002</v>
      </c>
      <c r="C93" s="357" t="s">
        <v>518</v>
      </c>
      <c r="D93" s="360" t="s">
        <v>140</v>
      </c>
      <c r="E93" s="347">
        <v>1</v>
      </c>
      <c r="F93" s="314" t="s">
        <v>510</v>
      </c>
      <c r="G93" s="314" t="s">
        <v>510</v>
      </c>
      <c r="H93" s="314" t="s">
        <v>511</v>
      </c>
      <c r="I93" s="314" t="s">
        <v>510</v>
      </c>
      <c r="J93" s="314">
        <v>40</v>
      </c>
      <c r="K93" s="29">
        <f t="shared" si="10"/>
        <v>40</v>
      </c>
      <c r="L93" s="314" t="s">
        <v>504</v>
      </c>
      <c r="M93" s="314"/>
      <c r="N93" s="314"/>
      <c r="O93" s="314"/>
      <c r="P93" s="314"/>
      <c r="Q93" s="314"/>
      <c r="R93" s="314"/>
      <c r="S93" s="314"/>
      <c r="T93" s="314"/>
      <c r="U93" s="314"/>
      <c r="V93" s="350"/>
      <c r="W93" s="350"/>
      <c r="X93" s="350"/>
      <c r="Y93" s="350"/>
      <c r="Z93" s="307"/>
      <c r="AA93" s="350">
        <f t="shared" si="11"/>
        <v>0</v>
      </c>
      <c r="AB93" s="307"/>
      <c r="AC93" s="307"/>
      <c r="AD93" s="303" t="s">
        <v>510</v>
      </c>
      <c r="AE93" s="303" t="s">
        <v>510</v>
      </c>
      <c r="AF93" s="303" t="s">
        <v>511</v>
      </c>
      <c r="AG93" s="303" t="s">
        <v>510</v>
      </c>
      <c r="AH93" s="314">
        <v>0</v>
      </c>
      <c r="AI93" s="297">
        <f t="shared" si="12"/>
        <v>0</v>
      </c>
      <c r="AJ93" s="303" t="s">
        <v>504</v>
      </c>
      <c r="AK93" s="303"/>
      <c r="AL93" s="303"/>
      <c r="AM93" s="303"/>
      <c r="AN93" s="303"/>
      <c r="AO93" s="303"/>
      <c r="AP93" s="303"/>
      <c r="AQ93" s="289">
        <f t="shared" si="13"/>
        <v>0</v>
      </c>
      <c r="AR93" s="303"/>
      <c r="AS93" s="303"/>
      <c r="AT93" s="329"/>
      <c r="AU93" s="329"/>
      <c r="AV93" s="329"/>
      <c r="AW93" s="329"/>
      <c r="AX93" s="329"/>
      <c r="AY93" s="139">
        <f t="shared" si="14"/>
        <v>0</v>
      </c>
      <c r="AZ93" s="303"/>
      <c r="BA93" s="303"/>
      <c r="BB93" s="356" t="s">
        <v>519</v>
      </c>
      <c r="BC93" s="356" t="s">
        <v>519</v>
      </c>
      <c r="BD93" s="356" t="s">
        <v>511</v>
      </c>
      <c r="BE93" s="303" t="s">
        <v>510</v>
      </c>
      <c r="BF93" s="352">
        <v>0</v>
      </c>
      <c r="BG93" s="353">
        <f t="shared" si="15"/>
        <v>0</v>
      </c>
      <c r="BH93" s="303" t="s">
        <v>520</v>
      </c>
      <c r="BI93" s="303" t="s">
        <v>1877</v>
      </c>
      <c r="BJ93" s="354">
        <f t="shared" si="9"/>
        <v>2</v>
      </c>
      <c r="BK93" s="316" t="str">
        <f t="shared" si="8"/>
        <v>Habilitado</v>
      </c>
    </row>
    <row r="94" spans="1:63" ht="25.5" x14ac:dyDescent="0.25">
      <c r="A94" s="324">
        <v>92</v>
      </c>
      <c r="B94" s="345" t="s">
        <v>2003</v>
      </c>
      <c r="C94" s="335" t="s">
        <v>1902</v>
      </c>
      <c r="D94" s="357" t="s">
        <v>140</v>
      </c>
      <c r="E94" s="347">
        <v>1</v>
      </c>
      <c r="F94" s="314" t="s">
        <v>510</v>
      </c>
      <c r="G94" s="314" t="s">
        <v>510</v>
      </c>
      <c r="H94" s="314" t="s">
        <v>511</v>
      </c>
      <c r="I94" s="314" t="s">
        <v>510</v>
      </c>
      <c r="J94" s="314">
        <v>40</v>
      </c>
      <c r="K94" s="29">
        <f t="shared" si="10"/>
        <v>40</v>
      </c>
      <c r="L94" s="314" t="s">
        <v>504</v>
      </c>
      <c r="M94" s="314"/>
      <c r="N94" s="314"/>
      <c r="O94" s="314"/>
      <c r="P94" s="314"/>
      <c r="Q94" s="314"/>
      <c r="R94" s="314"/>
      <c r="S94" s="314"/>
      <c r="T94" s="314"/>
      <c r="U94" s="314"/>
      <c r="V94" s="350"/>
      <c r="W94" s="350"/>
      <c r="X94" s="350"/>
      <c r="Y94" s="350"/>
      <c r="Z94" s="307"/>
      <c r="AA94" s="350">
        <f t="shared" si="11"/>
        <v>0</v>
      </c>
      <c r="AB94" s="307"/>
      <c r="AC94" s="307"/>
      <c r="AD94" s="303" t="s">
        <v>510</v>
      </c>
      <c r="AE94" s="303" t="s">
        <v>510</v>
      </c>
      <c r="AF94" s="303" t="s">
        <v>511</v>
      </c>
      <c r="AG94" s="303" t="s">
        <v>510</v>
      </c>
      <c r="AH94" s="314">
        <v>0</v>
      </c>
      <c r="AI94" s="297">
        <f t="shared" si="12"/>
        <v>0</v>
      </c>
      <c r="AJ94" s="303" t="s">
        <v>504</v>
      </c>
      <c r="AK94" s="301"/>
      <c r="AL94" s="303"/>
      <c r="AM94" s="303"/>
      <c r="AN94" s="303"/>
      <c r="AO94" s="303"/>
      <c r="AP94" s="303"/>
      <c r="AQ94" s="289">
        <f t="shared" si="13"/>
        <v>0</v>
      </c>
      <c r="AR94" s="314"/>
      <c r="AS94" s="314"/>
      <c r="AT94" s="329"/>
      <c r="AU94" s="329"/>
      <c r="AV94" s="329"/>
      <c r="AW94" s="329"/>
      <c r="AX94" s="329"/>
      <c r="AY94" s="139">
        <f t="shared" si="14"/>
        <v>0</v>
      </c>
      <c r="AZ94" s="375"/>
      <c r="BA94" s="375"/>
      <c r="BB94" s="356" t="s">
        <v>519</v>
      </c>
      <c r="BC94" s="356" t="s">
        <v>519</v>
      </c>
      <c r="BD94" s="356" t="s">
        <v>511</v>
      </c>
      <c r="BE94" s="303" t="s">
        <v>510</v>
      </c>
      <c r="BF94" s="352">
        <v>0</v>
      </c>
      <c r="BG94" s="353">
        <f t="shared" si="15"/>
        <v>0</v>
      </c>
      <c r="BH94" s="303" t="s">
        <v>520</v>
      </c>
      <c r="BI94" s="303" t="s">
        <v>1877</v>
      </c>
      <c r="BJ94" s="354">
        <f t="shared" si="9"/>
        <v>2</v>
      </c>
      <c r="BK94" s="316" t="str">
        <f t="shared" si="8"/>
        <v>Habilitado</v>
      </c>
    </row>
    <row r="95" spans="1:63" ht="25.5" x14ac:dyDescent="0.25">
      <c r="A95" s="324">
        <v>93</v>
      </c>
      <c r="B95" s="325" t="s">
        <v>2004</v>
      </c>
      <c r="C95" s="325" t="s">
        <v>2005</v>
      </c>
      <c r="D95" s="325" t="s">
        <v>140</v>
      </c>
      <c r="E95" s="362">
        <v>1</v>
      </c>
      <c r="F95" s="406" t="s">
        <v>510</v>
      </c>
      <c r="G95" s="406" t="s">
        <v>510</v>
      </c>
      <c r="H95" s="406" t="s">
        <v>511</v>
      </c>
      <c r="I95" s="406" t="s">
        <v>510</v>
      </c>
      <c r="J95" s="406">
        <v>40</v>
      </c>
      <c r="K95" s="29">
        <f t="shared" si="10"/>
        <v>40</v>
      </c>
      <c r="L95" s="314" t="s">
        <v>504</v>
      </c>
      <c r="M95" s="406" t="s">
        <v>551</v>
      </c>
      <c r="N95" s="406"/>
      <c r="O95" s="406"/>
      <c r="P95" s="406"/>
      <c r="Q95" s="406"/>
      <c r="R95" s="406"/>
      <c r="S95" s="406"/>
      <c r="T95" s="406"/>
      <c r="U95" s="406"/>
      <c r="V95" s="350"/>
      <c r="W95" s="350"/>
      <c r="X95" s="350"/>
      <c r="Y95" s="350"/>
      <c r="Z95" s="307"/>
      <c r="AA95" s="350">
        <f t="shared" si="11"/>
        <v>0</v>
      </c>
      <c r="AB95" s="307"/>
      <c r="AC95" s="307"/>
      <c r="AD95" s="304" t="s">
        <v>510</v>
      </c>
      <c r="AE95" s="304" t="s">
        <v>510</v>
      </c>
      <c r="AF95" s="304" t="s">
        <v>511</v>
      </c>
      <c r="AG95" s="322" t="s">
        <v>510</v>
      </c>
      <c r="AH95" s="326">
        <v>0</v>
      </c>
      <c r="AI95" s="297">
        <f t="shared" si="12"/>
        <v>0</v>
      </c>
      <c r="AJ95" s="303" t="s">
        <v>504</v>
      </c>
      <c r="AK95" s="304" t="s">
        <v>551</v>
      </c>
      <c r="AL95" s="304"/>
      <c r="AM95" s="304"/>
      <c r="AN95" s="304"/>
      <c r="AO95" s="304"/>
      <c r="AP95" s="304"/>
      <c r="AQ95" s="289">
        <f t="shared" si="13"/>
        <v>0</v>
      </c>
      <c r="AR95" s="304"/>
      <c r="AS95" s="304"/>
      <c r="AT95" s="325"/>
      <c r="AU95" s="325"/>
      <c r="AV95" s="325"/>
      <c r="AW95" s="325"/>
      <c r="AX95" s="325"/>
      <c r="AY95" s="139">
        <f t="shared" si="14"/>
        <v>0</v>
      </c>
      <c r="AZ95" s="304"/>
      <c r="BA95" s="304"/>
      <c r="BB95" s="356" t="s">
        <v>519</v>
      </c>
      <c r="BC95" s="356" t="s">
        <v>519</v>
      </c>
      <c r="BD95" s="356" t="s">
        <v>511</v>
      </c>
      <c r="BE95" s="303" t="s">
        <v>510</v>
      </c>
      <c r="BF95" s="352">
        <v>0</v>
      </c>
      <c r="BG95" s="353">
        <f t="shared" si="15"/>
        <v>0</v>
      </c>
      <c r="BH95" s="303" t="s">
        <v>520</v>
      </c>
      <c r="BI95" s="303" t="s">
        <v>1877</v>
      </c>
      <c r="BJ95" s="354">
        <f t="shared" si="9"/>
        <v>2</v>
      </c>
      <c r="BK95" s="316" t="str">
        <f t="shared" si="8"/>
        <v>Habilitado</v>
      </c>
    </row>
    <row r="96" spans="1:63" ht="25.5" x14ac:dyDescent="0.25">
      <c r="A96" s="324">
        <v>94</v>
      </c>
      <c r="B96" s="345" t="s">
        <v>2006</v>
      </c>
      <c r="C96" s="357" t="s">
        <v>2005</v>
      </c>
      <c r="D96" s="357" t="s">
        <v>140</v>
      </c>
      <c r="E96" s="347">
        <v>1</v>
      </c>
      <c r="F96" s="314" t="s">
        <v>510</v>
      </c>
      <c r="G96" s="314" t="s">
        <v>510</v>
      </c>
      <c r="H96" s="314" t="s">
        <v>511</v>
      </c>
      <c r="I96" s="314" t="s">
        <v>510</v>
      </c>
      <c r="J96" s="314">
        <v>40</v>
      </c>
      <c r="K96" s="29">
        <f t="shared" si="10"/>
        <v>40</v>
      </c>
      <c r="L96" s="314" t="s">
        <v>504</v>
      </c>
      <c r="M96" s="314"/>
      <c r="N96" s="314"/>
      <c r="O96" s="314"/>
      <c r="P96" s="314"/>
      <c r="Q96" s="314"/>
      <c r="R96" s="314"/>
      <c r="S96" s="314"/>
      <c r="T96" s="314"/>
      <c r="U96" s="314"/>
      <c r="V96" s="350"/>
      <c r="W96" s="350"/>
      <c r="X96" s="350"/>
      <c r="Y96" s="350"/>
      <c r="Z96" s="307"/>
      <c r="AA96" s="350">
        <f t="shared" si="11"/>
        <v>0</v>
      </c>
      <c r="AB96" s="307"/>
      <c r="AC96" s="307"/>
      <c r="AD96" s="303" t="s">
        <v>510</v>
      </c>
      <c r="AE96" s="303" t="s">
        <v>510</v>
      </c>
      <c r="AF96" s="303" t="s">
        <v>511</v>
      </c>
      <c r="AG96" s="303" t="s">
        <v>510</v>
      </c>
      <c r="AH96" s="314">
        <v>0</v>
      </c>
      <c r="AI96" s="297">
        <f t="shared" si="12"/>
        <v>0</v>
      </c>
      <c r="AJ96" s="303" t="s">
        <v>504</v>
      </c>
      <c r="AK96" s="301"/>
      <c r="AL96" s="303"/>
      <c r="AM96" s="303"/>
      <c r="AN96" s="303"/>
      <c r="AO96" s="303"/>
      <c r="AP96" s="303"/>
      <c r="AQ96" s="289">
        <f t="shared" si="13"/>
        <v>0</v>
      </c>
      <c r="AR96" s="303"/>
      <c r="AS96" s="301"/>
      <c r="AT96" s="329"/>
      <c r="AU96" s="329"/>
      <c r="AV96" s="329"/>
      <c r="AW96" s="329"/>
      <c r="AX96" s="329"/>
      <c r="AY96" s="139">
        <f t="shared" si="14"/>
        <v>0</v>
      </c>
      <c r="AZ96" s="303"/>
      <c r="BA96" s="301"/>
      <c r="BB96" s="356" t="s">
        <v>519</v>
      </c>
      <c r="BC96" s="356" t="s">
        <v>519</v>
      </c>
      <c r="BD96" s="356" t="s">
        <v>511</v>
      </c>
      <c r="BE96" s="303" t="s">
        <v>510</v>
      </c>
      <c r="BF96" s="352">
        <v>0</v>
      </c>
      <c r="BG96" s="353">
        <f t="shared" si="15"/>
        <v>0</v>
      </c>
      <c r="BH96" s="303" t="s">
        <v>520</v>
      </c>
      <c r="BI96" s="303" t="s">
        <v>1877</v>
      </c>
      <c r="BJ96" s="354">
        <f t="shared" si="9"/>
        <v>2</v>
      </c>
      <c r="BK96" s="316" t="str">
        <f t="shared" ref="BK96:BK159" si="16">IF(BJ96&gt;=1,"Habilitado","Desierto")</f>
        <v>Habilitado</v>
      </c>
    </row>
    <row r="97" spans="1:63" ht="114.75" x14ac:dyDescent="0.25">
      <c r="A97" s="324">
        <v>95</v>
      </c>
      <c r="B97" s="345" t="s">
        <v>2007</v>
      </c>
      <c r="C97" s="335" t="s">
        <v>518</v>
      </c>
      <c r="D97" s="357" t="s">
        <v>140</v>
      </c>
      <c r="E97" s="347">
        <v>1</v>
      </c>
      <c r="F97" s="314" t="s">
        <v>510</v>
      </c>
      <c r="G97" s="314" t="s">
        <v>510</v>
      </c>
      <c r="H97" s="314" t="s">
        <v>510</v>
      </c>
      <c r="I97" s="314" t="s">
        <v>510</v>
      </c>
      <c r="J97" s="314">
        <v>40</v>
      </c>
      <c r="K97" s="29">
        <f t="shared" si="10"/>
        <v>40</v>
      </c>
      <c r="L97" s="314" t="s">
        <v>504</v>
      </c>
      <c r="M97" s="314"/>
      <c r="N97" s="314"/>
      <c r="O97" s="314"/>
      <c r="P97" s="314"/>
      <c r="Q97" s="314"/>
      <c r="R97" s="314"/>
      <c r="S97" s="314"/>
      <c r="T97" s="314"/>
      <c r="U97" s="314"/>
      <c r="V97" s="350"/>
      <c r="W97" s="350"/>
      <c r="X97" s="350"/>
      <c r="Y97" s="350"/>
      <c r="Z97" s="307"/>
      <c r="AA97" s="350">
        <f t="shared" si="11"/>
        <v>0</v>
      </c>
      <c r="AB97" s="307"/>
      <c r="AC97" s="307"/>
      <c r="AD97" s="303" t="s">
        <v>510</v>
      </c>
      <c r="AE97" s="303" t="s">
        <v>519</v>
      </c>
      <c r="AF97" s="303" t="s">
        <v>510</v>
      </c>
      <c r="AG97" s="303" t="s">
        <v>510</v>
      </c>
      <c r="AH97" s="314">
        <v>0</v>
      </c>
      <c r="AI97" s="297">
        <f t="shared" si="12"/>
        <v>0</v>
      </c>
      <c r="AJ97" s="303" t="s">
        <v>520</v>
      </c>
      <c r="AK97" s="301" t="s">
        <v>2008</v>
      </c>
      <c r="AL97" s="303"/>
      <c r="AM97" s="303"/>
      <c r="AN97" s="303"/>
      <c r="AO97" s="303"/>
      <c r="AP97" s="303"/>
      <c r="AQ97" s="289">
        <f t="shared" si="13"/>
        <v>0</v>
      </c>
      <c r="AR97" s="303"/>
      <c r="AS97" s="303"/>
      <c r="AT97" s="329"/>
      <c r="AU97" s="329"/>
      <c r="AV97" s="329"/>
      <c r="AW97" s="329"/>
      <c r="AX97" s="329"/>
      <c r="AY97" s="139">
        <f t="shared" si="14"/>
        <v>0</v>
      </c>
      <c r="AZ97" s="303"/>
      <c r="BA97" s="303"/>
      <c r="BB97" s="356" t="s">
        <v>519</v>
      </c>
      <c r="BC97" s="356" t="s">
        <v>519</v>
      </c>
      <c r="BD97" s="356" t="s">
        <v>519</v>
      </c>
      <c r="BE97" s="303" t="s">
        <v>510</v>
      </c>
      <c r="BF97" s="352">
        <v>0</v>
      </c>
      <c r="BG97" s="353">
        <f t="shared" si="15"/>
        <v>0</v>
      </c>
      <c r="BH97" s="303" t="s">
        <v>520</v>
      </c>
      <c r="BI97" s="303" t="s">
        <v>1877</v>
      </c>
      <c r="BJ97" s="354">
        <f t="shared" si="9"/>
        <v>1</v>
      </c>
      <c r="BK97" s="316" t="str">
        <f t="shared" si="16"/>
        <v>Habilitado</v>
      </c>
    </row>
    <row r="98" spans="1:63" ht="38.25" x14ac:dyDescent="0.25">
      <c r="A98" s="324">
        <v>96</v>
      </c>
      <c r="B98" s="345" t="s">
        <v>2009</v>
      </c>
      <c r="C98" s="380" t="s">
        <v>2010</v>
      </c>
      <c r="D98" s="329" t="s">
        <v>375</v>
      </c>
      <c r="E98" s="347">
        <v>1</v>
      </c>
      <c r="F98" s="314" t="s">
        <v>510</v>
      </c>
      <c r="G98" s="314" t="s">
        <v>519</v>
      </c>
      <c r="H98" s="314" t="s">
        <v>511</v>
      </c>
      <c r="I98" s="314" t="s">
        <v>510</v>
      </c>
      <c r="J98" s="406">
        <v>0</v>
      </c>
      <c r="K98" s="29">
        <f t="shared" si="10"/>
        <v>0</v>
      </c>
      <c r="L98" s="314" t="s">
        <v>520</v>
      </c>
      <c r="M98" s="407" t="s">
        <v>2011</v>
      </c>
      <c r="N98" s="407"/>
      <c r="O98" s="407"/>
      <c r="P98" s="407"/>
      <c r="Q98" s="407"/>
      <c r="R98" s="407"/>
      <c r="S98" s="407"/>
      <c r="T98" s="407"/>
      <c r="U98" s="407"/>
      <c r="V98" s="350"/>
      <c r="W98" s="350"/>
      <c r="X98" s="350"/>
      <c r="Y98" s="350"/>
      <c r="Z98" s="307"/>
      <c r="AA98" s="350">
        <f t="shared" si="11"/>
        <v>0</v>
      </c>
      <c r="AB98" s="307"/>
      <c r="AC98" s="307"/>
      <c r="AD98" s="303" t="s">
        <v>510</v>
      </c>
      <c r="AE98" s="303" t="s">
        <v>510</v>
      </c>
      <c r="AF98" s="303" t="s">
        <v>510</v>
      </c>
      <c r="AG98" s="303" t="s">
        <v>510</v>
      </c>
      <c r="AH98" s="314">
        <v>0</v>
      </c>
      <c r="AI98" s="297">
        <f t="shared" si="12"/>
        <v>0</v>
      </c>
      <c r="AJ98" s="303" t="s">
        <v>504</v>
      </c>
      <c r="AK98" s="301" t="s">
        <v>2012</v>
      </c>
      <c r="AL98" s="303"/>
      <c r="AM98" s="303"/>
      <c r="AN98" s="303"/>
      <c r="AO98" s="303"/>
      <c r="AP98" s="303"/>
      <c r="AQ98" s="289">
        <f t="shared" si="13"/>
        <v>0</v>
      </c>
      <c r="AR98" s="303"/>
      <c r="AS98" s="303"/>
      <c r="AT98" s="329"/>
      <c r="AU98" s="329"/>
      <c r="AV98" s="329"/>
      <c r="AW98" s="329"/>
      <c r="AX98" s="329"/>
      <c r="AY98" s="139">
        <f t="shared" si="14"/>
        <v>0</v>
      </c>
      <c r="AZ98" s="303"/>
      <c r="BA98" s="303"/>
      <c r="BB98" s="356" t="s">
        <v>519</v>
      </c>
      <c r="BC98" s="356" t="s">
        <v>519</v>
      </c>
      <c r="BD98" s="356" t="s">
        <v>519</v>
      </c>
      <c r="BE98" s="303" t="s">
        <v>510</v>
      </c>
      <c r="BF98" s="352">
        <v>0</v>
      </c>
      <c r="BG98" s="353">
        <f t="shared" si="15"/>
        <v>0</v>
      </c>
      <c r="BH98" s="303" t="s">
        <v>520</v>
      </c>
      <c r="BI98" s="303" t="s">
        <v>1877</v>
      </c>
      <c r="BJ98" s="354">
        <f t="shared" si="9"/>
        <v>1</v>
      </c>
      <c r="BK98" s="316" t="str">
        <f t="shared" si="16"/>
        <v>Habilitado</v>
      </c>
    </row>
    <row r="99" spans="1:63" ht="38.25" x14ac:dyDescent="0.25">
      <c r="A99" s="324">
        <v>97</v>
      </c>
      <c r="B99" s="345" t="s">
        <v>2013</v>
      </c>
      <c r="C99" s="357" t="s">
        <v>2014</v>
      </c>
      <c r="D99" s="360" t="s">
        <v>140</v>
      </c>
      <c r="E99" s="347">
        <v>1</v>
      </c>
      <c r="F99" s="314" t="s">
        <v>510</v>
      </c>
      <c r="G99" s="314" t="s">
        <v>510</v>
      </c>
      <c r="H99" s="314" t="s">
        <v>511</v>
      </c>
      <c r="I99" s="314" t="s">
        <v>510</v>
      </c>
      <c r="J99" s="314">
        <v>40</v>
      </c>
      <c r="K99" s="29">
        <f t="shared" si="10"/>
        <v>40</v>
      </c>
      <c r="L99" s="314" t="s">
        <v>504</v>
      </c>
      <c r="M99" s="314"/>
      <c r="N99" s="314"/>
      <c r="O99" s="314"/>
      <c r="P99" s="314"/>
      <c r="Q99" s="314"/>
      <c r="R99" s="314"/>
      <c r="S99" s="314"/>
      <c r="T99" s="314"/>
      <c r="U99" s="314"/>
      <c r="V99" s="350"/>
      <c r="W99" s="350"/>
      <c r="X99" s="350"/>
      <c r="Y99" s="350"/>
      <c r="Z99" s="307"/>
      <c r="AA99" s="350">
        <f t="shared" si="11"/>
        <v>0</v>
      </c>
      <c r="AB99" s="307"/>
      <c r="AC99" s="307"/>
      <c r="AD99" s="303"/>
      <c r="AE99" s="303"/>
      <c r="AF99" s="303"/>
      <c r="AG99" s="303"/>
      <c r="AH99" s="314"/>
      <c r="AI99" s="297">
        <f t="shared" si="12"/>
        <v>0</v>
      </c>
      <c r="AJ99" s="303"/>
      <c r="AK99" s="307"/>
      <c r="AL99" s="303"/>
      <c r="AM99" s="303"/>
      <c r="AN99" s="303"/>
      <c r="AO99" s="303"/>
      <c r="AP99" s="303"/>
      <c r="AQ99" s="289">
        <f t="shared" si="13"/>
        <v>0</v>
      </c>
      <c r="AR99" s="303"/>
      <c r="AS99" s="303"/>
      <c r="AT99" s="329"/>
      <c r="AU99" s="329"/>
      <c r="AV99" s="329"/>
      <c r="AW99" s="329"/>
      <c r="AX99" s="329"/>
      <c r="AY99" s="139">
        <f t="shared" si="14"/>
        <v>0</v>
      </c>
      <c r="AZ99" s="303"/>
      <c r="BA99" s="303"/>
      <c r="BB99" s="303" t="s">
        <v>519</v>
      </c>
      <c r="BC99" s="303" t="s">
        <v>519</v>
      </c>
      <c r="BD99" s="303" t="s">
        <v>519</v>
      </c>
      <c r="BE99" s="303" t="s">
        <v>510</v>
      </c>
      <c r="BF99" s="352">
        <v>0</v>
      </c>
      <c r="BG99" s="353">
        <f t="shared" si="15"/>
        <v>0</v>
      </c>
      <c r="BH99" s="303" t="s">
        <v>520</v>
      </c>
      <c r="BI99" s="301" t="s">
        <v>2015</v>
      </c>
      <c r="BJ99" s="354">
        <f t="shared" si="9"/>
        <v>1</v>
      </c>
      <c r="BK99" s="316" t="str">
        <f t="shared" si="16"/>
        <v>Habilitado</v>
      </c>
    </row>
    <row r="100" spans="1:63" ht="38.25" x14ac:dyDescent="0.25">
      <c r="A100" s="324">
        <v>98</v>
      </c>
      <c r="B100" s="345" t="s">
        <v>2016</v>
      </c>
      <c r="C100" s="357" t="s">
        <v>2014</v>
      </c>
      <c r="D100" s="360" t="s">
        <v>140</v>
      </c>
      <c r="E100" s="347">
        <v>1</v>
      </c>
      <c r="F100" s="314" t="s">
        <v>510</v>
      </c>
      <c r="G100" s="314" t="s">
        <v>510</v>
      </c>
      <c r="H100" s="314" t="s">
        <v>511</v>
      </c>
      <c r="I100" s="314" t="s">
        <v>510</v>
      </c>
      <c r="J100" s="406">
        <v>0</v>
      </c>
      <c r="K100" s="29">
        <f t="shared" si="10"/>
        <v>0</v>
      </c>
      <c r="L100" s="314" t="s">
        <v>504</v>
      </c>
      <c r="M100" s="407"/>
      <c r="N100" s="407"/>
      <c r="O100" s="407"/>
      <c r="P100" s="407"/>
      <c r="Q100" s="407"/>
      <c r="R100" s="407"/>
      <c r="S100" s="407"/>
      <c r="T100" s="407"/>
      <c r="U100" s="407"/>
      <c r="V100" s="350"/>
      <c r="W100" s="350"/>
      <c r="X100" s="350"/>
      <c r="Y100" s="350"/>
      <c r="Z100" s="307"/>
      <c r="AA100" s="350">
        <f t="shared" si="11"/>
        <v>0</v>
      </c>
      <c r="AB100" s="307"/>
      <c r="AC100" s="307"/>
      <c r="AD100" s="303"/>
      <c r="AE100" s="303"/>
      <c r="AF100" s="303"/>
      <c r="AG100" s="303"/>
      <c r="AH100" s="314"/>
      <c r="AI100" s="297">
        <f t="shared" si="12"/>
        <v>0</v>
      </c>
      <c r="AJ100" s="303"/>
      <c r="AK100" s="307"/>
      <c r="AL100" s="303"/>
      <c r="AM100" s="303"/>
      <c r="AN100" s="303"/>
      <c r="AO100" s="303"/>
      <c r="AP100" s="303"/>
      <c r="AQ100" s="289">
        <f t="shared" si="13"/>
        <v>0</v>
      </c>
      <c r="AR100" s="303"/>
      <c r="AS100" s="303"/>
      <c r="AT100" s="329"/>
      <c r="AU100" s="329"/>
      <c r="AV100" s="329"/>
      <c r="AW100" s="329"/>
      <c r="AX100" s="329"/>
      <c r="AY100" s="139">
        <f t="shared" si="14"/>
        <v>0</v>
      </c>
      <c r="AZ100" s="303"/>
      <c r="BA100" s="301"/>
      <c r="BB100" s="303" t="s">
        <v>519</v>
      </c>
      <c r="BC100" s="303" t="s">
        <v>519</v>
      </c>
      <c r="BD100" s="303" t="s">
        <v>519</v>
      </c>
      <c r="BE100" s="303" t="s">
        <v>510</v>
      </c>
      <c r="BF100" s="352">
        <v>0</v>
      </c>
      <c r="BG100" s="353">
        <f t="shared" si="15"/>
        <v>0</v>
      </c>
      <c r="BH100" s="303" t="s">
        <v>520</v>
      </c>
      <c r="BI100" s="301" t="s">
        <v>2015</v>
      </c>
      <c r="BJ100" s="354">
        <f t="shared" si="9"/>
        <v>1</v>
      </c>
      <c r="BK100" s="316" t="str">
        <f t="shared" si="16"/>
        <v>Habilitado</v>
      </c>
    </row>
    <row r="101" spans="1:63" ht="38.25" x14ac:dyDescent="0.25">
      <c r="A101" s="324">
        <v>99</v>
      </c>
      <c r="B101" s="345" t="s">
        <v>2017</v>
      </c>
      <c r="C101" s="380" t="s">
        <v>2018</v>
      </c>
      <c r="D101" s="329" t="s">
        <v>375</v>
      </c>
      <c r="E101" s="347">
        <v>1</v>
      </c>
      <c r="F101" s="314"/>
      <c r="G101" s="314"/>
      <c r="H101" s="314"/>
      <c r="I101" s="314"/>
      <c r="J101" s="314"/>
      <c r="K101" s="29">
        <f t="shared" si="10"/>
        <v>0</v>
      </c>
      <c r="L101" s="314"/>
      <c r="M101" s="407"/>
      <c r="N101" s="407"/>
      <c r="O101" s="407"/>
      <c r="P101" s="407"/>
      <c r="Q101" s="407"/>
      <c r="R101" s="407"/>
      <c r="S101" s="407"/>
      <c r="T101" s="407"/>
      <c r="U101" s="407"/>
      <c r="V101" s="350"/>
      <c r="W101" s="350"/>
      <c r="X101" s="350"/>
      <c r="Y101" s="350"/>
      <c r="Z101" s="307"/>
      <c r="AA101" s="350">
        <f t="shared" si="11"/>
        <v>0</v>
      </c>
      <c r="AB101" s="307"/>
      <c r="AC101" s="307"/>
      <c r="AD101" s="303" t="s">
        <v>519</v>
      </c>
      <c r="AE101" s="303" t="s">
        <v>519</v>
      </c>
      <c r="AF101" s="303" t="s">
        <v>519</v>
      </c>
      <c r="AG101" s="303" t="s">
        <v>510</v>
      </c>
      <c r="AH101" s="314">
        <v>0</v>
      </c>
      <c r="AI101" s="297">
        <f t="shared" si="12"/>
        <v>0</v>
      </c>
      <c r="AJ101" s="303" t="s">
        <v>520</v>
      </c>
      <c r="AK101" s="306" t="s">
        <v>1903</v>
      </c>
      <c r="AL101" s="303"/>
      <c r="AM101" s="303"/>
      <c r="AN101" s="303"/>
      <c r="AO101" s="303"/>
      <c r="AP101" s="303"/>
      <c r="AQ101" s="289">
        <f t="shared" si="13"/>
        <v>0</v>
      </c>
      <c r="AR101" s="303"/>
      <c r="AS101" s="303"/>
      <c r="AT101" s="329"/>
      <c r="AU101" s="329"/>
      <c r="AV101" s="329"/>
      <c r="AW101" s="329"/>
      <c r="AX101" s="329"/>
      <c r="AY101" s="139">
        <f t="shared" si="14"/>
        <v>0</v>
      </c>
      <c r="AZ101" s="303"/>
      <c r="BA101" s="301"/>
      <c r="BB101" s="303" t="s">
        <v>519</v>
      </c>
      <c r="BC101" s="303" t="s">
        <v>519</v>
      </c>
      <c r="BD101" s="303" t="s">
        <v>519</v>
      </c>
      <c r="BE101" s="303" t="s">
        <v>510</v>
      </c>
      <c r="BF101" s="352">
        <v>0</v>
      </c>
      <c r="BG101" s="353">
        <f t="shared" si="15"/>
        <v>0</v>
      </c>
      <c r="BH101" s="303" t="s">
        <v>520</v>
      </c>
      <c r="BI101" s="301" t="s">
        <v>2015</v>
      </c>
      <c r="BJ101" s="354">
        <f t="shared" si="9"/>
        <v>0</v>
      </c>
      <c r="BK101" s="316" t="str">
        <f t="shared" si="16"/>
        <v>Desierto</v>
      </c>
    </row>
    <row r="102" spans="1:63" ht="38.25" x14ac:dyDescent="0.25">
      <c r="A102" s="324">
        <v>100</v>
      </c>
      <c r="B102" s="345" t="s">
        <v>2019</v>
      </c>
      <c r="C102" s="335" t="s">
        <v>518</v>
      </c>
      <c r="D102" s="360" t="s">
        <v>140</v>
      </c>
      <c r="E102" s="347">
        <v>1</v>
      </c>
      <c r="F102" s="314"/>
      <c r="G102" s="314"/>
      <c r="H102" s="314"/>
      <c r="I102" s="314"/>
      <c r="J102" s="314"/>
      <c r="K102" s="29">
        <f t="shared" si="10"/>
        <v>0</v>
      </c>
      <c r="L102" s="314"/>
      <c r="M102" s="314"/>
      <c r="N102" s="314"/>
      <c r="O102" s="314"/>
      <c r="P102" s="314"/>
      <c r="Q102" s="314"/>
      <c r="R102" s="314"/>
      <c r="S102" s="314"/>
      <c r="T102" s="314"/>
      <c r="U102" s="314"/>
      <c r="V102" s="350"/>
      <c r="W102" s="350"/>
      <c r="X102" s="350"/>
      <c r="Y102" s="350"/>
      <c r="Z102" s="307"/>
      <c r="AA102" s="350">
        <f t="shared" si="11"/>
        <v>0</v>
      </c>
      <c r="AB102" s="307"/>
      <c r="AC102" s="307"/>
      <c r="AD102" s="303" t="s">
        <v>510</v>
      </c>
      <c r="AE102" s="303" t="s">
        <v>510</v>
      </c>
      <c r="AF102" s="303" t="s">
        <v>511</v>
      </c>
      <c r="AG102" s="303" t="s">
        <v>510</v>
      </c>
      <c r="AH102" s="314">
        <v>0</v>
      </c>
      <c r="AI102" s="297">
        <f t="shared" si="12"/>
        <v>0</v>
      </c>
      <c r="AJ102" s="303" t="s">
        <v>504</v>
      </c>
      <c r="AK102" s="303"/>
      <c r="AL102" s="303"/>
      <c r="AM102" s="303"/>
      <c r="AN102" s="303"/>
      <c r="AO102" s="303"/>
      <c r="AP102" s="303"/>
      <c r="AQ102" s="289">
        <f t="shared" si="13"/>
        <v>0</v>
      </c>
      <c r="AR102" s="303"/>
      <c r="AS102" s="303"/>
      <c r="AT102" s="329"/>
      <c r="AU102" s="329"/>
      <c r="AV102" s="329"/>
      <c r="AW102" s="329"/>
      <c r="AX102" s="329"/>
      <c r="AY102" s="139">
        <f t="shared" si="14"/>
        <v>0</v>
      </c>
      <c r="AZ102" s="303"/>
      <c r="BA102" s="303"/>
      <c r="BB102" s="356" t="s">
        <v>519</v>
      </c>
      <c r="BC102" s="356" t="s">
        <v>519</v>
      </c>
      <c r="BD102" s="356" t="s">
        <v>511</v>
      </c>
      <c r="BE102" s="303" t="s">
        <v>510</v>
      </c>
      <c r="BF102" s="352">
        <v>0</v>
      </c>
      <c r="BG102" s="353">
        <f t="shared" si="15"/>
        <v>0</v>
      </c>
      <c r="BH102" s="303" t="s">
        <v>520</v>
      </c>
      <c r="BI102" s="303" t="s">
        <v>1877</v>
      </c>
      <c r="BJ102" s="354">
        <f t="shared" si="9"/>
        <v>1</v>
      </c>
      <c r="BK102" s="316" t="str">
        <f t="shared" si="16"/>
        <v>Habilitado</v>
      </c>
    </row>
    <row r="103" spans="1:63" ht="25.5" x14ac:dyDescent="0.25">
      <c r="A103" s="324">
        <v>101</v>
      </c>
      <c r="B103" s="345" t="s">
        <v>2020</v>
      </c>
      <c r="C103" s="335" t="s">
        <v>518</v>
      </c>
      <c r="D103" s="360" t="s">
        <v>1819</v>
      </c>
      <c r="E103" s="347">
        <v>1</v>
      </c>
      <c r="F103" s="314" t="s">
        <v>510</v>
      </c>
      <c r="G103" s="314" t="s">
        <v>510</v>
      </c>
      <c r="H103" s="314" t="s">
        <v>511</v>
      </c>
      <c r="I103" s="314" t="s">
        <v>510</v>
      </c>
      <c r="J103" s="314">
        <v>40</v>
      </c>
      <c r="K103" s="29">
        <f t="shared" si="10"/>
        <v>40</v>
      </c>
      <c r="L103" s="314" t="s">
        <v>504</v>
      </c>
      <c r="M103" s="314"/>
      <c r="N103" s="314"/>
      <c r="O103" s="314"/>
      <c r="P103" s="314"/>
      <c r="Q103" s="314"/>
      <c r="R103" s="314"/>
      <c r="S103" s="314"/>
      <c r="T103" s="314"/>
      <c r="U103" s="314"/>
      <c r="V103" s="350"/>
      <c r="W103" s="350"/>
      <c r="X103" s="350"/>
      <c r="Y103" s="350"/>
      <c r="Z103" s="307"/>
      <c r="AA103" s="350">
        <f t="shared" si="11"/>
        <v>0</v>
      </c>
      <c r="AB103" s="307"/>
      <c r="AC103" s="307"/>
      <c r="AD103" s="303" t="s">
        <v>510</v>
      </c>
      <c r="AE103" s="303" t="s">
        <v>510</v>
      </c>
      <c r="AF103" s="303" t="s">
        <v>511</v>
      </c>
      <c r="AG103" s="303" t="s">
        <v>510</v>
      </c>
      <c r="AH103" s="314">
        <v>0</v>
      </c>
      <c r="AI103" s="297">
        <f t="shared" si="12"/>
        <v>0</v>
      </c>
      <c r="AJ103" s="303" t="s">
        <v>504</v>
      </c>
      <c r="AK103" s="303"/>
      <c r="AL103" s="303"/>
      <c r="AM103" s="303"/>
      <c r="AN103" s="303"/>
      <c r="AO103" s="303"/>
      <c r="AP103" s="303"/>
      <c r="AQ103" s="289">
        <f t="shared" si="13"/>
        <v>0</v>
      </c>
      <c r="AR103" s="303"/>
      <c r="AS103" s="303"/>
      <c r="AT103" s="329"/>
      <c r="AU103" s="329"/>
      <c r="AV103" s="329"/>
      <c r="AW103" s="329"/>
      <c r="AX103" s="329"/>
      <c r="AY103" s="139">
        <f t="shared" si="14"/>
        <v>0</v>
      </c>
      <c r="AZ103" s="303"/>
      <c r="BA103" s="303"/>
      <c r="BB103" s="356" t="s">
        <v>519</v>
      </c>
      <c r="BC103" s="356" t="s">
        <v>519</v>
      </c>
      <c r="BD103" s="356" t="s">
        <v>511</v>
      </c>
      <c r="BE103" s="303" t="s">
        <v>510</v>
      </c>
      <c r="BF103" s="352">
        <v>0</v>
      </c>
      <c r="BG103" s="353">
        <f t="shared" si="15"/>
        <v>0</v>
      </c>
      <c r="BH103" s="303" t="s">
        <v>520</v>
      </c>
      <c r="BI103" s="303" t="s">
        <v>1877</v>
      </c>
      <c r="BJ103" s="354">
        <f t="shared" si="9"/>
        <v>2</v>
      </c>
      <c r="BK103" s="316" t="str">
        <f t="shared" si="16"/>
        <v>Habilitado</v>
      </c>
    </row>
    <row r="104" spans="1:63" ht="25.5" x14ac:dyDescent="0.25">
      <c r="A104" s="324">
        <v>102</v>
      </c>
      <c r="B104" s="345" t="s">
        <v>2021</v>
      </c>
      <c r="C104" s="335" t="s">
        <v>2022</v>
      </c>
      <c r="D104" s="360" t="s">
        <v>140</v>
      </c>
      <c r="E104" s="347">
        <v>1</v>
      </c>
      <c r="F104" s="314" t="s">
        <v>510</v>
      </c>
      <c r="G104" s="314" t="s">
        <v>510</v>
      </c>
      <c r="H104" s="314" t="s">
        <v>510</v>
      </c>
      <c r="I104" s="314" t="s">
        <v>510</v>
      </c>
      <c r="J104" s="314">
        <v>40</v>
      </c>
      <c r="K104" s="29">
        <f t="shared" si="10"/>
        <v>40</v>
      </c>
      <c r="L104" s="314" t="s">
        <v>504</v>
      </c>
      <c r="M104" s="314"/>
      <c r="N104" s="314"/>
      <c r="O104" s="314"/>
      <c r="P104" s="314"/>
      <c r="Q104" s="314"/>
      <c r="R104" s="314"/>
      <c r="S104" s="314"/>
      <c r="T104" s="314"/>
      <c r="U104" s="314"/>
      <c r="V104" s="350"/>
      <c r="W104" s="350"/>
      <c r="X104" s="350"/>
      <c r="Y104" s="350"/>
      <c r="Z104" s="307"/>
      <c r="AA104" s="350">
        <f t="shared" si="11"/>
        <v>0</v>
      </c>
      <c r="AB104" s="307"/>
      <c r="AC104" s="307"/>
      <c r="AD104" s="303" t="s">
        <v>510</v>
      </c>
      <c r="AE104" s="303" t="s">
        <v>510</v>
      </c>
      <c r="AF104" s="303" t="s">
        <v>510</v>
      </c>
      <c r="AG104" s="303" t="s">
        <v>510</v>
      </c>
      <c r="AH104" s="314">
        <v>0</v>
      </c>
      <c r="AI104" s="297">
        <f t="shared" si="12"/>
        <v>0</v>
      </c>
      <c r="AJ104" s="303" t="s">
        <v>504</v>
      </c>
      <c r="AK104" s="301"/>
      <c r="AL104" s="303"/>
      <c r="AM104" s="303"/>
      <c r="AN104" s="303"/>
      <c r="AO104" s="303"/>
      <c r="AP104" s="303"/>
      <c r="AQ104" s="289">
        <f t="shared" si="13"/>
        <v>0</v>
      </c>
      <c r="AR104" s="303"/>
      <c r="AS104" s="303"/>
      <c r="AT104" s="329"/>
      <c r="AU104" s="329"/>
      <c r="AV104" s="329"/>
      <c r="AW104" s="329"/>
      <c r="AX104" s="329"/>
      <c r="AY104" s="139">
        <f t="shared" si="14"/>
        <v>0</v>
      </c>
      <c r="AZ104" s="303"/>
      <c r="BA104" s="303"/>
      <c r="BB104" s="303" t="s">
        <v>510</v>
      </c>
      <c r="BC104" s="303" t="s">
        <v>510</v>
      </c>
      <c r="BD104" s="303" t="s">
        <v>510</v>
      </c>
      <c r="BE104" s="303" t="s">
        <v>510</v>
      </c>
      <c r="BF104" s="352">
        <v>0</v>
      </c>
      <c r="BG104" s="353">
        <f t="shared" si="15"/>
        <v>0</v>
      </c>
      <c r="BH104" s="303" t="s">
        <v>504</v>
      </c>
      <c r="BI104" s="303"/>
      <c r="BJ104" s="354">
        <f t="shared" si="9"/>
        <v>3</v>
      </c>
      <c r="BK104" s="316" t="str">
        <f t="shared" si="16"/>
        <v>Habilitado</v>
      </c>
    </row>
    <row r="105" spans="1:63" ht="25.5" x14ac:dyDescent="0.25">
      <c r="A105" s="324">
        <v>103</v>
      </c>
      <c r="B105" s="345" t="s">
        <v>2023</v>
      </c>
      <c r="C105" s="335" t="s">
        <v>2022</v>
      </c>
      <c r="D105" s="360" t="s">
        <v>140</v>
      </c>
      <c r="E105" s="347">
        <v>1</v>
      </c>
      <c r="F105" s="314"/>
      <c r="G105" s="314"/>
      <c r="H105" s="314"/>
      <c r="I105" s="314"/>
      <c r="J105" s="314"/>
      <c r="K105" s="29">
        <f t="shared" si="10"/>
        <v>0</v>
      </c>
      <c r="L105" s="314"/>
      <c r="M105" s="314"/>
      <c r="N105" s="314"/>
      <c r="O105" s="314"/>
      <c r="P105" s="314"/>
      <c r="Q105" s="314"/>
      <c r="R105" s="314"/>
      <c r="S105" s="314"/>
      <c r="T105" s="314"/>
      <c r="U105" s="314"/>
      <c r="V105" s="350"/>
      <c r="W105" s="350"/>
      <c r="X105" s="350"/>
      <c r="Y105" s="350"/>
      <c r="Z105" s="307"/>
      <c r="AA105" s="350">
        <f t="shared" si="11"/>
        <v>0</v>
      </c>
      <c r="AB105" s="307"/>
      <c r="AC105" s="307"/>
      <c r="AD105" s="303" t="s">
        <v>510</v>
      </c>
      <c r="AE105" s="303" t="s">
        <v>510</v>
      </c>
      <c r="AF105" s="303" t="s">
        <v>510</v>
      </c>
      <c r="AG105" s="303" t="s">
        <v>510</v>
      </c>
      <c r="AH105" s="314">
        <v>0</v>
      </c>
      <c r="AI105" s="297">
        <f t="shared" si="12"/>
        <v>0</v>
      </c>
      <c r="AJ105" s="303" t="s">
        <v>504</v>
      </c>
      <c r="AK105" s="301"/>
      <c r="AL105" s="303"/>
      <c r="AM105" s="303"/>
      <c r="AN105" s="303"/>
      <c r="AO105" s="303"/>
      <c r="AP105" s="303"/>
      <c r="AQ105" s="289">
        <f t="shared" si="13"/>
        <v>0</v>
      </c>
      <c r="AR105" s="303"/>
      <c r="AS105" s="303"/>
      <c r="AT105" s="329"/>
      <c r="AU105" s="329"/>
      <c r="AV105" s="329"/>
      <c r="AW105" s="329"/>
      <c r="AX105" s="329"/>
      <c r="AY105" s="139">
        <f t="shared" si="14"/>
        <v>0</v>
      </c>
      <c r="AZ105" s="303"/>
      <c r="BA105" s="303"/>
      <c r="BB105" s="356" t="s">
        <v>519</v>
      </c>
      <c r="BC105" s="356" t="s">
        <v>519</v>
      </c>
      <c r="BD105" s="356" t="s">
        <v>519</v>
      </c>
      <c r="BE105" s="303" t="s">
        <v>510</v>
      </c>
      <c r="BF105" s="352">
        <v>0</v>
      </c>
      <c r="BG105" s="353">
        <f t="shared" si="15"/>
        <v>0</v>
      </c>
      <c r="BH105" s="303" t="s">
        <v>520</v>
      </c>
      <c r="BI105" s="303" t="s">
        <v>1877</v>
      </c>
      <c r="BJ105" s="354">
        <f t="shared" si="9"/>
        <v>1</v>
      </c>
      <c r="BK105" s="316" t="str">
        <f t="shared" si="16"/>
        <v>Habilitado</v>
      </c>
    </row>
    <row r="106" spans="1:63" ht="89.25" x14ac:dyDescent="0.25">
      <c r="A106" s="324">
        <v>104</v>
      </c>
      <c r="B106" s="345" t="s">
        <v>2024</v>
      </c>
      <c r="C106" s="335" t="s">
        <v>2025</v>
      </c>
      <c r="D106" s="360" t="s">
        <v>140</v>
      </c>
      <c r="E106" s="347">
        <v>1</v>
      </c>
      <c r="F106" s="314" t="s">
        <v>510</v>
      </c>
      <c r="G106" s="314" t="s">
        <v>510</v>
      </c>
      <c r="H106" s="314" t="s">
        <v>511</v>
      </c>
      <c r="I106" s="314" t="s">
        <v>510</v>
      </c>
      <c r="J106" s="314">
        <v>40</v>
      </c>
      <c r="K106" s="29">
        <f t="shared" si="10"/>
        <v>40</v>
      </c>
      <c r="L106" s="314" t="s">
        <v>504</v>
      </c>
      <c r="M106" s="314"/>
      <c r="N106" s="314"/>
      <c r="O106" s="314"/>
      <c r="P106" s="314"/>
      <c r="Q106" s="314"/>
      <c r="R106" s="314"/>
      <c r="S106" s="314"/>
      <c r="T106" s="314"/>
      <c r="U106" s="314"/>
      <c r="V106" s="350"/>
      <c r="W106" s="350"/>
      <c r="X106" s="350"/>
      <c r="Y106" s="350"/>
      <c r="Z106" s="307"/>
      <c r="AA106" s="350">
        <f t="shared" si="11"/>
        <v>0</v>
      </c>
      <c r="AB106" s="307"/>
      <c r="AC106" s="307"/>
      <c r="AD106" s="303"/>
      <c r="AE106" s="303"/>
      <c r="AF106" s="303"/>
      <c r="AG106" s="303"/>
      <c r="AH106" s="314"/>
      <c r="AI106" s="297">
        <f t="shared" si="12"/>
        <v>0</v>
      </c>
      <c r="AJ106" s="303"/>
      <c r="AK106" s="303"/>
      <c r="AL106" s="303"/>
      <c r="AM106" s="303"/>
      <c r="AN106" s="303"/>
      <c r="AO106" s="303"/>
      <c r="AP106" s="303"/>
      <c r="AQ106" s="289">
        <f t="shared" si="13"/>
        <v>0</v>
      </c>
      <c r="AR106" s="303"/>
      <c r="AS106" s="303"/>
      <c r="AT106" s="329"/>
      <c r="AU106" s="329"/>
      <c r="AV106" s="329"/>
      <c r="AW106" s="329"/>
      <c r="AX106" s="329"/>
      <c r="AY106" s="139">
        <f t="shared" si="14"/>
        <v>0</v>
      </c>
      <c r="AZ106" s="303"/>
      <c r="BA106" s="303"/>
      <c r="BB106" s="303"/>
      <c r="BC106" s="303"/>
      <c r="BD106" s="303"/>
      <c r="BE106" s="303"/>
      <c r="BF106" s="303"/>
      <c r="BG106" s="353">
        <f t="shared" si="15"/>
        <v>0</v>
      </c>
      <c r="BH106" s="303"/>
      <c r="BI106" s="303"/>
      <c r="BJ106" s="354">
        <f t="shared" si="9"/>
        <v>1</v>
      </c>
      <c r="BK106" s="316" t="str">
        <f t="shared" si="16"/>
        <v>Habilitado</v>
      </c>
    </row>
    <row r="107" spans="1:63" ht="51" x14ac:dyDescent="0.25">
      <c r="A107" s="324">
        <v>105</v>
      </c>
      <c r="B107" s="345" t="s">
        <v>2026</v>
      </c>
      <c r="C107" s="335" t="s">
        <v>2027</v>
      </c>
      <c r="D107" s="360" t="s">
        <v>140</v>
      </c>
      <c r="E107" s="347">
        <v>1</v>
      </c>
      <c r="F107" s="314"/>
      <c r="G107" s="314"/>
      <c r="H107" s="314"/>
      <c r="I107" s="314"/>
      <c r="J107" s="314"/>
      <c r="K107" s="29">
        <f t="shared" si="10"/>
        <v>0</v>
      </c>
      <c r="L107" s="314"/>
      <c r="M107" s="314"/>
      <c r="N107" s="314"/>
      <c r="O107" s="314"/>
      <c r="P107" s="314"/>
      <c r="Q107" s="314"/>
      <c r="R107" s="314"/>
      <c r="S107" s="314"/>
      <c r="T107" s="314"/>
      <c r="U107" s="314"/>
      <c r="V107" s="350"/>
      <c r="W107" s="350"/>
      <c r="X107" s="350"/>
      <c r="Y107" s="350"/>
      <c r="Z107" s="307"/>
      <c r="AA107" s="350">
        <f t="shared" si="11"/>
        <v>0</v>
      </c>
      <c r="AB107" s="307"/>
      <c r="AC107" s="307"/>
      <c r="AD107" s="303" t="s">
        <v>510</v>
      </c>
      <c r="AE107" s="303" t="s">
        <v>510</v>
      </c>
      <c r="AF107" s="303" t="s">
        <v>519</v>
      </c>
      <c r="AG107" s="303" t="s">
        <v>510</v>
      </c>
      <c r="AH107" s="314">
        <v>0</v>
      </c>
      <c r="AI107" s="297">
        <f t="shared" si="12"/>
        <v>0</v>
      </c>
      <c r="AJ107" s="303" t="s">
        <v>520</v>
      </c>
      <c r="AK107" s="301" t="s">
        <v>2028</v>
      </c>
      <c r="AL107" s="303"/>
      <c r="AM107" s="303"/>
      <c r="AN107" s="303"/>
      <c r="AO107" s="303"/>
      <c r="AP107" s="303"/>
      <c r="AQ107" s="289">
        <f t="shared" si="13"/>
        <v>0</v>
      </c>
      <c r="AR107" s="303"/>
      <c r="AS107" s="303"/>
      <c r="AT107" s="329"/>
      <c r="AU107" s="329"/>
      <c r="AV107" s="329"/>
      <c r="AW107" s="329"/>
      <c r="AX107" s="329"/>
      <c r="AY107" s="139">
        <f t="shared" si="14"/>
        <v>0</v>
      </c>
      <c r="AZ107" s="303"/>
      <c r="BA107" s="303"/>
      <c r="BB107" s="356" t="s">
        <v>519</v>
      </c>
      <c r="BC107" s="356" t="s">
        <v>519</v>
      </c>
      <c r="BD107" s="356" t="s">
        <v>519</v>
      </c>
      <c r="BE107" s="303" t="s">
        <v>510</v>
      </c>
      <c r="BF107" s="352">
        <v>0</v>
      </c>
      <c r="BG107" s="353">
        <f t="shared" si="15"/>
        <v>0</v>
      </c>
      <c r="BH107" s="303" t="s">
        <v>520</v>
      </c>
      <c r="BI107" s="303" t="s">
        <v>1877</v>
      </c>
      <c r="BJ107" s="354">
        <f t="shared" si="9"/>
        <v>0</v>
      </c>
      <c r="BK107" s="316" t="str">
        <f t="shared" si="16"/>
        <v>Desierto</v>
      </c>
    </row>
    <row r="108" spans="1:63" ht="66.75" customHeight="1" x14ac:dyDescent="0.25">
      <c r="A108" s="324">
        <v>106</v>
      </c>
      <c r="B108" s="345" t="s">
        <v>2029</v>
      </c>
      <c r="C108" s="335" t="s">
        <v>2030</v>
      </c>
      <c r="D108" s="360" t="s">
        <v>140</v>
      </c>
      <c r="E108" s="347">
        <v>1</v>
      </c>
      <c r="F108" s="314"/>
      <c r="G108" s="314"/>
      <c r="H108" s="314"/>
      <c r="I108" s="314"/>
      <c r="J108" s="314"/>
      <c r="K108" s="29">
        <f t="shared" si="10"/>
        <v>0</v>
      </c>
      <c r="L108" s="314"/>
      <c r="M108" s="314"/>
      <c r="N108" s="314"/>
      <c r="O108" s="314"/>
      <c r="P108" s="314"/>
      <c r="Q108" s="314"/>
      <c r="R108" s="314"/>
      <c r="S108" s="314"/>
      <c r="T108" s="314"/>
      <c r="U108" s="314"/>
      <c r="V108" s="350"/>
      <c r="W108" s="350"/>
      <c r="X108" s="350"/>
      <c r="Y108" s="350"/>
      <c r="Z108" s="307"/>
      <c r="AA108" s="350">
        <f t="shared" si="11"/>
        <v>0</v>
      </c>
      <c r="AB108" s="307"/>
      <c r="AC108" s="307"/>
      <c r="AD108" s="303"/>
      <c r="AE108" s="303"/>
      <c r="AF108" s="303"/>
      <c r="AG108" s="303"/>
      <c r="AH108" s="314"/>
      <c r="AI108" s="297">
        <f t="shared" si="12"/>
        <v>0</v>
      </c>
      <c r="AJ108" s="303"/>
      <c r="AK108" s="303"/>
      <c r="AL108" s="303"/>
      <c r="AM108" s="303"/>
      <c r="AN108" s="303"/>
      <c r="AO108" s="303"/>
      <c r="AP108" s="303"/>
      <c r="AQ108" s="289">
        <f t="shared" si="13"/>
        <v>0</v>
      </c>
      <c r="AR108" s="303"/>
      <c r="AS108" s="303"/>
      <c r="AT108" s="329"/>
      <c r="AU108" s="329"/>
      <c r="AV108" s="329"/>
      <c r="AW108" s="329"/>
      <c r="AX108" s="329"/>
      <c r="AY108" s="139">
        <f t="shared" si="14"/>
        <v>0</v>
      </c>
      <c r="AZ108" s="303"/>
      <c r="BA108" s="303"/>
      <c r="BB108" s="303"/>
      <c r="BC108" s="303"/>
      <c r="BD108" s="303"/>
      <c r="BE108" s="303"/>
      <c r="BF108" s="303"/>
      <c r="BG108" s="353">
        <f t="shared" si="15"/>
        <v>0</v>
      </c>
      <c r="BH108" s="303"/>
      <c r="BI108" s="303"/>
      <c r="BJ108" s="354">
        <f t="shared" si="9"/>
        <v>0</v>
      </c>
      <c r="BK108" s="316" t="str">
        <f t="shared" si="16"/>
        <v>Desierto</v>
      </c>
    </row>
    <row r="109" spans="1:63" ht="25.5" x14ac:dyDescent="0.25">
      <c r="A109" s="324">
        <v>107</v>
      </c>
      <c r="B109" s="345" t="s">
        <v>2031</v>
      </c>
      <c r="C109" s="335" t="s">
        <v>518</v>
      </c>
      <c r="D109" s="360" t="s">
        <v>140</v>
      </c>
      <c r="E109" s="347">
        <v>1</v>
      </c>
      <c r="F109" s="314"/>
      <c r="G109" s="314"/>
      <c r="H109" s="314"/>
      <c r="I109" s="314"/>
      <c r="J109" s="314"/>
      <c r="K109" s="29">
        <f t="shared" si="10"/>
        <v>0</v>
      </c>
      <c r="L109" s="314"/>
      <c r="M109" s="314"/>
      <c r="N109" s="314"/>
      <c r="O109" s="314"/>
      <c r="P109" s="314"/>
      <c r="Q109" s="314"/>
      <c r="R109" s="314"/>
      <c r="S109" s="314"/>
      <c r="T109" s="314"/>
      <c r="U109" s="314"/>
      <c r="V109" s="350"/>
      <c r="W109" s="350"/>
      <c r="X109" s="350"/>
      <c r="Y109" s="350"/>
      <c r="Z109" s="307"/>
      <c r="AA109" s="350">
        <f t="shared" si="11"/>
        <v>0</v>
      </c>
      <c r="AB109" s="307"/>
      <c r="AC109" s="307"/>
      <c r="AD109" s="303" t="s">
        <v>510</v>
      </c>
      <c r="AE109" s="303" t="s">
        <v>510</v>
      </c>
      <c r="AF109" s="303" t="s">
        <v>511</v>
      </c>
      <c r="AG109" s="303" t="s">
        <v>510</v>
      </c>
      <c r="AH109" s="314">
        <v>0</v>
      </c>
      <c r="AI109" s="297">
        <f t="shared" si="12"/>
        <v>0</v>
      </c>
      <c r="AJ109" s="303" t="s">
        <v>504</v>
      </c>
      <c r="AK109" s="303"/>
      <c r="AL109" s="303"/>
      <c r="AM109" s="303"/>
      <c r="AN109" s="303"/>
      <c r="AO109" s="303"/>
      <c r="AP109" s="303"/>
      <c r="AQ109" s="289">
        <f t="shared" si="13"/>
        <v>0</v>
      </c>
      <c r="AR109" s="303"/>
      <c r="AS109" s="303"/>
      <c r="AT109" s="329"/>
      <c r="AU109" s="329"/>
      <c r="AV109" s="329"/>
      <c r="AW109" s="329"/>
      <c r="AX109" s="329"/>
      <c r="AY109" s="139">
        <f t="shared" si="14"/>
        <v>0</v>
      </c>
      <c r="AZ109" s="303"/>
      <c r="BA109" s="303"/>
      <c r="BB109" s="356" t="s">
        <v>519</v>
      </c>
      <c r="BC109" s="356" t="s">
        <v>519</v>
      </c>
      <c r="BD109" s="356" t="s">
        <v>511</v>
      </c>
      <c r="BE109" s="303" t="s">
        <v>510</v>
      </c>
      <c r="BF109" s="367">
        <v>0</v>
      </c>
      <c r="BG109" s="353">
        <f t="shared" si="15"/>
        <v>0</v>
      </c>
      <c r="BH109" s="303" t="s">
        <v>520</v>
      </c>
      <c r="BI109" s="303" t="s">
        <v>1877</v>
      </c>
      <c r="BJ109" s="354">
        <f t="shared" si="9"/>
        <v>1</v>
      </c>
      <c r="BK109" s="316" t="str">
        <f t="shared" si="16"/>
        <v>Habilitado</v>
      </c>
    </row>
    <row r="110" spans="1:63" ht="38.25" x14ac:dyDescent="0.25">
      <c r="A110" s="324">
        <v>108</v>
      </c>
      <c r="B110" s="345" t="s">
        <v>2032</v>
      </c>
      <c r="C110" s="335" t="s">
        <v>2005</v>
      </c>
      <c r="D110" s="357" t="s">
        <v>140</v>
      </c>
      <c r="E110" s="347">
        <v>1</v>
      </c>
      <c r="F110" s="314" t="s">
        <v>510</v>
      </c>
      <c r="G110" s="314" t="s">
        <v>510</v>
      </c>
      <c r="H110" s="314" t="s">
        <v>511</v>
      </c>
      <c r="I110" s="314" t="s">
        <v>510</v>
      </c>
      <c r="J110" s="314">
        <v>40</v>
      </c>
      <c r="K110" s="29">
        <f t="shared" si="10"/>
        <v>40</v>
      </c>
      <c r="L110" s="314" t="s">
        <v>504</v>
      </c>
      <c r="M110" s="314"/>
      <c r="N110" s="314"/>
      <c r="O110" s="314"/>
      <c r="P110" s="314"/>
      <c r="Q110" s="314"/>
      <c r="R110" s="314"/>
      <c r="S110" s="314"/>
      <c r="T110" s="314"/>
      <c r="U110" s="314"/>
      <c r="V110" s="350"/>
      <c r="W110" s="350"/>
      <c r="X110" s="350"/>
      <c r="Y110" s="350"/>
      <c r="Z110" s="307"/>
      <c r="AA110" s="350">
        <f t="shared" si="11"/>
        <v>0</v>
      </c>
      <c r="AB110" s="307"/>
      <c r="AC110" s="307"/>
      <c r="AD110" s="303" t="s">
        <v>510</v>
      </c>
      <c r="AE110" s="303" t="s">
        <v>510</v>
      </c>
      <c r="AF110" s="303" t="s">
        <v>511</v>
      </c>
      <c r="AG110" s="303" t="s">
        <v>510</v>
      </c>
      <c r="AH110" s="314">
        <v>0</v>
      </c>
      <c r="AI110" s="297">
        <f t="shared" si="12"/>
        <v>0</v>
      </c>
      <c r="AJ110" s="303" t="s">
        <v>504</v>
      </c>
      <c r="AK110" s="303"/>
      <c r="AL110" s="303"/>
      <c r="AM110" s="303"/>
      <c r="AN110" s="303"/>
      <c r="AO110" s="303"/>
      <c r="AP110" s="303"/>
      <c r="AQ110" s="289">
        <f t="shared" si="13"/>
        <v>0</v>
      </c>
      <c r="AR110" s="303"/>
      <c r="AS110" s="303"/>
      <c r="AT110" s="329"/>
      <c r="AU110" s="329"/>
      <c r="AV110" s="329"/>
      <c r="AW110" s="329"/>
      <c r="AX110" s="329"/>
      <c r="AY110" s="139">
        <f t="shared" si="14"/>
        <v>0</v>
      </c>
      <c r="AZ110" s="303"/>
      <c r="BA110" s="303"/>
      <c r="BB110" s="356" t="s">
        <v>519</v>
      </c>
      <c r="BC110" s="356" t="s">
        <v>519</v>
      </c>
      <c r="BD110" s="356" t="s">
        <v>511</v>
      </c>
      <c r="BE110" s="303" t="s">
        <v>510</v>
      </c>
      <c r="BF110" s="352">
        <v>0</v>
      </c>
      <c r="BG110" s="353">
        <f t="shared" si="15"/>
        <v>0</v>
      </c>
      <c r="BH110" s="303" t="s">
        <v>520</v>
      </c>
      <c r="BI110" s="303" t="s">
        <v>1877</v>
      </c>
      <c r="BJ110" s="354">
        <f t="shared" si="9"/>
        <v>2</v>
      </c>
      <c r="BK110" s="316" t="str">
        <f t="shared" si="16"/>
        <v>Habilitado</v>
      </c>
    </row>
    <row r="111" spans="1:63" ht="38.25" x14ac:dyDescent="0.25">
      <c r="A111" s="324">
        <v>109</v>
      </c>
      <c r="B111" s="345" t="s">
        <v>2033</v>
      </c>
      <c r="C111" s="335" t="s">
        <v>2005</v>
      </c>
      <c r="D111" s="360" t="s">
        <v>140</v>
      </c>
      <c r="E111" s="347">
        <v>1</v>
      </c>
      <c r="F111" s="314" t="s">
        <v>510</v>
      </c>
      <c r="G111" s="314" t="s">
        <v>510</v>
      </c>
      <c r="H111" s="314" t="s">
        <v>511</v>
      </c>
      <c r="I111" s="314" t="s">
        <v>510</v>
      </c>
      <c r="J111" s="314">
        <v>40</v>
      </c>
      <c r="K111" s="29">
        <f t="shared" si="10"/>
        <v>40</v>
      </c>
      <c r="L111" s="314" t="s">
        <v>504</v>
      </c>
      <c r="M111" s="314"/>
      <c r="N111" s="314"/>
      <c r="O111" s="314"/>
      <c r="P111" s="314"/>
      <c r="Q111" s="314"/>
      <c r="R111" s="314"/>
      <c r="S111" s="314"/>
      <c r="T111" s="314"/>
      <c r="U111" s="314"/>
      <c r="V111" s="350"/>
      <c r="W111" s="350"/>
      <c r="X111" s="350"/>
      <c r="Y111" s="350"/>
      <c r="Z111" s="307"/>
      <c r="AA111" s="350">
        <f t="shared" si="11"/>
        <v>0</v>
      </c>
      <c r="AB111" s="307"/>
      <c r="AC111" s="307"/>
      <c r="AD111" s="303" t="s">
        <v>510</v>
      </c>
      <c r="AE111" s="303" t="s">
        <v>510</v>
      </c>
      <c r="AF111" s="303" t="s">
        <v>511</v>
      </c>
      <c r="AG111" s="303" t="s">
        <v>510</v>
      </c>
      <c r="AH111" s="314">
        <v>0</v>
      </c>
      <c r="AI111" s="297">
        <f t="shared" si="12"/>
        <v>0</v>
      </c>
      <c r="AJ111" s="303" t="s">
        <v>504</v>
      </c>
      <c r="AK111" s="303"/>
      <c r="AL111" s="303"/>
      <c r="AM111" s="303"/>
      <c r="AN111" s="303"/>
      <c r="AO111" s="303"/>
      <c r="AP111" s="303"/>
      <c r="AQ111" s="289">
        <f t="shared" si="13"/>
        <v>0</v>
      </c>
      <c r="AR111" s="303"/>
      <c r="AS111" s="303"/>
      <c r="AT111" s="329"/>
      <c r="AU111" s="329"/>
      <c r="AV111" s="329"/>
      <c r="AW111" s="329"/>
      <c r="AX111" s="329"/>
      <c r="AY111" s="139">
        <f t="shared" si="14"/>
        <v>0</v>
      </c>
      <c r="AZ111" s="303"/>
      <c r="BA111" s="303"/>
      <c r="BB111" s="356" t="s">
        <v>519</v>
      </c>
      <c r="BC111" s="356" t="s">
        <v>519</v>
      </c>
      <c r="BD111" s="356" t="s">
        <v>511</v>
      </c>
      <c r="BE111" s="303" t="s">
        <v>510</v>
      </c>
      <c r="BF111" s="367">
        <v>0</v>
      </c>
      <c r="BG111" s="353">
        <f t="shared" si="15"/>
        <v>0</v>
      </c>
      <c r="BH111" s="303" t="s">
        <v>520</v>
      </c>
      <c r="BI111" s="303" t="s">
        <v>1877</v>
      </c>
      <c r="BJ111" s="354">
        <f t="shared" si="9"/>
        <v>2</v>
      </c>
      <c r="BK111" s="316" t="str">
        <f t="shared" si="16"/>
        <v>Habilitado</v>
      </c>
    </row>
    <row r="112" spans="1:63" ht="38.25" x14ac:dyDescent="0.25">
      <c r="A112" s="324">
        <v>110</v>
      </c>
      <c r="B112" s="345" t="s">
        <v>2034</v>
      </c>
      <c r="C112" s="335" t="s">
        <v>2005</v>
      </c>
      <c r="D112" s="360" t="s">
        <v>140</v>
      </c>
      <c r="E112" s="347">
        <v>1</v>
      </c>
      <c r="F112" s="314" t="s">
        <v>510</v>
      </c>
      <c r="G112" s="314" t="s">
        <v>510</v>
      </c>
      <c r="H112" s="314" t="s">
        <v>511</v>
      </c>
      <c r="I112" s="314" t="s">
        <v>510</v>
      </c>
      <c r="J112" s="314">
        <v>40</v>
      </c>
      <c r="K112" s="29">
        <f t="shared" si="10"/>
        <v>40</v>
      </c>
      <c r="L112" s="314" t="s">
        <v>504</v>
      </c>
      <c r="M112" s="314"/>
      <c r="N112" s="314"/>
      <c r="O112" s="314"/>
      <c r="P112" s="314"/>
      <c r="Q112" s="314"/>
      <c r="R112" s="314"/>
      <c r="S112" s="314"/>
      <c r="T112" s="314"/>
      <c r="U112" s="314"/>
      <c r="V112" s="350"/>
      <c r="W112" s="350"/>
      <c r="X112" s="350"/>
      <c r="Y112" s="350"/>
      <c r="Z112" s="307"/>
      <c r="AA112" s="350">
        <f t="shared" si="11"/>
        <v>0</v>
      </c>
      <c r="AB112" s="307"/>
      <c r="AC112" s="307"/>
      <c r="AD112" s="303" t="s">
        <v>510</v>
      </c>
      <c r="AE112" s="303" t="s">
        <v>510</v>
      </c>
      <c r="AF112" s="303" t="s">
        <v>511</v>
      </c>
      <c r="AG112" s="303" t="s">
        <v>510</v>
      </c>
      <c r="AH112" s="314">
        <v>0</v>
      </c>
      <c r="AI112" s="297">
        <f t="shared" si="12"/>
        <v>0</v>
      </c>
      <c r="AJ112" s="303" t="s">
        <v>504</v>
      </c>
      <c r="AK112" s="303"/>
      <c r="AL112" s="303"/>
      <c r="AM112" s="303"/>
      <c r="AN112" s="303"/>
      <c r="AO112" s="303"/>
      <c r="AP112" s="303"/>
      <c r="AQ112" s="289">
        <f t="shared" si="13"/>
        <v>0</v>
      </c>
      <c r="AR112" s="303"/>
      <c r="AS112" s="303"/>
      <c r="AT112" s="329"/>
      <c r="AU112" s="329"/>
      <c r="AV112" s="329"/>
      <c r="AW112" s="329"/>
      <c r="AX112" s="329"/>
      <c r="AY112" s="139">
        <f t="shared" si="14"/>
        <v>0</v>
      </c>
      <c r="AZ112" s="303"/>
      <c r="BA112" s="303"/>
      <c r="BB112" s="356" t="s">
        <v>519</v>
      </c>
      <c r="BC112" s="356" t="s">
        <v>519</v>
      </c>
      <c r="BD112" s="356" t="s">
        <v>511</v>
      </c>
      <c r="BE112" s="303" t="s">
        <v>510</v>
      </c>
      <c r="BF112" s="352">
        <v>0</v>
      </c>
      <c r="BG112" s="353">
        <f t="shared" si="15"/>
        <v>0</v>
      </c>
      <c r="BH112" s="303" t="s">
        <v>520</v>
      </c>
      <c r="BI112" s="303" t="s">
        <v>1877</v>
      </c>
      <c r="BJ112" s="354">
        <f t="shared" si="9"/>
        <v>2</v>
      </c>
      <c r="BK112" s="316" t="str">
        <f t="shared" si="16"/>
        <v>Habilitado</v>
      </c>
    </row>
    <row r="113" spans="1:63" ht="25.5" x14ac:dyDescent="0.25">
      <c r="A113" s="324">
        <v>111</v>
      </c>
      <c r="B113" s="345" t="s">
        <v>2035</v>
      </c>
      <c r="C113" s="335" t="s">
        <v>2036</v>
      </c>
      <c r="D113" s="357" t="s">
        <v>140</v>
      </c>
      <c r="E113" s="347">
        <v>1</v>
      </c>
      <c r="F113" s="314"/>
      <c r="G113" s="314"/>
      <c r="H113" s="314"/>
      <c r="I113" s="314"/>
      <c r="J113" s="314"/>
      <c r="K113" s="29">
        <f t="shared" si="10"/>
        <v>0</v>
      </c>
      <c r="L113" s="314"/>
      <c r="M113" s="314"/>
      <c r="N113" s="314"/>
      <c r="O113" s="314"/>
      <c r="P113" s="314"/>
      <c r="Q113" s="314"/>
      <c r="R113" s="314"/>
      <c r="S113" s="314"/>
      <c r="T113" s="314"/>
      <c r="U113" s="314"/>
      <c r="V113" s="350"/>
      <c r="W113" s="350"/>
      <c r="X113" s="350"/>
      <c r="Y113" s="350"/>
      <c r="Z113" s="307"/>
      <c r="AA113" s="350">
        <f t="shared" si="11"/>
        <v>0</v>
      </c>
      <c r="AB113" s="307"/>
      <c r="AC113" s="307"/>
      <c r="AD113" s="303" t="s">
        <v>510</v>
      </c>
      <c r="AE113" s="303" t="s">
        <v>510</v>
      </c>
      <c r="AF113" s="303" t="s">
        <v>511</v>
      </c>
      <c r="AG113" s="303" t="s">
        <v>510</v>
      </c>
      <c r="AH113" s="314">
        <v>0</v>
      </c>
      <c r="AI113" s="297">
        <f t="shared" si="12"/>
        <v>0</v>
      </c>
      <c r="AJ113" s="303" t="s">
        <v>504</v>
      </c>
      <c r="AK113" s="303"/>
      <c r="AL113" s="303"/>
      <c r="AM113" s="303"/>
      <c r="AN113" s="303"/>
      <c r="AO113" s="303"/>
      <c r="AP113" s="303"/>
      <c r="AQ113" s="289">
        <f t="shared" si="13"/>
        <v>0</v>
      </c>
      <c r="AR113" s="303"/>
      <c r="AS113" s="303"/>
      <c r="AT113" s="329"/>
      <c r="AU113" s="329"/>
      <c r="AV113" s="329"/>
      <c r="AW113" s="329"/>
      <c r="AX113" s="329"/>
      <c r="AY113" s="139">
        <f t="shared" si="14"/>
        <v>0</v>
      </c>
      <c r="AZ113" s="303"/>
      <c r="BA113" s="303"/>
      <c r="BB113" s="356" t="s">
        <v>519</v>
      </c>
      <c r="BC113" s="356" t="s">
        <v>519</v>
      </c>
      <c r="BD113" s="356" t="s">
        <v>511</v>
      </c>
      <c r="BE113" s="303" t="s">
        <v>510</v>
      </c>
      <c r="BF113" s="367">
        <v>0</v>
      </c>
      <c r="BG113" s="353">
        <f t="shared" si="15"/>
        <v>0</v>
      </c>
      <c r="BH113" s="303" t="s">
        <v>520</v>
      </c>
      <c r="BI113" s="303" t="s">
        <v>1877</v>
      </c>
      <c r="BJ113" s="354">
        <f t="shared" si="9"/>
        <v>1</v>
      </c>
      <c r="BK113" s="316" t="str">
        <f t="shared" si="16"/>
        <v>Habilitado</v>
      </c>
    </row>
    <row r="114" spans="1:63" ht="38.25" x14ac:dyDescent="0.25">
      <c r="A114" s="324">
        <v>112</v>
      </c>
      <c r="B114" s="345" t="s">
        <v>2037</v>
      </c>
      <c r="C114" s="335" t="s">
        <v>2038</v>
      </c>
      <c r="D114" s="360" t="s">
        <v>140</v>
      </c>
      <c r="E114" s="347">
        <v>1</v>
      </c>
      <c r="F114" s="314"/>
      <c r="G114" s="314"/>
      <c r="H114" s="314"/>
      <c r="I114" s="314"/>
      <c r="J114" s="314"/>
      <c r="K114" s="29">
        <f t="shared" si="10"/>
        <v>0</v>
      </c>
      <c r="L114" s="314"/>
      <c r="M114" s="314"/>
      <c r="N114" s="314"/>
      <c r="O114" s="314"/>
      <c r="P114" s="314"/>
      <c r="Q114" s="314"/>
      <c r="R114" s="314"/>
      <c r="S114" s="314"/>
      <c r="T114" s="314"/>
      <c r="U114" s="314"/>
      <c r="V114" s="350"/>
      <c r="W114" s="350"/>
      <c r="X114" s="350"/>
      <c r="Y114" s="350"/>
      <c r="Z114" s="307"/>
      <c r="AA114" s="350">
        <f t="shared" si="11"/>
        <v>0</v>
      </c>
      <c r="AB114" s="307"/>
      <c r="AC114" s="307"/>
      <c r="AD114" s="303" t="s">
        <v>510</v>
      </c>
      <c r="AE114" s="303" t="s">
        <v>510</v>
      </c>
      <c r="AF114" s="303" t="s">
        <v>511</v>
      </c>
      <c r="AG114" s="303" t="s">
        <v>510</v>
      </c>
      <c r="AH114" s="314">
        <v>0</v>
      </c>
      <c r="AI114" s="297">
        <f t="shared" si="12"/>
        <v>0</v>
      </c>
      <c r="AJ114" s="303" t="s">
        <v>504</v>
      </c>
      <c r="AK114" s="303"/>
      <c r="AL114" s="303"/>
      <c r="AM114" s="303"/>
      <c r="AN114" s="303"/>
      <c r="AO114" s="303"/>
      <c r="AP114" s="303"/>
      <c r="AQ114" s="289">
        <f t="shared" si="13"/>
        <v>0</v>
      </c>
      <c r="AR114" s="303"/>
      <c r="AS114" s="303"/>
      <c r="AT114" s="329"/>
      <c r="AU114" s="329"/>
      <c r="AV114" s="329"/>
      <c r="AW114" s="329"/>
      <c r="AX114" s="329"/>
      <c r="AY114" s="139">
        <f t="shared" si="14"/>
        <v>0</v>
      </c>
      <c r="AZ114" s="303"/>
      <c r="BA114" s="303"/>
      <c r="BB114" s="356" t="s">
        <v>519</v>
      </c>
      <c r="BC114" s="356" t="s">
        <v>519</v>
      </c>
      <c r="BD114" s="356" t="s">
        <v>511</v>
      </c>
      <c r="BE114" s="303" t="s">
        <v>510</v>
      </c>
      <c r="BF114" s="352">
        <v>0</v>
      </c>
      <c r="BG114" s="353">
        <f t="shared" si="15"/>
        <v>0</v>
      </c>
      <c r="BH114" s="303" t="s">
        <v>520</v>
      </c>
      <c r="BI114" s="303" t="s">
        <v>2039</v>
      </c>
      <c r="BJ114" s="354">
        <f t="shared" si="9"/>
        <v>1</v>
      </c>
      <c r="BK114" s="316" t="str">
        <f t="shared" si="16"/>
        <v>Habilitado</v>
      </c>
    </row>
    <row r="115" spans="1:63" x14ac:dyDescent="0.25">
      <c r="A115" s="324">
        <v>113</v>
      </c>
      <c r="B115" s="345" t="s">
        <v>2040</v>
      </c>
      <c r="C115" s="335" t="s">
        <v>518</v>
      </c>
      <c r="D115" s="360" t="s">
        <v>140</v>
      </c>
      <c r="E115" s="347">
        <v>1</v>
      </c>
      <c r="F115" s="314" t="s">
        <v>510</v>
      </c>
      <c r="G115" s="314" t="s">
        <v>510</v>
      </c>
      <c r="H115" s="314" t="s">
        <v>511</v>
      </c>
      <c r="I115" s="314" t="s">
        <v>510</v>
      </c>
      <c r="J115" s="314">
        <v>40</v>
      </c>
      <c r="K115" s="29">
        <f t="shared" si="10"/>
        <v>40</v>
      </c>
      <c r="L115" s="314" t="s">
        <v>504</v>
      </c>
      <c r="M115" s="314"/>
      <c r="N115" s="314"/>
      <c r="O115" s="314"/>
      <c r="P115" s="314"/>
      <c r="Q115" s="314"/>
      <c r="R115" s="314"/>
      <c r="S115" s="314"/>
      <c r="T115" s="314"/>
      <c r="U115" s="314"/>
      <c r="V115" s="350"/>
      <c r="W115" s="350"/>
      <c r="X115" s="350"/>
      <c r="Y115" s="350"/>
      <c r="Z115" s="307"/>
      <c r="AA115" s="350">
        <f t="shared" si="11"/>
        <v>0</v>
      </c>
      <c r="AB115" s="307"/>
      <c r="AC115" s="307"/>
      <c r="AD115" s="303" t="s">
        <v>510</v>
      </c>
      <c r="AE115" s="303" t="s">
        <v>510</v>
      </c>
      <c r="AF115" s="303" t="s">
        <v>511</v>
      </c>
      <c r="AG115" s="303" t="s">
        <v>510</v>
      </c>
      <c r="AH115" s="314">
        <v>0</v>
      </c>
      <c r="AI115" s="297">
        <f t="shared" si="12"/>
        <v>0</v>
      </c>
      <c r="AJ115" s="303" t="s">
        <v>504</v>
      </c>
      <c r="AK115" s="303"/>
      <c r="AL115" s="303"/>
      <c r="AM115" s="303"/>
      <c r="AN115" s="303"/>
      <c r="AO115" s="303"/>
      <c r="AP115" s="303"/>
      <c r="AQ115" s="289">
        <f t="shared" si="13"/>
        <v>0</v>
      </c>
      <c r="AR115" s="303"/>
      <c r="AS115" s="303"/>
      <c r="AT115" s="329"/>
      <c r="AU115" s="329"/>
      <c r="AV115" s="329"/>
      <c r="AW115" s="329"/>
      <c r="AX115" s="329"/>
      <c r="AY115" s="139">
        <f t="shared" si="14"/>
        <v>0</v>
      </c>
      <c r="AZ115" s="303"/>
      <c r="BA115" s="303"/>
      <c r="BB115" s="356" t="s">
        <v>519</v>
      </c>
      <c r="BC115" s="356" t="s">
        <v>519</v>
      </c>
      <c r="BD115" s="356" t="s">
        <v>511</v>
      </c>
      <c r="BE115" s="303" t="s">
        <v>510</v>
      </c>
      <c r="BF115" s="367">
        <v>0</v>
      </c>
      <c r="BG115" s="353">
        <f t="shared" si="15"/>
        <v>0</v>
      </c>
      <c r="BH115" s="303" t="s">
        <v>520</v>
      </c>
      <c r="BI115" s="322" t="s">
        <v>2039</v>
      </c>
      <c r="BJ115" s="354">
        <f t="shared" si="9"/>
        <v>2</v>
      </c>
      <c r="BK115" s="316" t="str">
        <f t="shared" si="16"/>
        <v>Habilitado</v>
      </c>
    </row>
    <row r="116" spans="1:63" ht="51" x14ac:dyDescent="0.25">
      <c r="A116" s="324">
        <v>114</v>
      </c>
      <c r="B116" s="345" t="s">
        <v>2041</v>
      </c>
      <c r="C116" s="335" t="s">
        <v>2042</v>
      </c>
      <c r="D116" s="360" t="s">
        <v>140</v>
      </c>
      <c r="E116" s="347">
        <v>1</v>
      </c>
      <c r="F116" s="314" t="s">
        <v>510</v>
      </c>
      <c r="G116" s="314" t="s">
        <v>510</v>
      </c>
      <c r="H116" s="314" t="s">
        <v>511</v>
      </c>
      <c r="I116" s="314" t="s">
        <v>510</v>
      </c>
      <c r="J116" s="314">
        <v>40</v>
      </c>
      <c r="K116" s="29">
        <f t="shared" si="10"/>
        <v>40</v>
      </c>
      <c r="L116" s="314" t="s">
        <v>504</v>
      </c>
      <c r="M116" s="314"/>
      <c r="N116" s="314"/>
      <c r="O116" s="314"/>
      <c r="P116" s="314"/>
      <c r="Q116" s="314"/>
      <c r="R116" s="314"/>
      <c r="S116" s="314"/>
      <c r="T116" s="314"/>
      <c r="U116" s="314"/>
      <c r="V116" s="350" t="s">
        <v>510</v>
      </c>
      <c r="W116" s="350" t="s">
        <v>519</v>
      </c>
      <c r="X116" s="350" t="s">
        <v>511</v>
      </c>
      <c r="Y116" s="350" t="s">
        <v>510</v>
      </c>
      <c r="Z116" s="304">
        <v>0</v>
      </c>
      <c r="AA116" s="350">
        <f t="shared" si="11"/>
        <v>0</v>
      </c>
      <c r="AB116" s="307" t="s">
        <v>520</v>
      </c>
      <c r="AC116" s="306" t="s">
        <v>2043</v>
      </c>
      <c r="AD116" s="303" t="s">
        <v>510</v>
      </c>
      <c r="AE116" s="303" t="s">
        <v>510</v>
      </c>
      <c r="AF116" s="303" t="s">
        <v>511</v>
      </c>
      <c r="AG116" s="303" t="s">
        <v>510</v>
      </c>
      <c r="AH116" s="314">
        <v>0</v>
      </c>
      <c r="AI116" s="297">
        <f t="shared" si="12"/>
        <v>0</v>
      </c>
      <c r="AJ116" s="303" t="s">
        <v>504</v>
      </c>
      <c r="AK116" s="303"/>
      <c r="AL116" s="303"/>
      <c r="AM116" s="303"/>
      <c r="AN116" s="303"/>
      <c r="AO116" s="303"/>
      <c r="AP116" s="303"/>
      <c r="AQ116" s="289">
        <f t="shared" si="13"/>
        <v>0</v>
      </c>
      <c r="AR116" s="303"/>
      <c r="AS116" s="303"/>
      <c r="AT116" s="303" t="s">
        <v>510</v>
      </c>
      <c r="AU116" s="303" t="s">
        <v>510</v>
      </c>
      <c r="AV116" s="303" t="s">
        <v>510</v>
      </c>
      <c r="AW116" s="303" t="s">
        <v>510</v>
      </c>
      <c r="AX116" s="303">
        <v>40</v>
      </c>
      <c r="AY116" s="139">
        <f t="shared" si="14"/>
        <v>40</v>
      </c>
      <c r="AZ116" s="303" t="s">
        <v>504</v>
      </c>
      <c r="BA116" s="301"/>
      <c r="BB116" s="356" t="s">
        <v>519</v>
      </c>
      <c r="BC116" s="356" t="s">
        <v>519</v>
      </c>
      <c r="BD116" s="356" t="s">
        <v>511</v>
      </c>
      <c r="BE116" s="303" t="s">
        <v>510</v>
      </c>
      <c r="BF116" s="352">
        <v>0</v>
      </c>
      <c r="BG116" s="353">
        <f t="shared" si="15"/>
        <v>0</v>
      </c>
      <c r="BH116" s="303" t="s">
        <v>520</v>
      </c>
      <c r="BI116" s="303" t="s">
        <v>1877</v>
      </c>
      <c r="BJ116" s="354">
        <f t="shared" si="9"/>
        <v>3</v>
      </c>
      <c r="BK116" s="316" t="str">
        <f t="shared" si="16"/>
        <v>Habilitado</v>
      </c>
    </row>
    <row r="117" spans="1:63" ht="25.5" x14ac:dyDescent="0.25">
      <c r="A117" s="324">
        <v>115</v>
      </c>
      <c r="B117" s="345" t="s">
        <v>2044</v>
      </c>
      <c r="C117" s="335" t="s">
        <v>2045</v>
      </c>
      <c r="D117" s="360" t="s">
        <v>140</v>
      </c>
      <c r="E117" s="347">
        <v>1</v>
      </c>
      <c r="F117" s="406" t="s">
        <v>510</v>
      </c>
      <c r="G117" s="406" t="s">
        <v>510</v>
      </c>
      <c r="H117" s="406" t="s">
        <v>510</v>
      </c>
      <c r="I117" s="314" t="s">
        <v>510</v>
      </c>
      <c r="J117" s="406">
        <v>40</v>
      </c>
      <c r="K117" s="29">
        <f t="shared" si="10"/>
        <v>40</v>
      </c>
      <c r="L117" s="314" t="s">
        <v>504</v>
      </c>
      <c r="M117" s="406" t="s">
        <v>551</v>
      </c>
      <c r="N117" s="406"/>
      <c r="O117" s="406"/>
      <c r="P117" s="406"/>
      <c r="Q117" s="406"/>
      <c r="R117" s="406"/>
      <c r="S117" s="406"/>
      <c r="T117" s="406"/>
      <c r="U117" s="406"/>
      <c r="V117" s="406"/>
      <c r="W117" s="406"/>
      <c r="X117" s="406"/>
      <c r="Y117" s="406"/>
      <c r="Z117" s="304"/>
      <c r="AA117" s="350">
        <f t="shared" si="11"/>
        <v>0</v>
      </c>
      <c r="AB117" s="304"/>
      <c r="AC117" s="304"/>
      <c r="AD117" s="304"/>
      <c r="AE117" s="304"/>
      <c r="AF117" s="304"/>
      <c r="AG117" s="304"/>
      <c r="AH117" s="326"/>
      <c r="AI117" s="297">
        <f t="shared" si="12"/>
        <v>0</v>
      </c>
      <c r="AJ117" s="304"/>
      <c r="AK117" s="304"/>
      <c r="AL117" s="304"/>
      <c r="AM117" s="304"/>
      <c r="AN117" s="304"/>
      <c r="AO117" s="304"/>
      <c r="AP117" s="304"/>
      <c r="AQ117" s="289">
        <f t="shared" si="13"/>
        <v>0</v>
      </c>
      <c r="AR117" s="304"/>
      <c r="AS117" s="304"/>
      <c r="AT117" s="325"/>
      <c r="AU117" s="325"/>
      <c r="AV117" s="325"/>
      <c r="AW117" s="325"/>
      <c r="AX117" s="325"/>
      <c r="AY117" s="139">
        <f t="shared" si="14"/>
        <v>0</v>
      </c>
      <c r="AZ117" s="304"/>
      <c r="BA117" s="304"/>
      <c r="BB117" s="303"/>
      <c r="BC117" s="303"/>
      <c r="BD117" s="303"/>
      <c r="BE117" s="303"/>
      <c r="BF117" s="303"/>
      <c r="BG117" s="353">
        <f t="shared" si="15"/>
        <v>0</v>
      </c>
      <c r="BH117" s="303"/>
      <c r="BI117" s="303"/>
      <c r="BJ117" s="354">
        <f t="shared" si="9"/>
        <v>1</v>
      </c>
      <c r="BK117" s="316" t="str">
        <f t="shared" si="16"/>
        <v>Habilitado</v>
      </c>
    </row>
    <row r="118" spans="1:63" ht="25.5" x14ac:dyDescent="0.25">
      <c r="A118" s="324">
        <v>116</v>
      </c>
      <c r="B118" s="345" t="s">
        <v>2046</v>
      </c>
      <c r="C118" s="335" t="s">
        <v>2045</v>
      </c>
      <c r="D118" s="360" t="s">
        <v>140</v>
      </c>
      <c r="E118" s="347">
        <v>1</v>
      </c>
      <c r="F118" s="406" t="s">
        <v>510</v>
      </c>
      <c r="G118" s="406" t="s">
        <v>510</v>
      </c>
      <c r="H118" s="406" t="s">
        <v>510</v>
      </c>
      <c r="I118" s="314" t="s">
        <v>510</v>
      </c>
      <c r="J118" s="406">
        <v>40</v>
      </c>
      <c r="K118" s="29">
        <f t="shared" si="10"/>
        <v>40</v>
      </c>
      <c r="L118" s="314" t="s">
        <v>504</v>
      </c>
      <c r="M118" s="406" t="s">
        <v>551</v>
      </c>
      <c r="N118" s="406"/>
      <c r="O118" s="406"/>
      <c r="P118" s="406"/>
      <c r="Q118" s="406"/>
      <c r="R118" s="406"/>
      <c r="S118" s="406"/>
      <c r="T118" s="406"/>
      <c r="U118" s="406"/>
      <c r="V118" s="406"/>
      <c r="W118" s="406"/>
      <c r="X118" s="406"/>
      <c r="Y118" s="406"/>
      <c r="Z118" s="327"/>
      <c r="AA118" s="350">
        <f t="shared" si="11"/>
        <v>0</v>
      </c>
      <c r="AB118" s="327"/>
      <c r="AC118" s="327"/>
      <c r="AD118" s="327"/>
      <c r="AE118" s="327"/>
      <c r="AF118" s="327"/>
      <c r="AG118" s="327"/>
      <c r="AH118" s="334"/>
      <c r="AI118" s="297">
        <f t="shared" si="12"/>
        <v>0</v>
      </c>
      <c r="AJ118" s="327"/>
      <c r="AK118" s="327"/>
      <c r="AL118" s="327"/>
      <c r="AM118" s="327"/>
      <c r="AN118" s="327"/>
      <c r="AO118" s="327"/>
      <c r="AP118" s="327"/>
      <c r="AQ118" s="289">
        <f t="shared" si="13"/>
        <v>0</v>
      </c>
      <c r="AR118" s="327"/>
      <c r="AS118" s="327"/>
      <c r="AT118" s="333"/>
      <c r="AU118" s="333"/>
      <c r="AV118" s="333"/>
      <c r="AW118" s="333"/>
      <c r="AX118" s="333"/>
      <c r="AY118" s="139">
        <f t="shared" si="14"/>
        <v>0</v>
      </c>
      <c r="AZ118" s="327"/>
      <c r="BA118" s="327"/>
      <c r="BB118" s="303"/>
      <c r="BC118" s="303"/>
      <c r="BD118" s="303"/>
      <c r="BE118" s="303"/>
      <c r="BF118" s="303"/>
      <c r="BG118" s="353">
        <f t="shared" si="15"/>
        <v>0</v>
      </c>
      <c r="BH118" s="303"/>
      <c r="BI118" s="303"/>
      <c r="BJ118" s="354">
        <f t="shared" si="9"/>
        <v>1</v>
      </c>
      <c r="BK118" s="316" t="str">
        <f t="shared" si="16"/>
        <v>Habilitado</v>
      </c>
    </row>
    <row r="119" spans="1:63" ht="25.5" x14ac:dyDescent="0.25">
      <c r="A119" s="324">
        <v>117</v>
      </c>
      <c r="B119" s="345" t="s">
        <v>2047</v>
      </c>
      <c r="C119" s="335" t="s">
        <v>2045</v>
      </c>
      <c r="D119" s="357" t="s">
        <v>140</v>
      </c>
      <c r="E119" s="347">
        <v>1</v>
      </c>
      <c r="F119" s="406" t="s">
        <v>510</v>
      </c>
      <c r="G119" s="406" t="s">
        <v>510</v>
      </c>
      <c r="H119" s="406" t="s">
        <v>510</v>
      </c>
      <c r="I119" s="314" t="s">
        <v>510</v>
      </c>
      <c r="J119" s="406">
        <v>40</v>
      </c>
      <c r="K119" s="29">
        <f t="shared" si="10"/>
        <v>40</v>
      </c>
      <c r="L119" s="314" t="s">
        <v>504</v>
      </c>
      <c r="M119" s="406" t="s">
        <v>551</v>
      </c>
      <c r="N119" s="406"/>
      <c r="O119" s="406"/>
      <c r="P119" s="406"/>
      <c r="Q119" s="406"/>
      <c r="R119" s="406"/>
      <c r="S119" s="406"/>
      <c r="T119" s="406"/>
      <c r="U119" s="406"/>
      <c r="V119" s="406"/>
      <c r="W119" s="406"/>
      <c r="X119" s="406"/>
      <c r="Y119" s="406"/>
      <c r="Z119" s="327"/>
      <c r="AA119" s="350">
        <f t="shared" si="11"/>
        <v>0</v>
      </c>
      <c r="AB119" s="327"/>
      <c r="AC119" s="327"/>
      <c r="AD119" s="327"/>
      <c r="AE119" s="327"/>
      <c r="AF119" s="327"/>
      <c r="AG119" s="327"/>
      <c r="AH119" s="334"/>
      <c r="AI119" s="297">
        <f t="shared" si="12"/>
        <v>0</v>
      </c>
      <c r="AJ119" s="327"/>
      <c r="AK119" s="327"/>
      <c r="AL119" s="327"/>
      <c r="AM119" s="327"/>
      <c r="AN119" s="327"/>
      <c r="AO119" s="327"/>
      <c r="AP119" s="327"/>
      <c r="AQ119" s="289">
        <f t="shared" si="13"/>
        <v>0</v>
      </c>
      <c r="AR119" s="327"/>
      <c r="AS119" s="327"/>
      <c r="AT119" s="333"/>
      <c r="AU119" s="333"/>
      <c r="AV119" s="333"/>
      <c r="AW119" s="333"/>
      <c r="AX119" s="333"/>
      <c r="AY119" s="139">
        <f t="shared" si="14"/>
        <v>0</v>
      </c>
      <c r="AZ119" s="327"/>
      <c r="BA119" s="327"/>
      <c r="BB119" s="303"/>
      <c r="BC119" s="303"/>
      <c r="BD119" s="303"/>
      <c r="BE119" s="303"/>
      <c r="BF119" s="303"/>
      <c r="BG119" s="353">
        <f t="shared" si="15"/>
        <v>0</v>
      </c>
      <c r="BH119" s="303"/>
      <c r="BI119" s="303"/>
      <c r="BJ119" s="354">
        <f t="shared" si="9"/>
        <v>1</v>
      </c>
      <c r="BK119" s="316" t="str">
        <f t="shared" si="16"/>
        <v>Habilitado</v>
      </c>
    </row>
    <row r="120" spans="1:63" ht="63.75" x14ac:dyDescent="0.25">
      <c r="A120" s="324">
        <v>118</v>
      </c>
      <c r="B120" s="345" t="s">
        <v>2048</v>
      </c>
      <c r="C120" s="335" t="s">
        <v>2049</v>
      </c>
      <c r="D120" s="357" t="s">
        <v>2050</v>
      </c>
      <c r="E120" s="347">
        <v>1</v>
      </c>
      <c r="F120" s="314"/>
      <c r="G120" s="314"/>
      <c r="H120" s="314"/>
      <c r="I120" s="314"/>
      <c r="J120" s="314"/>
      <c r="K120" s="29">
        <f t="shared" si="10"/>
        <v>0</v>
      </c>
      <c r="L120" s="314"/>
      <c r="M120" s="314"/>
      <c r="N120" s="314"/>
      <c r="O120" s="314"/>
      <c r="P120" s="314"/>
      <c r="Q120" s="314"/>
      <c r="R120" s="314"/>
      <c r="S120" s="314"/>
      <c r="T120" s="314"/>
      <c r="U120" s="314"/>
      <c r="V120" s="350"/>
      <c r="W120" s="350"/>
      <c r="X120" s="350"/>
      <c r="Y120" s="350"/>
      <c r="Z120" s="307"/>
      <c r="AA120" s="350">
        <f t="shared" si="11"/>
        <v>0</v>
      </c>
      <c r="AB120" s="307"/>
      <c r="AC120" s="307"/>
      <c r="AD120" s="303"/>
      <c r="AE120" s="303"/>
      <c r="AF120" s="303"/>
      <c r="AG120" s="303"/>
      <c r="AH120" s="314"/>
      <c r="AI120" s="297">
        <f t="shared" si="12"/>
        <v>0</v>
      </c>
      <c r="AJ120" s="303"/>
      <c r="AK120" s="303"/>
      <c r="AL120" s="303"/>
      <c r="AM120" s="303"/>
      <c r="AN120" s="303"/>
      <c r="AO120" s="303"/>
      <c r="AP120" s="303"/>
      <c r="AQ120" s="289">
        <f t="shared" si="13"/>
        <v>0</v>
      </c>
      <c r="AR120" s="303"/>
      <c r="AS120" s="303"/>
      <c r="AT120" s="329"/>
      <c r="AU120" s="329"/>
      <c r="AV120" s="329"/>
      <c r="AW120" s="329"/>
      <c r="AX120" s="329"/>
      <c r="AY120" s="139">
        <f t="shared" si="14"/>
        <v>0</v>
      </c>
      <c r="AZ120" s="303"/>
      <c r="BA120" s="303"/>
      <c r="BB120" s="303"/>
      <c r="BC120" s="303"/>
      <c r="BD120" s="303"/>
      <c r="BE120" s="303"/>
      <c r="BF120" s="303"/>
      <c r="BG120" s="353">
        <f t="shared" si="15"/>
        <v>0</v>
      </c>
      <c r="BH120" s="303"/>
      <c r="BI120" s="303"/>
      <c r="BJ120" s="354">
        <f t="shared" si="9"/>
        <v>0</v>
      </c>
      <c r="BK120" s="316" t="str">
        <f t="shared" si="16"/>
        <v>Desierto</v>
      </c>
    </row>
    <row r="121" spans="1:63" ht="76.5" x14ac:dyDescent="0.25">
      <c r="A121" s="324">
        <v>119</v>
      </c>
      <c r="B121" s="345" t="s">
        <v>2051</v>
      </c>
      <c r="C121" s="357" t="s">
        <v>2052</v>
      </c>
      <c r="D121" s="357" t="s">
        <v>2050</v>
      </c>
      <c r="E121" s="347">
        <v>1</v>
      </c>
      <c r="F121" s="314"/>
      <c r="G121" s="314"/>
      <c r="H121" s="314"/>
      <c r="I121" s="314"/>
      <c r="J121" s="314"/>
      <c r="K121" s="29">
        <f t="shared" si="10"/>
        <v>0</v>
      </c>
      <c r="L121" s="314"/>
      <c r="M121" s="314"/>
      <c r="N121" s="314"/>
      <c r="O121" s="314"/>
      <c r="P121" s="314"/>
      <c r="Q121" s="314"/>
      <c r="R121" s="314"/>
      <c r="S121" s="314"/>
      <c r="T121" s="314"/>
      <c r="U121" s="314"/>
      <c r="V121" s="350"/>
      <c r="W121" s="350"/>
      <c r="X121" s="350"/>
      <c r="Y121" s="350"/>
      <c r="Z121" s="307"/>
      <c r="AA121" s="350">
        <f t="shared" si="11"/>
        <v>0</v>
      </c>
      <c r="AB121" s="307"/>
      <c r="AC121" s="307"/>
      <c r="AD121" s="303"/>
      <c r="AE121" s="303"/>
      <c r="AF121" s="303"/>
      <c r="AG121" s="303"/>
      <c r="AH121" s="314"/>
      <c r="AI121" s="297">
        <f t="shared" si="12"/>
        <v>0</v>
      </c>
      <c r="AJ121" s="303"/>
      <c r="AK121" s="303"/>
      <c r="AL121" s="303"/>
      <c r="AM121" s="303"/>
      <c r="AN121" s="303"/>
      <c r="AO121" s="303"/>
      <c r="AP121" s="303"/>
      <c r="AQ121" s="289">
        <f t="shared" si="13"/>
        <v>0</v>
      </c>
      <c r="AR121" s="303"/>
      <c r="AS121" s="303"/>
      <c r="AT121" s="329"/>
      <c r="AU121" s="329"/>
      <c r="AV121" s="329"/>
      <c r="AW121" s="329"/>
      <c r="AX121" s="329"/>
      <c r="AY121" s="139">
        <f t="shared" si="14"/>
        <v>0</v>
      </c>
      <c r="AZ121" s="303"/>
      <c r="BA121" s="303"/>
      <c r="BB121" s="303"/>
      <c r="BC121" s="303"/>
      <c r="BD121" s="303"/>
      <c r="BE121" s="303"/>
      <c r="BF121" s="303"/>
      <c r="BG121" s="353">
        <f t="shared" si="15"/>
        <v>0</v>
      </c>
      <c r="BH121" s="303"/>
      <c r="BI121" s="303"/>
      <c r="BJ121" s="354">
        <f t="shared" si="9"/>
        <v>0</v>
      </c>
      <c r="BK121" s="316" t="str">
        <f t="shared" si="16"/>
        <v>Desierto</v>
      </c>
    </row>
    <row r="122" spans="1:63" ht="25.5" x14ac:dyDescent="0.25">
      <c r="A122" s="324">
        <v>120</v>
      </c>
      <c r="B122" s="345" t="s">
        <v>2053</v>
      </c>
      <c r="C122" s="335" t="s">
        <v>2054</v>
      </c>
      <c r="D122" s="357" t="s">
        <v>1525</v>
      </c>
      <c r="E122" s="347">
        <v>1</v>
      </c>
      <c r="F122" s="314" t="s">
        <v>510</v>
      </c>
      <c r="G122" s="314" t="s">
        <v>510</v>
      </c>
      <c r="H122" s="314" t="s">
        <v>511</v>
      </c>
      <c r="I122" s="314" t="s">
        <v>510</v>
      </c>
      <c r="J122" s="314">
        <v>40</v>
      </c>
      <c r="K122" s="29">
        <f t="shared" si="10"/>
        <v>40</v>
      </c>
      <c r="L122" s="314" t="s">
        <v>504</v>
      </c>
      <c r="M122" s="314"/>
      <c r="N122" s="314"/>
      <c r="O122" s="314"/>
      <c r="P122" s="314"/>
      <c r="Q122" s="314"/>
      <c r="R122" s="314"/>
      <c r="S122" s="314"/>
      <c r="T122" s="314"/>
      <c r="U122" s="314"/>
      <c r="V122" s="350"/>
      <c r="W122" s="350"/>
      <c r="X122" s="350"/>
      <c r="Y122" s="350"/>
      <c r="Z122" s="307"/>
      <c r="AA122" s="350">
        <f t="shared" si="11"/>
        <v>0</v>
      </c>
      <c r="AB122" s="307"/>
      <c r="AC122" s="307"/>
      <c r="AD122" s="303"/>
      <c r="AE122" s="303"/>
      <c r="AF122" s="303"/>
      <c r="AG122" s="303"/>
      <c r="AH122" s="314"/>
      <c r="AI122" s="297">
        <f t="shared" si="12"/>
        <v>0</v>
      </c>
      <c r="AJ122" s="303"/>
      <c r="AK122" s="303"/>
      <c r="AL122" s="303"/>
      <c r="AM122" s="303"/>
      <c r="AN122" s="303"/>
      <c r="AO122" s="303"/>
      <c r="AP122" s="303"/>
      <c r="AQ122" s="289">
        <f t="shared" si="13"/>
        <v>0</v>
      </c>
      <c r="AR122" s="303"/>
      <c r="AS122" s="303"/>
      <c r="AT122" s="303" t="s">
        <v>510</v>
      </c>
      <c r="AU122" s="303" t="s">
        <v>510</v>
      </c>
      <c r="AV122" s="303" t="s">
        <v>511</v>
      </c>
      <c r="AW122" s="303" t="s">
        <v>510</v>
      </c>
      <c r="AX122" s="314">
        <v>40</v>
      </c>
      <c r="AY122" s="139">
        <f t="shared" si="14"/>
        <v>40</v>
      </c>
      <c r="AZ122" s="303" t="s">
        <v>504</v>
      </c>
      <c r="BA122" s="303"/>
      <c r="BB122" s="303"/>
      <c r="BC122" s="303"/>
      <c r="BD122" s="303"/>
      <c r="BE122" s="303"/>
      <c r="BF122" s="303"/>
      <c r="BG122" s="353">
        <f t="shared" si="15"/>
        <v>0</v>
      </c>
      <c r="BH122" s="303"/>
      <c r="BI122" s="303"/>
      <c r="BJ122" s="354">
        <f t="shared" si="9"/>
        <v>2</v>
      </c>
      <c r="BK122" s="316" t="str">
        <f t="shared" si="16"/>
        <v>Habilitado</v>
      </c>
    </row>
    <row r="123" spans="1:63" ht="38.25" x14ac:dyDescent="0.25">
      <c r="A123" s="324">
        <v>121</v>
      </c>
      <c r="B123" s="345" t="s">
        <v>2055</v>
      </c>
      <c r="C123" s="376" t="s">
        <v>518</v>
      </c>
      <c r="D123" s="376" t="s">
        <v>140</v>
      </c>
      <c r="E123" s="347">
        <v>1</v>
      </c>
      <c r="F123" s="314" t="s">
        <v>510</v>
      </c>
      <c r="G123" s="314" t="s">
        <v>510</v>
      </c>
      <c r="H123" s="314" t="s">
        <v>511</v>
      </c>
      <c r="I123" s="314" t="s">
        <v>510</v>
      </c>
      <c r="J123" s="314">
        <v>40</v>
      </c>
      <c r="K123" s="29">
        <f t="shared" si="10"/>
        <v>40</v>
      </c>
      <c r="L123" s="314" t="s">
        <v>504</v>
      </c>
      <c r="M123" s="314"/>
      <c r="N123" s="314"/>
      <c r="O123" s="314"/>
      <c r="P123" s="314"/>
      <c r="Q123" s="314"/>
      <c r="R123" s="314"/>
      <c r="S123" s="314"/>
      <c r="T123" s="314"/>
      <c r="U123" s="314"/>
      <c r="V123" s="350"/>
      <c r="W123" s="350"/>
      <c r="X123" s="350"/>
      <c r="Y123" s="350"/>
      <c r="Z123" s="307"/>
      <c r="AA123" s="350">
        <f t="shared" si="11"/>
        <v>0</v>
      </c>
      <c r="AB123" s="307"/>
      <c r="AC123" s="307"/>
      <c r="AD123" s="303" t="s">
        <v>510</v>
      </c>
      <c r="AE123" s="303" t="s">
        <v>510</v>
      </c>
      <c r="AF123" s="303" t="s">
        <v>511</v>
      </c>
      <c r="AG123" s="303" t="s">
        <v>510</v>
      </c>
      <c r="AH123" s="314">
        <v>0</v>
      </c>
      <c r="AI123" s="297">
        <f t="shared" si="12"/>
        <v>0</v>
      </c>
      <c r="AJ123" s="303" t="s">
        <v>504</v>
      </c>
      <c r="AK123" s="303"/>
      <c r="AL123" s="303"/>
      <c r="AM123" s="303"/>
      <c r="AN123" s="303"/>
      <c r="AO123" s="303"/>
      <c r="AP123" s="303"/>
      <c r="AQ123" s="289">
        <f t="shared" si="13"/>
        <v>0</v>
      </c>
      <c r="AR123" s="303"/>
      <c r="AS123" s="303"/>
      <c r="AT123" s="329"/>
      <c r="AU123" s="329"/>
      <c r="AV123" s="329"/>
      <c r="AW123" s="329"/>
      <c r="AX123" s="329"/>
      <c r="AY123" s="139">
        <f t="shared" si="14"/>
        <v>0</v>
      </c>
      <c r="AZ123" s="303"/>
      <c r="BA123" s="303"/>
      <c r="BB123" s="356" t="s">
        <v>519</v>
      </c>
      <c r="BC123" s="356" t="s">
        <v>519</v>
      </c>
      <c r="BD123" s="356" t="s">
        <v>511</v>
      </c>
      <c r="BE123" s="303" t="s">
        <v>510</v>
      </c>
      <c r="BF123" s="352">
        <v>0</v>
      </c>
      <c r="BG123" s="353">
        <f t="shared" si="15"/>
        <v>0</v>
      </c>
      <c r="BH123" s="303" t="s">
        <v>520</v>
      </c>
      <c r="BI123" s="303" t="s">
        <v>1877</v>
      </c>
      <c r="BJ123" s="354">
        <f t="shared" si="9"/>
        <v>2</v>
      </c>
      <c r="BK123" s="316" t="str">
        <f t="shared" si="16"/>
        <v>Habilitado</v>
      </c>
    </row>
    <row r="124" spans="1:63" ht="38.25" x14ac:dyDescent="0.25">
      <c r="A124" s="324">
        <v>122</v>
      </c>
      <c r="B124" s="345" t="s">
        <v>2056</v>
      </c>
      <c r="C124" s="376" t="s">
        <v>518</v>
      </c>
      <c r="D124" s="376" t="s">
        <v>140</v>
      </c>
      <c r="E124" s="347">
        <v>1</v>
      </c>
      <c r="F124" s="314" t="s">
        <v>510</v>
      </c>
      <c r="G124" s="314" t="s">
        <v>510</v>
      </c>
      <c r="H124" s="314" t="s">
        <v>511</v>
      </c>
      <c r="I124" s="314" t="s">
        <v>510</v>
      </c>
      <c r="J124" s="314">
        <v>40</v>
      </c>
      <c r="K124" s="29">
        <f t="shared" si="10"/>
        <v>40</v>
      </c>
      <c r="L124" s="314" t="s">
        <v>504</v>
      </c>
      <c r="M124" s="314"/>
      <c r="N124" s="314"/>
      <c r="O124" s="314"/>
      <c r="P124" s="314"/>
      <c r="Q124" s="314"/>
      <c r="R124" s="314"/>
      <c r="S124" s="314"/>
      <c r="T124" s="314"/>
      <c r="U124" s="314"/>
      <c r="V124" s="350"/>
      <c r="W124" s="350"/>
      <c r="X124" s="350"/>
      <c r="Y124" s="350"/>
      <c r="Z124" s="307"/>
      <c r="AA124" s="350">
        <f t="shared" si="11"/>
        <v>0</v>
      </c>
      <c r="AB124" s="307"/>
      <c r="AC124" s="307"/>
      <c r="AD124" s="303" t="s">
        <v>510</v>
      </c>
      <c r="AE124" s="303" t="s">
        <v>510</v>
      </c>
      <c r="AF124" s="303" t="s">
        <v>511</v>
      </c>
      <c r="AG124" s="303" t="s">
        <v>510</v>
      </c>
      <c r="AH124" s="314">
        <v>0</v>
      </c>
      <c r="AI124" s="297">
        <f t="shared" si="12"/>
        <v>0</v>
      </c>
      <c r="AJ124" s="303" t="s">
        <v>504</v>
      </c>
      <c r="AK124" s="361"/>
      <c r="AL124" s="303"/>
      <c r="AM124" s="303"/>
      <c r="AN124" s="303"/>
      <c r="AO124" s="303"/>
      <c r="AP124" s="303"/>
      <c r="AQ124" s="289">
        <f t="shared" si="13"/>
        <v>0</v>
      </c>
      <c r="AR124" s="314"/>
      <c r="AS124" s="314"/>
      <c r="AT124" s="329"/>
      <c r="AU124" s="329"/>
      <c r="AV124" s="329"/>
      <c r="AW124" s="329"/>
      <c r="AX124" s="329"/>
      <c r="AY124" s="139">
        <f t="shared" si="14"/>
        <v>0</v>
      </c>
      <c r="AZ124" s="375"/>
      <c r="BA124" s="375"/>
      <c r="BB124" s="356" t="s">
        <v>519</v>
      </c>
      <c r="BC124" s="356" t="s">
        <v>519</v>
      </c>
      <c r="BD124" s="356" t="s">
        <v>511</v>
      </c>
      <c r="BE124" s="303" t="s">
        <v>510</v>
      </c>
      <c r="BF124" s="352">
        <v>0</v>
      </c>
      <c r="BG124" s="353">
        <f t="shared" si="15"/>
        <v>0</v>
      </c>
      <c r="BH124" s="303" t="s">
        <v>520</v>
      </c>
      <c r="BI124" s="303" t="s">
        <v>1877</v>
      </c>
      <c r="BJ124" s="354">
        <f t="shared" si="9"/>
        <v>2</v>
      </c>
      <c r="BK124" s="316" t="str">
        <f t="shared" si="16"/>
        <v>Habilitado</v>
      </c>
    </row>
    <row r="125" spans="1:63" ht="38.25" x14ac:dyDescent="0.25">
      <c r="A125" s="324">
        <v>123</v>
      </c>
      <c r="B125" s="345" t="s">
        <v>2057</v>
      </c>
      <c r="C125" s="376" t="s">
        <v>518</v>
      </c>
      <c r="D125" s="357" t="s">
        <v>140</v>
      </c>
      <c r="E125" s="347">
        <v>1</v>
      </c>
      <c r="F125" s="314" t="s">
        <v>510</v>
      </c>
      <c r="G125" s="314" t="s">
        <v>510</v>
      </c>
      <c r="H125" s="314" t="s">
        <v>511</v>
      </c>
      <c r="I125" s="314" t="s">
        <v>510</v>
      </c>
      <c r="J125" s="314">
        <v>40</v>
      </c>
      <c r="K125" s="29">
        <f t="shared" si="10"/>
        <v>40</v>
      </c>
      <c r="L125" s="314" t="s">
        <v>504</v>
      </c>
      <c r="M125" s="314"/>
      <c r="N125" s="314"/>
      <c r="O125" s="314"/>
      <c r="P125" s="314"/>
      <c r="Q125" s="314"/>
      <c r="R125" s="314"/>
      <c r="S125" s="314"/>
      <c r="T125" s="314"/>
      <c r="U125" s="314"/>
      <c r="V125" s="350"/>
      <c r="W125" s="350"/>
      <c r="X125" s="350"/>
      <c r="Y125" s="350"/>
      <c r="Z125" s="307"/>
      <c r="AA125" s="350">
        <f t="shared" si="11"/>
        <v>0</v>
      </c>
      <c r="AB125" s="307"/>
      <c r="AC125" s="307"/>
      <c r="AD125" s="303" t="s">
        <v>510</v>
      </c>
      <c r="AE125" s="303" t="s">
        <v>510</v>
      </c>
      <c r="AF125" s="303" t="s">
        <v>511</v>
      </c>
      <c r="AG125" s="303" t="s">
        <v>510</v>
      </c>
      <c r="AH125" s="314">
        <v>0</v>
      </c>
      <c r="AI125" s="297">
        <f t="shared" si="12"/>
        <v>0</v>
      </c>
      <c r="AJ125" s="303" t="s">
        <v>504</v>
      </c>
      <c r="AK125" s="361"/>
      <c r="AL125" s="303"/>
      <c r="AM125" s="303"/>
      <c r="AN125" s="303"/>
      <c r="AO125" s="303"/>
      <c r="AP125" s="303"/>
      <c r="AQ125" s="289">
        <f t="shared" si="13"/>
        <v>0</v>
      </c>
      <c r="AR125" s="314"/>
      <c r="AS125" s="314"/>
      <c r="AT125" s="329"/>
      <c r="AU125" s="329"/>
      <c r="AV125" s="329"/>
      <c r="AW125" s="329"/>
      <c r="AX125" s="329"/>
      <c r="AY125" s="139">
        <f t="shared" si="14"/>
        <v>0</v>
      </c>
      <c r="AZ125" s="375"/>
      <c r="BA125" s="375"/>
      <c r="BB125" s="356" t="s">
        <v>519</v>
      </c>
      <c r="BC125" s="356" t="s">
        <v>519</v>
      </c>
      <c r="BD125" s="356" t="s">
        <v>511</v>
      </c>
      <c r="BE125" s="303" t="s">
        <v>510</v>
      </c>
      <c r="BF125" s="352">
        <v>0</v>
      </c>
      <c r="BG125" s="353">
        <f t="shared" si="15"/>
        <v>0</v>
      </c>
      <c r="BH125" s="303" t="s">
        <v>520</v>
      </c>
      <c r="BI125" s="303" t="s">
        <v>1877</v>
      </c>
      <c r="BJ125" s="354">
        <f t="shared" si="9"/>
        <v>2</v>
      </c>
      <c r="BK125" s="316" t="str">
        <f t="shared" si="16"/>
        <v>Habilitado</v>
      </c>
    </row>
    <row r="126" spans="1:63" ht="38.25" x14ac:dyDescent="0.25">
      <c r="A126" s="324">
        <v>124</v>
      </c>
      <c r="B126" s="345" t="s">
        <v>2058</v>
      </c>
      <c r="C126" s="376" t="s">
        <v>518</v>
      </c>
      <c r="D126" s="357" t="s">
        <v>140</v>
      </c>
      <c r="E126" s="347">
        <v>1</v>
      </c>
      <c r="F126" s="314" t="s">
        <v>510</v>
      </c>
      <c r="G126" s="314" t="s">
        <v>510</v>
      </c>
      <c r="H126" s="314" t="s">
        <v>511</v>
      </c>
      <c r="I126" s="314" t="s">
        <v>510</v>
      </c>
      <c r="J126" s="314">
        <v>40</v>
      </c>
      <c r="K126" s="29">
        <f t="shared" si="10"/>
        <v>40</v>
      </c>
      <c r="L126" s="314" t="s">
        <v>504</v>
      </c>
      <c r="M126" s="314"/>
      <c r="N126" s="314"/>
      <c r="O126" s="314"/>
      <c r="P126" s="314"/>
      <c r="Q126" s="314"/>
      <c r="R126" s="314"/>
      <c r="S126" s="314"/>
      <c r="T126" s="314"/>
      <c r="U126" s="314"/>
      <c r="V126" s="350"/>
      <c r="W126" s="350"/>
      <c r="X126" s="350"/>
      <c r="Y126" s="350"/>
      <c r="Z126" s="307"/>
      <c r="AA126" s="350">
        <f t="shared" si="11"/>
        <v>0</v>
      </c>
      <c r="AB126" s="307"/>
      <c r="AC126" s="307"/>
      <c r="AD126" s="303" t="s">
        <v>510</v>
      </c>
      <c r="AE126" s="303" t="s">
        <v>510</v>
      </c>
      <c r="AF126" s="303" t="s">
        <v>511</v>
      </c>
      <c r="AG126" s="303" t="s">
        <v>510</v>
      </c>
      <c r="AH126" s="314">
        <v>0</v>
      </c>
      <c r="AI126" s="297">
        <f t="shared" si="12"/>
        <v>0</v>
      </c>
      <c r="AJ126" s="303" t="s">
        <v>504</v>
      </c>
      <c r="AK126" s="361"/>
      <c r="AL126" s="303"/>
      <c r="AM126" s="303"/>
      <c r="AN126" s="303"/>
      <c r="AO126" s="303"/>
      <c r="AP126" s="303"/>
      <c r="AQ126" s="289">
        <f t="shared" si="13"/>
        <v>0</v>
      </c>
      <c r="AR126" s="314"/>
      <c r="AS126" s="314"/>
      <c r="AT126" s="329"/>
      <c r="AU126" s="329"/>
      <c r="AV126" s="329"/>
      <c r="AW126" s="329"/>
      <c r="AX126" s="329"/>
      <c r="AY126" s="139">
        <f t="shared" si="14"/>
        <v>0</v>
      </c>
      <c r="AZ126" s="375"/>
      <c r="BA126" s="375"/>
      <c r="BB126" s="356" t="s">
        <v>519</v>
      </c>
      <c r="BC126" s="356" t="s">
        <v>519</v>
      </c>
      <c r="BD126" s="356" t="s">
        <v>511</v>
      </c>
      <c r="BE126" s="303" t="s">
        <v>510</v>
      </c>
      <c r="BF126" s="352">
        <v>0</v>
      </c>
      <c r="BG126" s="353">
        <f t="shared" si="15"/>
        <v>0</v>
      </c>
      <c r="BH126" s="303" t="s">
        <v>520</v>
      </c>
      <c r="BI126" s="303" t="s">
        <v>1877</v>
      </c>
      <c r="BJ126" s="354">
        <f t="shared" si="9"/>
        <v>2</v>
      </c>
      <c r="BK126" s="316" t="str">
        <f t="shared" si="16"/>
        <v>Habilitado</v>
      </c>
    </row>
    <row r="127" spans="1:63" ht="38.25" x14ac:dyDescent="0.25">
      <c r="A127" s="324">
        <v>125</v>
      </c>
      <c r="B127" s="345" t="s">
        <v>2059</v>
      </c>
      <c r="C127" s="376" t="s">
        <v>518</v>
      </c>
      <c r="D127" s="357" t="s">
        <v>140</v>
      </c>
      <c r="E127" s="347">
        <v>1</v>
      </c>
      <c r="F127" s="314" t="s">
        <v>510</v>
      </c>
      <c r="G127" s="314" t="s">
        <v>510</v>
      </c>
      <c r="H127" s="314" t="s">
        <v>511</v>
      </c>
      <c r="I127" s="314" t="s">
        <v>510</v>
      </c>
      <c r="J127" s="314">
        <v>40</v>
      </c>
      <c r="K127" s="29">
        <f t="shared" si="10"/>
        <v>40</v>
      </c>
      <c r="L127" s="314" t="s">
        <v>504</v>
      </c>
      <c r="M127" s="314"/>
      <c r="N127" s="314"/>
      <c r="O127" s="314"/>
      <c r="P127" s="314"/>
      <c r="Q127" s="314"/>
      <c r="R127" s="314"/>
      <c r="S127" s="314"/>
      <c r="T127" s="314"/>
      <c r="U127" s="314"/>
      <c r="V127" s="350"/>
      <c r="W127" s="350"/>
      <c r="X127" s="350"/>
      <c r="Y127" s="350"/>
      <c r="Z127" s="307"/>
      <c r="AA127" s="350">
        <f t="shared" si="11"/>
        <v>0</v>
      </c>
      <c r="AB127" s="307"/>
      <c r="AC127" s="303"/>
      <c r="AD127" s="303" t="s">
        <v>510</v>
      </c>
      <c r="AE127" s="303" t="s">
        <v>510</v>
      </c>
      <c r="AF127" s="303" t="s">
        <v>511</v>
      </c>
      <c r="AG127" s="303" t="s">
        <v>510</v>
      </c>
      <c r="AH127" s="314">
        <v>0</v>
      </c>
      <c r="AI127" s="297">
        <f t="shared" si="12"/>
        <v>0</v>
      </c>
      <c r="AJ127" s="303" t="s">
        <v>504</v>
      </c>
      <c r="AK127" s="301"/>
      <c r="AL127" s="303"/>
      <c r="AM127" s="303"/>
      <c r="AN127" s="303"/>
      <c r="AO127" s="303"/>
      <c r="AP127" s="303"/>
      <c r="AQ127" s="289">
        <f t="shared" si="13"/>
        <v>0</v>
      </c>
      <c r="AR127" s="303"/>
      <c r="AS127" s="301"/>
      <c r="AT127" s="329"/>
      <c r="AU127" s="329"/>
      <c r="AV127" s="329"/>
      <c r="AW127" s="329"/>
      <c r="AX127" s="329"/>
      <c r="AY127" s="139">
        <f t="shared" si="14"/>
        <v>0</v>
      </c>
      <c r="AZ127" s="303"/>
      <c r="BA127" s="301"/>
      <c r="BB127" s="356" t="s">
        <v>519</v>
      </c>
      <c r="BC127" s="356" t="s">
        <v>519</v>
      </c>
      <c r="BD127" s="356" t="s">
        <v>511</v>
      </c>
      <c r="BE127" s="303" t="s">
        <v>510</v>
      </c>
      <c r="BF127" s="352">
        <v>0</v>
      </c>
      <c r="BG127" s="353">
        <f t="shared" si="15"/>
        <v>0</v>
      </c>
      <c r="BH127" s="303" t="s">
        <v>520</v>
      </c>
      <c r="BI127" s="303" t="s">
        <v>1877</v>
      </c>
      <c r="BJ127" s="354">
        <f t="shared" si="9"/>
        <v>2</v>
      </c>
      <c r="BK127" s="316" t="str">
        <f t="shared" si="16"/>
        <v>Habilitado</v>
      </c>
    </row>
    <row r="128" spans="1:63" ht="38.25" x14ac:dyDescent="0.25">
      <c r="A128" s="324">
        <v>126</v>
      </c>
      <c r="B128" s="345" t="s">
        <v>2060</v>
      </c>
      <c r="C128" s="376" t="s">
        <v>518</v>
      </c>
      <c r="D128" s="357" t="s">
        <v>140</v>
      </c>
      <c r="E128" s="347">
        <v>1</v>
      </c>
      <c r="F128" s="314" t="s">
        <v>510</v>
      </c>
      <c r="G128" s="314" t="s">
        <v>510</v>
      </c>
      <c r="H128" s="314" t="s">
        <v>511</v>
      </c>
      <c r="I128" s="314" t="s">
        <v>510</v>
      </c>
      <c r="J128" s="314">
        <v>40</v>
      </c>
      <c r="K128" s="29">
        <f t="shared" si="10"/>
        <v>40</v>
      </c>
      <c r="L128" s="314" t="s">
        <v>504</v>
      </c>
      <c r="M128" s="314"/>
      <c r="N128" s="314"/>
      <c r="O128" s="314"/>
      <c r="P128" s="314"/>
      <c r="Q128" s="314"/>
      <c r="R128" s="314"/>
      <c r="S128" s="314"/>
      <c r="T128" s="314"/>
      <c r="U128" s="314"/>
      <c r="V128" s="350"/>
      <c r="W128" s="350"/>
      <c r="X128" s="350"/>
      <c r="Y128" s="350"/>
      <c r="Z128" s="307"/>
      <c r="AA128" s="350">
        <f t="shared" si="11"/>
        <v>0</v>
      </c>
      <c r="AB128" s="307"/>
      <c r="AC128" s="307"/>
      <c r="AD128" s="303" t="s">
        <v>510</v>
      </c>
      <c r="AE128" s="303" t="s">
        <v>510</v>
      </c>
      <c r="AF128" s="303" t="s">
        <v>511</v>
      </c>
      <c r="AG128" s="303" t="s">
        <v>510</v>
      </c>
      <c r="AH128" s="314">
        <v>0</v>
      </c>
      <c r="AI128" s="297">
        <f t="shared" si="12"/>
        <v>0</v>
      </c>
      <c r="AJ128" s="303" t="s">
        <v>504</v>
      </c>
      <c r="AK128" s="303"/>
      <c r="AL128" s="303"/>
      <c r="AM128" s="303"/>
      <c r="AN128" s="303"/>
      <c r="AO128" s="303"/>
      <c r="AP128" s="303"/>
      <c r="AQ128" s="289">
        <f t="shared" si="13"/>
        <v>0</v>
      </c>
      <c r="AR128" s="303"/>
      <c r="AS128" s="303"/>
      <c r="AT128" s="329"/>
      <c r="AU128" s="329"/>
      <c r="AV128" s="329"/>
      <c r="AW128" s="329"/>
      <c r="AX128" s="329"/>
      <c r="AY128" s="139">
        <f t="shared" si="14"/>
        <v>0</v>
      </c>
      <c r="AZ128" s="303"/>
      <c r="BA128" s="303"/>
      <c r="BB128" s="356" t="s">
        <v>519</v>
      </c>
      <c r="BC128" s="356" t="s">
        <v>519</v>
      </c>
      <c r="BD128" s="356" t="s">
        <v>511</v>
      </c>
      <c r="BE128" s="303" t="s">
        <v>510</v>
      </c>
      <c r="BF128" s="352">
        <v>0</v>
      </c>
      <c r="BG128" s="353">
        <f t="shared" si="15"/>
        <v>0</v>
      </c>
      <c r="BH128" s="303" t="s">
        <v>520</v>
      </c>
      <c r="BI128" s="303" t="s">
        <v>1877</v>
      </c>
      <c r="BJ128" s="354">
        <f t="shared" si="9"/>
        <v>2</v>
      </c>
      <c r="BK128" s="316" t="str">
        <f t="shared" si="16"/>
        <v>Habilitado</v>
      </c>
    </row>
    <row r="129" spans="1:63" x14ac:dyDescent="0.25">
      <c r="A129" s="324">
        <v>127</v>
      </c>
      <c r="B129" s="345" t="s">
        <v>2061</v>
      </c>
      <c r="C129" s="376" t="s">
        <v>518</v>
      </c>
      <c r="D129" s="360" t="s">
        <v>140</v>
      </c>
      <c r="E129" s="347">
        <v>1</v>
      </c>
      <c r="F129" s="314"/>
      <c r="G129" s="314"/>
      <c r="H129" s="314"/>
      <c r="I129" s="314"/>
      <c r="J129" s="314"/>
      <c r="K129" s="29">
        <f t="shared" si="10"/>
        <v>0</v>
      </c>
      <c r="L129" s="314"/>
      <c r="M129" s="314"/>
      <c r="N129" s="314"/>
      <c r="O129" s="314"/>
      <c r="P129" s="314"/>
      <c r="Q129" s="314"/>
      <c r="R129" s="314"/>
      <c r="S129" s="314"/>
      <c r="T129" s="314"/>
      <c r="U129" s="314"/>
      <c r="V129" s="350" t="s">
        <v>510</v>
      </c>
      <c r="W129" s="350" t="s">
        <v>510</v>
      </c>
      <c r="X129" s="350" t="s">
        <v>511</v>
      </c>
      <c r="Y129" s="350" t="s">
        <v>510</v>
      </c>
      <c r="Z129" s="304">
        <v>20</v>
      </c>
      <c r="AA129" s="350">
        <f t="shared" si="11"/>
        <v>20</v>
      </c>
      <c r="AB129" s="307" t="s">
        <v>504</v>
      </c>
      <c r="AC129" s="307"/>
      <c r="AD129" s="303" t="s">
        <v>510</v>
      </c>
      <c r="AE129" s="303" t="s">
        <v>510</v>
      </c>
      <c r="AF129" s="303" t="s">
        <v>511</v>
      </c>
      <c r="AG129" s="303" t="s">
        <v>510</v>
      </c>
      <c r="AH129" s="314">
        <v>0</v>
      </c>
      <c r="AI129" s="297">
        <f t="shared" si="12"/>
        <v>0</v>
      </c>
      <c r="AJ129" s="303" t="s">
        <v>504</v>
      </c>
      <c r="AK129" s="303"/>
      <c r="AL129" s="303"/>
      <c r="AM129" s="303"/>
      <c r="AN129" s="303"/>
      <c r="AO129" s="303"/>
      <c r="AP129" s="303"/>
      <c r="AQ129" s="289">
        <f t="shared" si="13"/>
        <v>0</v>
      </c>
      <c r="AR129" s="303"/>
      <c r="AS129" s="303"/>
      <c r="AT129" s="303" t="s">
        <v>510</v>
      </c>
      <c r="AU129" s="303" t="s">
        <v>510</v>
      </c>
      <c r="AV129" s="303" t="s">
        <v>511</v>
      </c>
      <c r="AW129" s="303" t="s">
        <v>510</v>
      </c>
      <c r="AX129" s="303">
        <v>40</v>
      </c>
      <c r="AY129" s="139">
        <f t="shared" si="14"/>
        <v>40</v>
      </c>
      <c r="AZ129" s="303" t="s">
        <v>504</v>
      </c>
      <c r="BA129" s="303"/>
      <c r="BB129" s="356" t="s">
        <v>519</v>
      </c>
      <c r="BC129" s="356" t="s">
        <v>519</v>
      </c>
      <c r="BD129" s="356" t="s">
        <v>511</v>
      </c>
      <c r="BE129" s="303" t="s">
        <v>510</v>
      </c>
      <c r="BF129" s="352">
        <v>0</v>
      </c>
      <c r="BG129" s="353">
        <f t="shared" si="15"/>
        <v>0</v>
      </c>
      <c r="BH129" s="303" t="s">
        <v>520</v>
      </c>
      <c r="BI129" s="303" t="s">
        <v>1877</v>
      </c>
      <c r="BJ129" s="354">
        <f t="shared" si="9"/>
        <v>3</v>
      </c>
      <c r="BK129" s="316" t="str">
        <f t="shared" si="16"/>
        <v>Habilitado</v>
      </c>
    </row>
    <row r="130" spans="1:63" x14ac:dyDescent="0.25">
      <c r="A130" s="324">
        <v>128</v>
      </c>
      <c r="B130" s="345" t="s">
        <v>2062</v>
      </c>
      <c r="C130" s="376" t="s">
        <v>518</v>
      </c>
      <c r="D130" s="360" t="s">
        <v>140</v>
      </c>
      <c r="E130" s="347">
        <v>1</v>
      </c>
      <c r="F130" s="314" t="s">
        <v>510</v>
      </c>
      <c r="G130" s="314" t="s">
        <v>510</v>
      </c>
      <c r="H130" s="314" t="s">
        <v>511</v>
      </c>
      <c r="I130" s="314" t="s">
        <v>510</v>
      </c>
      <c r="J130" s="314">
        <v>40</v>
      </c>
      <c r="K130" s="29">
        <f t="shared" si="10"/>
        <v>40</v>
      </c>
      <c r="L130" s="314" t="s">
        <v>504</v>
      </c>
      <c r="M130" s="314"/>
      <c r="N130" s="314"/>
      <c r="O130" s="314"/>
      <c r="P130" s="314"/>
      <c r="Q130" s="314"/>
      <c r="R130" s="314"/>
      <c r="S130" s="314"/>
      <c r="T130" s="314"/>
      <c r="U130" s="314"/>
      <c r="V130" s="350"/>
      <c r="W130" s="350"/>
      <c r="X130" s="350"/>
      <c r="Y130" s="350"/>
      <c r="Z130" s="307"/>
      <c r="AA130" s="350">
        <f t="shared" si="11"/>
        <v>0</v>
      </c>
      <c r="AB130" s="307"/>
      <c r="AC130" s="307"/>
      <c r="AD130" s="303" t="s">
        <v>510</v>
      </c>
      <c r="AE130" s="303" t="s">
        <v>510</v>
      </c>
      <c r="AF130" s="303" t="s">
        <v>511</v>
      </c>
      <c r="AG130" s="303" t="s">
        <v>510</v>
      </c>
      <c r="AH130" s="314">
        <v>0</v>
      </c>
      <c r="AI130" s="297">
        <f t="shared" si="12"/>
        <v>0</v>
      </c>
      <c r="AJ130" s="303" t="s">
        <v>504</v>
      </c>
      <c r="AK130" s="303"/>
      <c r="AL130" s="303"/>
      <c r="AM130" s="303"/>
      <c r="AN130" s="303"/>
      <c r="AO130" s="303"/>
      <c r="AP130" s="303"/>
      <c r="AQ130" s="289">
        <f t="shared" si="13"/>
        <v>0</v>
      </c>
      <c r="AR130" s="303"/>
      <c r="AS130" s="303"/>
      <c r="AT130" s="329"/>
      <c r="AU130" s="329"/>
      <c r="AV130" s="329"/>
      <c r="AW130" s="329"/>
      <c r="AX130" s="329"/>
      <c r="AY130" s="139">
        <f t="shared" si="14"/>
        <v>0</v>
      </c>
      <c r="AZ130" s="303"/>
      <c r="BA130" s="303"/>
      <c r="BB130" s="356" t="s">
        <v>519</v>
      </c>
      <c r="BC130" s="356" t="s">
        <v>519</v>
      </c>
      <c r="BD130" s="356" t="s">
        <v>511</v>
      </c>
      <c r="BE130" s="303" t="s">
        <v>510</v>
      </c>
      <c r="BF130" s="352">
        <v>0</v>
      </c>
      <c r="BG130" s="353">
        <f t="shared" si="15"/>
        <v>0</v>
      </c>
      <c r="BH130" s="303" t="s">
        <v>520</v>
      </c>
      <c r="BI130" s="322" t="s">
        <v>2039</v>
      </c>
      <c r="BJ130" s="354">
        <f t="shared" si="9"/>
        <v>2</v>
      </c>
      <c r="BK130" s="316" t="str">
        <f t="shared" si="16"/>
        <v>Habilitado</v>
      </c>
    </row>
    <row r="131" spans="1:63" ht="25.5" x14ac:dyDescent="0.25">
      <c r="A131" s="324">
        <v>129</v>
      </c>
      <c r="B131" s="345" t="s">
        <v>2063</v>
      </c>
      <c r="C131" s="335" t="s">
        <v>2064</v>
      </c>
      <c r="D131" s="360" t="s">
        <v>1819</v>
      </c>
      <c r="E131" s="347">
        <v>1</v>
      </c>
      <c r="F131" s="314" t="s">
        <v>510</v>
      </c>
      <c r="G131" s="314" t="s">
        <v>510</v>
      </c>
      <c r="H131" s="314" t="s">
        <v>510</v>
      </c>
      <c r="I131" s="314" t="s">
        <v>510</v>
      </c>
      <c r="J131" s="314">
        <v>40</v>
      </c>
      <c r="K131" s="29">
        <f t="shared" si="10"/>
        <v>40</v>
      </c>
      <c r="L131" s="314" t="s">
        <v>504</v>
      </c>
      <c r="M131" s="314"/>
      <c r="N131" s="314"/>
      <c r="O131" s="314"/>
      <c r="P131" s="314"/>
      <c r="Q131" s="314"/>
      <c r="R131" s="314"/>
      <c r="S131" s="314"/>
      <c r="T131" s="314"/>
      <c r="U131" s="314"/>
      <c r="V131" s="350"/>
      <c r="W131" s="350"/>
      <c r="X131" s="350"/>
      <c r="Y131" s="350"/>
      <c r="Z131" s="307"/>
      <c r="AA131" s="350">
        <f t="shared" si="11"/>
        <v>0</v>
      </c>
      <c r="AB131" s="307"/>
      <c r="AC131" s="307"/>
      <c r="AD131" s="303" t="s">
        <v>510</v>
      </c>
      <c r="AE131" s="303" t="s">
        <v>510</v>
      </c>
      <c r="AF131" s="303" t="s">
        <v>510</v>
      </c>
      <c r="AG131" s="303" t="s">
        <v>510</v>
      </c>
      <c r="AH131" s="314">
        <v>0</v>
      </c>
      <c r="AI131" s="297">
        <f t="shared" si="12"/>
        <v>0</v>
      </c>
      <c r="AJ131" s="303" t="s">
        <v>504</v>
      </c>
      <c r="AK131" s="303"/>
      <c r="AL131" s="303"/>
      <c r="AM131" s="303"/>
      <c r="AN131" s="303"/>
      <c r="AO131" s="303"/>
      <c r="AP131" s="303"/>
      <c r="AQ131" s="289">
        <f t="shared" si="13"/>
        <v>0</v>
      </c>
      <c r="AR131" s="303"/>
      <c r="AS131" s="303"/>
      <c r="AT131" s="329"/>
      <c r="AU131" s="329"/>
      <c r="AV131" s="329"/>
      <c r="AW131" s="329"/>
      <c r="AX131" s="329"/>
      <c r="AY131" s="139">
        <f t="shared" si="14"/>
        <v>0</v>
      </c>
      <c r="AZ131" s="303"/>
      <c r="BA131" s="303"/>
      <c r="BB131" s="356" t="s">
        <v>519</v>
      </c>
      <c r="BC131" s="356" t="s">
        <v>519</v>
      </c>
      <c r="BD131" s="356" t="s">
        <v>519</v>
      </c>
      <c r="BE131" s="303" t="s">
        <v>510</v>
      </c>
      <c r="BF131" s="352">
        <v>0</v>
      </c>
      <c r="BG131" s="353">
        <f t="shared" si="15"/>
        <v>0</v>
      </c>
      <c r="BH131" s="303" t="s">
        <v>520</v>
      </c>
      <c r="BI131" s="322" t="s">
        <v>2039</v>
      </c>
      <c r="BJ131" s="354">
        <f t="shared" ref="BJ131:BJ194" si="17">COUNTIF(L131,"Habilitado")+COUNTIF(T131,"Habilitado")+COUNTIF(AB131,"Habilitado")+COUNTIF(AJ131,"Habilitado")+COUNTIF(AR131,"Habilitado")+COUNTIF(AZ131,"Habilitado")+COUNTIF(BH131,"Habilitado")</f>
        <v>2</v>
      </c>
      <c r="BK131" s="316" t="str">
        <f t="shared" si="16"/>
        <v>Habilitado</v>
      </c>
    </row>
    <row r="132" spans="1:63" ht="25.5" x14ac:dyDescent="0.25">
      <c r="A132" s="324">
        <v>130</v>
      </c>
      <c r="B132" s="325" t="s">
        <v>2065</v>
      </c>
      <c r="C132" s="325" t="s">
        <v>518</v>
      </c>
      <c r="D132" s="325" t="s">
        <v>140</v>
      </c>
      <c r="E132" s="362">
        <v>1</v>
      </c>
      <c r="F132" s="406"/>
      <c r="G132" s="406"/>
      <c r="H132" s="406"/>
      <c r="I132" s="406"/>
      <c r="J132" s="406"/>
      <c r="K132" s="29">
        <f t="shared" ref="K132:K195" si="18">+J132</f>
        <v>0</v>
      </c>
      <c r="L132" s="406"/>
      <c r="M132" s="406" t="s">
        <v>551</v>
      </c>
      <c r="N132" s="406"/>
      <c r="O132" s="406"/>
      <c r="P132" s="406"/>
      <c r="Q132" s="406"/>
      <c r="R132" s="406"/>
      <c r="S132" s="406"/>
      <c r="T132" s="406"/>
      <c r="U132" s="406"/>
      <c r="V132" s="350"/>
      <c r="W132" s="350"/>
      <c r="X132" s="350"/>
      <c r="Y132" s="350"/>
      <c r="Z132" s="307"/>
      <c r="AA132" s="350">
        <f t="shared" ref="AA132:AA195" si="19">(Z132)</f>
        <v>0</v>
      </c>
      <c r="AB132" s="307"/>
      <c r="AC132" s="307"/>
      <c r="AD132" s="304" t="s">
        <v>510</v>
      </c>
      <c r="AE132" s="304" t="s">
        <v>510</v>
      </c>
      <c r="AF132" s="304" t="s">
        <v>511</v>
      </c>
      <c r="AG132" s="303" t="s">
        <v>510</v>
      </c>
      <c r="AH132" s="326">
        <v>0</v>
      </c>
      <c r="AI132" s="297">
        <f t="shared" ref="AI132:AI195" si="20">+AH132</f>
        <v>0</v>
      </c>
      <c r="AJ132" s="303" t="s">
        <v>504</v>
      </c>
      <c r="AK132" s="304" t="s">
        <v>551</v>
      </c>
      <c r="AL132" s="304"/>
      <c r="AM132" s="304"/>
      <c r="AN132" s="304"/>
      <c r="AO132" s="304"/>
      <c r="AP132" s="304"/>
      <c r="AQ132" s="289">
        <f t="shared" ref="AQ132:AQ195" si="21">+AP132</f>
        <v>0</v>
      </c>
      <c r="AR132" s="304"/>
      <c r="AS132" s="304"/>
      <c r="AT132" s="304" t="s">
        <v>510</v>
      </c>
      <c r="AU132" s="304" t="s">
        <v>510</v>
      </c>
      <c r="AV132" s="304" t="s">
        <v>511</v>
      </c>
      <c r="AW132" s="303" t="s">
        <v>510</v>
      </c>
      <c r="AX132" s="326">
        <v>40</v>
      </c>
      <c r="AY132" s="139">
        <f t="shared" ref="AY132:AY195" si="22">+AX132</f>
        <v>40</v>
      </c>
      <c r="AZ132" s="304" t="s">
        <v>504</v>
      </c>
      <c r="BA132" s="304" t="s">
        <v>551</v>
      </c>
      <c r="BB132" s="356" t="s">
        <v>519</v>
      </c>
      <c r="BC132" s="356" t="s">
        <v>519</v>
      </c>
      <c r="BD132" s="356" t="s">
        <v>511</v>
      </c>
      <c r="BE132" s="303" t="s">
        <v>510</v>
      </c>
      <c r="BF132" s="352">
        <v>0</v>
      </c>
      <c r="BG132" s="353">
        <f t="shared" ref="BG132:BG195" si="23">+BF132</f>
        <v>0</v>
      </c>
      <c r="BH132" s="303" t="s">
        <v>520</v>
      </c>
      <c r="BI132" s="303" t="s">
        <v>1877</v>
      </c>
      <c r="BJ132" s="354">
        <f t="shared" si="17"/>
        <v>2</v>
      </c>
      <c r="BK132" s="316" t="str">
        <f t="shared" si="16"/>
        <v>Habilitado</v>
      </c>
    </row>
    <row r="133" spans="1:63" ht="25.5" x14ac:dyDescent="0.25">
      <c r="A133" s="324">
        <v>131</v>
      </c>
      <c r="B133" s="345" t="s">
        <v>2066</v>
      </c>
      <c r="C133" s="376" t="s">
        <v>518</v>
      </c>
      <c r="D133" s="360" t="s">
        <v>140</v>
      </c>
      <c r="E133" s="347">
        <v>1</v>
      </c>
      <c r="F133" s="314"/>
      <c r="G133" s="314"/>
      <c r="H133" s="314"/>
      <c r="I133" s="314"/>
      <c r="J133" s="314"/>
      <c r="K133" s="29">
        <f t="shared" si="18"/>
        <v>0</v>
      </c>
      <c r="L133" s="314"/>
      <c r="M133" s="407"/>
      <c r="N133" s="407"/>
      <c r="O133" s="407"/>
      <c r="P133" s="407"/>
      <c r="Q133" s="407"/>
      <c r="R133" s="407"/>
      <c r="S133" s="407"/>
      <c r="T133" s="407"/>
      <c r="U133" s="407"/>
      <c r="V133" s="350"/>
      <c r="W133" s="350"/>
      <c r="X133" s="350"/>
      <c r="Y133" s="350"/>
      <c r="Z133" s="307"/>
      <c r="AA133" s="350">
        <f t="shared" si="19"/>
        <v>0</v>
      </c>
      <c r="AB133" s="307"/>
      <c r="AC133" s="303"/>
      <c r="AD133" s="303" t="s">
        <v>510</v>
      </c>
      <c r="AE133" s="303" t="s">
        <v>510</v>
      </c>
      <c r="AF133" s="303" t="s">
        <v>511</v>
      </c>
      <c r="AG133" s="303" t="s">
        <v>510</v>
      </c>
      <c r="AH133" s="314">
        <v>0</v>
      </c>
      <c r="AI133" s="297">
        <f t="shared" si="20"/>
        <v>0</v>
      </c>
      <c r="AJ133" s="303" t="s">
        <v>504</v>
      </c>
      <c r="AK133" s="301"/>
      <c r="AL133" s="303"/>
      <c r="AM133" s="303"/>
      <c r="AN133" s="303"/>
      <c r="AO133" s="303"/>
      <c r="AP133" s="303"/>
      <c r="AQ133" s="289">
        <f t="shared" si="21"/>
        <v>0</v>
      </c>
      <c r="AR133" s="303"/>
      <c r="AS133" s="301"/>
      <c r="AT133" s="303" t="s">
        <v>510</v>
      </c>
      <c r="AU133" s="303" t="s">
        <v>510</v>
      </c>
      <c r="AV133" s="303" t="s">
        <v>511</v>
      </c>
      <c r="AW133" s="303" t="s">
        <v>510</v>
      </c>
      <c r="AX133" s="314">
        <v>40</v>
      </c>
      <c r="AY133" s="139">
        <f t="shared" si="22"/>
        <v>40</v>
      </c>
      <c r="AZ133" s="304" t="s">
        <v>504</v>
      </c>
      <c r="BA133" s="301"/>
      <c r="BB133" s="356" t="s">
        <v>519</v>
      </c>
      <c r="BC133" s="356" t="s">
        <v>519</v>
      </c>
      <c r="BD133" s="356" t="s">
        <v>511</v>
      </c>
      <c r="BE133" s="303" t="s">
        <v>510</v>
      </c>
      <c r="BF133" s="352">
        <v>0</v>
      </c>
      <c r="BG133" s="353">
        <f t="shared" si="23"/>
        <v>0</v>
      </c>
      <c r="BH133" s="303" t="s">
        <v>520</v>
      </c>
      <c r="BI133" s="303" t="s">
        <v>1877</v>
      </c>
      <c r="BJ133" s="354">
        <f t="shared" si="17"/>
        <v>2</v>
      </c>
      <c r="BK133" s="316" t="str">
        <f t="shared" si="16"/>
        <v>Habilitado</v>
      </c>
    </row>
    <row r="134" spans="1:63" ht="25.5" x14ac:dyDescent="0.25">
      <c r="A134" s="324">
        <v>132</v>
      </c>
      <c r="B134" s="345" t="s">
        <v>2067</v>
      </c>
      <c r="C134" s="335" t="s">
        <v>2068</v>
      </c>
      <c r="D134" s="360" t="s">
        <v>1553</v>
      </c>
      <c r="E134" s="347">
        <v>1</v>
      </c>
      <c r="F134" s="314" t="s">
        <v>510</v>
      </c>
      <c r="G134" s="314" t="s">
        <v>510</v>
      </c>
      <c r="H134" s="314" t="s">
        <v>510</v>
      </c>
      <c r="I134" s="314" t="s">
        <v>510</v>
      </c>
      <c r="J134" s="314">
        <v>40</v>
      </c>
      <c r="K134" s="29">
        <f t="shared" si="18"/>
        <v>40</v>
      </c>
      <c r="L134" s="314" t="s">
        <v>504</v>
      </c>
      <c r="M134" s="314"/>
      <c r="N134" s="314"/>
      <c r="O134" s="314"/>
      <c r="P134" s="314"/>
      <c r="Q134" s="314"/>
      <c r="R134" s="314"/>
      <c r="S134" s="314"/>
      <c r="T134" s="314"/>
      <c r="U134" s="314"/>
      <c r="V134" s="350"/>
      <c r="W134" s="350"/>
      <c r="X134" s="350"/>
      <c r="Y134" s="350"/>
      <c r="Z134" s="307"/>
      <c r="AA134" s="350">
        <f t="shared" si="19"/>
        <v>0</v>
      </c>
      <c r="AB134" s="307"/>
      <c r="AC134" s="307"/>
      <c r="AD134" s="303" t="s">
        <v>510</v>
      </c>
      <c r="AE134" s="303" t="s">
        <v>510</v>
      </c>
      <c r="AF134" s="303" t="s">
        <v>510</v>
      </c>
      <c r="AG134" s="303" t="s">
        <v>510</v>
      </c>
      <c r="AH134" s="314">
        <v>0</v>
      </c>
      <c r="AI134" s="297">
        <f t="shared" si="20"/>
        <v>0</v>
      </c>
      <c r="AJ134" s="303" t="s">
        <v>504</v>
      </c>
      <c r="AK134" s="303"/>
      <c r="AL134" s="303"/>
      <c r="AM134" s="303"/>
      <c r="AN134" s="303"/>
      <c r="AO134" s="303"/>
      <c r="AP134" s="303"/>
      <c r="AQ134" s="289">
        <f t="shared" si="21"/>
        <v>0</v>
      </c>
      <c r="AR134" s="303"/>
      <c r="AS134" s="303"/>
      <c r="AT134" s="329"/>
      <c r="AU134" s="329"/>
      <c r="AV134" s="329"/>
      <c r="AW134" s="329"/>
      <c r="AX134" s="329"/>
      <c r="AY134" s="139">
        <f t="shared" si="22"/>
        <v>0</v>
      </c>
      <c r="AZ134" s="303"/>
      <c r="BA134" s="303"/>
      <c r="BB134" s="356" t="s">
        <v>519</v>
      </c>
      <c r="BC134" s="356" t="s">
        <v>519</v>
      </c>
      <c r="BD134" s="356" t="s">
        <v>519</v>
      </c>
      <c r="BE134" s="303" t="s">
        <v>510</v>
      </c>
      <c r="BF134" s="352">
        <v>0</v>
      </c>
      <c r="BG134" s="353">
        <f t="shared" si="23"/>
        <v>0</v>
      </c>
      <c r="BH134" s="303" t="s">
        <v>520</v>
      </c>
      <c r="BI134" s="322" t="s">
        <v>2039</v>
      </c>
      <c r="BJ134" s="354">
        <f t="shared" si="17"/>
        <v>2</v>
      </c>
      <c r="BK134" s="316" t="str">
        <f t="shared" si="16"/>
        <v>Habilitado</v>
      </c>
    </row>
    <row r="135" spans="1:63" ht="45" customHeight="1" x14ac:dyDescent="0.25">
      <c r="A135" s="324">
        <v>133</v>
      </c>
      <c r="B135" s="325" t="s">
        <v>2069</v>
      </c>
      <c r="C135" s="325" t="s">
        <v>518</v>
      </c>
      <c r="D135" s="325" t="s">
        <v>140</v>
      </c>
      <c r="E135" s="362">
        <v>1</v>
      </c>
      <c r="F135" s="406" t="s">
        <v>510</v>
      </c>
      <c r="G135" s="406" t="s">
        <v>510</v>
      </c>
      <c r="H135" s="406" t="s">
        <v>511</v>
      </c>
      <c r="I135" s="406" t="s">
        <v>510</v>
      </c>
      <c r="J135" s="406">
        <v>40</v>
      </c>
      <c r="K135" s="29">
        <f t="shared" si="18"/>
        <v>40</v>
      </c>
      <c r="L135" s="314" t="s">
        <v>504</v>
      </c>
      <c r="M135" s="406" t="s">
        <v>551</v>
      </c>
      <c r="N135" s="406"/>
      <c r="O135" s="406"/>
      <c r="P135" s="406"/>
      <c r="Q135" s="406"/>
      <c r="R135" s="406"/>
      <c r="S135" s="406"/>
      <c r="T135" s="406"/>
      <c r="U135" s="406"/>
      <c r="V135" s="350"/>
      <c r="W135" s="350"/>
      <c r="X135" s="350"/>
      <c r="Y135" s="350"/>
      <c r="Z135" s="307"/>
      <c r="AA135" s="350">
        <f t="shared" si="19"/>
        <v>0</v>
      </c>
      <c r="AB135" s="307"/>
      <c r="AC135" s="307"/>
      <c r="AD135" s="304" t="s">
        <v>510</v>
      </c>
      <c r="AE135" s="304" t="s">
        <v>510</v>
      </c>
      <c r="AF135" s="304" t="s">
        <v>511</v>
      </c>
      <c r="AG135" s="322" t="s">
        <v>510</v>
      </c>
      <c r="AH135" s="326">
        <v>0</v>
      </c>
      <c r="AI135" s="297">
        <f t="shared" si="20"/>
        <v>0</v>
      </c>
      <c r="AJ135" s="303" t="s">
        <v>504</v>
      </c>
      <c r="AK135" s="304"/>
      <c r="AL135" s="304"/>
      <c r="AM135" s="304"/>
      <c r="AN135" s="304"/>
      <c r="AO135" s="304"/>
      <c r="AP135" s="304"/>
      <c r="AQ135" s="289">
        <f t="shared" si="21"/>
        <v>0</v>
      </c>
      <c r="AR135" s="304"/>
      <c r="AS135" s="304"/>
      <c r="AT135" s="304" t="s">
        <v>510</v>
      </c>
      <c r="AU135" s="304" t="s">
        <v>510</v>
      </c>
      <c r="AV135" s="304" t="s">
        <v>511</v>
      </c>
      <c r="AW135" s="303" t="s">
        <v>510</v>
      </c>
      <c r="AX135" s="326">
        <v>40</v>
      </c>
      <c r="AY135" s="139">
        <f t="shared" si="22"/>
        <v>40</v>
      </c>
      <c r="AZ135" s="304" t="s">
        <v>504</v>
      </c>
      <c r="BA135" s="303"/>
      <c r="BB135" s="356" t="s">
        <v>519</v>
      </c>
      <c r="BC135" s="356" t="s">
        <v>519</v>
      </c>
      <c r="BD135" s="356" t="s">
        <v>511</v>
      </c>
      <c r="BE135" s="303" t="s">
        <v>510</v>
      </c>
      <c r="BF135" s="352">
        <v>0</v>
      </c>
      <c r="BG135" s="353">
        <f t="shared" si="23"/>
        <v>0</v>
      </c>
      <c r="BH135" s="303" t="s">
        <v>520</v>
      </c>
      <c r="BI135" s="303" t="s">
        <v>1877</v>
      </c>
      <c r="BJ135" s="354">
        <f t="shared" si="17"/>
        <v>3</v>
      </c>
      <c r="BK135" s="316" t="str">
        <f t="shared" si="16"/>
        <v>Habilitado</v>
      </c>
    </row>
    <row r="136" spans="1:63" ht="38.25" x14ac:dyDescent="0.25">
      <c r="A136" s="324">
        <v>134</v>
      </c>
      <c r="B136" s="345" t="s">
        <v>2070</v>
      </c>
      <c r="C136" s="335" t="s">
        <v>2071</v>
      </c>
      <c r="D136" s="360" t="s">
        <v>140</v>
      </c>
      <c r="E136" s="347">
        <v>1</v>
      </c>
      <c r="F136" s="314" t="s">
        <v>510</v>
      </c>
      <c r="G136" s="314" t="s">
        <v>510</v>
      </c>
      <c r="H136" s="314" t="s">
        <v>510</v>
      </c>
      <c r="I136" s="314" t="s">
        <v>510</v>
      </c>
      <c r="J136" s="314">
        <v>40</v>
      </c>
      <c r="K136" s="29">
        <f t="shared" si="18"/>
        <v>40</v>
      </c>
      <c r="L136" s="314" t="s">
        <v>504</v>
      </c>
      <c r="M136" s="314"/>
      <c r="N136" s="314"/>
      <c r="O136" s="314"/>
      <c r="P136" s="314"/>
      <c r="Q136" s="314"/>
      <c r="R136" s="314"/>
      <c r="S136" s="314"/>
      <c r="T136" s="314"/>
      <c r="U136" s="314"/>
      <c r="V136" s="350"/>
      <c r="W136" s="350"/>
      <c r="X136" s="350"/>
      <c r="Y136" s="350"/>
      <c r="Z136" s="307"/>
      <c r="AA136" s="350">
        <f t="shared" si="19"/>
        <v>0</v>
      </c>
      <c r="AB136" s="307"/>
      <c r="AC136" s="307"/>
      <c r="AD136" s="303" t="s">
        <v>510</v>
      </c>
      <c r="AE136" s="303" t="s">
        <v>510</v>
      </c>
      <c r="AF136" s="303" t="s">
        <v>510</v>
      </c>
      <c r="AG136" s="303" t="s">
        <v>510</v>
      </c>
      <c r="AH136" s="314">
        <v>0</v>
      </c>
      <c r="AI136" s="297">
        <f t="shared" si="20"/>
        <v>0</v>
      </c>
      <c r="AJ136" s="303" t="s">
        <v>504</v>
      </c>
      <c r="AK136" s="303"/>
      <c r="AL136" s="303"/>
      <c r="AM136" s="303"/>
      <c r="AN136" s="303"/>
      <c r="AO136" s="303"/>
      <c r="AP136" s="303"/>
      <c r="AQ136" s="289">
        <f t="shared" si="21"/>
        <v>0</v>
      </c>
      <c r="AR136" s="303"/>
      <c r="AS136" s="303"/>
      <c r="AT136" s="303" t="s">
        <v>510</v>
      </c>
      <c r="AU136" s="303" t="s">
        <v>510</v>
      </c>
      <c r="AV136" s="303" t="s">
        <v>510</v>
      </c>
      <c r="AW136" s="303" t="s">
        <v>510</v>
      </c>
      <c r="AX136" s="303">
        <v>40</v>
      </c>
      <c r="AY136" s="139">
        <f t="shared" si="22"/>
        <v>40</v>
      </c>
      <c r="AZ136" s="303" t="s">
        <v>504</v>
      </c>
      <c r="BA136" s="303"/>
      <c r="BB136" s="356" t="s">
        <v>519</v>
      </c>
      <c r="BC136" s="356" t="s">
        <v>519</v>
      </c>
      <c r="BD136" s="356" t="s">
        <v>519</v>
      </c>
      <c r="BE136" s="303" t="s">
        <v>510</v>
      </c>
      <c r="BF136" s="352">
        <v>0</v>
      </c>
      <c r="BG136" s="353">
        <f t="shared" si="23"/>
        <v>0</v>
      </c>
      <c r="BH136" s="303" t="s">
        <v>520</v>
      </c>
      <c r="BI136" s="322" t="s">
        <v>2039</v>
      </c>
      <c r="BJ136" s="354">
        <f t="shared" si="17"/>
        <v>3</v>
      </c>
      <c r="BK136" s="316" t="str">
        <f t="shared" si="16"/>
        <v>Habilitado</v>
      </c>
    </row>
    <row r="137" spans="1:63" ht="38.25" x14ac:dyDescent="0.25">
      <c r="A137" s="324">
        <v>135</v>
      </c>
      <c r="B137" s="345" t="s">
        <v>2072</v>
      </c>
      <c r="C137" s="376" t="s">
        <v>518</v>
      </c>
      <c r="D137" s="360" t="s">
        <v>140</v>
      </c>
      <c r="E137" s="347">
        <v>1</v>
      </c>
      <c r="F137" s="314" t="s">
        <v>510</v>
      </c>
      <c r="G137" s="314" t="s">
        <v>510</v>
      </c>
      <c r="H137" s="314" t="s">
        <v>511</v>
      </c>
      <c r="I137" s="314" t="s">
        <v>510</v>
      </c>
      <c r="J137" s="314">
        <v>40</v>
      </c>
      <c r="K137" s="29">
        <f t="shared" si="18"/>
        <v>40</v>
      </c>
      <c r="L137" s="314" t="s">
        <v>504</v>
      </c>
      <c r="M137" s="314"/>
      <c r="N137" s="314"/>
      <c r="O137" s="314"/>
      <c r="P137" s="314"/>
      <c r="Q137" s="314"/>
      <c r="R137" s="314"/>
      <c r="S137" s="314"/>
      <c r="T137" s="314"/>
      <c r="U137" s="314"/>
      <c r="V137" s="350"/>
      <c r="W137" s="350"/>
      <c r="X137" s="350"/>
      <c r="Y137" s="350"/>
      <c r="Z137" s="307"/>
      <c r="AA137" s="350">
        <f t="shared" si="19"/>
        <v>0</v>
      </c>
      <c r="AB137" s="307"/>
      <c r="AC137" s="307"/>
      <c r="AD137" s="303" t="s">
        <v>510</v>
      </c>
      <c r="AE137" s="303" t="s">
        <v>510</v>
      </c>
      <c r="AF137" s="303" t="s">
        <v>511</v>
      </c>
      <c r="AG137" s="303" t="s">
        <v>510</v>
      </c>
      <c r="AH137" s="314">
        <v>0</v>
      </c>
      <c r="AI137" s="297">
        <f t="shared" si="20"/>
        <v>0</v>
      </c>
      <c r="AJ137" s="303" t="s">
        <v>504</v>
      </c>
      <c r="AK137" s="303"/>
      <c r="AL137" s="303"/>
      <c r="AM137" s="303"/>
      <c r="AN137" s="303"/>
      <c r="AO137" s="303"/>
      <c r="AP137" s="303"/>
      <c r="AQ137" s="289">
        <f t="shared" si="21"/>
        <v>0</v>
      </c>
      <c r="AR137" s="303"/>
      <c r="AS137" s="303"/>
      <c r="AT137" s="303" t="s">
        <v>510</v>
      </c>
      <c r="AU137" s="303" t="s">
        <v>510</v>
      </c>
      <c r="AV137" s="303" t="s">
        <v>511</v>
      </c>
      <c r="AW137" s="303" t="s">
        <v>510</v>
      </c>
      <c r="AX137" s="314">
        <v>40</v>
      </c>
      <c r="AY137" s="139">
        <f t="shared" si="22"/>
        <v>40</v>
      </c>
      <c r="AZ137" s="303" t="s">
        <v>504</v>
      </c>
      <c r="BA137" s="303"/>
      <c r="BB137" s="356" t="s">
        <v>519</v>
      </c>
      <c r="BC137" s="356" t="s">
        <v>519</v>
      </c>
      <c r="BD137" s="356" t="s">
        <v>511</v>
      </c>
      <c r="BE137" s="303" t="s">
        <v>510</v>
      </c>
      <c r="BF137" s="352">
        <v>0</v>
      </c>
      <c r="BG137" s="353">
        <f t="shared" si="23"/>
        <v>0</v>
      </c>
      <c r="BH137" s="303" t="s">
        <v>520</v>
      </c>
      <c r="BI137" s="322" t="s">
        <v>2039</v>
      </c>
      <c r="BJ137" s="354">
        <f t="shared" si="17"/>
        <v>3</v>
      </c>
      <c r="BK137" s="316" t="str">
        <f t="shared" si="16"/>
        <v>Habilitado</v>
      </c>
    </row>
    <row r="138" spans="1:63" ht="25.5" x14ac:dyDescent="0.25">
      <c r="A138" s="324">
        <v>136</v>
      </c>
      <c r="B138" s="345" t="s">
        <v>2073</v>
      </c>
      <c r="C138" s="376" t="s">
        <v>518</v>
      </c>
      <c r="D138" s="360" t="s">
        <v>140</v>
      </c>
      <c r="E138" s="347">
        <v>1</v>
      </c>
      <c r="F138" s="314"/>
      <c r="G138" s="314"/>
      <c r="H138" s="314"/>
      <c r="I138" s="314"/>
      <c r="J138" s="314"/>
      <c r="K138" s="29">
        <f t="shared" si="18"/>
        <v>0</v>
      </c>
      <c r="L138" s="314"/>
      <c r="M138" s="314"/>
      <c r="N138" s="314"/>
      <c r="O138" s="314"/>
      <c r="P138" s="314"/>
      <c r="Q138" s="314"/>
      <c r="R138" s="314"/>
      <c r="S138" s="314"/>
      <c r="T138" s="314"/>
      <c r="U138" s="314"/>
      <c r="V138" s="350"/>
      <c r="W138" s="350"/>
      <c r="X138" s="350"/>
      <c r="Y138" s="350"/>
      <c r="Z138" s="307"/>
      <c r="AA138" s="350">
        <f t="shared" si="19"/>
        <v>0</v>
      </c>
      <c r="AB138" s="307"/>
      <c r="AC138" s="307"/>
      <c r="AD138" s="303" t="s">
        <v>510</v>
      </c>
      <c r="AE138" s="303" t="s">
        <v>510</v>
      </c>
      <c r="AF138" s="303" t="s">
        <v>511</v>
      </c>
      <c r="AG138" s="303" t="s">
        <v>510</v>
      </c>
      <c r="AH138" s="314">
        <v>0</v>
      </c>
      <c r="AI138" s="297">
        <f t="shared" si="20"/>
        <v>0</v>
      </c>
      <c r="AJ138" s="303" t="s">
        <v>504</v>
      </c>
      <c r="AK138" s="303"/>
      <c r="AL138" s="303"/>
      <c r="AM138" s="303"/>
      <c r="AN138" s="303"/>
      <c r="AO138" s="303"/>
      <c r="AP138" s="303"/>
      <c r="AQ138" s="289">
        <f t="shared" si="21"/>
        <v>0</v>
      </c>
      <c r="AR138" s="303"/>
      <c r="AS138" s="303"/>
      <c r="AT138" s="329"/>
      <c r="AU138" s="329"/>
      <c r="AV138" s="329"/>
      <c r="AW138" s="329"/>
      <c r="AX138" s="329"/>
      <c r="AY138" s="139">
        <f t="shared" si="22"/>
        <v>0</v>
      </c>
      <c r="AZ138" s="303"/>
      <c r="BA138" s="303"/>
      <c r="BB138" s="356" t="s">
        <v>519</v>
      </c>
      <c r="BC138" s="356" t="s">
        <v>519</v>
      </c>
      <c r="BD138" s="356" t="s">
        <v>511</v>
      </c>
      <c r="BE138" s="303" t="s">
        <v>510</v>
      </c>
      <c r="BF138" s="352">
        <v>0</v>
      </c>
      <c r="BG138" s="353">
        <f t="shared" si="23"/>
        <v>0</v>
      </c>
      <c r="BH138" s="303" t="s">
        <v>520</v>
      </c>
      <c r="BI138" s="303" t="s">
        <v>1877</v>
      </c>
      <c r="BJ138" s="354">
        <f t="shared" si="17"/>
        <v>1</v>
      </c>
      <c r="BK138" s="316" t="str">
        <f t="shared" si="16"/>
        <v>Habilitado</v>
      </c>
    </row>
    <row r="139" spans="1:63" ht="25.5" x14ac:dyDescent="0.25">
      <c r="A139" s="324">
        <v>137</v>
      </c>
      <c r="B139" s="345" t="s">
        <v>2074</v>
      </c>
      <c r="C139" s="376" t="s">
        <v>518</v>
      </c>
      <c r="D139" s="360" t="s">
        <v>2075</v>
      </c>
      <c r="E139" s="347">
        <v>1</v>
      </c>
      <c r="F139" s="314"/>
      <c r="G139" s="314"/>
      <c r="H139" s="314"/>
      <c r="I139" s="314"/>
      <c r="J139" s="314"/>
      <c r="K139" s="29">
        <f t="shared" si="18"/>
        <v>0</v>
      </c>
      <c r="L139" s="314"/>
      <c r="M139" s="407"/>
      <c r="N139" s="407"/>
      <c r="O139" s="407"/>
      <c r="P139" s="407"/>
      <c r="Q139" s="407"/>
      <c r="R139" s="407"/>
      <c r="S139" s="407"/>
      <c r="T139" s="407"/>
      <c r="U139" s="407"/>
      <c r="V139" s="350"/>
      <c r="W139" s="350"/>
      <c r="X139" s="350"/>
      <c r="Y139" s="350"/>
      <c r="Z139" s="307"/>
      <c r="AA139" s="350">
        <f t="shared" si="19"/>
        <v>0</v>
      </c>
      <c r="AB139" s="307"/>
      <c r="AC139" s="303"/>
      <c r="AD139" s="303"/>
      <c r="AE139" s="303"/>
      <c r="AF139" s="303"/>
      <c r="AG139" s="303"/>
      <c r="AH139" s="314"/>
      <c r="AI139" s="297">
        <f t="shared" si="20"/>
        <v>0</v>
      </c>
      <c r="AJ139" s="303"/>
      <c r="AK139" s="301"/>
      <c r="AL139" s="303"/>
      <c r="AM139" s="303"/>
      <c r="AN139" s="303"/>
      <c r="AO139" s="303"/>
      <c r="AP139" s="303"/>
      <c r="AQ139" s="289">
        <f t="shared" si="21"/>
        <v>0</v>
      </c>
      <c r="AR139" s="303"/>
      <c r="AS139" s="301"/>
      <c r="AT139" s="329"/>
      <c r="AU139" s="329"/>
      <c r="AV139" s="329"/>
      <c r="AW139" s="329"/>
      <c r="AX139" s="329"/>
      <c r="AY139" s="139">
        <f t="shared" si="22"/>
        <v>0</v>
      </c>
      <c r="AZ139" s="303"/>
      <c r="BA139" s="301"/>
      <c r="BB139" s="303" t="s">
        <v>519</v>
      </c>
      <c r="BC139" s="303" t="s">
        <v>519</v>
      </c>
      <c r="BD139" s="356" t="s">
        <v>511</v>
      </c>
      <c r="BE139" s="303" t="s">
        <v>510</v>
      </c>
      <c r="BF139" s="352">
        <v>0</v>
      </c>
      <c r="BG139" s="353">
        <f t="shared" si="23"/>
        <v>0</v>
      </c>
      <c r="BH139" s="303" t="s">
        <v>520</v>
      </c>
      <c r="BI139" s="303" t="s">
        <v>1877</v>
      </c>
      <c r="BJ139" s="354">
        <f t="shared" si="17"/>
        <v>0</v>
      </c>
      <c r="BK139" s="316" t="str">
        <f t="shared" si="16"/>
        <v>Desierto</v>
      </c>
    </row>
    <row r="140" spans="1:63" ht="25.5" x14ac:dyDescent="0.25">
      <c r="A140" s="324">
        <v>138</v>
      </c>
      <c r="B140" s="345" t="s">
        <v>2076</v>
      </c>
      <c r="C140" s="335" t="s">
        <v>2077</v>
      </c>
      <c r="D140" s="360" t="s">
        <v>2078</v>
      </c>
      <c r="E140" s="347">
        <v>1</v>
      </c>
      <c r="F140" s="406" t="s">
        <v>510</v>
      </c>
      <c r="G140" s="406" t="s">
        <v>510</v>
      </c>
      <c r="H140" s="406" t="s">
        <v>510</v>
      </c>
      <c r="I140" s="314" t="s">
        <v>510</v>
      </c>
      <c r="J140" s="406">
        <v>0</v>
      </c>
      <c r="K140" s="29">
        <f t="shared" si="18"/>
        <v>0</v>
      </c>
      <c r="L140" s="314" t="s">
        <v>504</v>
      </c>
      <c r="M140" s="406" t="s">
        <v>551</v>
      </c>
      <c r="N140" s="406"/>
      <c r="O140" s="406"/>
      <c r="P140" s="406"/>
      <c r="Q140" s="406"/>
      <c r="R140" s="406"/>
      <c r="S140" s="406"/>
      <c r="T140" s="406"/>
      <c r="U140" s="406"/>
      <c r="V140" s="406"/>
      <c r="W140" s="406"/>
      <c r="X140" s="406"/>
      <c r="Y140" s="406"/>
      <c r="Z140" s="304"/>
      <c r="AA140" s="350">
        <f t="shared" si="19"/>
        <v>0</v>
      </c>
      <c r="AB140" s="304"/>
      <c r="AC140" s="304"/>
      <c r="AD140" s="304" t="s">
        <v>510</v>
      </c>
      <c r="AE140" s="304" t="s">
        <v>510</v>
      </c>
      <c r="AF140" s="304" t="s">
        <v>510</v>
      </c>
      <c r="AG140" s="303" t="s">
        <v>510</v>
      </c>
      <c r="AH140" s="326">
        <v>0</v>
      </c>
      <c r="AI140" s="297">
        <f t="shared" si="20"/>
        <v>0</v>
      </c>
      <c r="AJ140" s="303" t="s">
        <v>504</v>
      </c>
      <c r="AK140" s="304" t="s">
        <v>551</v>
      </c>
      <c r="AL140" s="304"/>
      <c r="AM140" s="304"/>
      <c r="AN140" s="304"/>
      <c r="AO140" s="304"/>
      <c r="AP140" s="304"/>
      <c r="AQ140" s="289">
        <f t="shared" si="21"/>
        <v>0</v>
      </c>
      <c r="AR140" s="304"/>
      <c r="AS140" s="304"/>
      <c r="AT140" s="325"/>
      <c r="AU140" s="325"/>
      <c r="AV140" s="325"/>
      <c r="AW140" s="325"/>
      <c r="AX140" s="325"/>
      <c r="AY140" s="139">
        <f t="shared" si="22"/>
        <v>0</v>
      </c>
      <c r="AZ140" s="304"/>
      <c r="BA140" s="304"/>
      <c r="BB140" s="356" t="s">
        <v>519</v>
      </c>
      <c r="BC140" s="356" t="s">
        <v>519</v>
      </c>
      <c r="BD140" s="356" t="s">
        <v>519</v>
      </c>
      <c r="BE140" s="303" t="s">
        <v>510</v>
      </c>
      <c r="BF140" s="352">
        <v>0</v>
      </c>
      <c r="BG140" s="353">
        <f t="shared" si="23"/>
        <v>0</v>
      </c>
      <c r="BH140" s="303" t="s">
        <v>520</v>
      </c>
      <c r="BI140" s="303" t="s">
        <v>1877</v>
      </c>
      <c r="BJ140" s="354">
        <f t="shared" si="17"/>
        <v>2</v>
      </c>
      <c r="BK140" s="316" t="str">
        <f t="shared" si="16"/>
        <v>Habilitado</v>
      </c>
    </row>
    <row r="141" spans="1:63" ht="63" customHeight="1" x14ac:dyDescent="0.25">
      <c r="A141" s="324">
        <v>139</v>
      </c>
      <c r="B141" s="345" t="s">
        <v>2079</v>
      </c>
      <c r="C141" s="376" t="s">
        <v>518</v>
      </c>
      <c r="D141" s="360" t="s">
        <v>1556</v>
      </c>
      <c r="E141" s="347">
        <v>1</v>
      </c>
      <c r="F141" s="314" t="s">
        <v>510</v>
      </c>
      <c r="G141" s="314" t="s">
        <v>519</v>
      </c>
      <c r="H141" s="314" t="s">
        <v>511</v>
      </c>
      <c r="I141" s="314" t="s">
        <v>510</v>
      </c>
      <c r="J141" s="406">
        <v>0</v>
      </c>
      <c r="K141" s="29">
        <f t="shared" si="18"/>
        <v>0</v>
      </c>
      <c r="L141" s="314" t="s">
        <v>520</v>
      </c>
      <c r="M141" s="407" t="s">
        <v>2080</v>
      </c>
      <c r="N141" s="407"/>
      <c r="O141" s="407"/>
      <c r="P141" s="407"/>
      <c r="Q141" s="407"/>
      <c r="R141" s="407"/>
      <c r="S141" s="407"/>
      <c r="T141" s="407"/>
      <c r="U141" s="407"/>
      <c r="V141" s="350"/>
      <c r="W141" s="350"/>
      <c r="X141" s="350"/>
      <c r="Y141" s="350"/>
      <c r="Z141" s="307"/>
      <c r="AA141" s="350">
        <f t="shared" si="19"/>
        <v>0</v>
      </c>
      <c r="AB141" s="307"/>
      <c r="AC141" s="303"/>
      <c r="AD141" s="303" t="s">
        <v>510</v>
      </c>
      <c r="AE141" s="303" t="s">
        <v>510</v>
      </c>
      <c r="AF141" s="303" t="s">
        <v>511</v>
      </c>
      <c r="AG141" s="303" t="s">
        <v>510</v>
      </c>
      <c r="AH141" s="314">
        <v>0</v>
      </c>
      <c r="AI141" s="297">
        <f t="shared" si="20"/>
        <v>0</v>
      </c>
      <c r="AJ141" s="303" t="s">
        <v>504</v>
      </c>
      <c r="AK141" s="301"/>
      <c r="AL141" s="303"/>
      <c r="AM141" s="303"/>
      <c r="AN141" s="303"/>
      <c r="AO141" s="303"/>
      <c r="AP141" s="303"/>
      <c r="AQ141" s="289">
        <f t="shared" si="21"/>
        <v>0</v>
      </c>
      <c r="AR141" s="303"/>
      <c r="AS141" s="301"/>
      <c r="AT141" s="329"/>
      <c r="AU141" s="329"/>
      <c r="AV141" s="329"/>
      <c r="AW141" s="329"/>
      <c r="AX141" s="329"/>
      <c r="AY141" s="139">
        <f t="shared" si="22"/>
        <v>0</v>
      </c>
      <c r="AZ141" s="303"/>
      <c r="BA141" s="381"/>
      <c r="BB141" s="356" t="s">
        <v>519</v>
      </c>
      <c r="BC141" s="356" t="s">
        <v>519</v>
      </c>
      <c r="BD141" s="356" t="s">
        <v>511</v>
      </c>
      <c r="BE141" s="303" t="s">
        <v>510</v>
      </c>
      <c r="BF141" s="352">
        <v>0</v>
      </c>
      <c r="BG141" s="353">
        <f t="shared" si="23"/>
        <v>0</v>
      </c>
      <c r="BH141" s="303" t="s">
        <v>520</v>
      </c>
      <c r="BI141" s="303" t="s">
        <v>1877</v>
      </c>
      <c r="BJ141" s="354">
        <f t="shared" si="17"/>
        <v>1</v>
      </c>
      <c r="BK141" s="316" t="str">
        <f t="shared" si="16"/>
        <v>Habilitado</v>
      </c>
    </row>
    <row r="142" spans="1:63" x14ac:dyDescent="0.25">
      <c r="A142" s="324">
        <v>140</v>
      </c>
      <c r="B142" s="345" t="s">
        <v>2081</v>
      </c>
      <c r="C142" s="376" t="s">
        <v>518</v>
      </c>
      <c r="D142" s="360" t="s">
        <v>2082</v>
      </c>
      <c r="E142" s="347">
        <v>1</v>
      </c>
      <c r="F142" s="314" t="s">
        <v>510</v>
      </c>
      <c r="G142" s="314" t="s">
        <v>510</v>
      </c>
      <c r="H142" s="314" t="s">
        <v>511</v>
      </c>
      <c r="I142" s="314" t="s">
        <v>510</v>
      </c>
      <c r="J142" s="314">
        <v>40</v>
      </c>
      <c r="K142" s="29">
        <f t="shared" si="18"/>
        <v>40</v>
      </c>
      <c r="L142" s="314" t="s">
        <v>504</v>
      </c>
      <c r="M142" s="314"/>
      <c r="N142" s="314"/>
      <c r="O142" s="314"/>
      <c r="P142" s="314"/>
      <c r="Q142" s="314"/>
      <c r="R142" s="314"/>
      <c r="S142" s="314"/>
      <c r="T142" s="314"/>
      <c r="U142" s="314"/>
      <c r="V142" s="350"/>
      <c r="W142" s="350"/>
      <c r="X142" s="350"/>
      <c r="Y142" s="350"/>
      <c r="Z142" s="307"/>
      <c r="AA142" s="350">
        <f t="shared" si="19"/>
        <v>0</v>
      </c>
      <c r="AB142" s="307"/>
      <c r="AC142" s="307"/>
      <c r="AD142" s="303" t="s">
        <v>510</v>
      </c>
      <c r="AE142" s="303" t="s">
        <v>510</v>
      </c>
      <c r="AF142" s="303" t="s">
        <v>511</v>
      </c>
      <c r="AG142" s="303" t="s">
        <v>510</v>
      </c>
      <c r="AH142" s="314">
        <v>0</v>
      </c>
      <c r="AI142" s="297">
        <f t="shared" si="20"/>
        <v>0</v>
      </c>
      <c r="AJ142" s="303" t="s">
        <v>504</v>
      </c>
      <c r="AK142" s="361"/>
      <c r="AL142" s="303"/>
      <c r="AM142" s="303"/>
      <c r="AN142" s="303"/>
      <c r="AO142" s="303"/>
      <c r="AP142" s="303"/>
      <c r="AQ142" s="289">
        <f t="shared" si="21"/>
        <v>0</v>
      </c>
      <c r="AR142" s="314"/>
      <c r="AS142" s="314"/>
      <c r="AT142" s="329"/>
      <c r="AU142" s="329"/>
      <c r="AV142" s="329"/>
      <c r="AW142" s="329"/>
      <c r="AX142" s="329"/>
      <c r="AY142" s="139">
        <f t="shared" si="22"/>
        <v>0</v>
      </c>
      <c r="AZ142" s="375"/>
      <c r="BA142" s="375"/>
      <c r="BB142" s="356" t="s">
        <v>519</v>
      </c>
      <c r="BC142" s="356" t="s">
        <v>519</v>
      </c>
      <c r="BD142" s="356" t="s">
        <v>511</v>
      </c>
      <c r="BE142" s="303" t="s">
        <v>510</v>
      </c>
      <c r="BF142" s="352">
        <v>0</v>
      </c>
      <c r="BG142" s="353">
        <f t="shared" si="23"/>
        <v>0</v>
      </c>
      <c r="BH142" s="303" t="s">
        <v>520</v>
      </c>
      <c r="BI142" s="303" t="s">
        <v>1877</v>
      </c>
      <c r="BJ142" s="354">
        <f t="shared" si="17"/>
        <v>2</v>
      </c>
      <c r="BK142" s="316" t="str">
        <f t="shared" si="16"/>
        <v>Habilitado</v>
      </c>
    </row>
    <row r="143" spans="1:63" x14ac:dyDescent="0.25">
      <c r="A143" s="324">
        <v>141</v>
      </c>
      <c r="B143" s="325" t="s">
        <v>2083</v>
      </c>
      <c r="C143" s="325" t="s">
        <v>518</v>
      </c>
      <c r="D143" s="325" t="s">
        <v>2082</v>
      </c>
      <c r="E143" s="362">
        <v>1</v>
      </c>
      <c r="F143" s="406" t="s">
        <v>510</v>
      </c>
      <c r="G143" s="406" t="s">
        <v>510</v>
      </c>
      <c r="H143" s="406" t="s">
        <v>511</v>
      </c>
      <c r="I143" s="406" t="s">
        <v>510</v>
      </c>
      <c r="J143" s="406">
        <v>40</v>
      </c>
      <c r="K143" s="29">
        <f t="shared" si="18"/>
        <v>40</v>
      </c>
      <c r="L143" s="314" t="s">
        <v>504</v>
      </c>
      <c r="M143" s="406" t="s">
        <v>551</v>
      </c>
      <c r="N143" s="406"/>
      <c r="O143" s="406"/>
      <c r="P143" s="406"/>
      <c r="Q143" s="406"/>
      <c r="R143" s="406"/>
      <c r="S143" s="406"/>
      <c r="T143" s="406"/>
      <c r="U143" s="406"/>
      <c r="V143" s="350"/>
      <c r="W143" s="350"/>
      <c r="X143" s="350"/>
      <c r="Y143" s="350"/>
      <c r="Z143" s="307"/>
      <c r="AA143" s="350">
        <f t="shared" si="19"/>
        <v>0</v>
      </c>
      <c r="AB143" s="307"/>
      <c r="AC143" s="307"/>
      <c r="AD143" s="304" t="s">
        <v>510</v>
      </c>
      <c r="AE143" s="304" t="s">
        <v>510</v>
      </c>
      <c r="AF143" s="304" t="s">
        <v>511</v>
      </c>
      <c r="AG143" s="303" t="s">
        <v>510</v>
      </c>
      <c r="AH143" s="326">
        <v>0</v>
      </c>
      <c r="AI143" s="297">
        <f t="shared" si="20"/>
        <v>0</v>
      </c>
      <c r="AJ143" s="303" t="s">
        <v>504</v>
      </c>
      <c r="AK143" s="304" t="s">
        <v>551</v>
      </c>
      <c r="AL143" s="304"/>
      <c r="AM143" s="304"/>
      <c r="AN143" s="304"/>
      <c r="AO143" s="304"/>
      <c r="AP143" s="304"/>
      <c r="AQ143" s="289">
        <f t="shared" si="21"/>
        <v>0</v>
      </c>
      <c r="AR143" s="304"/>
      <c r="AS143" s="304"/>
      <c r="AT143" s="325"/>
      <c r="AU143" s="325"/>
      <c r="AV143" s="325"/>
      <c r="AW143" s="325"/>
      <c r="AX143" s="325"/>
      <c r="AY143" s="139">
        <f t="shared" si="22"/>
        <v>0</v>
      </c>
      <c r="AZ143" s="304"/>
      <c r="BA143" s="304"/>
      <c r="BB143" s="356" t="s">
        <v>519</v>
      </c>
      <c r="BC143" s="356" t="s">
        <v>519</v>
      </c>
      <c r="BD143" s="356" t="s">
        <v>511</v>
      </c>
      <c r="BE143" s="303" t="s">
        <v>510</v>
      </c>
      <c r="BF143" s="352">
        <v>0</v>
      </c>
      <c r="BG143" s="353">
        <f t="shared" si="23"/>
        <v>0</v>
      </c>
      <c r="BH143" s="303" t="s">
        <v>520</v>
      </c>
      <c r="BI143" s="303" t="s">
        <v>1877</v>
      </c>
      <c r="BJ143" s="354">
        <f t="shared" si="17"/>
        <v>2</v>
      </c>
      <c r="BK143" s="316" t="str">
        <f t="shared" si="16"/>
        <v>Habilitado</v>
      </c>
    </row>
    <row r="144" spans="1:63" x14ac:dyDescent="0.25">
      <c r="A144" s="324">
        <v>142</v>
      </c>
      <c r="B144" s="325" t="s">
        <v>2084</v>
      </c>
      <c r="C144" s="325" t="s">
        <v>518</v>
      </c>
      <c r="D144" s="325" t="s">
        <v>1556</v>
      </c>
      <c r="E144" s="362">
        <v>1</v>
      </c>
      <c r="F144" s="406" t="s">
        <v>510</v>
      </c>
      <c r="G144" s="406" t="s">
        <v>510</v>
      </c>
      <c r="H144" s="406" t="s">
        <v>511</v>
      </c>
      <c r="I144" s="406" t="s">
        <v>510</v>
      </c>
      <c r="J144" s="406">
        <v>40</v>
      </c>
      <c r="K144" s="29">
        <f t="shared" si="18"/>
        <v>40</v>
      </c>
      <c r="L144" s="314" t="s">
        <v>504</v>
      </c>
      <c r="M144" s="406" t="s">
        <v>551</v>
      </c>
      <c r="N144" s="406"/>
      <c r="O144" s="406"/>
      <c r="P144" s="406"/>
      <c r="Q144" s="406"/>
      <c r="R144" s="406"/>
      <c r="S144" s="406"/>
      <c r="T144" s="406"/>
      <c r="U144" s="406"/>
      <c r="V144" s="406" t="s">
        <v>510</v>
      </c>
      <c r="W144" s="406" t="s">
        <v>510</v>
      </c>
      <c r="X144" s="406" t="s">
        <v>511</v>
      </c>
      <c r="Y144" s="350" t="s">
        <v>510</v>
      </c>
      <c r="Z144" s="304">
        <v>20</v>
      </c>
      <c r="AA144" s="350">
        <f t="shared" si="19"/>
        <v>20</v>
      </c>
      <c r="AB144" s="307" t="s">
        <v>504</v>
      </c>
      <c r="AC144" s="307"/>
      <c r="AD144" s="304" t="s">
        <v>510</v>
      </c>
      <c r="AE144" s="304" t="s">
        <v>510</v>
      </c>
      <c r="AF144" s="304" t="s">
        <v>511</v>
      </c>
      <c r="AG144" s="322" t="s">
        <v>510</v>
      </c>
      <c r="AH144" s="326">
        <v>0</v>
      </c>
      <c r="AI144" s="297">
        <f t="shared" si="20"/>
        <v>0</v>
      </c>
      <c r="AJ144" s="303" t="s">
        <v>504</v>
      </c>
      <c r="AK144" s="304" t="s">
        <v>551</v>
      </c>
      <c r="AL144" s="304"/>
      <c r="AM144" s="304"/>
      <c r="AN144" s="304"/>
      <c r="AO144" s="304"/>
      <c r="AP144" s="304"/>
      <c r="AQ144" s="289">
        <f t="shared" si="21"/>
        <v>0</v>
      </c>
      <c r="AR144" s="304"/>
      <c r="AS144" s="304"/>
      <c r="AT144" s="325"/>
      <c r="AU144" s="325"/>
      <c r="AV144" s="325"/>
      <c r="AW144" s="325"/>
      <c r="AX144" s="325"/>
      <c r="AY144" s="139">
        <f t="shared" si="22"/>
        <v>0</v>
      </c>
      <c r="AZ144" s="304"/>
      <c r="BA144" s="304"/>
      <c r="BB144" s="356" t="s">
        <v>519</v>
      </c>
      <c r="BC144" s="356" t="s">
        <v>519</v>
      </c>
      <c r="BD144" s="356" t="s">
        <v>511</v>
      </c>
      <c r="BE144" s="303" t="s">
        <v>510</v>
      </c>
      <c r="BF144" s="352">
        <v>0</v>
      </c>
      <c r="BG144" s="353">
        <f t="shared" si="23"/>
        <v>0</v>
      </c>
      <c r="BH144" s="303" t="s">
        <v>520</v>
      </c>
      <c r="BI144" s="303" t="s">
        <v>1877</v>
      </c>
      <c r="BJ144" s="354">
        <f t="shared" si="17"/>
        <v>3</v>
      </c>
      <c r="BK144" s="316" t="str">
        <f t="shared" si="16"/>
        <v>Habilitado</v>
      </c>
    </row>
    <row r="145" spans="1:63" x14ac:dyDescent="0.25">
      <c r="A145" s="324">
        <v>143</v>
      </c>
      <c r="B145" s="325" t="s">
        <v>2085</v>
      </c>
      <c r="C145" s="325" t="s">
        <v>518</v>
      </c>
      <c r="D145" s="325" t="s">
        <v>2086</v>
      </c>
      <c r="E145" s="362">
        <v>1</v>
      </c>
      <c r="F145" s="406" t="s">
        <v>510</v>
      </c>
      <c r="G145" s="406" t="s">
        <v>510</v>
      </c>
      <c r="H145" s="406" t="s">
        <v>511</v>
      </c>
      <c r="I145" s="406" t="s">
        <v>510</v>
      </c>
      <c r="J145" s="406">
        <v>40</v>
      </c>
      <c r="K145" s="29">
        <f t="shared" si="18"/>
        <v>40</v>
      </c>
      <c r="L145" s="314" t="s">
        <v>504</v>
      </c>
      <c r="M145" s="406" t="s">
        <v>551</v>
      </c>
      <c r="N145" s="406"/>
      <c r="O145" s="406"/>
      <c r="P145" s="406"/>
      <c r="Q145" s="406"/>
      <c r="R145" s="406"/>
      <c r="S145" s="406"/>
      <c r="T145" s="406"/>
      <c r="U145" s="406"/>
      <c r="V145" s="406" t="s">
        <v>510</v>
      </c>
      <c r="W145" s="406" t="s">
        <v>510</v>
      </c>
      <c r="X145" s="406" t="s">
        <v>511</v>
      </c>
      <c r="Y145" s="350" t="s">
        <v>510</v>
      </c>
      <c r="Z145" s="304">
        <v>20</v>
      </c>
      <c r="AA145" s="350">
        <f t="shared" si="19"/>
        <v>20</v>
      </c>
      <c r="AB145" s="307" t="s">
        <v>504</v>
      </c>
      <c r="AC145" s="307"/>
      <c r="AD145" s="304" t="s">
        <v>510</v>
      </c>
      <c r="AE145" s="304" t="s">
        <v>510</v>
      </c>
      <c r="AF145" s="304" t="s">
        <v>1876</v>
      </c>
      <c r="AG145" s="322" t="s">
        <v>510</v>
      </c>
      <c r="AH145" s="326">
        <v>0</v>
      </c>
      <c r="AI145" s="297">
        <f t="shared" si="20"/>
        <v>0</v>
      </c>
      <c r="AJ145" s="303" t="s">
        <v>504</v>
      </c>
      <c r="AK145" s="304" t="s">
        <v>551</v>
      </c>
      <c r="AL145" s="304"/>
      <c r="AM145" s="304"/>
      <c r="AN145" s="304"/>
      <c r="AO145" s="304"/>
      <c r="AP145" s="304"/>
      <c r="AQ145" s="289">
        <f t="shared" si="21"/>
        <v>0</v>
      </c>
      <c r="AR145" s="304"/>
      <c r="AS145" s="304"/>
      <c r="AT145" s="327" t="s">
        <v>510</v>
      </c>
      <c r="AU145" s="374" t="s">
        <v>510</v>
      </c>
      <c r="AV145" s="374" t="s">
        <v>511</v>
      </c>
      <c r="AW145" s="303" t="s">
        <v>510</v>
      </c>
      <c r="AX145" s="382">
        <v>40</v>
      </c>
      <c r="AY145" s="139">
        <f t="shared" si="22"/>
        <v>40</v>
      </c>
      <c r="AZ145" s="303" t="s">
        <v>504</v>
      </c>
      <c r="BA145" s="303"/>
      <c r="BB145" s="356" t="s">
        <v>519</v>
      </c>
      <c r="BC145" s="356" t="s">
        <v>519</v>
      </c>
      <c r="BD145" s="356" t="s">
        <v>511</v>
      </c>
      <c r="BE145" s="303" t="s">
        <v>510</v>
      </c>
      <c r="BF145" s="352">
        <v>0</v>
      </c>
      <c r="BG145" s="353">
        <f t="shared" si="23"/>
        <v>0</v>
      </c>
      <c r="BH145" s="303" t="s">
        <v>520</v>
      </c>
      <c r="BI145" s="303" t="s">
        <v>1877</v>
      </c>
      <c r="BJ145" s="354">
        <f t="shared" si="17"/>
        <v>4</v>
      </c>
      <c r="BK145" s="316" t="str">
        <f t="shared" si="16"/>
        <v>Habilitado</v>
      </c>
    </row>
    <row r="146" spans="1:63" ht="20.25" customHeight="1" x14ac:dyDescent="0.25">
      <c r="A146" s="324">
        <v>144</v>
      </c>
      <c r="B146" s="345" t="s">
        <v>2087</v>
      </c>
      <c r="C146" s="376" t="s">
        <v>518</v>
      </c>
      <c r="D146" s="360" t="s">
        <v>2086</v>
      </c>
      <c r="E146" s="347">
        <v>1</v>
      </c>
      <c r="F146" s="314" t="s">
        <v>510</v>
      </c>
      <c r="G146" s="314" t="s">
        <v>510</v>
      </c>
      <c r="H146" s="314" t="s">
        <v>511</v>
      </c>
      <c r="I146" s="314" t="s">
        <v>510</v>
      </c>
      <c r="J146" s="314">
        <v>40</v>
      </c>
      <c r="K146" s="29">
        <f t="shared" si="18"/>
        <v>40</v>
      </c>
      <c r="L146" s="314" t="s">
        <v>504</v>
      </c>
      <c r="M146" s="314"/>
      <c r="N146" s="314"/>
      <c r="O146" s="314"/>
      <c r="P146" s="314"/>
      <c r="Q146" s="314"/>
      <c r="R146" s="314"/>
      <c r="S146" s="314"/>
      <c r="T146" s="314"/>
      <c r="U146" s="314"/>
      <c r="V146" s="350"/>
      <c r="W146" s="350"/>
      <c r="X146" s="350"/>
      <c r="Y146" s="350"/>
      <c r="Z146" s="307"/>
      <c r="AA146" s="350">
        <f t="shared" si="19"/>
        <v>0</v>
      </c>
      <c r="AB146" s="307"/>
      <c r="AC146" s="307"/>
      <c r="AD146" s="303"/>
      <c r="AE146" s="303"/>
      <c r="AF146" s="303"/>
      <c r="AG146" s="303"/>
      <c r="AH146" s="314"/>
      <c r="AI146" s="297">
        <f t="shared" si="20"/>
        <v>0</v>
      </c>
      <c r="AJ146" s="303"/>
      <c r="AK146" s="303"/>
      <c r="AL146" s="303"/>
      <c r="AM146" s="303"/>
      <c r="AN146" s="303"/>
      <c r="AO146" s="303"/>
      <c r="AP146" s="303"/>
      <c r="AQ146" s="289">
        <f t="shared" si="21"/>
        <v>0</v>
      </c>
      <c r="AR146" s="303"/>
      <c r="AS146" s="303"/>
      <c r="AT146" s="303" t="s">
        <v>510</v>
      </c>
      <c r="AU146" s="303" t="s">
        <v>510</v>
      </c>
      <c r="AV146" s="303" t="s">
        <v>511</v>
      </c>
      <c r="AW146" s="303" t="s">
        <v>510</v>
      </c>
      <c r="AX146" s="314">
        <v>40</v>
      </c>
      <c r="AY146" s="139">
        <f t="shared" si="22"/>
        <v>40</v>
      </c>
      <c r="AZ146" s="303" t="s">
        <v>504</v>
      </c>
      <c r="BA146" s="303"/>
      <c r="BB146" s="303"/>
      <c r="BC146" s="303"/>
      <c r="BD146" s="356"/>
      <c r="BE146" s="303"/>
      <c r="BF146" s="303"/>
      <c r="BG146" s="353">
        <f t="shared" si="23"/>
        <v>0</v>
      </c>
      <c r="BH146" s="303"/>
      <c r="BI146" s="301"/>
      <c r="BJ146" s="354">
        <f t="shared" si="17"/>
        <v>2</v>
      </c>
      <c r="BK146" s="316" t="str">
        <f t="shared" si="16"/>
        <v>Habilitado</v>
      </c>
    </row>
    <row r="147" spans="1:63" ht="38.25" x14ac:dyDescent="0.25">
      <c r="A147" s="324">
        <v>145</v>
      </c>
      <c r="B147" s="345" t="s">
        <v>2088</v>
      </c>
      <c r="C147" s="376" t="s">
        <v>518</v>
      </c>
      <c r="D147" s="360" t="s">
        <v>1556</v>
      </c>
      <c r="E147" s="347">
        <v>1</v>
      </c>
      <c r="F147" s="406" t="s">
        <v>510</v>
      </c>
      <c r="G147" s="406" t="s">
        <v>510</v>
      </c>
      <c r="H147" s="406" t="s">
        <v>510</v>
      </c>
      <c r="I147" s="314" t="s">
        <v>510</v>
      </c>
      <c r="J147" s="406">
        <v>40</v>
      </c>
      <c r="K147" s="29">
        <f t="shared" si="18"/>
        <v>40</v>
      </c>
      <c r="L147" s="314" t="s">
        <v>504</v>
      </c>
      <c r="M147" s="406" t="s">
        <v>551</v>
      </c>
      <c r="N147" s="406"/>
      <c r="O147" s="406"/>
      <c r="P147" s="406"/>
      <c r="Q147" s="406"/>
      <c r="R147" s="406"/>
      <c r="S147" s="406"/>
      <c r="T147" s="406"/>
      <c r="U147" s="406"/>
      <c r="V147" s="406"/>
      <c r="W147" s="406"/>
      <c r="X147" s="406"/>
      <c r="Y147" s="406"/>
      <c r="Z147" s="304"/>
      <c r="AA147" s="350">
        <f t="shared" si="19"/>
        <v>0</v>
      </c>
      <c r="AB147" s="304"/>
      <c r="AC147" s="304"/>
      <c r="AD147" s="304" t="s">
        <v>510</v>
      </c>
      <c r="AE147" s="304" t="s">
        <v>510</v>
      </c>
      <c r="AF147" s="304" t="s">
        <v>519</v>
      </c>
      <c r="AG147" s="322" t="s">
        <v>510</v>
      </c>
      <c r="AH147" s="326">
        <v>0</v>
      </c>
      <c r="AI147" s="297">
        <f t="shared" si="20"/>
        <v>0</v>
      </c>
      <c r="AJ147" s="303" t="s">
        <v>520</v>
      </c>
      <c r="AK147" s="304" t="s">
        <v>2089</v>
      </c>
      <c r="AL147" s="304"/>
      <c r="AM147" s="304"/>
      <c r="AN147" s="304"/>
      <c r="AO147" s="304"/>
      <c r="AP147" s="304"/>
      <c r="AQ147" s="289">
        <f t="shared" si="21"/>
        <v>0</v>
      </c>
      <c r="AR147" s="304"/>
      <c r="AS147" s="304"/>
      <c r="AT147" s="325"/>
      <c r="AU147" s="325"/>
      <c r="AV147" s="325"/>
      <c r="AW147" s="325"/>
      <c r="AX147" s="325"/>
      <c r="AY147" s="139">
        <f t="shared" si="22"/>
        <v>0</v>
      </c>
      <c r="AZ147" s="304"/>
      <c r="BA147" s="304"/>
      <c r="BB147" s="356" t="s">
        <v>519</v>
      </c>
      <c r="BC147" s="356" t="s">
        <v>519</v>
      </c>
      <c r="BD147" s="356" t="s">
        <v>519</v>
      </c>
      <c r="BE147" s="303" t="s">
        <v>510</v>
      </c>
      <c r="BF147" s="352">
        <v>0</v>
      </c>
      <c r="BG147" s="353">
        <f t="shared" si="23"/>
        <v>0</v>
      </c>
      <c r="BH147" s="303" t="s">
        <v>520</v>
      </c>
      <c r="BI147" s="303" t="s">
        <v>1877</v>
      </c>
      <c r="BJ147" s="354">
        <f t="shared" si="17"/>
        <v>1</v>
      </c>
      <c r="BK147" s="316" t="str">
        <f t="shared" si="16"/>
        <v>Habilitado</v>
      </c>
    </row>
    <row r="148" spans="1:63" ht="44.25" customHeight="1" x14ac:dyDescent="0.25">
      <c r="A148" s="324">
        <v>146</v>
      </c>
      <c r="B148" s="335" t="s">
        <v>2090</v>
      </c>
      <c r="C148" s="376" t="s">
        <v>518</v>
      </c>
      <c r="D148" s="357" t="s">
        <v>2091</v>
      </c>
      <c r="E148" s="347">
        <v>1</v>
      </c>
      <c r="F148" s="347" t="s">
        <v>510</v>
      </c>
      <c r="G148" s="347" t="s">
        <v>519</v>
      </c>
      <c r="H148" s="347" t="s">
        <v>511</v>
      </c>
      <c r="I148" s="314" t="s">
        <v>510</v>
      </c>
      <c r="J148" s="406">
        <v>0</v>
      </c>
      <c r="K148" s="29">
        <f t="shared" si="18"/>
        <v>0</v>
      </c>
      <c r="L148" s="347" t="s">
        <v>520</v>
      </c>
      <c r="M148" s="390" t="s">
        <v>2092</v>
      </c>
      <c r="N148" s="390"/>
      <c r="O148" s="390"/>
      <c r="P148" s="390"/>
      <c r="Q148" s="390"/>
      <c r="R148" s="390"/>
      <c r="S148" s="390"/>
      <c r="T148" s="390"/>
      <c r="U148" s="390"/>
      <c r="V148" s="350"/>
      <c r="W148" s="350"/>
      <c r="X148" s="350"/>
      <c r="Y148" s="350"/>
      <c r="Z148" s="307"/>
      <c r="AA148" s="350">
        <f t="shared" si="19"/>
        <v>0</v>
      </c>
      <c r="AB148" s="307"/>
      <c r="AC148" s="307"/>
      <c r="AD148" s="303" t="s">
        <v>510</v>
      </c>
      <c r="AE148" s="303" t="s">
        <v>510</v>
      </c>
      <c r="AF148" s="303" t="s">
        <v>511</v>
      </c>
      <c r="AG148" s="322" t="s">
        <v>510</v>
      </c>
      <c r="AH148" s="314">
        <v>0</v>
      </c>
      <c r="AI148" s="297">
        <f t="shared" si="20"/>
        <v>0</v>
      </c>
      <c r="AJ148" s="303" t="s">
        <v>504</v>
      </c>
      <c r="AK148" s="383"/>
      <c r="AL148" s="303"/>
      <c r="AM148" s="303"/>
      <c r="AN148" s="303"/>
      <c r="AO148" s="303"/>
      <c r="AP148" s="303"/>
      <c r="AQ148" s="289">
        <f t="shared" si="21"/>
        <v>0</v>
      </c>
      <c r="AR148" s="314"/>
      <c r="AS148" s="314"/>
      <c r="AT148" s="329"/>
      <c r="AU148" s="329"/>
      <c r="AV148" s="329"/>
      <c r="AW148" s="329"/>
      <c r="AX148" s="329"/>
      <c r="AY148" s="139">
        <f t="shared" si="22"/>
        <v>0</v>
      </c>
      <c r="AZ148" s="375"/>
      <c r="BA148" s="375"/>
      <c r="BB148" s="356" t="s">
        <v>519</v>
      </c>
      <c r="BC148" s="356" t="s">
        <v>519</v>
      </c>
      <c r="BD148" s="356" t="s">
        <v>511</v>
      </c>
      <c r="BE148" s="303" t="s">
        <v>510</v>
      </c>
      <c r="BF148" s="352">
        <v>0</v>
      </c>
      <c r="BG148" s="353">
        <f t="shared" si="23"/>
        <v>0</v>
      </c>
      <c r="BH148" s="303" t="s">
        <v>520</v>
      </c>
      <c r="BI148" s="303" t="s">
        <v>1877</v>
      </c>
      <c r="BJ148" s="354">
        <f t="shared" si="17"/>
        <v>1</v>
      </c>
      <c r="BK148" s="316" t="str">
        <f t="shared" si="16"/>
        <v>Habilitado</v>
      </c>
    </row>
    <row r="149" spans="1:63" x14ac:dyDescent="0.25">
      <c r="A149" s="324">
        <v>147</v>
      </c>
      <c r="B149" s="345" t="s">
        <v>2093</v>
      </c>
      <c r="C149" s="335" t="s">
        <v>2094</v>
      </c>
      <c r="D149" s="360" t="s">
        <v>140</v>
      </c>
      <c r="E149" s="347">
        <v>1</v>
      </c>
      <c r="F149" s="314" t="s">
        <v>510</v>
      </c>
      <c r="G149" s="314" t="s">
        <v>510</v>
      </c>
      <c r="H149" s="314" t="s">
        <v>511</v>
      </c>
      <c r="I149" s="314" t="s">
        <v>510</v>
      </c>
      <c r="J149" s="314">
        <v>40</v>
      </c>
      <c r="K149" s="29">
        <f t="shared" si="18"/>
        <v>40</v>
      </c>
      <c r="L149" s="314" t="s">
        <v>504</v>
      </c>
      <c r="M149" s="314"/>
      <c r="N149" s="314"/>
      <c r="O149" s="314"/>
      <c r="P149" s="314"/>
      <c r="Q149" s="314"/>
      <c r="R149" s="314"/>
      <c r="S149" s="314"/>
      <c r="T149" s="314"/>
      <c r="U149" s="314"/>
      <c r="V149" s="350"/>
      <c r="W149" s="350"/>
      <c r="X149" s="350"/>
      <c r="Y149" s="350"/>
      <c r="Z149" s="307"/>
      <c r="AA149" s="350">
        <f t="shared" si="19"/>
        <v>0</v>
      </c>
      <c r="AB149" s="307"/>
      <c r="AC149" s="307"/>
      <c r="AD149" s="303" t="s">
        <v>510</v>
      </c>
      <c r="AE149" s="303" t="s">
        <v>510</v>
      </c>
      <c r="AF149" s="303" t="s">
        <v>511</v>
      </c>
      <c r="AG149" s="322" t="s">
        <v>510</v>
      </c>
      <c r="AH149" s="314">
        <v>0</v>
      </c>
      <c r="AI149" s="297">
        <f t="shared" si="20"/>
        <v>0</v>
      </c>
      <c r="AJ149" s="303" t="s">
        <v>504</v>
      </c>
      <c r="AK149" s="303"/>
      <c r="AL149" s="303"/>
      <c r="AM149" s="303"/>
      <c r="AN149" s="303"/>
      <c r="AO149" s="303"/>
      <c r="AP149" s="303"/>
      <c r="AQ149" s="289">
        <f t="shared" si="21"/>
        <v>0</v>
      </c>
      <c r="AR149" s="303"/>
      <c r="AS149" s="303"/>
      <c r="AT149" s="329"/>
      <c r="AU149" s="329"/>
      <c r="AV149" s="329"/>
      <c r="AW149" s="329"/>
      <c r="AX149" s="329"/>
      <c r="AY149" s="139">
        <f t="shared" si="22"/>
        <v>0</v>
      </c>
      <c r="AZ149" s="303"/>
      <c r="BA149" s="303"/>
      <c r="BB149" s="356" t="s">
        <v>519</v>
      </c>
      <c r="BC149" s="356" t="s">
        <v>519</v>
      </c>
      <c r="BD149" s="356" t="s">
        <v>511</v>
      </c>
      <c r="BE149" s="303" t="s">
        <v>510</v>
      </c>
      <c r="BF149" s="352">
        <v>0</v>
      </c>
      <c r="BG149" s="353">
        <f t="shared" si="23"/>
        <v>0</v>
      </c>
      <c r="BH149" s="303" t="s">
        <v>520</v>
      </c>
      <c r="BI149" s="303" t="s">
        <v>1877</v>
      </c>
      <c r="BJ149" s="354">
        <f t="shared" si="17"/>
        <v>2</v>
      </c>
      <c r="BK149" s="316" t="str">
        <f t="shared" si="16"/>
        <v>Habilitado</v>
      </c>
    </row>
    <row r="150" spans="1:63" ht="67.5" customHeight="1" x14ac:dyDescent="0.25">
      <c r="A150" s="324">
        <v>148</v>
      </c>
      <c r="B150" s="345" t="s">
        <v>2095</v>
      </c>
      <c r="C150" s="376" t="s">
        <v>518</v>
      </c>
      <c r="D150" s="360" t="s">
        <v>140</v>
      </c>
      <c r="E150" s="347">
        <v>1</v>
      </c>
      <c r="F150" s="314" t="s">
        <v>510</v>
      </c>
      <c r="G150" s="314" t="s">
        <v>510</v>
      </c>
      <c r="H150" s="314" t="s">
        <v>511</v>
      </c>
      <c r="I150" s="314" t="s">
        <v>510</v>
      </c>
      <c r="J150" s="314">
        <v>40</v>
      </c>
      <c r="K150" s="29">
        <f t="shared" si="18"/>
        <v>40</v>
      </c>
      <c r="L150" s="314" t="s">
        <v>504</v>
      </c>
      <c r="M150" s="314"/>
      <c r="N150" s="314"/>
      <c r="O150" s="314"/>
      <c r="P150" s="314"/>
      <c r="Q150" s="314"/>
      <c r="R150" s="314"/>
      <c r="S150" s="314"/>
      <c r="T150" s="314"/>
      <c r="U150" s="314"/>
      <c r="V150" s="350"/>
      <c r="W150" s="350"/>
      <c r="X150" s="350"/>
      <c r="Y150" s="350"/>
      <c r="Z150" s="307"/>
      <c r="AA150" s="350">
        <f t="shared" si="19"/>
        <v>0</v>
      </c>
      <c r="AB150" s="307"/>
      <c r="AC150" s="307"/>
      <c r="AD150" s="303" t="s">
        <v>510</v>
      </c>
      <c r="AE150" s="303" t="s">
        <v>510</v>
      </c>
      <c r="AF150" s="303" t="s">
        <v>511</v>
      </c>
      <c r="AG150" s="322" t="s">
        <v>510</v>
      </c>
      <c r="AH150" s="314">
        <v>0</v>
      </c>
      <c r="AI150" s="297">
        <f t="shared" si="20"/>
        <v>0</v>
      </c>
      <c r="AJ150" s="303" t="s">
        <v>504</v>
      </c>
      <c r="AK150" s="361"/>
      <c r="AL150" s="303"/>
      <c r="AM150" s="303"/>
      <c r="AN150" s="303"/>
      <c r="AO150" s="303"/>
      <c r="AP150" s="303"/>
      <c r="AQ150" s="289">
        <f t="shared" si="21"/>
        <v>0</v>
      </c>
      <c r="AR150" s="314"/>
      <c r="AS150" s="314"/>
      <c r="AT150" s="329"/>
      <c r="AU150" s="329"/>
      <c r="AV150" s="329"/>
      <c r="AW150" s="329"/>
      <c r="AX150" s="329"/>
      <c r="AY150" s="139">
        <f t="shared" si="22"/>
        <v>0</v>
      </c>
      <c r="AZ150" s="375"/>
      <c r="BA150" s="375"/>
      <c r="BB150" s="356" t="s">
        <v>519</v>
      </c>
      <c r="BC150" s="356" t="s">
        <v>519</v>
      </c>
      <c r="BD150" s="356" t="s">
        <v>511</v>
      </c>
      <c r="BE150" s="303" t="s">
        <v>510</v>
      </c>
      <c r="BF150" s="352">
        <v>0</v>
      </c>
      <c r="BG150" s="353">
        <f t="shared" si="23"/>
        <v>0</v>
      </c>
      <c r="BH150" s="303" t="s">
        <v>520</v>
      </c>
      <c r="BI150" s="303" t="s">
        <v>1877</v>
      </c>
      <c r="BJ150" s="354">
        <f t="shared" si="17"/>
        <v>2</v>
      </c>
      <c r="BK150" s="316" t="str">
        <f t="shared" si="16"/>
        <v>Habilitado</v>
      </c>
    </row>
    <row r="151" spans="1:63" x14ac:dyDescent="0.25">
      <c r="A151" s="324">
        <v>149</v>
      </c>
      <c r="B151" s="345" t="s">
        <v>2096</v>
      </c>
      <c r="C151" s="376" t="s">
        <v>518</v>
      </c>
      <c r="D151" s="360" t="s">
        <v>140</v>
      </c>
      <c r="E151" s="347">
        <v>1</v>
      </c>
      <c r="F151" s="314"/>
      <c r="G151" s="314"/>
      <c r="H151" s="314"/>
      <c r="I151" s="314"/>
      <c r="J151" s="314"/>
      <c r="K151" s="29">
        <f t="shared" si="18"/>
        <v>0</v>
      </c>
      <c r="L151" s="314"/>
      <c r="M151" s="314"/>
      <c r="N151" s="314"/>
      <c r="O151" s="314"/>
      <c r="P151" s="314"/>
      <c r="Q151" s="314"/>
      <c r="R151" s="314"/>
      <c r="S151" s="314"/>
      <c r="T151" s="314"/>
      <c r="U151" s="314"/>
      <c r="V151" s="350"/>
      <c r="W151" s="350"/>
      <c r="X151" s="350"/>
      <c r="Y151" s="350"/>
      <c r="Z151" s="307"/>
      <c r="AA151" s="350">
        <f t="shared" si="19"/>
        <v>0</v>
      </c>
      <c r="AB151" s="307"/>
      <c r="AC151" s="307"/>
      <c r="AD151" s="303" t="s">
        <v>510</v>
      </c>
      <c r="AE151" s="303" t="s">
        <v>510</v>
      </c>
      <c r="AF151" s="303" t="s">
        <v>511</v>
      </c>
      <c r="AG151" s="322" t="s">
        <v>510</v>
      </c>
      <c r="AH151" s="314">
        <v>0</v>
      </c>
      <c r="AI151" s="297">
        <f t="shared" si="20"/>
        <v>0</v>
      </c>
      <c r="AJ151" s="303" t="s">
        <v>504</v>
      </c>
      <c r="AK151" s="303"/>
      <c r="AL151" s="303"/>
      <c r="AM151" s="303"/>
      <c r="AN151" s="303"/>
      <c r="AO151" s="303"/>
      <c r="AP151" s="303"/>
      <c r="AQ151" s="289">
        <f t="shared" si="21"/>
        <v>0</v>
      </c>
      <c r="AR151" s="303"/>
      <c r="AS151" s="303"/>
      <c r="AT151" s="329"/>
      <c r="AU151" s="329"/>
      <c r="AV151" s="329"/>
      <c r="AW151" s="329"/>
      <c r="AX151" s="329"/>
      <c r="AY151" s="139">
        <f t="shared" si="22"/>
        <v>0</v>
      </c>
      <c r="AZ151" s="303"/>
      <c r="BA151" s="303"/>
      <c r="BB151" s="356" t="s">
        <v>519</v>
      </c>
      <c r="BC151" s="356" t="s">
        <v>519</v>
      </c>
      <c r="BD151" s="356" t="s">
        <v>511</v>
      </c>
      <c r="BE151" s="303" t="s">
        <v>510</v>
      </c>
      <c r="BF151" s="352">
        <v>0</v>
      </c>
      <c r="BG151" s="353">
        <f t="shared" si="23"/>
        <v>0</v>
      </c>
      <c r="BH151" s="303" t="s">
        <v>520</v>
      </c>
      <c r="BI151" s="303" t="s">
        <v>1877</v>
      </c>
      <c r="BJ151" s="354">
        <f t="shared" si="17"/>
        <v>1</v>
      </c>
      <c r="BK151" s="316" t="str">
        <f t="shared" si="16"/>
        <v>Habilitado</v>
      </c>
    </row>
    <row r="152" spans="1:63" ht="25.5" x14ac:dyDescent="0.25">
      <c r="A152" s="324">
        <v>150</v>
      </c>
      <c r="B152" s="345" t="s">
        <v>2097</v>
      </c>
      <c r="C152" s="376" t="s">
        <v>518</v>
      </c>
      <c r="D152" s="360" t="s">
        <v>140</v>
      </c>
      <c r="E152" s="347">
        <v>1</v>
      </c>
      <c r="F152" s="314" t="s">
        <v>510</v>
      </c>
      <c r="G152" s="314" t="s">
        <v>519</v>
      </c>
      <c r="H152" s="314" t="s">
        <v>511</v>
      </c>
      <c r="I152" s="314" t="s">
        <v>510</v>
      </c>
      <c r="J152" s="406">
        <v>0</v>
      </c>
      <c r="K152" s="29">
        <f t="shared" si="18"/>
        <v>0</v>
      </c>
      <c r="L152" s="314" t="s">
        <v>520</v>
      </c>
      <c r="M152" s="407" t="s">
        <v>2098</v>
      </c>
      <c r="N152" s="407"/>
      <c r="O152" s="407"/>
      <c r="P152" s="407"/>
      <c r="Q152" s="407"/>
      <c r="R152" s="407"/>
      <c r="S152" s="407"/>
      <c r="T152" s="407"/>
      <c r="U152" s="407"/>
      <c r="V152" s="350"/>
      <c r="W152" s="350"/>
      <c r="X152" s="350"/>
      <c r="Y152" s="350"/>
      <c r="Z152" s="307"/>
      <c r="AA152" s="350">
        <f t="shared" si="19"/>
        <v>0</v>
      </c>
      <c r="AB152" s="307"/>
      <c r="AC152" s="307"/>
      <c r="AD152" s="303" t="s">
        <v>510</v>
      </c>
      <c r="AE152" s="303" t="s">
        <v>510</v>
      </c>
      <c r="AF152" s="303" t="s">
        <v>511</v>
      </c>
      <c r="AG152" s="322" t="s">
        <v>510</v>
      </c>
      <c r="AH152" s="314">
        <v>0</v>
      </c>
      <c r="AI152" s="297">
        <f t="shared" si="20"/>
        <v>0</v>
      </c>
      <c r="AJ152" s="303" t="s">
        <v>504</v>
      </c>
      <c r="AK152" s="303"/>
      <c r="AL152" s="303"/>
      <c r="AM152" s="303"/>
      <c r="AN152" s="303"/>
      <c r="AO152" s="303"/>
      <c r="AP152" s="303"/>
      <c r="AQ152" s="289">
        <f t="shared" si="21"/>
        <v>0</v>
      </c>
      <c r="AR152" s="303"/>
      <c r="AS152" s="303"/>
      <c r="AT152" s="329"/>
      <c r="AU152" s="329"/>
      <c r="AV152" s="329"/>
      <c r="AW152" s="329"/>
      <c r="AX152" s="329"/>
      <c r="AY152" s="139">
        <f t="shared" si="22"/>
        <v>0</v>
      </c>
      <c r="AZ152" s="303"/>
      <c r="BA152" s="303"/>
      <c r="BB152" s="356" t="s">
        <v>519</v>
      </c>
      <c r="BC152" s="356" t="s">
        <v>519</v>
      </c>
      <c r="BD152" s="356" t="s">
        <v>511</v>
      </c>
      <c r="BE152" s="303" t="s">
        <v>510</v>
      </c>
      <c r="BF152" s="352">
        <v>0</v>
      </c>
      <c r="BG152" s="353">
        <f t="shared" si="23"/>
        <v>0</v>
      </c>
      <c r="BH152" s="303" t="s">
        <v>520</v>
      </c>
      <c r="BI152" s="303" t="s">
        <v>1877</v>
      </c>
      <c r="BJ152" s="354">
        <f t="shared" si="17"/>
        <v>1</v>
      </c>
      <c r="BK152" s="316" t="str">
        <f t="shared" si="16"/>
        <v>Habilitado</v>
      </c>
    </row>
    <row r="153" spans="1:63" x14ac:dyDescent="0.25">
      <c r="A153" s="324">
        <v>151</v>
      </c>
      <c r="B153" s="345" t="s">
        <v>2099</v>
      </c>
      <c r="C153" s="380" t="s">
        <v>845</v>
      </c>
      <c r="D153" s="329" t="s">
        <v>140</v>
      </c>
      <c r="E153" s="347">
        <v>1</v>
      </c>
      <c r="F153" s="314"/>
      <c r="G153" s="314"/>
      <c r="H153" s="314"/>
      <c r="I153" s="314"/>
      <c r="J153" s="314"/>
      <c r="K153" s="29">
        <f t="shared" si="18"/>
        <v>0</v>
      </c>
      <c r="L153" s="314"/>
      <c r="M153" s="314"/>
      <c r="N153" s="314"/>
      <c r="O153" s="314"/>
      <c r="P153" s="314"/>
      <c r="Q153" s="314"/>
      <c r="R153" s="314"/>
      <c r="S153" s="314"/>
      <c r="T153" s="314"/>
      <c r="U153" s="314"/>
      <c r="V153" s="350"/>
      <c r="W153" s="350"/>
      <c r="X153" s="350"/>
      <c r="Y153" s="350"/>
      <c r="Z153" s="307"/>
      <c r="AA153" s="350">
        <f t="shared" si="19"/>
        <v>0</v>
      </c>
      <c r="AB153" s="307"/>
      <c r="AC153" s="307"/>
      <c r="AD153" s="303"/>
      <c r="AE153" s="303"/>
      <c r="AF153" s="303"/>
      <c r="AG153" s="303"/>
      <c r="AH153" s="314"/>
      <c r="AI153" s="297">
        <f t="shared" si="20"/>
        <v>0</v>
      </c>
      <c r="AJ153" s="303"/>
      <c r="AK153" s="303"/>
      <c r="AL153" s="303"/>
      <c r="AM153" s="303"/>
      <c r="AN153" s="303"/>
      <c r="AO153" s="303"/>
      <c r="AP153" s="303"/>
      <c r="AQ153" s="289">
        <f t="shared" si="21"/>
        <v>0</v>
      </c>
      <c r="AR153" s="303"/>
      <c r="AS153" s="303"/>
      <c r="AT153" s="329"/>
      <c r="AU153" s="329"/>
      <c r="AV153" s="329"/>
      <c r="AW153" s="329"/>
      <c r="AX153" s="329"/>
      <c r="AY153" s="139">
        <f t="shared" si="22"/>
        <v>0</v>
      </c>
      <c r="AZ153" s="303"/>
      <c r="BA153" s="303"/>
      <c r="BB153" s="303"/>
      <c r="BC153" s="303"/>
      <c r="BD153" s="303"/>
      <c r="BE153" s="303"/>
      <c r="BF153" s="303"/>
      <c r="BG153" s="353">
        <f t="shared" si="23"/>
        <v>0</v>
      </c>
      <c r="BH153" s="303"/>
      <c r="BI153" s="303"/>
      <c r="BJ153" s="354">
        <f t="shared" si="17"/>
        <v>0</v>
      </c>
      <c r="BK153" s="316" t="str">
        <f t="shared" si="16"/>
        <v>Desierto</v>
      </c>
    </row>
    <row r="154" spans="1:63" ht="38.25" x14ac:dyDescent="0.25">
      <c r="A154" s="324">
        <v>152</v>
      </c>
      <c r="B154" s="345" t="s">
        <v>2100</v>
      </c>
      <c r="C154" s="357" t="s">
        <v>2101</v>
      </c>
      <c r="D154" s="360" t="s">
        <v>2102</v>
      </c>
      <c r="E154" s="347">
        <v>1</v>
      </c>
      <c r="F154" s="314" t="s">
        <v>510</v>
      </c>
      <c r="G154" s="314" t="s">
        <v>510</v>
      </c>
      <c r="H154" s="314" t="s">
        <v>510</v>
      </c>
      <c r="I154" s="314" t="s">
        <v>510</v>
      </c>
      <c r="J154" s="314">
        <v>40</v>
      </c>
      <c r="K154" s="29">
        <f t="shared" si="18"/>
        <v>40</v>
      </c>
      <c r="L154" s="314" t="s">
        <v>504</v>
      </c>
      <c r="M154" s="314"/>
      <c r="N154" s="314"/>
      <c r="O154" s="314"/>
      <c r="P154" s="314"/>
      <c r="Q154" s="314"/>
      <c r="R154" s="314"/>
      <c r="S154" s="314"/>
      <c r="T154" s="314"/>
      <c r="U154" s="314"/>
      <c r="V154" s="350"/>
      <c r="W154" s="350"/>
      <c r="X154" s="350"/>
      <c r="Y154" s="350"/>
      <c r="Z154" s="307"/>
      <c r="AA154" s="350">
        <f t="shared" si="19"/>
        <v>0</v>
      </c>
      <c r="AB154" s="307"/>
      <c r="AC154" s="307"/>
      <c r="AD154" s="303"/>
      <c r="AE154" s="303"/>
      <c r="AF154" s="303"/>
      <c r="AG154" s="303"/>
      <c r="AH154" s="314"/>
      <c r="AI154" s="297">
        <f t="shared" si="20"/>
        <v>0</v>
      </c>
      <c r="AJ154" s="303"/>
      <c r="AK154" s="303"/>
      <c r="AL154" s="303"/>
      <c r="AM154" s="303"/>
      <c r="AN154" s="303"/>
      <c r="AO154" s="303"/>
      <c r="AP154" s="303"/>
      <c r="AQ154" s="289">
        <f t="shared" si="21"/>
        <v>0</v>
      </c>
      <c r="AR154" s="303"/>
      <c r="AS154" s="303"/>
      <c r="AT154" s="329"/>
      <c r="AU154" s="329"/>
      <c r="AV154" s="329"/>
      <c r="AW154" s="329"/>
      <c r="AX154" s="329"/>
      <c r="AY154" s="139">
        <f t="shared" si="22"/>
        <v>0</v>
      </c>
      <c r="AZ154" s="303"/>
      <c r="BA154" s="303"/>
      <c r="BB154" s="304"/>
      <c r="BC154" s="304"/>
      <c r="BD154" s="304"/>
      <c r="BE154" s="304"/>
      <c r="BF154" s="304"/>
      <c r="BG154" s="353">
        <f t="shared" si="23"/>
        <v>0</v>
      </c>
      <c r="BH154" s="304"/>
      <c r="BI154" s="304"/>
      <c r="BJ154" s="354">
        <f t="shared" si="17"/>
        <v>1</v>
      </c>
      <c r="BK154" s="316" t="str">
        <f t="shared" si="16"/>
        <v>Habilitado</v>
      </c>
    </row>
    <row r="155" spans="1:63" ht="38.25" x14ac:dyDescent="0.25">
      <c r="A155" s="324">
        <v>153</v>
      </c>
      <c r="B155" s="345" t="s">
        <v>2103</v>
      </c>
      <c r="C155" s="357" t="s">
        <v>2104</v>
      </c>
      <c r="D155" s="357" t="s">
        <v>1061</v>
      </c>
      <c r="E155" s="347">
        <v>1</v>
      </c>
      <c r="F155" s="314" t="s">
        <v>510</v>
      </c>
      <c r="G155" s="314" t="s">
        <v>510</v>
      </c>
      <c r="H155" s="314" t="s">
        <v>510</v>
      </c>
      <c r="I155" s="314" t="s">
        <v>510</v>
      </c>
      <c r="J155" s="314">
        <v>40</v>
      </c>
      <c r="K155" s="29">
        <f t="shared" si="18"/>
        <v>40</v>
      </c>
      <c r="L155" s="314" t="s">
        <v>504</v>
      </c>
      <c r="M155" s="314"/>
      <c r="N155" s="314"/>
      <c r="O155" s="314"/>
      <c r="P155" s="314"/>
      <c r="Q155" s="314"/>
      <c r="R155" s="314"/>
      <c r="S155" s="314"/>
      <c r="T155" s="314"/>
      <c r="U155" s="314"/>
      <c r="V155" s="350"/>
      <c r="W155" s="350"/>
      <c r="X155" s="350"/>
      <c r="Y155" s="350"/>
      <c r="Z155" s="307"/>
      <c r="AA155" s="350">
        <f t="shared" si="19"/>
        <v>0</v>
      </c>
      <c r="AB155" s="307"/>
      <c r="AC155" s="307"/>
      <c r="AD155" s="303"/>
      <c r="AE155" s="303"/>
      <c r="AF155" s="303"/>
      <c r="AG155" s="303"/>
      <c r="AH155" s="314"/>
      <c r="AI155" s="297">
        <f t="shared" si="20"/>
        <v>0</v>
      </c>
      <c r="AJ155" s="303"/>
      <c r="AK155" s="303"/>
      <c r="AL155" s="303"/>
      <c r="AM155" s="303"/>
      <c r="AN155" s="303"/>
      <c r="AO155" s="303"/>
      <c r="AP155" s="303"/>
      <c r="AQ155" s="289">
        <f t="shared" si="21"/>
        <v>0</v>
      </c>
      <c r="AR155" s="303"/>
      <c r="AS155" s="303"/>
      <c r="AT155" s="329"/>
      <c r="AU155" s="329"/>
      <c r="AV155" s="329"/>
      <c r="AW155" s="329"/>
      <c r="AX155" s="329"/>
      <c r="AY155" s="139">
        <f t="shared" si="22"/>
        <v>0</v>
      </c>
      <c r="AZ155" s="303"/>
      <c r="BA155" s="303"/>
      <c r="BB155" s="303"/>
      <c r="BC155" s="303"/>
      <c r="BD155" s="303"/>
      <c r="BE155" s="303"/>
      <c r="BF155" s="303"/>
      <c r="BG155" s="353">
        <f t="shared" si="23"/>
        <v>0</v>
      </c>
      <c r="BH155" s="303"/>
      <c r="BI155" s="303"/>
      <c r="BJ155" s="354">
        <f t="shared" si="17"/>
        <v>1</v>
      </c>
      <c r="BK155" s="316" t="str">
        <f t="shared" si="16"/>
        <v>Habilitado</v>
      </c>
    </row>
    <row r="156" spans="1:63" x14ac:dyDescent="0.25">
      <c r="A156" s="324">
        <v>154</v>
      </c>
      <c r="B156" s="345" t="s">
        <v>2105</v>
      </c>
      <c r="C156" s="380" t="s">
        <v>518</v>
      </c>
      <c r="D156" s="329" t="s">
        <v>140</v>
      </c>
      <c r="E156" s="347">
        <v>1</v>
      </c>
      <c r="F156" s="314"/>
      <c r="G156" s="314"/>
      <c r="H156" s="314"/>
      <c r="I156" s="314"/>
      <c r="J156" s="314"/>
      <c r="K156" s="29">
        <f t="shared" si="18"/>
        <v>0</v>
      </c>
      <c r="L156" s="314"/>
      <c r="M156" s="407"/>
      <c r="N156" s="407"/>
      <c r="O156" s="407"/>
      <c r="P156" s="407"/>
      <c r="Q156" s="407"/>
      <c r="R156" s="407"/>
      <c r="S156" s="407"/>
      <c r="T156" s="407"/>
      <c r="U156" s="407"/>
      <c r="V156" s="350"/>
      <c r="W156" s="350"/>
      <c r="X156" s="350"/>
      <c r="Y156" s="350"/>
      <c r="Z156" s="307"/>
      <c r="AA156" s="350">
        <f t="shared" si="19"/>
        <v>0</v>
      </c>
      <c r="AB156" s="307"/>
      <c r="AC156" s="303"/>
      <c r="AD156" s="303"/>
      <c r="AE156" s="303"/>
      <c r="AF156" s="303"/>
      <c r="AG156" s="303"/>
      <c r="AH156" s="314"/>
      <c r="AI156" s="297">
        <f t="shared" si="20"/>
        <v>0</v>
      </c>
      <c r="AJ156" s="303"/>
      <c r="AK156" s="301"/>
      <c r="AL156" s="303"/>
      <c r="AM156" s="303"/>
      <c r="AN156" s="303"/>
      <c r="AO156" s="303"/>
      <c r="AP156" s="303"/>
      <c r="AQ156" s="289">
        <f t="shared" si="21"/>
        <v>0</v>
      </c>
      <c r="AR156" s="303"/>
      <c r="AS156" s="301"/>
      <c r="AT156" s="329"/>
      <c r="AU156" s="329"/>
      <c r="AV156" s="329"/>
      <c r="AW156" s="329"/>
      <c r="AX156" s="329"/>
      <c r="AY156" s="139">
        <f t="shared" si="22"/>
        <v>0</v>
      </c>
      <c r="AZ156" s="303"/>
      <c r="BA156" s="301"/>
      <c r="BB156" s="303"/>
      <c r="BC156" s="303"/>
      <c r="BD156" s="303"/>
      <c r="BE156" s="303"/>
      <c r="BF156" s="303"/>
      <c r="BG156" s="353">
        <f t="shared" si="23"/>
        <v>0</v>
      </c>
      <c r="BH156" s="303"/>
      <c r="BI156" s="303"/>
      <c r="BJ156" s="354">
        <f t="shared" si="17"/>
        <v>0</v>
      </c>
      <c r="BK156" s="316" t="str">
        <f t="shared" si="16"/>
        <v>Desierto</v>
      </c>
    </row>
    <row r="157" spans="1:63" ht="76.5" x14ac:dyDescent="0.25">
      <c r="A157" s="324">
        <v>155</v>
      </c>
      <c r="B157" s="345" t="s">
        <v>2106</v>
      </c>
      <c r="C157" s="357" t="s">
        <v>2107</v>
      </c>
      <c r="D157" s="360" t="s">
        <v>140</v>
      </c>
      <c r="E157" s="347">
        <v>1</v>
      </c>
      <c r="F157" s="314"/>
      <c r="G157" s="314"/>
      <c r="H157" s="314"/>
      <c r="I157" s="314"/>
      <c r="J157" s="314"/>
      <c r="K157" s="29">
        <f t="shared" si="18"/>
        <v>0</v>
      </c>
      <c r="L157" s="314"/>
      <c r="M157" s="407"/>
      <c r="N157" s="407"/>
      <c r="O157" s="407"/>
      <c r="P157" s="407"/>
      <c r="Q157" s="407"/>
      <c r="R157" s="407"/>
      <c r="S157" s="407"/>
      <c r="T157" s="407"/>
      <c r="U157" s="407"/>
      <c r="V157" s="350"/>
      <c r="W157" s="350"/>
      <c r="X157" s="350"/>
      <c r="Y157" s="350"/>
      <c r="Z157" s="307"/>
      <c r="AA157" s="350">
        <f t="shared" si="19"/>
        <v>0</v>
      </c>
      <c r="AB157" s="307"/>
      <c r="AC157" s="303"/>
      <c r="AD157" s="303"/>
      <c r="AE157" s="303"/>
      <c r="AF157" s="303"/>
      <c r="AG157" s="303"/>
      <c r="AH157" s="314"/>
      <c r="AI157" s="297">
        <f t="shared" si="20"/>
        <v>0</v>
      </c>
      <c r="AJ157" s="303"/>
      <c r="AK157" s="301"/>
      <c r="AL157" s="303"/>
      <c r="AM157" s="303"/>
      <c r="AN157" s="303"/>
      <c r="AO157" s="303"/>
      <c r="AP157" s="303"/>
      <c r="AQ157" s="289">
        <f t="shared" si="21"/>
        <v>0</v>
      </c>
      <c r="AR157" s="303"/>
      <c r="AS157" s="301"/>
      <c r="AT157" s="329"/>
      <c r="AU157" s="329"/>
      <c r="AV157" s="329"/>
      <c r="AW157" s="329"/>
      <c r="AX157" s="329"/>
      <c r="AY157" s="139">
        <f t="shared" si="22"/>
        <v>0</v>
      </c>
      <c r="AZ157" s="303"/>
      <c r="BA157" s="301"/>
      <c r="BB157" s="303"/>
      <c r="BC157" s="303"/>
      <c r="BD157" s="303"/>
      <c r="BE157" s="303"/>
      <c r="BF157" s="303"/>
      <c r="BG157" s="353">
        <f t="shared" si="23"/>
        <v>0</v>
      </c>
      <c r="BH157" s="303"/>
      <c r="BI157" s="303"/>
      <c r="BJ157" s="354">
        <f t="shared" si="17"/>
        <v>0</v>
      </c>
      <c r="BK157" s="316" t="str">
        <f t="shared" si="16"/>
        <v>Desierto</v>
      </c>
    </row>
    <row r="158" spans="1:63" ht="25.5" x14ac:dyDescent="0.25">
      <c r="A158" s="324">
        <v>156</v>
      </c>
      <c r="B158" s="345" t="s">
        <v>2108</v>
      </c>
      <c r="C158" s="331" t="s">
        <v>518</v>
      </c>
      <c r="D158" s="360" t="s">
        <v>140</v>
      </c>
      <c r="E158" s="347">
        <v>1</v>
      </c>
      <c r="F158" s="314" t="s">
        <v>510</v>
      </c>
      <c r="G158" s="314" t="s">
        <v>510</v>
      </c>
      <c r="H158" s="314" t="s">
        <v>510</v>
      </c>
      <c r="I158" s="314" t="s">
        <v>510</v>
      </c>
      <c r="J158" s="314">
        <v>40</v>
      </c>
      <c r="K158" s="29">
        <f t="shared" si="18"/>
        <v>40</v>
      </c>
      <c r="L158" s="314" t="s">
        <v>504</v>
      </c>
      <c r="M158" s="314"/>
      <c r="N158" s="314"/>
      <c r="O158" s="314"/>
      <c r="P158" s="314"/>
      <c r="Q158" s="314"/>
      <c r="R158" s="314"/>
      <c r="S158" s="314"/>
      <c r="T158" s="314"/>
      <c r="U158" s="314"/>
      <c r="V158" s="350"/>
      <c r="W158" s="350"/>
      <c r="X158" s="350"/>
      <c r="Y158" s="350"/>
      <c r="Z158" s="307"/>
      <c r="AA158" s="350">
        <f t="shared" si="19"/>
        <v>0</v>
      </c>
      <c r="AB158" s="307"/>
      <c r="AC158" s="307"/>
      <c r="AD158" s="303" t="s">
        <v>510</v>
      </c>
      <c r="AE158" s="303" t="s">
        <v>510</v>
      </c>
      <c r="AF158" s="303" t="s">
        <v>510</v>
      </c>
      <c r="AG158" s="322" t="s">
        <v>510</v>
      </c>
      <c r="AH158" s="314">
        <v>0</v>
      </c>
      <c r="AI158" s="297">
        <f t="shared" si="20"/>
        <v>0</v>
      </c>
      <c r="AJ158" s="303" t="s">
        <v>504</v>
      </c>
      <c r="AK158" s="303"/>
      <c r="AL158" s="303"/>
      <c r="AM158" s="303"/>
      <c r="AN158" s="303"/>
      <c r="AO158" s="303"/>
      <c r="AP158" s="303"/>
      <c r="AQ158" s="289">
        <f t="shared" si="21"/>
        <v>0</v>
      </c>
      <c r="AR158" s="303"/>
      <c r="AS158" s="303"/>
      <c r="AT158" s="329"/>
      <c r="AU158" s="329"/>
      <c r="AV158" s="329"/>
      <c r="AW158" s="329"/>
      <c r="AX158" s="329"/>
      <c r="AY158" s="139">
        <f t="shared" si="22"/>
        <v>0</v>
      </c>
      <c r="AZ158" s="303"/>
      <c r="BA158" s="303"/>
      <c r="BB158" s="356" t="s">
        <v>510</v>
      </c>
      <c r="BC158" s="356" t="s">
        <v>510</v>
      </c>
      <c r="BD158" s="356" t="s">
        <v>510</v>
      </c>
      <c r="BE158" s="303" t="s">
        <v>510</v>
      </c>
      <c r="BF158" s="352">
        <v>0</v>
      </c>
      <c r="BG158" s="353">
        <f t="shared" si="23"/>
        <v>0</v>
      </c>
      <c r="BH158" s="303" t="s">
        <v>504</v>
      </c>
      <c r="BI158" s="303"/>
      <c r="BJ158" s="354">
        <f t="shared" si="17"/>
        <v>3</v>
      </c>
      <c r="BK158" s="316" t="str">
        <f t="shared" si="16"/>
        <v>Habilitado</v>
      </c>
    </row>
    <row r="159" spans="1:63" ht="25.5" x14ac:dyDescent="0.25">
      <c r="A159" s="324">
        <v>157</v>
      </c>
      <c r="B159" s="345" t="s">
        <v>2109</v>
      </c>
      <c r="C159" s="331" t="s">
        <v>518</v>
      </c>
      <c r="D159" s="360" t="s">
        <v>140</v>
      </c>
      <c r="E159" s="347">
        <v>1</v>
      </c>
      <c r="F159" s="314" t="s">
        <v>510</v>
      </c>
      <c r="G159" s="314" t="s">
        <v>510</v>
      </c>
      <c r="H159" s="314" t="s">
        <v>510</v>
      </c>
      <c r="I159" s="314" t="s">
        <v>510</v>
      </c>
      <c r="J159" s="314">
        <v>40</v>
      </c>
      <c r="K159" s="29">
        <f t="shared" si="18"/>
        <v>40</v>
      </c>
      <c r="L159" s="314" t="s">
        <v>504</v>
      </c>
      <c r="M159" s="314"/>
      <c r="N159" s="314"/>
      <c r="O159" s="314"/>
      <c r="P159" s="314"/>
      <c r="Q159" s="314"/>
      <c r="R159" s="314"/>
      <c r="S159" s="314"/>
      <c r="T159" s="314"/>
      <c r="U159" s="314"/>
      <c r="V159" s="350"/>
      <c r="W159" s="350"/>
      <c r="X159" s="350"/>
      <c r="Y159" s="350"/>
      <c r="Z159" s="307"/>
      <c r="AA159" s="350">
        <f t="shared" si="19"/>
        <v>0</v>
      </c>
      <c r="AB159" s="307"/>
      <c r="AC159" s="307"/>
      <c r="AD159" s="303" t="s">
        <v>510</v>
      </c>
      <c r="AE159" s="303" t="s">
        <v>510</v>
      </c>
      <c r="AF159" s="303" t="s">
        <v>510</v>
      </c>
      <c r="AG159" s="322" t="s">
        <v>510</v>
      </c>
      <c r="AH159" s="314">
        <v>0</v>
      </c>
      <c r="AI159" s="297">
        <f t="shared" si="20"/>
        <v>0</v>
      </c>
      <c r="AJ159" s="303" t="s">
        <v>504</v>
      </c>
      <c r="AK159" s="303"/>
      <c r="AL159" s="303"/>
      <c r="AM159" s="303"/>
      <c r="AN159" s="303"/>
      <c r="AO159" s="303"/>
      <c r="AP159" s="303"/>
      <c r="AQ159" s="289">
        <f t="shared" si="21"/>
        <v>0</v>
      </c>
      <c r="AR159" s="303"/>
      <c r="AS159" s="303"/>
      <c r="AT159" s="329"/>
      <c r="AU159" s="329"/>
      <c r="AV159" s="329"/>
      <c r="AW159" s="329"/>
      <c r="AX159" s="329"/>
      <c r="AY159" s="139">
        <f t="shared" si="22"/>
        <v>0</v>
      </c>
      <c r="AZ159" s="303"/>
      <c r="BA159" s="303"/>
      <c r="BB159" s="356" t="s">
        <v>510</v>
      </c>
      <c r="BC159" s="356" t="s">
        <v>510</v>
      </c>
      <c r="BD159" s="356" t="s">
        <v>510</v>
      </c>
      <c r="BE159" s="303" t="s">
        <v>510</v>
      </c>
      <c r="BF159" s="367">
        <v>0</v>
      </c>
      <c r="BG159" s="353">
        <f t="shared" si="23"/>
        <v>0</v>
      </c>
      <c r="BH159" s="303" t="s">
        <v>504</v>
      </c>
      <c r="BI159" s="303"/>
      <c r="BJ159" s="354">
        <f t="shared" si="17"/>
        <v>3</v>
      </c>
      <c r="BK159" s="316" t="str">
        <f t="shared" si="16"/>
        <v>Habilitado</v>
      </c>
    </row>
    <row r="160" spans="1:63" ht="25.5" x14ac:dyDescent="0.25">
      <c r="A160" s="324">
        <v>158</v>
      </c>
      <c r="B160" s="345" t="s">
        <v>2110</v>
      </c>
      <c r="C160" s="335" t="s">
        <v>2014</v>
      </c>
      <c r="D160" s="360" t="s">
        <v>140</v>
      </c>
      <c r="E160" s="347">
        <v>1</v>
      </c>
      <c r="F160" s="314" t="s">
        <v>510</v>
      </c>
      <c r="G160" s="314" t="s">
        <v>510</v>
      </c>
      <c r="H160" s="314" t="s">
        <v>510</v>
      </c>
      <c r="I160" s="314" t="s">
        <v>510</v>
      </c>
      <c r="J160" s="314">
        <v>40</v>
      </c>
      <c r="K160" s="29">
        <f t="shared" si="18"/>
        <v>40</v>
      </c>
      <c r="L160" s="314" t="s">
        <v>504</v>
      </c>
      <c r="M160" s="314"/>
      <c r="N160" s="314"/>
      <c r="O160" s="314"/>
      <c r="P160" s="314"/>
      <c r="Q160" s="314"/>
      <c r="R160" s="314"/>
      <c r="S160" s="314"/>
      <c r="T160" s="314"/>
      <c r="U160" s="314"/>
      <c r="V160" s="350"/>
      <c r="W160" s="350"/>
      <c r="X160" s="350"/>
      <c r="Y160" s="350"/>
      <c r="Z160" s="307"/>
      <c r="AA160" s="350">
        <f t="shared" si="19"/>
        <v>0</v>
      </c>
      <c r="AB160" s="307"/>
      <c r="AC160" s="307"/>
      <c r="AD160" s="303" t="s">
        <v>510</v>
      </c>
      <c r="AE160" s="303" t="s">
        <v>510</v>
      </c>
      <c r="AF160" s="303" t="s">
        <v>510</v>
      </c>
      <c r="AG160" s="322" t="s">
        <v>510</v>
      </c>
      <c r="AH160" s="314">
        <v>0</v>
      </c>
      <c r="AI160" s="297">
        <f t="shared" si="20"/>
        <v>0</v>
      </c>
      <c r="AJ160" s="303" t="s">
        <v>504</v>
      </c>
      <c r="AK160" s="303"/>
      <c r="AL160" s="303"/>
      <c r="AM160" s="303"/>
      <c r="AN160" s="303"/>
      <c r="AO160" s="303"/>
      <c r="AP160" s="303"/>
      <c r="AQ160" s="289">
        <f t="shared" si="21"/>
        <v>0</v>
      </c>
      <c r="AR160" s="303"/>
      <c r="AS160" s="303"/>
      <c r="AT160" s="329"/>
      <c r="AU160" s="329"/>
      <c r="AV160" s="329"/>
      <c r="AW160" s="329"/>
      <c r="AX160" s="329"/>
      <c r="AY160" s="139">
        <f t="shared" si="22"/>
        <v>0</v>
      </c>
      <c r="AZ160" s="303"/>
      <c r="BA160" s="303"/>
      <c r="BB160" s="356" t="s">
        <v>510</v>
      </c>
      <c r="BC160" s="356" t="s">
        <v>510</v>
      </c>
      <c r="BD160" s="356" t="s">
        <v>510</v>
      </c>
      <c r="BE160" s="303" t="s">
        <v>510</v>
      </c>
      <c r="BF160" s="352">
        <v>0</v>
      </c>
      <c r="BG160" s="353">
        <f t="shared" si="23"/>
        <v>0</v>
      </c>
      <c r="BH160" s="303" t="s">
        <v>504</v>
      </c>
      <c r="BI160" s="303"/>
      <c r="BJ160" s="354">
        <f t="shared" si="17"/>
        <v>3</v>
      </c>
      <c r="BK160" s="316" t="str">
        <f t="shared" ref="BK160:BK223" si="24">IF(BJ160&gt;=1,"Habilitado","Desierto")</f>
        <v>Habilitado</v>
      </c>
    </row>
    <row r="161" spans="1:63" ht="53.25" customHeight="1" x14ac:dyDescent="0.25">
      <c r="A161" s="324">
        <v>159</v>
      </c>
      <c r="B161" s="345" t="s">
        <v>2111</v>
      </c>
      <c r="C161" s="335" t="s">
        <v>2112</v>
      </c>
      <c r="D161" s="357" t="s">
        <v>140</v>
      </c>
      <c r="E161" s="347">
        <v>1</v>
      </c>
      <c r="F161" s="314" t="s">
        <v>510</v>
      </c>
      <c r="G161" s="314" t="s">
        <v>510</v>
      </c>
      <c r="H161" s="314" t="s">
        <v>510</v>
      </c>
      <c r="I161" s="314" t="s">
        <v>510</v>
      </c>
      <c r="J161" s="314">
        <v>40</v>
      </c>
      <c r="K161" s="29">
        <f t="shared" si="18"/>
        <v>40</v>
      </c>
      <c r="L161" s="314" t="s">
        <v>504</v>
      </c>
      <c r="M161" s="314"/>
      <c r="N161" s="314"/>
      <c r="O161" s="314"/>
      <c r="P161" s="314"/>
      <c r="Q161" s="314"/>
      <c r="R161" s="314"/>
      <c r="S161" s="314"/>
      <c r="T161" s="314"/>
      <c r="U161" s="314"/>
      <c r="V161" s="350"/>
      <c r="W161" s="350"/>
      <c r="X161" s="350"/>
      <c r="Y161" s="350"/>
      <c r="Z161" s="307"/>
      <c r="AA161" s="350">
        <f t="shared" si="19"/>
        <v>0</v>
      </c>
      <c r="AB161" s="307"/>
      <c r="AC161" s="307"/>
      <c r="AD161" s="303" t="s">
        <v>519</v>
      </c>
      <c r="AE161" s="303" t="s">
        <v>519</v>
      </c>
      <c r="AF161" s="303" t="s">
        <v>519</v>
      </c>
      <c r="AG161" s="322" t="s">
        <v>510</v>
      </c>
      <c r="AH161" s="314">
        <v>0</v>
      </c>
      <c r="AI161" s="297">
        <f t="shared" si="20"/>
        <v>0</v>
      </c>
      <c r="AJ161" s="303" t="s">
        <v>520</v>
      </c>
      <c r="AK161" s="301" t="s">
        <v>2113</v>
      </c>
      <c r="AL161" s="303"/>
      <c r="AM161" s="303"/>
      <c r="AN161" s="303"/>
      <c r="AO161" s="303"/>
      <c r="AP161" s="303"/>
      <c r="AQ161" s="289">
        <f t="shared" si="21"/>
        <v>0</v>
      </c>
      <c r="AR161" s="303"/>
      <c r="AS161" s="303"/>
      <c r="AT161" s="329"/>
      <c r="AU161" s="329"/>
      <c r="AV161" s="329"/>
      <c r="AW161" s="329"/>
      <c r="AX161" s="329"/>
      <c r="AY161" s="139">
        <f t="shared" si="22"/>
        <v>0</v>
      </c>
      <c r="AZ161" s="303"/>
      <c r="BA161" s="303"/>
      <c r="BB161" s="356" t="s">
        <v>510</v>
      </c>
      <c r="BC161" s="356" t="s">
        <v>519</v>
      </c>
      <c r="BD161" s="356" t="s">
        <v>519</v>
      </c>
      <c r="BE161" s="303" t="s">
        <v>510</v>
      </c>
      <c r="BF161" s="367">
        <v>0</v>
      </c>
      <c r="BG161" s="353">
        <f t="shared" si="23"/>
        <v>0</v>
      </c>
      <c r="BH161" s="303" t="s">
        <v>520</v>
      </c>
      <c r="BI161" s="301" t="s">
        <v>2114</v>
      </c>
      <c r="BJ161" s="354">
        <f t="shared" si="17"/>
        <v>1</v>
      </c>
      <c r="BK161" s="316" t="str">
        <f t="shared" si="24"/>
        <v>Habilitado</v>
      </c>
    </row>
    <row r="162" spans="1:63" ht="153" x14ac:dyDescent="0.25">
      <c r="A162" s="324">
        <v>160</v>
      </c>
      <c r="B162" s="345" t="s">
        <v>2115</v>
      </c>
      <c r="C162" s="335" t="s">
        <v>2112</v>
      </c>
      <c r="D162" s="360" t="s">
        <v>2078</v>
      </c>
      <c r="E162" s="347">
        <v>1</v>
      </c>
      <c r="F162" s="314" t="s">
        <v>510</v>
      </c>
      <c r="G162" s="314" t="s">
        <v>510</v>
      </c>
      <c r="H162" s="314" t="s">
        <v>510</v>
      </c>
      <c r="I162" s="314" t="s">
        <v>510</v>
      </c>
      <c r="J162" s="314">
        <v>40</v>
      </c>
      <c r="K162" s="29">
        <f t="shared" si="18"/>
        <v>40</v>
      </c>
      <c r="L162" s="314" t="s">
        <v>504</v>
      </c>
      <c r="M162" s="314"/>
      <c r="N162" s="314"/>
      <c r="O162" s="314"/>
      <c r="P162" s="314"/>
      <c r="Q162" s="314"/>
      <c r="R162" s="314"/>
      <c r="S162" s="314"/>
      <c r="T162" s="314"/>
      <c r="U162" s="314"/>
      <c r="V162" s="350"/>
      <c r="W162" s="350"/>
      <c r="X162" s="350"/>
      <c r="Y162" s="350"/>
      <c r="Z162" s="307"/>
      <c r="AA162" s="350">
        <f t="shared" si="19"/>
        <v>0</v>
      </c>
      <c r="AB162" s="307"/>
      <c r="AC162" s="307"/>
      <c r="AD162" s="303" t="s">
        <v>510</v>
      </c>
      <c r="AE162" s="303" t="s">
        <v>519</v>
      </c>
      <c r="AF162" s="303" t="s">
        <v>510</v>
      </c>
      <c r="AG162" s="322" t="s">
        <v>510</v>
      </c>
      <c r="AH162" s="314">
        <v>0</v>
      </c>
      <c r="AI162" s="297">
        <f t="shared" si="20"/>
        <v>0</v>
      </c>
      <c r="AJ162" s="303" t="s">
        <v>520</v>
      </c>
      <c r="AK162" s="301" t="s">
        <v>2116</v>
      </c>
      <c r="AL162" s="303"/>
      <c r="AM162" s="303"/>
      <c r="AN162" s="303"/>
      <c r="AO162" s="303"/>
      <c r="AP162" s="303"/>
      <c r="AQ162" s="289">
        <f t="shared" si="21"/>
        <v>0</v>
      </c>
      <c r="AR162" s="303"/>
      <c r="AS162" s="303"/>
      <c r="AT162" s="329"/>
      <c r="AU162" s="329"/>
      <c r="AV162" s="329"/>
      <c r="AW162" s="329"/>
      <c r="AX162" s="329"/>
      <c r="AY162" s="139">
        <f t="shared" si="22"/>
        <v>0</v>
      </c>
      <c r="AZ162" s="303"/>
      <c r="BA162" s="303"/>
      <c r="BB162" s="356" t="s">
        <v>510</v>
      </c>
      <c r="BC162" s="356" t="s">
        <v>519</v>
      </c>
      <c r="BD162" s="356" t="s">
        <v>510</v>
      </c>
      <c r="BE162" s="303" t="s">
        <v>510</v>
      </c>
      <c r="BF162" s="352">
        <v>0</v>
      </c>
      <c r="BG162" s="353">
        <f t="shared" si="23"/>
        <v>0</v>
      </c>
      <c r="BH162" s="303" t="s">
        <v>520</v>
      </c>
      <c r="BI162" s="301" t="s">
        <v>2117</v>
      </c>
      <c r="BJ162" s="354">
        <f t="shared" si="17"/>
        <v>1</v>
      </c>
      <c r="BK162" s="316" t="str">
        <f t="shared" si="24"/>
        <v>Habilitado</v>
      </c>
    </row>
    <row r="163" spans="1:63" ht="25.5" x14ac:dyDescent="0.25">
      <c r="A163" s="324">
        <v>161</v>
      </c>
      <c r="B163" s="345" t="s">
        <v>2118</v>
      </c>
      <c r="C163" s="335" t="s">
        <v>1883</v>
      </c>
      <c r="D163" s="360" t="s">
        <v>1862</v>
      </c>
      <c r="E163" s="347">
        <v>1</v>
      </c>
      <c r="F163" s="314" t="s">
        <v>510</v>
      </c>
      <c r="G163" s="314" t="s">
        <v>510</v>
      </c>
      <c r="H163" s="314" t="s">
        <v>510</v>
      </c>
      <c r="I163" s="314" t="s">
        <v>510</v>
      </c>
      <c r="J163" s="314">
        <v>40</v>
      </c>
      <c r="K163" s="29">
        <f t="shared" si="18"/>
        <v>40</v>
      </c>
      <c r="L163" s="314" t="s">
        <v>504</v>
      </c>
      <c r="M163" s="314"/>
      <c r="N163" s="314"/>
      <c r="O163" s="314"/>
      <c r="P163" s="314"/>
      <c r="Q163" s="314"/>
      <c r="R163" s="314"/>
      <c r="S163" s="314"/>
      <c r="T163" s="314"/>
      <c r="U163" s="314"/>
      <c r="V163" s="350"/>
      <c r="W163" s="350"/>
      <c r="X163" s="350"/>
      <c r="Y163" s="350"/>
      <c r="Z163" s="307"/>
      <c r="AA163" s="350">
        <f t="shared" si="19"/>
        <v>0</v>
      </c>
      <c r="AB163" s="307"/>
      <c r="AC163" s="307"/>
      <c r="AD163" s="303" t="s">
        <v>510</v>
      </c>
      <c r="AE163" s="303" t="s">
        <v>510</v>
      </c>
      <c r="AF163" s="303" t="s">
        <v>510</v>
      </c>
      <c r="AG163" s="322" t="s">
        <v>510</v>
      </c>
      <c r="AH163" s="314">
        <v>0</v>
      </c>
      <c r="AI163" s="297">
        <f t="shared" si="20"/>
        <v>0</v>
      </c>
      <c r="AJ163" s="303" t="s">
        <v>504</v>
      </c>
      <c r="AK163" s="361"/>
      <c r="AL163" s="303"/>
      <c r="AM163" s="303"/>
      <c r="AN163" s="303"/>
      <c r="AO163" s="303"/>
      <c r="AP163" s="303"/>
      <c r="AQ163" s="289">
        <f t="shared" si="21"/>
        <v>0</v>
      </c>
      <c r="AR163" s="314"/>
      <c r="AS163" s="314"/>
      <c r="AT163" s="329"/>
      <c r="AU163" s="329"/>
      <c r="AV163" s="329"/>
      <c r="AW163" s="329"/>
      <c r="AX163" s="329"/>
      <c r="AY163" s="139">
        <f t="shared" si="22"/>
        <v>0</v>
      </c>
      <c r="AZ163" s="375"/>
      <c r="BA163" s="375"/>
      <c r="BB163" s="356" t="s">
        <v>519</v>
      </c>
      <c r="BC163" s="356" t="s">
        <v>519</v>
      </c>
      <c r="BD163" s="356" t="s">
        <v>519</v>
      </c>
      <c r="BE163" s="303" t="s">
        <v>510</v>
      </c>
      <c r="BF163" s="367">
        <v>0</v>
      </c>
      <c r="BG163" s="353">
        <f t="shared" si="23"/>
        <v>0</v>
      </c>
      <c r="BH163" s="303" t="s">
        <v>520</v>
      </c>
      <c r="BI163" s="303" t="s">
        <v>1877</v>
      </c>
      <c r="BJ163" s="354">
        <f t="shared" si="17"/>
        <v>2</v>
      </c>
      <c r="BK163" s="316" t="str">
        <f t="shared" si="24"/>
        <v>Habilitado</v>
      </c>
    </row>
    <row r="164" spans="1:63" ht="25.5" x14ac:dyDescent="0.25">
      <c r="A164" s="324">
        <v>162</v>
      </c>
      <c r="B164" s="345" t="s">
        <v>2119</v>
      </c>
      <c r="C164" s="335" t="s">
        <v>1883</v>
      </c>
      <c r="D164" s="360" t="s">
        <v>2120</v>
      </c>
      <c r="E164" s="347">
        <v>1</v>
      </c>
      <c r="F164" s="314" t="s">
        <v>510</v>
      </c>
      <c r="G164" s="314" t="s">
        <v>510</v>
      </c>
      <c r="H164" s="314" t="s">
        <v>510</v>
      </c>
      <c r="I164" s="314" t="s">
        <v>510</v>
      </c>
      <c r="J164" s="314">
        <v>40</v>
      </c>
      <c r="K164" s="29">
        <f t="shared" si="18"/>
        <v>40</v>
      </c>
      <c r="L164" s="314" t="s">
        <v>504</v>
      </c>
      <c r="M164" s="314"/>
      <c r="N164" s="314"/>
      <c r="O164" s="314"/>
      <c r="P164" s="314"/>
      <c r="Q164" s="314"/>
      <c r="R164" s="314"/>
      <c r="S164" s="314"/>
      <c r="T164" s="314"/>
      <c r="U164" s="314"/>
      <c r="V164" s="350"/>
      <c r="W164" s="350"/>
      <c r="X164" s="350"/>
      <c r="Y164" s="350"/>
      <c r="Z164" s="307"/>
      <c r="AA164" s="350">
        <f t="shared" si="19"/>
        <v>0</v>
      </c>
      <c r="AB164" s="307"/>
      <c r="AC164" s="307"/>
      <c r="AD164" s="303" t="s">
        <v>510</v>
      </c>
      <c r="AE164" s="303" t="s">
        <v>510</v>
      </c>
      <c r="AF164" s="303" t="s">
        <v>510</v>
      </c>
      <c r="AG164" s="322" t="s">
        <v>510</v>
      </c>
      <c r="AH164" s="314">
        <v>0</v>
      </c>
      <c r="AI164" s="297">
        <f t="shared" si="20"/>
        <v>0</v>
      </c>
      <c r="AJ164" s="303" t="s">
        <v>504</v>
      </c>
      <c r="AK164" s="361"/>
      <c r="AL164" s="303"/>
      <c r="AM164" s="303"/>
      <c r="AN164" s="303"/>
      <c r="AO164" s="303"/>
      <c r="AP164" s="303"/>
      <c r="AQ164" s="289">
        <f t="shared" si="21"/>
        <v>0</v>
      </c>
      <c r="AR164" s="314"/>
      <c r="AS164" s="314"/>
      <c r="AT164" s="329"/>
      <c r="AU164" s="329"/>
      <c r="AV164" s="329"/>
      <c r="AW164" s="329"/>
      <c r="AX164" s="329"/>
      <c r="AY164" s="139">
        <f t="shared" si="22"/>
        <v>0</v>
      </c>
      <c r="AZ164" s="375"/>
      <c r="BA164" s="375"/>
      <c r="BB164" s="356" t="s">
        <v>519</v>
      </c>
      <c r="BC164" s="356" t="s">
        <v>519</v>
      </c>
      <c r="BD164" s="356" t="s">
        <v>519</v>
      </c>
      <c r="BE164" s="303" t="s">
        <v>510</v>
      </c>
      <c r="BF164" s="352">
        <v>0</v>
      </c>
      <c r="BG164" s="353">
        <f t="shared" si="23"/>
        <v>0</v>
      </c>
      <c r="BH164" s="303" t="s">
        <v>520</v>
      </c>
      <c r="BI164" s="303" t="s">
        <v>1877</v>
      </c>
      <c r="BJ164" s="354">
        <f t="shared" si="17"/>
        <v>2</v>
      </c>
      <c r="BK164" s="316" t="str">
        <f t="shared" si="24"/>
        <v>Habilitado</v>
      </c>
    </row>
    <row r="165" spans="1:63" ht="25.5" x14ac:dyDescent="0.25">
      <c r="A165" s="324">
        <v>163</v>
      </c>
      <c r="B165" s="345" t="s">
        <v>2121</v>
      </c>
      <c r="C165" s="335" t="s">
        <v>1883</v>
      </c>
      <c r="D165" s="360" t="s">
        <v>2122</v>
      </c>
      <c r="E165" s="347">
        <v>1</v>
      </c>
      <c r="F165" s="314"/>
      <c r="G165" s="314"/>
      <c r="H165" s="314"/>
      <c r="I165" s="314"/>
      <c r="J165" s="314"/>
      <c r="K165" s="29">
        <f t="shared" si="18"/>
        <v>0</v>
      </c>
      <c r="L165" s="314"/>
      <c r="M165" s="314"/>
      <c r="N165" s="314"/>
      <c r="O165" s="314"/>
      <c r="P165" s="314"/>
      <c r="Q165" s="314"/>
      <c r="R165" s="314"/>
      <c r="S165" s="314"/>
      <c r="T165" s="314"/>
      <c r="U165" s="314"/>
      <c r="V165" s="350"/>
      <c r="W165" s="350"/>
      <c r="X165" s="350"/>
      <c r="Y165" s="350"/>
      <c r="Z165" s="307"/>
      <c r="AA165" s="350">
        <f t="shared" si="19"/>
        <v>0</v>
      </c>
      <c r="AB165" s="307"/>
      <c r="AC165" s="307"/>
      <c r="AD165" s="303" t="s">
        <v>510</v>
      </c>
      <c r="AE165" s="303" t="s">
        <v>510</v>
      </c>
      <c r="AF165" s="303" t="s">
        <v>510</v>
      </c>
      <c r="AG165" s="322" t="s">
        <v>510</v>
      </c>
      <c r="AH165" s="314">
        <v>0</v>
      </c>
      <c r="AI165" s="297">
        <f t="shared" si="20"/>
        <v>0</v>
      </c>
      <c r="AJ165" s="303" t="s">
        <v>504</v>
      </c>
      <c r="AK165" s="361"/>
      <c r="AL165" s="303"/>
      <c r="AM165" s="303"/>
      <c r="AN165" s="303"/>
      <c r="AO165" s="303"/>
      <c r="AP165" s="303"/>
      <c r="AQ165" s="289">
        <f t="shared" si="21"/>
        <v>0</v>
      </c>
      <c r="AR165" s="314"/>
      <c r="AS165" s="314"/>
      <c r="AT165" s="329"/>
      <c r="AU165" s="329"/>
      <c r="AV165" s="329"/>
      <c r="AW165" s="329"/>
      <c r="AX165" s="329"/>
      <c r="AY165" s="139">
        <f t="shared" si="22"/>
        <v>0</v>
      </c>
      <c r="AZ165" s="375"/>
      <c r="BA165" s="375"/>
      <c r="BB165" s="356" t="s">
        <v>519</v>
      </c>
      <c r="BC165" s="356" t="s">
        <v>519</v>
      </c>
      <c r="BD165" s="356" t="s">
        <v>519</v>
      </c>
      <c r="BE165" s="303" t="s">
        <v>510</v>
      </c>
      <c r="BF165" s="367">
        <v>0</v>
      </c>
      <c r="BG165" s="353">
        <f t="shared" si="23"/>
        <v>0</v>
      </c>
      <c r="BH165" s="303" t="s">
        <v>520</v>
      </c>
      <c r="BI165" s="303" t="s">
        <v>1877</v>
      </c>
      <c r="BJ165" s="354">
        <f t="shared" si="17"/>
        <v>1</v>
      </c>
      <c r="BK165" s="316" t="str">
        <f t="shared" si="24"/>
        <v>Habilitado</v>
      </c>
    </row>
    <row r="166" spans="1:63" ht="25.5" x14ac:dyDescent="0.25">
      <c r="A166" s="324">
        <v>164</v>
      </c>
      <c r="B166" s="345" t="s">
        <v>2123</v>
      </c>
      <c r="C166" s="335" t="s">
        <v>1883</v>
      </c>
      <c r="D166" s="360" t="s">
        <v>2122</v>
      </c>
      <c r="E166" s="347">
        <v>1</v>
      </c>
      <c r="F166" s="314"/>
      <c r="G166" s="314"/>
      <c r="H166" s="314"/>
      <c r="I166" s="314"/>
      <c r="J166" s="314"/>
      <c r="K166" s="29">
        <f t="shared" si="18"/>
        <v>0</v>
      </c>
      <c r="L166" s="314"/>
      <c r="M166" s="314"/>
      <c r="N166" s="314"/>
      <c r="O166" s="314"/>
      <c r="P166" s="314"/>
      <c r="Q166" s="314"/>
      <c r="R166" s="314"/>
      <c r="S166" s="314"/>
      <c r="T166" s="314"/>
      <c r="U166" s="314"/>
      <c r="V166" s="350"/>
      <c r="W166" s="350"/>
      <c r="X166" s="350"/>
      <c r="Y166" s="350"/>
      <c r="Z166" s="307"/>
      <c r="AA166" s="350">
        <f t="shared" si="19"/>
        <v>0</v>
      </c>
      <c r="AB166" s="307"/>
      <c r="AC166" s="307"/>
      <c r="AD166" s="303" t="s">
        <v>510</v>
      </c>
      <c r="AE166" s="303" t="s">
        <v>510</v>
      </c>
      <c r="AF166" s="303" t="s">
        <v>510</v>
      </c>
      <c r="AG166" s="322" t="s">
        <v>510</v>
      </c>
      <c r="AH166" s="314">
        <v>0</v>
      </c>
      <c r="AI166" s="297">
        <f t="shared" si="20"/>
        <v>0</v>
      </c>
      <c r="AJ166" s="303" t="s">
        <v>504</v>
      </c>
      <c r="AK166" s="361"/>
      <c r="AL166" s="303"/>
      <c r="AM166" s="303"/>
      <c r="AN166" s="303"/>
      <c r="AO166" s="303"/>
      <c r="AP166" s="303"/>
      <c r="AQ166" s="289">
        <f t="shared" si="21"/>
        <v>0</v>
      </c>
      <c r="AR166" s="314"/>
      <c r="AS166" s="314"/>
      <c r="AT166" s="329"/>
      <c r="AU166" s="329"/>
      <c r="AV166" s="329"/>
      <c r="AW166" s="329"/>
      <c r="AX166" s="329"/>
      <c r="AY166" s="139">
        <f t="shared" si="22"/>
        <v>0</v>
      </c>
      <c r="AZ166" s="375"/>
      <c r="BA166" s="375"/>
      <c r="BB166" s="356" t="s">
        <v>519</v>
      </c>
      <c r="BC166" s="356" t="s">
        <v>519</v>
      </c>
      <c r="BD166" s="356" t="s">
        <v>519</v>
      </c>
      <c r="BE166" s="303" t="s">
        <v>510</v>
      </c>
      <c r="BF166" s="352">
        <v>0</v>
      </c>
      <c r="BG166" s="353">
        <f t="shared" si="23"/>
        <v>0</v>
      </c>
      <c r="BH166" s="303" t="s">
        <v>520</v>
      </c>
      <c r="BI166" s="303" t="s">
        <v>1877</v>
      </c>
      <c r="BJ166" s="354">
        <f t="shared" si="17"/>
        <v>1</v>
      </c>
      <c r="BK166" s="316" t="str">
        <f t="shared" si="24"/>
        <v>Habilitado</v>
      </c>
    </row>
    <row r="167" spans="1:63" ht="25.5" x14ac:dyDescent="0.25">
      <c r="A167" s="324">
        <v>165</v>
      </c>
      <c r="B167" s="345" t="s">
        <v>2124</v>
      </c>
      <c r="C167" s="335" t="s">
        <v>1883</v>
      </c>
      <c r="D167" s="360" t="s">
        <v>140</v>
      </c>
      <c r="E167" s="347">
        <v>1</v>
      </c>
      <c r="F167" s="314" t="s">
        <v>510</v>
      </c>
      <c r="G167" s="314" t="s">
        <v>510</v>
      </c>
      <c r="H167" s="314" t="s">
        <v>510</v>
      </c>
      <c r="I167" s="314" t="s">
        <v>510</v>
      </c>
      <c r="J167" s="314">
        <v>40</v>
      </c>
      <c r="K167" s="29">
        <f t="shared" si="18"/>
        <v>40</v>
      </c>
      <c r="L167" s="314" t="s">
        <v>504</v>
      </c>
      <c r="M167" s="314"/>
      <c r="N167" s="314"/>
      <c r="O167" s="314"/>
      <c r="P167" s="314"/>
      <c r="Q167" s="314"/>
      <c r="R167" s="314"/>
      <c r="S167" s="314"/>
      <c r="T167" s="314"/>
      <c r="U167" s="314"/>
      <c r="V167" s="350"/>
      <c r="W167" s="350"/>
      <c r="X167" s="350"/>
      <c r="Y167" s="350"/>
      <c r="Z167" s="307"/>
      <c r="AA167" s="350">
        <f t="shared" si="19"/>
        <v>0</v>
      </c>
      <c r="AB167" s="307"/>
      <c r="AC167" s="307"/>
      <c r="AD167" s="303" t="s">
        <v>510</v>
      </c>
      <c r="AE167" s="303" t="s">
        <v>510</v>
      </c>
      <c r="AF167" s="303" t="s">
        <v>510</v>
      </c>
      <c r="AG167" s="322" t="s">
        <v>510</v>
      </c>
      <c r="AH167" s="314">
        <v>0</v>
      </c>
      <c r="AI167" s="297">
        <f t="shared" si="20"/>
        <v>0</v>
      </c>
      <c r="AJ167" s="303" t="s">
        <v>504</v>
      </c>
      <c r="AK167" s="303"/>
      <c r="AL167" s="303"/>
      <c r="AM167" s="303"/>
      <c r="AN167" s="303"/>
      <c r="AO167" s="303"/>
      <c r="AP167" s="303"/>
      <c r="AQ167" s="289">
        <f t="shared" si="21"/>
        <v>0</v>
      </c>
      <c r="AR167" s="303"/>
      <c r="AS167" s="303"/>
      <c r="AT167" s="329"/>
      <c r="AU167" s="329"/>
      <c r="AV167" s="329"/>
      <c r="AW167" s="329"/>
      <c r="AX167" s="329"/>
      <c r="AY167" s="139">
        <f t="shared" si="22"/>
        <v>0</v>
      </c>
      <c r="AZ167" s="303"/>
      <c r="BA167" s="303"/>
      <c r="BB167" s="356" t="s">
        <v>519</v>
      </c>
      <c r="BC167" s="356" t="s">
        <v>519</v>
      </c>
      <c r="BD167" s="356" t="s">
        <v>519</v>
      </c>
      <c r="BE167" s="303" t="s">
        <v>510</v>
      </c>
      <c r="BF167" s="367">
        <v>0</v>
      </c>
      <c r="BG167" s="353">
        <f t="shared" si="23"/>
        <v>0</v>
      </c>
      <c r="BH167" s="303" t="s">
        <v>520</v>
      </c>
      <c r="BI167" s="303" t="s">
        <v>1877</v>
      </c>
      <c r="BJ167" s="354">
        <f t="shared" si="17"/>
        <v>2</v>
      </c>
      <c r="BK167" s="316" t="str">
        <f t="shared" si="24"/>
        <v>Habilitado</v>
      </c>
    </row>
    <row r="168" spans="1:63" ht="51" x14ac:dyDescent="0.25">
      <c r="A168" s="324">
        <v>166</v>
      </c>
      <c r="B168" s="345" t="s">
        <v>2125</v>
      </c>
      <c r="C168" s="335" t="s">
        <v>2126</v>
      </c>
      <c r="D168" s="360" t="s">
        <v>1947</v>
      </c>
      <c r="E168" s="347">
        <v>1</v>
      </c>
      <c r="F168" s="314" t="s">
        <v>510</v>
      </c>
      <c r="G168" s="314" t="s">
        <v>510</v>
      </c>
      <c r="H168" s="314" t="s">
        <v>510</v>
      </c>
      <c r="I168" s="314" t="s">
        <v>510</v>
      </c>
      <c r="J168" s="314">
        <v>40</v>
      </c>
      <c r="K168" s="29">
        <f t="shared" si="18"/>
        <v>40</v>
      </c>
      <c r="L168" s="314" t="s">
        <v>504</v>
      </c>
      <c r="M168" s="314"/>
      <c r="N168" s="314"/>
      <c r="O168" s="314"/>
      <c r="P168" s="314"/>
      <c r="Q168" s="314"/>
      <c r="R168" s="314"/>
      <c r="S168" s="314"/>
      <c r="T168" s="314"/>
      <c r="U168" s="314"/>
      <c r="V168" s="350"/>
      <c r="W168" s="350"/>
      <c r="X168" s="350"/>
      <c r="Y168" s="350"/>
      <c r="Z168" s="307"/>
      <c r="AA168" s="350">
        <f t="shared" si="19"/>
        <v>0</v>
      </c>
      <c r="AB168" s="307"/>
      <c r="AC168" s="307"/>
      <c r="AD168" s="303" t="s">
        <v>510</v>
      </c>
      <c r="AE168" s="303" t="s">
        <v>510</v>
      </c>
      <c r="AF168" s="303" t="s">
        <v>510</v>
      </c>
      <c r="AG168" s="322" t="s">
        <v>510</v>
      </c>
      <c r="AH168" s="314">
        <v>0</v>
      </c>
      <c r="AI168" s="297">
        <f t="shared" si="20"/>
        <v>0</v>
      </c>
      <c r="AJ168" s="303" t="s">
        <v>504</v>
      </c>
      <c r="AK168" s="303"/>
      <c r="AL168" s="303"/>
      <c r="AM168" s="303"/>
      <c r="AN168" s="303"/>
      <c r="AO168" s="303"/>
      <c r="AP168" s="303"/>
      <c r="AQ168" s="289">
        <f t="shared" si="21"/>
        <v>0</v>
      </c>
      <c r="AR168" s="303"/>
      <c r="AS168" s="303"/>
      <c r="AT168" s="303" t="s">
        <v>510</v>
      </c>
      <c r="AU168" s="303" t="s">
        <v>510</v>
      </c>
      <c r="AV168" s="303" t="s">
        <v>510</v>
      </c>
      <c r="AW168" s="303" t="s">
        <v>510</v>
      </c>
      <c r="AX168" s="303">
        <v>40</v>
      </c>
      <c r="AY168" s="139">
        <f t="shared" si="22"/>
        <v>40</v>
      </c>
      <c r="AZ168" s="303" t="s">
        <v>504</v>
      </c>
      <c r="BA168" s="303"/>
      <c r="BB168" s="356" t="s">
        <v>519</v>
      </c>
      <c r="BC168" s="356" t="s">
        <v>519</v>
      </c>
      <c r="BD168" s="356" t="s">
        <v>519</v>
      </c>
      <c r="BE168" s="303" t="s">
        <v>510</v>
      </c>
      <c r="BF168" s="352">
        <v>0</v>
      </c>
      <c r="BG168" s="353">
        <f t="shared" si="23"/>
        <v>0</v>
      </c>
      <c r="BH168" s="303" t="s">
        <v>520</v>
      </c>
      <c r="BI168" s="303" t="s">
        <v>1877</v>
      </c>
      <c r="BJ168" s="354">
        <f t="shared" si="17"/>
        <v>3</v>
      </c>
      <c r="BK168" s="316" t="str">
        <f t="shared" si="24"/>
        <v>Habilitado</v>
      </c>
    </row>
    <row r="169" spans="1:63" ht="51" x14ac:dyDescent="0.25">
      <c r="A169" s="324">
        <v>167</v>
      </c>
      <c r="B169" s="345" t="s">
        <v>2127</v>
      </c>
      <c r="C169" s="335" t="s">
        <v>2128</v>
      </c>
      <c r="D169" s="360" t="s">
        <v>1576</v>
      </c>
      <c r="E169" s="347">
        <v>1</v>
      </c>
      <c r="F169" s="314"/>
      <c r="G169" s="314"/>
      <c r="H169" s="314"/>
      <c r="I169" s="314"/>
      <c r="J169" s="314"/>
      <c r="K169" s="29">
        <f t="shared" si="18"/>
        <v>0</v>
      </c>
      <c r="L169" s="314"/>
      <c r="M169" s="314"/>
      <c r="N169" s="314"/>
      <c r="O169" s="314"/>
      <c r="P169" s="314"/>
      <c r="Q169" s="314"/>
      <c r="R169" s="314"/>
      <c r="S169" s="314"/>
      <c r="T169" s="314"/>
      <c r="U169" s="314"/>
      <c r="V169" s="350"/>
      <c r="W169" s="350"/>
      <c r="X169" s="350"/>
      <c r="Y169" s="350"/>
      <c r="Z169" s="307"/>
      <c r="AA169" s="350">
        <f t="shared" si="19"/>
        <v>0</v>
      </c>
      <c r="AB169" s="307"/>
      <c r="AC169" s="307"/>
      <c r="AD169" s="303" t="s">
        <v>510</v>
      </c>
      <c r="AE169" s="303" t="s">
        <v>510</v>
      </c>
      <c r="AF169" s="303" t="s">
        <v>510</v>
      </c>
      <c r="AG169" s="322" t="s">
        <v>510</v>
      </c>
      <c r="AH169" s="314">
        <v>0</v>
      </c>
      <c r="AI169" s="297">
        <f t="shared" si="20"/>
        <v>0</v>
      </c>
      <c r="AJ169" s="303" t="s">
        <v>504</v>
      </c>
      <c r="AK169" s="303"/>
      <c r="AL169" s="303"/>
      <c r="AM169" s="303"/>
      <c r="AN169" s="303"/>
      <c r="AO169" s="303"/>
      <c r="AP169" s="303"/>
      <c r="AQ169" s="289">
        <f t="shared" si="21"/>
        <v>0</v>
      </c>
      <c r="AR169" s="303"/>
      <c r="AS169" s="303"/>
      <c r="AT169" s="303" t="s">
        <v>510</v>
      </c>
      <c r="AU169" s="303" t="s">
        <v>510</v>
      </c>
      <c r="AV169" s="303" t="s">
        <v>510</v>
      </c>
      <c r="AW169" s="303" t="s">
        <v>510</v>
      </c>
      <c r="AX169" s="303">
        <v>40</v>
      </c>
      <c r="AY169" s="139">
        <f t="shared" si="22"/>
        <v>40</v>
      </c>
      <c r="AZ169" s="303" t="s">
        <v>504</v>
      </c>
      <c r="BA169" s="303"/>
      <c r="BB169" s="356" t="s">
        <v>519</v>
      </c>
      <c r="BC169" s="356" t="s">
        <v>519</v>
      </c>
      <c r="BD169" s="356" t="s">
        <v>519</v>
      </c>
      <c r="BE169" s="303" t="s">
        <v>510</v>
      </c>
      <c r="BF169" s="367">
        <v>0</v>
      </c>
      <c r="BG169" s="353">
        <f t="shared" si="23"/>
        <v>0</v>
      </c>
      <c r="BH169" s="303" t="s">
        <v>520</v>
      </c>
      <c r="BI169" s="303" t="s">
        <v>1877</v>
      </c>
      <c r="BJ169" s="354">
        <f t="shared" si="17"/>
        <v>2</v>
      </c>
      <c r="BK169" s="316" t="str">
        <f t="shared" si="24"/>
        <v>Habilitado</v>
      </c>
    </row>
    <row r="170" spans="1:63" ht="76.5" x14ac:dyDescent="0.25">
      <c r="A170" s="324">
        <v>168</v>
      </c>
      <c r="B170" s="345" t="s">
        <v>2129</v>
      </c>
      <c r="C170" s="335" t="s">
        <v>2126</v>
      </c>
      <c r="D170" s="360" t="s">
        <v>2130</v>
      </c>
      <c r="E170" s="347">
        <v>1</v>
      </c>
      <c r="F170" s="314"/>
      <c r="G170" s="314"/>
      <c r="H170" s="314"/>
      <c r="I170" s="314"/>
      <c r="J170" s="314"/>
      <c r="K170" s="29">
        <f t="shared" si="18"/>
        <v>0</v>
      </c>
      <c r="L170" s="314"/>
      <c r="M170" s="314"/>
      <c r="N170" s="314"/>
      <c r="O170" s="314"/>
      <c r="P170" s="314"/>
      <c r="Q170" s="314"/>
      <c r="R170" s="314"/>
      <c r="S170" s="314"/>
      <c r="T170" s="314"/>
      <c r="U170" s="314"/>
      <c r="V170" s="350"/>
      <c r="W170" s="350"/>
      <c r="X170" s="350"/>
      <c r="Y170" s="350"/>
      <c r="Z170" s="307"/>
      <c r="AA170" s="350">
        <f t="shared" si="19"/>
        <v>0</v>
      </c>
      <c r="AB170" s="307"/>
      <c r="AC170" s="307"/>
      <c r="AD170" s="303" t="s">
        <v>510</v>
      </c>
      <c r="AE170" s="303" t="s">
        <v>510</v>
      </c>
      <c r="AF170" s="303" t="s">
        <v>510</v>
      </c>
      <c r="AG170" s="322" t="s">
        <v>510</v>
      </c>
      <c r="AH170" s="314">
        <v>0</v>
      </c>
      <c r="AI170" s="297">
        <f t="shared" si="20"/>
        <v>0</v>
      </c>
      <c r="AJ170" s="303" t="s">
        <v>504</v>
      </c>
      <c r="AK170" s="303"/>
      <c r="AL170" s="303"/>
      <c r="AM170" s="303"/>
      <c r="AN170" s="303"/>
      <c r="AO170" s="303"/>
      <c r="AP170" s="303"/>
      <c r="AQ170" s="289">
        <f t="shared" si="21"/>
        <v>0</v>
      </c>
      <c r="AR170" s="303"/>
      <c r="AS170" s="303"/>
      <c r="AT170" s="303" t="s">
        <v>510</v>
      </c>
      <c r="AU170" s="303" t="s">
        <v>510</v>
      </c>
      <c r="AV170" s="303" t="s">
        <v>510</v>
      </c>
      <c r="AW170" s="303" t="s">
        <v>510</v>
      </c>
      <c r="AX170" s="303">
        <v>40</v>
      </c>
      <c r="AY170" s="139">
        <f t="shared" si="22"/>
        <v>40</v>
      </c>
      <c r="AZ170" s="303" t="s">
        <v>504</v>
      </c>
      <c r="BA170" s="303"/>
      <c r="BB170" s="356" t="s">
        <v>519</v>
      </c>
      <c r="BC170" s="356" t="s">
        <v>519</v>
      </c>
      <c r="BD170" s="356" t="s">
        <v>519</v>
      </c>
      <c r="BE170" s="303" t="s">
        <v>510</v>
      </c>
      <c r="BF170" s="352">
        <v>0</v>
      </c>
      <c r="BG170" s="353">
        <f t="shared" si="23"/>
        <v>0</v>
      </c>
      <c r="BH170" s="303" t="s">
        <v>520</v>
      </c>
      <c r="BI170" s="303" t="s">
        <v>1877</v>
      </c>
      <c r="BJ170" s="354">
        <f t="shared" si="17"/>
        <v>2</v>
      </c>
      <c r="BK170" s="316" t="str">
        <f t="shared" si="24"/>
        <v>Habilitado</v>
      </c>
    </row>
    <row r="171" spans="1:63" ht="25.5" x14ac:dyDescent="0.25">
      <c r="A171" s="324">
        <v>169</v>
      </c>
      <c r="B171" s="345" t="s">
        <v>2131</v>
      </c>
      <c r="C171" s="335" t="s">
        <v>518</v>
      </c>
      <c r="D171" s="360" t="s">
        <v>140</v>
      </c>
      <c r="E171" s="347">
        <v>1</v>
      </c>
      <c r="F171" s="314" t="s">
        <v>510</v>
      </c>
      <c r="G171" s="314" t="s">
        <v>510</v>
      </c>
      <c r="H171" s="314" t="s">
        <v>511</v>
      </c>
      <c r="I171" s="314" t="s">
        <v>510</v>
      </c>
      <c r="J171" s="314">
        <v>40</v>
      </c>
      <c r="K171" s="29">
        <f t="shared" si="18"/>
        <v>40</v>
      </c>
      <c r="L171" s="314" t="s">
        <v>504</v>
      </c>
      <c r="M171" s="314"/>
      <c r="N171" s="314"/>
      <c r="O171" s="314"/>
      <c r="P171" s="314"/>
      <c r="Q171" s="314"/>
      <c r="R171" s="314"/>
      <c r="S171" s="314"/>
      <c r="T171" s="314"/>
      <c r="U171" s="314"/>
      <c r="V171" s="350"/>
      <c r="W171" s="350"/>
      <c r="X171" s="350"/>
      <c r="Y171" s="350"/>
      <c r="Z171" s="307"/>
      <c r="AA171" s="350">
        <f t="shared" si="19"/>
        <v>0</v>
      </c>
      <c r="AB171" s="307"/>
      <c r="AC171" s="307"/>
      <c r="AD171" s="303" t="s">
        <v>510</v>
      </c>
      <c r="AE171" s="303" t="s">
        <v>510</v>
      </c>
      <c r="AF171" s="303" t="s">
        <v>511</v>
      </c>
      <c r="AG171" s="322" t="s">
        <v>510</v>
      </c>
      <c r="AH171" s="314">
        <v>0</v>
      </c>
      <c r="AI171" s="297">
        <f t="shared" si="20"/>
        <v>0</v>
      </c>
      <c r="AJ171" s="303" t="s">
        <v>504</v>
      </c>
      <c r="AK171" s="303"/>
      <c r="AL171" s="303"/>
      <c r="AM171" s="303"/>
      <c r="AN171" s="303"/>
      <c r="AO171" s="303"/>
      <c r="AP171" s="303"/>
      <c r="AQ171" s="289">
        <f t="shared" si="21"/>
        <v>0</v>
      </c>
      <c r="AR171" s="303"/>
      <c r="AS171" s="303"/>
      <c r="AT171" s="303" t="s">
        <v>510</v>
      </c>
      <c r="AU171" s="303" t="s">
        <v>510</v>
      </c>
      <c r="AV171" s="303" t="s">
        <v>510</v>
      </c>
      <c r="AW171" s="303" t="s">
        <v>510</v>
      </c>
      <c r="AX171" s="303">
        <v>40</v>
      </c>
      <c r="AY171" s="139">
        <f t="shared" si="22"/>
        <v>40</v>
      </c>
      <c r="AZ171" s="303" t="s">
        <v>504</v>
      </c>
      <c r="BA171" s="303"/>
      <c r="BB171" s="356" t="s">
        <v>510</v>
      </c>
      <c r="BC171" s="356" t="s">
        <v>510</v>
      </c>
      <c r="BD171" s="356" t="s">
        <v>510</v>
      </c>
      <c r="BE171" s="303" t="s">
        <v>510</v>
      </c>
      <c r="BF171" s="367">
        <v>0</v>
      </c>
      <c r="BG171" s="353">
        <f t="shared" si="23"/>
        <v>0</v>
      </c>
      <c r="BH171" s="303" t="s">
        <v>504</v>
      </c>
      <c r="BI171" s="303"/>
      <c r="BJ171" s="354">
        <f t="shared" si="17"/>
        <v>4</v>
      </c>
      <c r="BK171" s="316" t="str">
        <f t="shared" si="24"/>
        <v>Habilitado</v>
      </c>
    </row>
    <row r="172" spans="1:63" ht="25.5" x14ac:dyDescent="0.25">
      <c r="A172" s="324">
        <v>170</v>
      </c>
      <c r="B172" s="325" t="s">
        <v>2132</v>
      </c>
      <c r="C172" s="325" t="s">
        <v>518</v>
      </c>
      <c r="D172" s="325" t="s">
        <v>140</v>
      </c>
      <c r="E172" s="362">
        <v>1</v>
      </c>
      <c r="F172" s="406"/>
      <c r="G172" s="406"/>
      <c r="H172" s="406"/>
      <c r="I172" s="406"/>
      <c r="J172" s="406"/>
      <c r="K172" s="29">
        <f t="shared" si="18"/>
        <v>0</v>
      </c>
      <c r="L172" s="406"/>
      <c r="M172" s="406" t="s">
        <v>551</v>
      </c>
      <c r="N172" s="406"/>
      <c r="O172" s="406"/>
      <c r="P172" s="406"/>
      <c r="Q172" s="406"/>
      <c r="R172" s="406"/>
      <c r="S172" s="406"/>
      <c r="T172" s="406"/>
      <c r="U172" s="406"/>
      <c r="V172" s="350"/>
      <c r="W172" s="350"/>
      <c r="X172" s="350"/>
      <c r="Y172" s="350"/>
      <c r="Z172" s="307"/>
      <c r="AA172" s="350">
        <f t="shared" si="19"/>
        <v>0</v>
      </c>
      <c r="AB172" s="307"/>
      <c r="AC172" s="307"/>
      <c r="AD172" s="304" t="s">
        <v>510</v>
      </c>
      <c r="AE172" s="304" t="s">
        <v>510</v>
      </c>
      <c r="AF172" s="304" t="s">
        <v>511</v>
      </c>
      <c r="AG172" s="322" t="s">
        <v>510</v>
      </c>
      <c r="AH172" s="326">
        <v>0</v>
      </c>
      <c r="AI172" s="297">
        <f t="shared" si="20"/>
        <v>0</v>
      </c>
      <c r="AJ172" s="303" t="s">
        <v>504</v>
      </c>
      <c r="AK172" s="304" t="s">
        <v>551</v>
      </c>
      <c r="AL172" s="304"/>
      <c r="AM172" s="304"/>
      <c r="AN172" s="304"/>
      <c r="AO172" s="304"/>
      <c r="AP172" s="304"/>
      <c r="AQ172" s="289">
        <f t="shared" si="21"/>
        <v>0</v>
      </c>
      <c r="AR172" s="304"/>
      <c r="AS172" s="304"/>
      <c r="AT172" s="325"/>
      <c r="AU172" s="325"/>
      <c r="AV172" s="325"/>
      <c r="AW172" s="325"/>
      <c r="AX172" s="325"/>
      <c r="AY172" s="139">
        <f t="shared" si="22"/>
        <v>0</v>
      </c>
      <c r="AZ172" s="304"/>
      <c r="BA172" s="304"/>
      <c r="BB172" s="356" t="s">
        <v>519</v>
      </c>
      <c r="BC172" s="356" t="s">
        <v>519</v>
      </c>
      <c r="BD172" s="356" t="s">
        <v>511</v>
      </c>
      <c r="BE172" s="303" t="s">
        <v>510</v>
      </c>
      <c r="BF172" s="352">
        <v>0</v>
      </c>
      <c r="BG172" s="353">
        <f t="shared" si="23"/>
        <v>0</v>
      </c>
      <c r="BH172" s="303" t="s">
        <v>520</v>
      </c>
      <c r="BI172" s="303" t="s">
        <v>1877</v>
      </c>
      <c r="BJ172" s="354">
        <f t="shared" si="17"/>
        <v>1</v>
      </c>
      <c r="BK172" s="316" t="str">
        <f t="shared" si="24"/>
        <v>Habilitado</v>
      </c>
    </row>
    <row r="173" spans="1:63" ht="25.5" x14ac:dyDescent="0.25">
      <c r="A173" s="324">
        <v>171</v>
      </c>
      <c r="B173" s="345" t="s">
        <v>2133</v>
      </c>
      <c r="C173" s="335" t="s">
        <v>518</v>
      </c>
      <c r="D173" s="360" t="s">
        <v>140</v>
      </c>
      <c r="E173" s="347">
        <v>1</v>
      </c>
      <c r="F173" s="314"/>
      <c r="G173" s="314"/>
      <c r="H173" s="314"/>
      <c r="I173" s="314"/>
      <c r="J173" s="314"/>
      <c r="K173" s="29">
        <f t="shared" si="18"/>
        <v>0</v>
      </c>
      <c r="L173" s="314"/>
      <c r="M173" s="314"/>
      <c r="N173" s="314"/>
      <c r="O173" s="314"/>
      <c r="P173" s="314"/>
      <c r="Q173" s="314"/>
      <c r="R173" s="314"/>
      <c r="S173" s="314"/>
      <c r="T173" s="314"/>
      <c r="U173" s="314"/>
      <c r="V173" s="350"/>
      <c r="W173" s="350"/>
      <c r="X173" s="350"/>
      <c r="Y173" s="350"/>
      <c r="Z173" s="307"/>
      <c r="AA173" s="350">
        <f t="shared" si="19"/>
        <v>0</v>
      </c>
      <c r="AB173" s="307"/>
      <c r="AC173" s="307"/>
      <c r="AD173" s="303"/>
      <c r="AE173" s="303"/>
      <c r="AF173" s="303"/>
      <c r="AG173" s="303"/>
      <c r="AH173" s="314"/>
      <c r="AI173" s="297">
        <f t="shared" si="20"/>
        <v>0</v>
      </c>
      <c r="AJ173" s="303"/>
      <c r="AK173" s="303"/>
      <c r="AL173" s="303"/>
      <c r="AM173" s="303"/>
      <c r="AN173" s="303"/>
      <c r="AO173" s="303"/>
      <c r="AP173" s="303"/>
      <c r="AQ173" s="289">
        <f t="shared" si="21"/>
        <v>0</v>
      </c>
      <c r="AR173" s="303"/>
      <c r="AS173" s="303"/>
      <c r="AT173" s="329"/>
      <c r="AU173" s="329"/>
      <c r="AV173" s="329"/>
      <c r="AW173" s="329"/>
      <c r="AX173" s="329"/>
      <c r="AY173" s="139">
        <f t="shared" si="22"/>
        <v>0</v>
      </c>
      <c r="AZ173" s="303"/>
      <c r="BA173" s="303"/>
      <c r="BB173" s="304" t="s">
        <v>519</v>
      </c>
      <c r="BC173" s="304" t="s">
        <v>519</v>
      </c>
      <c r="BD173" s="356" t="s">
        <v>511</v>
      </c>
      <c r="BE173" s="303" t="s">
        <v>510</v>
      </c>
      <c r="BF173" s="367">
        <v>0</v>
      </c>
      <c r="BG173" s="353">
        <f t="shared" si="23"/>
        <v>0</v>
      </c>
      <c r="BH173" s="304" t="s">
        <v>520</v>
      </c>
      <c r="BI173" s="303" t="s">
        <v>1877</v>
      </c>
      <c r="BJ173" s="354">
        <f t="shared" si="17"/>
        <v>0</v>
      </c>
      <c r="BK173" s="316" t="str">
        <f t="shared" si="24"/>
        <v>Desierto</v>
      </c>
    </row>
    <row r="174" spans="1:63" x14ac:dyDescent="0.25">
      <c r="A174" s="324">
        <v>172</v>
      </c>
      <c r="B174" s="325" t="s">
        <v>2134</v>
      </c>
      <c r="C174" s="325" t="s">
        <v>518</v>
      </c>
      <c r="D174" s="325" t="s">
        <v>2135</v>
      </c>
      <c r="E174" s="362">
        <v>1</v>
      </c>
      <c r="F174" s="406" t="s">
        <v>510</v>
      </c>
      <c r="G174" s="406" t="s">
        <v>510</v>
      </c>
      <c r="H174" s="406" t="s">
        <v>511</v>
      </c>
      <c r="I174" s="406" t="s">
        <v>510</v>
      </c>
      <c r="J174" s="406">
        <v>40</v>
      </c>
      <c r="K174" s="29">
        <f t="shared" si="18"/>
        <v>40</v>
      </c>
      <c r="L174" s="314" t="s">
        <v>504</v>
      </c>
      <c r="M174" s="406" t="s">
        <v>551</v>
      </c>
      <c r="N174" s="406"/>
      <c r="O174" s="406"/>
      <c r="P174" s="406"/>
      <c r="Q174" s="406"/>
      <c r="R174" s="406"/>
      <c r="S174" s="406"/>
      <c r="T174" s="406"/>
      <c r="U174" s="406"/>
      <c r="V174" s="350"/>
      <c r="W174" s="350"/>
      <c r="X174" s="350"/>
      <c r="Y174" s="350"/>
      <c r="Z174" s="307"/>
      <c r="AA174" s="350">
        <f t="shared" si="19"/>
        <v>0</v>
      </c>
      <c r="AB174" s="307"/>
      <c r="AC174" s="307"/>
      <c r="AD174" s="304" t="s">
        <v>510</v>
      </c>
      <c r="AE174" s="304" t="s">
        <v>510</v>
      </c>
      <c r="AF174" s="304" t="s">
        <v>511</v>
      </c>
      <c r="AG174" s="322" t="s">
        <v>510</v>
      </c>
      <c r="AH174" s="326">
        <v>0</v>
      </c>
      <c r="AI174" s="297">
        <f t="shared" si="20"/>
        <v>0</v>
      </c>
      <c r="AJ174" s="303" t="s">
        <v>504</v>
      </c>
      <c r="AK174" s="304" t="s">
        <v>551</v>
      </c>
      <c r="AL174" s="304"/>
      <c r="AM174" s="304"/>
      <c r="AN174" s="304"/>
      <c r="AO174" s="304"/>
      <c r="AP174" s="304"/>
      <c r="AQ174" s="289">
        <f t="shared" si="21"/>
        <v>0</v>
      </c>
      <c r="AR174" s="304"/>
      <c r="AS174" s="304"/>
      <c r="AT174" s="325"/>
      <c r="AU174" s="325"/>
      <c r="AV174" s="325"/>
      <c r="AW174" s="325"/>
      <c r="AX174" s="325"/>
      <c r="AY174" s="139">
        <f t="shared" si="22"/>
        <v>0</v>
      </c>
      <c r="AZ174" s="304"/>
      <c r="BA174" s="304"/>
      <c r="BB174" s="356" t="s">
        <v>519</v>
      </c>
      <c r="BC174" s="356" t="s">
        <v>519</v>
      </c>
      <c r="BD174" s="356" t="s">
        <v>511</v>
      </c>
      <c r="BE174" s="303" t="s">
        <v>510</v>
      </c>
      <c r="BF174" s="352">
        <v>0</v>
      </c>
      <c r="BG174" s="353">
        <f t="shared" si="23"/>
        <v>0</v>
      </c>
      <c r="BH174" s="303" t="s">
        <v>520</v>
      </c>
      <c r="BI174" s="303" t="s">
        <v>1877</v>
      </c>
      <c r="BJ174" s="354">
        <f t="shared" si="17"/>
        <v>2</v>
      </c>
      <c r="BK174" s="316" t="str">
        <f t="shared" si="24"/>
        <v>Habilitado</v>
      </c>
    </row>
    <row r="175" spans="1:63" ht="21.75" customHeight="1" x14ac:dyDescent="0.25">
      <c r="A175" s="324">
        <v>173</v>
      </c>
      <c r="B175" s="345" t="s">
        <v>2136</v>
      </c>
      <c r="C175" s="335" t="s">
        <v>518</v>
      </c>
      <c r="D175" s="357" t="s">
        <v>2137</v>
      </c>
      <c r="E175" s="347">
        <v>1</v>
      </c>
      <c r="F175" s="314" t="s">
        <v>510</v>
      </c>
      <c r="G175" s="314" t="s">
        <v>510</v>
      </c>
      <c r="H175" s="314" t="s">
        <v>511</v>
      </c>
      <c r="I175" s="406" t="s">
        <v>510</v>
      </c>
      <c r="J175" s="314">
        <v>40</v>
      </c>
      <c r="K175" s="29">
        <f t="shared" si="18"/>
        <v>40</v>
      </c>
      <c r="L175" s="314" t="s">
        <v>504</v>
      </c>
      <c r="M175" s="314"/>
      <c r="N175" s="314"/>
      <c r="O175" s="314"/>
      <c r="P175" s="314"/>
      <c r="Q175" s="314"/>
      <c r="R175" s="314"/>
      <c r="S175" s="314"/>
      <c r="T175" s="314"/>
      <c r="U175" s="314"/>
      <c r="V175" s="350"/>
      <c r="W175" s="350"/>
      <c r="X175" s="350"/>
      <c r="Y175" s="350"/>
      <c r="Z175" s="307"/>
      <c r="AA175" s="350">
        <f t="shared" si="19"/>
        <v>0</v>
      </c>
      <c r="AB175" s="307"/>
      <c r="AC175" s="307"/>
      <c r="AD175" s="303"/>
      <c r="AE175" s="303"/>
      <c r="AF175" s="303"/>
      <c r="AG175" s="303"/>
      <c r="AH175" s="314"/>
      <c r="AI175" s="297">
        <f t="shared" si="20"/>
        <v>0</v>
      </c>
      <c r="AJ175" s="303"/>
      <c r="AK175" s="361"/>
      <c r="AL175" s="303"/>
      <c r="AM175" s="303"/>
      <c r="AN175" s="303"/>
      <c r="AO175" s="303"/>
      <c r="AP175" s="303"/>
      <c r="AQ175" s="289">
        <f t="shared" si="21"/>
        <v>0</v>
      </c>
      <c r="AR175" s="314"/>
      <c r="AS175" s="314"/>
      <c r="AT175" s="329"/>
      <c r="AU175" s="329"/>
      <c r="AV175" s="329"/>
      <c r="AW175" s="329"/>
      <c r="AX175" s="329"/>
      <c r="AY175" s="139">
        <f t="shared" si="22"/>
        <v>0</v>
      </c>
      <c r="AZ175" s="375"/>
      <c r="BA175" s="375"/>
      <c r="BB175" s="303"/>
      <c r="BC175" s="303"/>
      <c r="BD175" s="303"/>
      <c r="BE175" s="303"/>
      <c r="BF175" s="303"/>
      <c r="BG175" s="353">
        <f t="shared" si="23"/>
        <v>0</v>
      </c>
      <c r="BH175" s="303"/>
      <c r="BI175" s="303"/>
      <c r="BJ175" s="354">
        <f t="shared" si="17"/>
        <v>1</v>
      </c>
      <c r="BK175" s="316" t="str">
        <f t="shared" si="24"/>
        <v>Habilitado</v>
      </c>
    </row>
    <row r="176" spans="1:63" ht="25.5" x14ac:dyDescent="0.25">
      <c r="A176" s="324">
        <v>174</v>
      </c>
      <c r="B176" s="325" t="s">
        <v>2138</v>
      </c>
      <c r="C176" s="325" t="s">
        <v>518</v>
      </c>
      <c r="D176" s="325" t="s">
        <v>1061</v>
      </c>
      <c r="E176" s="362">
        <v>1</v>
      </c>
      <c r="F176" s="406" t="s">
        <v>510</v>
      </c>
      <c r="G176" s="406" t="s">
        <v>510</v>
      </c>
      <c r="H176" s="406" t="s">
        <v>511</v>
      </c>
      <c r="I176" s="406" t="s">
        <v>510</v>
      </c>
      <c r="J176" s="406">
        <v>40</v>
      </c>
      <c r="K176" s="29">
        <f t="shared" si="18"/>
        <v>40</v>
      </c>
      <c r="L176" s="314" t="s">
        <v>504</v>
      </c>
      <c r="M176" s="406" t="s">
        <v>551</v>
      </c>
      <c r="N176" s="406"/>
      <c r="O176" s="406"/>
      <c r="P176" s="406"/>
      <c r="Q176" s="406"/>
      <c r="R176" s="406"/>
      <c r="S176" s="406"/>
      <c r="T176" s="406"/>
      <c r="U176" s="406"/>
      <c r="V176" s="350"/>
      <c r="W176" s="350"/>
      <c r="X176" s="350"/>
      <c r="Y176" s="350"/>
      <c r="Z176" s="307"/>
      <c r="AA176" s="350">
        <f t="shared" si="19"/>
        <v>0</v>
      </c>
      <c r="AB176" s="307"/>
      <c r="AC176" s="307"/>
      <c r="AD176" s="304"/>
      <c r="AE176" s="304"/>
      <c r="AF176" s="304"/>
      <c r="AG176" s="304"/>
      <c r="AH176" s="326"/>
      <c r="AI176" s="297">
        <f t="shared" si="20"/>
        <v>0</v>
      </c>
      <c r="AJ176" s="304"/>
      <c r="AK176" s="304"/>
      <c r="AL176" s="304"/>
      <c r="AM176" s="304"/>
      <c r="AN176" s="304"/>
      <c r="AO176" s="304"/>
      <c r="AP176" s="304"/>
      <c r="AQ176" s="289">
        <f t="shared" si="21"/>
        <v>0</v>
      </c>
      <c r="AR176" s="304"/>
      <c r="AS176" s="304"/>
      <c r="AT176" s="325"/>
      <c r="AU176" s="325"/>
      <c r="AV176" s="325"/>
      <c r="AW176" s="325"/>
      <c r="AX176" s="325"/>
      <c r="AY176" s="139">
        <f t="shared" si="22"/>
        <v>0</v>
      </c>
      <c r="AZ176" s="304"/>
      <c r="BA176" s="304"/>
      <c r="BB176" s="303"/>
      <c r="BC176" s="303"/>
      <c r="BD176" s="303"/>
      <c r="BE176" s="303"/>
      <c r="BF176" s="303"/>
      <c r="BG176" s="353">
        <f t="shared" si="23"/>
        <v>0</v>
      </c>
      <c r="BH176" s="303"/>
      <c r="BI176" s="303"/>
      <c r="BJ176" s="354">
        <f t="shared" si="17"/>
        <v>1</v>
      </c>
      <c r="BK176" s="316" t="str">
        <f t="shared" si="24"/>
        <v>Habilitado</v>
      </c>
    </row>
    <row r="177" spans="1:63" ht="31.5" customHeight="1" x14ac:dyDescent="0.25">
      <c r="A177" s="324">
        <v>175</v>
      </c>
      <c r="B177" s="345" t="s">
        <v>2139</v>
      </c>
      <c r="C177" s="335" t="s">
        <v>518</v>
      </c>
      <c r="D177" s="360" t="s">
        <v>1061</v>
      </c>
      <c r="E177" s="347">
        <v>1</v>
      </c>
      <c r="F177" s="314" t="s">
        <v>510</v>
      </c>
      <c r="G177" s="314" t="s">
        <v>510</v>
      </c>
      <c r="H177" s="314" t="s">
        <v>511</v>
      </c>
      <c r="I177" s="406" t="s">
        <v>510</v>
      </c>
      <c r="J177" s="314">
        <v>40</v>
      </c>
      <c r="K177" s="29">
        <f t="shared" si="18"/>
        <v>40</v>
      </c>
      <c r="L177" s="314" t="s">
        <v>504</v>
      </c>
      <c r="M177" s="314"/>
      <c r="N177" s="314"/>
      <c r="O177" s="314"/>
      <c r="P177" s="314"/>
      <c r="Q177" s="314"/>
      <c r="R177" s="314"/>
      <c r="S177" s="314"/>
      <c r="T177" s="314"/>
      <c r="U177" s="314"/>
      <c r="V177" s="350"/>
      <c r="W177" s="350"/>
      <c r="X177" s="350"/>
      <c r="Y177" s="350"/>
      <c r="Z177" s="307"/>
      <c r="AA177" s="350">
        <f t="shared" si="19"/>
        <v>0</v>
      </c>
      <c r="AB177" s="307"/>
      <c r="AC177" s="307"/>
      <c r="AD177" s="303"/>
      <c r="AE177" s="303"/>
      <c r="AF177" s="303"/>
      <c r="AG177" s="303"/>
      <c r="AH177" s="314"/>
      <c r="AI177" s="297">
        <f t="shared" si="20"/>
        <v>0</v>
      </c>
      <c r="AJ177" s="303"/>
      <c r="AK177" s="361"/>
      <c r="AL177" s="303"/>
      <c r="AM177" s="303"/>
      <c r="AN177" s="303"/>
      <c r="AO177" s="303"/>
      <c r="AP177" s="303"/>
      <c r="AQ177" s="289">
        <f t="shared" si="21"/>
        <v>0</v>
      </c>
      <c r="AR177" s="314"/>
      <c r="AS177" s="314"/>
      <c r="AT177" s="329"/>
      <c r="AU177" s="329"/>
      <c r="AV177" s="329"/>
      <c r="AW177" s="329"/>
      <c r="AX177" s="329"/>
      <c r="AY177" s="139">
        <f t="shared" si="22"/>
        <v>0</v>
      </c>
      <c r="AZ177" s="375"/>
      <c r="BA177" s="375"/>
      <c r="BB177" s="303"/>
      <c r="BC177" s="303"/>
      <c r="BD177" s="303"/>
      <c r="BE177" s="303"/>
      <c r="BF177" s="303"/>
      <c r="BG177" s="353">
        <f t="shared" si="23"/>
        <v>0</v>
      </c>
      <c r="BH177" s="303"/>
      <c r="BI177" s="303"/>
      <c r="BJ177" s="354">
        <f t="shared" si="17"/>
        <v>1</v>
      </c>
      <c r="BK177" s="316" t="str">
        <f t="shared" si="24"/>
        <v>Habilitado</v>
      </c>
    </row>
    <row r="178" spans="1:63" ht="43.5" customHeight="1" x14ac:dyDescent="0.25">
      <c r="A178" s="324">
        <v>176</v>
      </c>
      <c r="B178" s="345" t="s">
        <v>2140</v>
      </c>
      <c r="C178" s="335" t="s">
        <v>518</v>
      </c>
      <c r="D178" s="360" t="s">
        <v>1061</v>
      </c>
      <c r="E178" s="347">
        <v>1</v>
      </c>
      <c r="F178" s="314" t="s">
        <v>510</v>
      </c>
      <c r="G178" s="314" t="s">
        <v>510</v>
      </c>
      <c r="H178" s="314" t="s">
        <v>511</v>
      </c>
      <c r="I178" s="406" t="s">
        <v>510</v>
      </c>
      <c r="J178" s="314">
        <v>40</v>
      </c>
      <c r="K178" s="29">
        <f t="shared" si="18"/>
        <v>40</v>
      </c>
      <c r="L178" s="314" t="s">
        <v>504</v>
      </c>
      <c r="M178" s="314"/>
      <c r="N178" s="314"/>
      <c r="O178" s="314"/>
      <c r="P178" s="314"/>
      <c r="Q178" s="314"/>
      <c r="R178" s="314"/>
      <c r="S178" s="314"/>
      <c r="T178" s="314"/>
      <c r="U178" s="314"/>
      <c r="V178" s="350"/>
      <c r="W178" s="350"/>
      <c r="X178" s="350"/>
      <c r="Y178" s="350"/>
      <c r="Z178" s="307"/>
      <c r="AA178" s="350">
        <f t="shared" si="19"/>
        <v>0</v>
      </c>
      <c r="AB178" s="307"/>
      <c r="AC178" s="307"/>
      <c r="AD178" s="303"/>
      <c r="AE178" s="303"/>
      <c r="AF178" s="303"/>
      <c r="AG178" s="303"/>
      <c r="AH178" s="314"/>
      <c r="AI178" s="297">
        <f t="shared" si="20"/>
        <v>0</v>
      </c>
      <c r="AJ178" s="303"/>
      <c r="AK178" s="361"/>
      <c r="AL178" s="303"/>
      <c r="AM178" s="303"/>
      <c r="AN178" s="303"/>
      <c r="AO178" s="303"/>
      <c r="AP178" s="303"/>
      <c r="AQ178" s="289">
        <f t="shared" si="21"/>
        <v>0</v>
      </c>
      <c r="AR178" s="314"/>
      <c r="AS178" s="314"/>
      <c r="AT178" s="329"/>
      <c r="AU178" s="329"/>
      <c r="AV178" s="329"/>
      <c r="AW178" s="329"/>
      <c r="AX178" s="329"/>
      <c r="AY178" s="139">
        <f t="shared" si="22"/>
        <v>0</v>
      </c>
      <c r="AZ178" s="375"/>
      <c r="BA178" s="375"/>
      <c r="BB178" s="303"/>
      <c r="BC178" s="303"/>
      <c r="BD178" s="303"/>
      <c r="BE178" s="303"/>
      <c r="BF178" s="303"/>
      <c r="BG178" s="353">
        <f t="shared" si="23"/>
        <v>0</v>
      </c>
      <c r="BH178" s="303"/>
      <c r="BI178" s="303"/>
      <c r="BJ178" s="354">
        <f t="shared" si="17"/>
        <v>1</v>
      </c>
      <c r="BK178" s="316" t="str">
        <f t="shared" si="24"/>
        <v>Habilitado</v>
      </c>
    </row>
    <row r="179" spans="1:63" ht="25.5" x14ac:dyDescent="0.25">
      <c r="A179" s="324">
        <v>177</v>
      </c>
      <c r="B179" s="345" t="s">
        <v>2141</v>
      </c>
      <c r="C179" s="335" t="s">
        <v>518</v>
      </c>
      <c r="D179" s="360" t="s">
        <v>1061</v>
      </c>
      <c r="E179" s="347">
        <v>1</v>
      </c>
      <c r="F179" s="314" t="s">
        <v>510</v>
      </c>
      <c r="G179" s="314" t="s">
        <v>510</v>
      </c>
      <c r="H179" s="314" t="s">
        <v>511</v>
      </c>
      <c r="I179" s="314" t="s">
        <v>510</v>
      </c>
      <c r="J179" s="314">
        <v>40</v>
      </c>
      <c r="K179" s="29">
        <f t="shared" si="18"/>
        <v>40</v>
      </c>
      <c r="L179" s="314" t="s">
        <v>504</v>
      </c>
      <c r="M179" s="314"/>
      <c r="N179" s="314"/>
      <c r="O179" s="314"/>
      <c r="P179" s="314"/>
      <c r="Q179" s="314"/>
      <c r="R179" s="314"/>
      <c r="S179" s="314"/>
      <c r="T179" s="314"/>
      <c r="U179" s="314"/>
      <c r="V179" s="350"/>
      <c r="W179" s="350"/>
      <c r="X179" s="350"/>
      <c r="Y179" s="350"/>
      <c r="Z179" s="307"/>
      <c r="AA179" s="350">
        <f t="shared" si="19"/>
        <v>0</v>
      </c>
      <c r="AB179" s="307"/>
      <c r="AC179" s="307"/>
      <c r="AD179" s="303"/>
      <c r="AE179" s="303"/>
      <c r="AF179" s="303"/>
      <c r="AG179" s="303"/>
      <c r="AH179" s="314"/>
      <c r="AI179" s="297">
        <f t="shared" si="20"/>
        <v>0</v>
      </c>
      <c r="AJ179" s="303"/>
      <c r="AK179" s="303"/>
      <c r="AL179" s="303"/>
      <c r="AM179" s="303"/>
      <c r="AN179" s="303"/>
      <c r="AO179" s="303"/>
      <c r="AP179" s="303"/>
      <c r="AQ179" s="289">
        <f t="shared" si="21"/>
        <v>0</v>
      </c>
      <c r="AR179" s="303"/>
      <c r="AS179" s="303"/>
      <c r="AT179" s="329"/>
      <c r="AU179" s="329"/>
      <c r="AV179" s="329"/>
      <c r="AW179" s="329"/>
      <c r="AX179" s="329"/>
      <c r="AY179" s="139">
        <f t="shared" si="22"/>
        <v>0</v>
      </c>
      <c r="AZ179" s="303"/>
      <c r="BA179" s="303"/>
      <c r="BB179" s="303"/>
      <c r="BC179" s="303"/>
      <c r="BD179" s="303"/>
      <c r="BE179" s="303"/>
      <c r="BF179" s="303"/>
      <c r="BG179" s="353">
        <f t="shared" si="23"/>
        <v>0</v>
      </c>
      <c r="BH179" s="303"/>
      <c r="BI179" s="303"/>
      <c r="BJ179" s="354">
        <f t="shared" si="17"/>
        <v>1</v>
      </c>
      <c r="BK179" s="316" t="str">
        <f t="shared" si="24"/>
        <v>Habilitado</v>
      </c>
    </row>
    <row r="180" spans="1:63" ht="25.5" x14ac:dyDescent="0.25">
      <c r="A180" s="324">
        <v>178</v>
      </c>
      <c r="B180" s="345" t="s">
        <v>2142</v>
      </c>
      <c r="C180" s="335" t="s">
        <v>2143</v>
      </c>
      <c r="D180" s="360" t="s">
        <v>1666</v>
      </c>
      <c r="E180" s="347">
        <v>1</v>
      </c>
      <c r="F180" s="314" t="s">
        <v>510</v>
      </c>
      <c r="G180" s="314" t="s">
        <v>510</v>
      </c>
      <c r="H180" s="314" t="s">
        <v>510</v>
      </c>
      <c r="I180" s="314" t="s">
        <v>510</v>
      </c>
      <c r="J180" s="314">
        <v>40</v>
      </c>
      <c r="K180" s="29">
        <f t="shared" si="18"/>
        <v>40</v>
      </c>
      <c r="L180" s="314" t="s">
        <v>504</v>
      </c>
      <c r="M180" s="314"/>
      <c r="N180" s="314"/>
      <c r="O180" s="314"/>
      <c r="P180" s="314"/>
      <c r="Q180" s="314"/>
      <c r="R180" s="314"/>
      <c r="S180" s="314"/>
      <c r="T180" s="314"/>
      <c r="U180" s="314"/>
      <c r="V180" s="350"/>
      <c r="W180" s="350"/>
      <c r="X180" s="350"/>
      <c r="Y180" s="350"/>
      <c r="Z180" s="307"/>
      <c r="AA180" s="350">
        <f t="shared" si="19"/>
        <v>0</v>
      </c>
      <c r="AB180" s="307"/>
      <c r="AC180" s="307"/>
      <c r="AD180" s="303"/>
      <c r="AE180" s="303"/>
      <c r="AF180" s="303"/>
      <c r="AG180" s="303"/>
      <c r="AH180" s="314"/>
      <c r="AI180" s="297">
        <f t="shared" si="20"/>
        <v>0</v>
      </c>
      <c r="AJ180" s="303"/>
      <c r="AK180" s="303"/>
      <c r="AL180" s="303"/>
      <c r="AM180" s="303"/>
      <c r="AN180" s="303"/>
      <c r="AO180" s="303"/>
      <c r="AP180" s="303"/>
      <c r="AQ180" s="289">
        <f t="shared" si="21"/>
        <v>0</v>
      </c>
      <c r="AR180" s="303"/>
      <c r="AS180" s="303"/>
      <c r="AT180" s="329"/>
      <c r="AU180" s="329"/>
      <c r="AV180" s="329"/>
      <c r="AW180" s="329"/>
      <c r="AX180" s="329"/>
      <c r="AY180" s="139">
        <f t="shared" si="22"/>
        <v>0</v>
      </c>
      <c r="AZ180" s="303"/>
      <c r="BA180" s="303"/>
      <c r="BB180" s="303"/>
      <c r="BC180" s="303"/>
      <c r="BD180" s="303"/>
      <c r="BE180" s="303"/>
      <c r="BF180" s="303"/>
      <c r="BG180" s="353">
        <f t="shared" si="23"/>
        <v>0</v>
      </c>
      <c r="BH180" s="303"/>
      <c r="BI180" s="303"/>
      <c r="BJ180" s="354">
        <f t="shared" si="17"/>
        <v>1</v>
      </c>
      <c r="BK180" s="316" t="str">
        <f t="shared" si="24"/>
        <v>Habilitado</v>
      </c>
    </row>
    <row r="181" spans="1:63" ht="38.25" x14ac:dyDescent="0.25">
      <c r="A181" s="324">
        <v>179</v>
      </c>
      <c r="B181" s="345" t="s">
        <v>2144</v>
      </c>
      <c r="C181" s="357" t="s">
        <v>2145</v>
      </c>
      <c r="D181" s="360" t="s">
        <v>140</v>
      </c>
      <c r="E181" s="347">
        <v>1</v>
      </c>
      <c r="F181" s="314" t="s">
        <v>510</v>
      </c>
      <c r="G181" s="314" t="s">
        <v>519</v>
      </c>
      <c r="H181" s="314" t="s">
        <v>511</v>
      </c>
      <c r="I181" s="314" t="s">
        <v>510</v>
      </c>
      <c r="J181" s="406">
        <v>0</v>
      </c>
      <c r="K181" s="29">
        <f t="shared" si="18"/>
        <v>0</v>
      </c>
      <c r="L181" s="314" t="s">
        <v>520</v>
      </c>
      <c r="M181" s="407" t="s">
        <v>2146</v>
      </c>
      <c r="N181" s="407"/>
      <c r="O181" s="407"/>
      <c r="P181" s="407"/>
      <c r="Q181" s="407"/>
      <c r="R181" s="407"/>
      <c r="S181" s="407"/>
      <c r="T181" s="407"/>
      <c r="U181" s="407"/>
      <c r="V181" s="350"/>
      <c r="W181" s="350"/>
      <c r="X181" s="350"/>
      <c r="Y181" s="350"/>
      <c r="Z181" s="307"/>
      <c r="AA181" s="350">
        <f t="shared" si="19"/>
        <v>0</v>
      </c>
      <c r="AB181" s="307"/>
      <c r="AC181" s="307"/>
      <c r="AD181" s="303"/>
      <c r="AE181" s="303"/>
      <c r="AF181" s="303"/>
      <c r="AG181" s="303"/>
      <c r="AH181" s="314"/>
      <c r="AI181" s="297">
        <f t="shared" si="20"/>
        <v>0</v>
      </c>
      <c r="AJ181" s="303"/>
      <c r="AK181" s="361"/>
      <c r="AL181" s="303"/>
      <c r="AM181" s="303"/>
      <c r="AN181" s="303"/>
      <c r="AO181" s="303"/>
      <c r="AP181" s="303"/>
      <c r="AQ181" s="289">
        <f t="shared" si="21"/>
        <v>0</v>
      </c>
      <c r="AR181" s="314"/>
      <c r="AS181" s="314"/>
      <c r="AT181" s="329"/>
      <c r="AU181" s="329"/>
      <c r="AV181" s="329"/>
      <c r="AW181" s="329"/>
      <c r="AX181" s="329"/>
      <c r="AY181" s="139">
        <f t="shared" si="22"/>
        <v>0</v>
      </c>
      <c r="AZ181" s="375"/>
      <c r="BA181" s="375"/>
      <c r="BB181" s="303"/>
      <c r="BC181" s="303"/>
      <c r="BD181" s="303"/>
      <c r="BE181" s="303"/>
      <c r="BF181" s="303"/>
      <c r="BG181" s="353">
        <f t="shared" si="23"/>
        <v>0</v>
      </c>
      <c r="BH181" s="303"/>
      <c r="BI181" s="303"/>
      <c r="BJ181" s="354">
        <f t="shared" si="17"/>
        <v>0</v>
      </c>
      <c r="BK181" s="316" t="str">
        <f t="shared" si="24"/>
        <v>Desierto</v>
      </c>
    </row>
    <row r="182" spans="1:63" ht="25.5" x14ac:dyDescent="0.25">
      <c r="A182" s="324">
        <v>180</v>
      </c>
      <c r="B182" s="345" t="s">
        <v>2147</v>
      </c>
      <c r="C182" s="335" t="s">
        <v>2145</v>
      </c>
      <c r="D182" s="360" t="s">
        <v>140</v>
      </c>
      <c r="E182" s="347">
        <v>1</v>
      </c>
      <c r="F182" s="314" t="s">
        <v>510</v>
      </c>
      <c r="G182" s="314" t="s">
        <v>510</v>
      </c>
      <c r="H182" s="314" t="s">
        <v>511</v>
      </c>
      <c r="I182" s="314" t="s">
        <v>510</v>
      </c>
      <c r="J182" s="314">
        <v>40</v>
      </c>
      <c r="K182" s="29">
        <f t="shared" si="18"/>
        <v>40</v>
      </c>
      <c r="L182" s="314" t="s">
        <v>504</v>
      </c>
      <c r="M182" s="314"/>
      <c r="N182" s="314"/>
      <c r="O182" s="314"/>
      <c r="P182" s="314"/>
      <c r="Q182" s="314"/>
      <c r="R182" s="314"/>
      <c r="S182" s="314"/>
      <c r="T182" s="314"/>
      <c r="U182" s="314"/>
      <c r="V182" s="350"/>
      <c r="W182" s="350"/>
      <c r="X182" s="350"/>
      <c r="Y182" s="350"/>
      <c r="Z182" s="307"/>
      <c r="AA182" s="350">
        <f t="shared" si="19"/>
        <v>0</v>
      </c>
      <c r="AB182" s="307"/>
      <c r="AC182" s="307"/>
      <c r="AD182" s="303"/>
      <c r="AE182" s="303"/>
      <c r="AF182" s="303"/>
      <c r="AG182" s="303"/>
      <c r="AH182" s="314"/>
      <c r="AI182" s="297">
        <f t="shared" si="20"/>
        <v>0</v>
      </c>
      <c r="AJ182" s="303"/>
      <c r="AK182" s="361"/>
      <c r="AL182" s="303"/>
      <c r="AM182" s="303"/>
      <c r="AN182" s="303"/>
      <c r="AO182" s="303"/>
      <c r="AP182" s="303"/>
      <c r="AQ182" s="289">
        <f t="shared" si="21"/>
        <v>0</v>
      </c>
      <c r="AR182" s="314"/>
      <c r="AS182" s="314"/>
      <c r="AT182" s="329"/>
      <c r="AU182" s="329"/>
      <c r="AV182" s="329"/>
      <c r="AW182" s="329"/>
      <c r="AX182" s="329"/>
      <c r="AY182" s="139">
        <f t="shared" si="22"/>
        <v>0</v>
      </c>
      <c r="AZ182" s="375"/>
      <c r="BA182" s="375"/>
      <c r="BB182" s="303"/>
      <c r="BC182" s="303"/>
      <c r="BD182" s="303"/>
      <c r="BE182" s="303"/>
      <c r="BF182" s="303"/>
      <c r="BG182" s="353">
        <f t="shared" si="23"/>
        <v>0</v>
      </c>
      <c r="BH182" s="303"/>
      <c r="BI182" s="303"/>
      <c r="BJ182" s="354">
        <f t="shared" si="17"/>
        <v>1</v>
      </c>
      <c r="BK182" s="316" t="str">
        <f t="shared" si="24"/>
        <v>Habilitado</v>
      </c>
    </row>
    <row r="183" spans="1:63" ht="25.5" x14ac:dyDescent="0.25">
      <c r="A183" s="324">
        <v>181</v>
      </c>
      <c r="B183" s="345" t="s">
        <v>2148</v>
      </c>
      <c r="C183" s="335" t="s">
        <v>2145</v>
      </c>
      <c r="D183" s="360" t="s">
        <v>140</v>
      </c>
      <c r="E183" s="347">
        <v>1</v>
      </c>
      <c r="F183" s="314" t="s">
        <v>510</v>
      </c>
      <c r="G183" s="314" t="s">
        <v>510</v>
      </c>
      <c r="H183" s="314" t="s">
        <v>511</v>
      </c>
      <c r="I183" s="314" t="s">
        <v>510</v>
      </c>
      <c r="J183" s="314">
        <v>40</v>
      </c>
      <c r="K183" s="29">
        <f t="shared" si="18"/>
        <v>40</v>
      </c>
      <c r="L183" s="314" t="s">
        <v>504</v>
      </c>
      <c r="M183" s="314"/>
      <c r="N183" s="314"/>
      <c r="O183" s="314"/>
      <c r="P183" s="314"/>
      <c r="Q183" s="314"/>
      <c r="R183" s="314"/>
      <c r="S183" s="314"/>
      <c r="T183" s="314"/>
      <c r="U183" s="314"/>
      <c r="V183" s="350"/>
      <c r="W183" s="350"/>
      <c r="X183" s="350"/>
      <c r="Y183" s="350"/>
      <c r="Z183" s="307"/>
      <c r="AA183" s="350">
        <f t="shared" si="19"/>
        <v>0</v>
      </c>
      <c r="AB183" s="307"/>
      <c r="AC183" s="307"/>
      <c r="AD183" s="303"/>
      <c r="AE183" s="303"/>
      <c r="AF183" s="303"/>
      <c r="AG183" s="303"/>
      <c r="AH183" s="314"/>
      <c r="AI183" s="297">
        <f t="shared" si="20"/>
        <v>0</v>
      </c>
      <c r="AJ183" s="303"/>
      <c r="AK183" s="361"/>
      <c r="AL183" s="303"/>
      <c r="AM183" s="303"/>
      <c r="AN183" s="303"/>
      <c r="AO183" s="303"/>
      <c r="AP183" s="303"/>
      <c r="AQ183" s="289">
        <f t="shared" si="21"/>
        <v>0</v>
      </c>
      <c r="AR183" s="314"/>
      <c r="AS183" s="314"/>
      <c r="AT183" s="329"/>
      <c r="AU183" s="329"/>
      <c r="AV183" s="329"/>
      <c r="AW183" s="329"/>
      <c r="AX183" s="329"/>
      <c r="AY183" s="139">
        <f t="shared" si="22"/>
        <v>0</v>
      </c>
      <c r="AZ183" s="375"/>
      <c r="BA183" s="375"/>
      <c r="BB183" s="303"/>
      <c r="BC183" s="303"/>
      <c r="BD183" s="303"/>
      <c r="BE183" s="303"/>
      <c r="BF183" s="303"/>
      <c r="BG183" s="353">
        <f t="shared" si="23"/>
        <v>0</v>
      </c>
      <c r="BH183" s="303"/>
      <c r="BI183" s="303"/>
      <c r="BJ183" s="354">
        <f t="shared" si="17"/>
        <v>1</v>
      </c>
      <c r="BK183" s="316" t="str">
        <f t="shared" si="24"/>
        <v>Habilitado</v>
      </c>
    </row>
    <row r="184" spans="1:63" ht="191.25" x14ac:dyDescent="0.25">
      <c r="A184" s="324">
        <v>182</v>
      </c>
      <c r="B184" s="345" t="s">
        <v>2149</v>
      </c>
      <c r="C184" s="324" t="s">
        <v>1586</v>
      </c>
      <c r="D184" s="324" t="s">
        <v>140</v>
      </c>
      <c r="E184" s="347">
        <v>1</v>
      </c>
      <c r="F184" s="314" t="s">
        <v>510</v>
      </c>
      <c r="G184" s="314" t="s">
        <v>519</v>
      </c>
      <c r="H184" s="314" t="s">
        <v>510</v>
      </c>
      <c r="I184" s="314" t="s">
        <v>510</v>
      </c>
      <c r="J184" s="406">
        <v>0</v>
      </c>
      <c r="K184" s="29">
        <f t="shared" si="18"/>
        <v>0</v>
      </c>
      <c r="L184" s="314" t="s">
        <v>520</v>
      </c>
      <c r="M184" s="407" t="s">
        <v>2150</v>
      </c>
      <c r="N184" s="407"/>
      <c r="O184" s="407"/>
      <c r="P184" s="407"/>
      <c r="Q184" s="407"/>
      <c r="R184" s="407"/>
      <c r="S184" s="407"/>
      <c r="T184" s="407"/>
      <c r="U184" s="407"/>
      <c r="V184" s="350"/>
      <c r="W184" s="350"/>
      <c r="X184" s="350"/>
      <c r="Y184" s="350"/>
      <c r="Z184" s="307"/>
      <c r="AA184" s="350">
        <f t="shared" si="19"/>
        <v>0</v>
      </c>
      <c r="AB184" s="307"/>
      <c r="AC184" s="307"/>
      <c r="AD184" s="303"/>
      <c r="AE184" s="303"/>
      <c r="AF184" s="303"/>
      <c r="AG184" s="303"/>
      <c r="AH184" s="314"/>
      <c r="AI184" s="297">
        <f t="shared" si="20"/>
        <v>0</v>
      </c>
      <c r="AJ184" s="303"/>
      <c r="AK184" s="303"/>
      <c r="AL184" s="303"/>
      <c r="AM184" s="303"/>
      <c r="AN184" s="303"/>
      <c r="AO184" s="303"/>
      <c r="AP184" s="303"/>
      <c r="AQ184" s="289">
        <f t="shared" si="21"/>
        <v>0</v>
      </c>
      <c r="AR184" s="303"/>
      <c r="AS184" s="303"/>
      <c r="AT184" s="303" t="s">
        <v>510</v>
      </c>
      <c r="AU184" s="303" t="s">
        <v>510</v>
      </c>
      <c r="AV184" s="303" t="s">
        <v>510</v>
      </c>
      <c r="AW184" s="303" t="s">
        <v>510</v>
      </c>
      <c r="AX184" s="303">
        <v>40</v>
      </c>
      <c r="AY184" s="139">
        <f t="shared" si="22"/>
        <v>40</v>
      </c>
      <c r="AZ184" s="303" t="s">
        <v>504</v>
      </c>
      <c r="BA184" s="301"/>
      <c r="BB184" s="303"/>
      <c r="BC184" s="303"/>
      <c r="BD184" s="303"/>
      <c r="BE184" s="303"/>
      <c r="BF184" s="303"/>
      <c r="BG184" s="353">
        <f t="shared" si="23"/>
        <v>0</v>
      </c>
      <c r="BH184" s="303"/>
      <c r="BI184" s="303"/>
      <c r="BJ184" s="354">
        <f t="shared" si="17"/>
        <v>1</v>
      </c>
      <c r="BK184" s="316" t="str">
        <f t="shared" si="24"/>
        <v>Habilitado</v>
      </c>
    </row>
    <row r="185" spans="1:63" ht="66" customHeight="1" x14ac:dyDescent="0.25">
      <c r="A185" s="324">
        <v>183</v>
      </c>
      <c r="B185" s="345" t="s">
        <v>2151</v>
      </c>
      <c r="C185" s="335" t="s">
        <v>2152</v>
      </c>
      <c r="D185" s="360" t="s">
        <v>140</v>
      </c>
      <c r="E185" s="347">
        <v>1</v>
      </c>
      <c r="F185" s="314" t="s">
        <v>510</v>
      </c>
      <c r="G185" s="314" t="s">
        <v>510</v>
      </c>
      <c r="H185" s="314" t="s">
        <v>510</v>
      </c>
      <c r="I185" s="314" t="s">
        <v>510</v>
      </c>
      <c r="J185" s="406">
        <v>40</v>
      </c>
      <c r="K185" s="29">
        <f t="shared" si="18"/>
        <v>40</v>
      </c>
      <c r="L185" s="314" t="s">
        <v>504</v>
      </c>
      <c r="M185" s="407"/>
      <c r="N185" s="407"/>
      <c r="O185" s="407"/>
      <c r="P185" s="407"/>
      <c r="Q185" s="407"/>
      <c r="R185" s="407"/>
      <c r="S185" s="407"/>
      <c r="T185" s="407"/>
      <c r="U185" s="407"/>
      <c r="V185" s="350" t="s">
        <v>510</v>
      </c>
      <c r="W185" s="350" t="s">
        <v>510</v>
      </c>
      <c r="X185" s="350" t="s">
        <v>510</v>
      </c>
      <c r="Y185" s="350" t="s">
        <v>510</v>
      </c>
      <c r="Z185" s="304">
        <v>20</v>
      </c>
      <c r="AA185" s="350">
        <f t="shared" si="19"/>
        <v>20</v>
      </c>
      <c r="AB185" s="307" t="s">
        <v>504</v>
      </c>
      <c r="AC185" s="306"/>
      <c r="AD185" s="303"/>
      <c r="AE185" s="303"/>
      <c r="AF185" s="303"/>
      <c r="AG185" s="303"/>
      <c r="AH185" s="314"/>
      <c r="AI185" s="297">
        <f t="shared" si="20"/>
        <v>0</v>
      </c>
      <c r="AJ185" s="303"/>
      <c r="AK185" s="303"/>
      <c r="AL185" s="303"/>
      <c r="AM185" s="303"/>
      <c r="AN185" s="303"/>
      <c r="AO185" s="303"/>
      <c r="AP185" s="303"/>
      <c r="AQ185" s="289">
        <f t="shared" si="21"/>
        <v>0</v>
      </c>
      <c r="AR185" s="303"/>
      <c r="AS185" s="303"/>
      <c r="AT185" s="303" t="s">
        <v>510</v>
      </c>
      <c r="AU185" s="303" t="s">
        <v>510</v>
      </c>
      <c r="AV185" s="303" t="s">
        <v>510</v>
      </c>
      <c r="AW185" s="303" t="s">
        <v>510</v>
      </c>
      <c r="AX185" s="303">
        <v>40</v>
      </c>
      <c r="AY185" s="139">
        <f t="shared" si="22"/>
        <v>40</v>
      </c>
      <c r="AZ185" s="303" t="s">
        <v>504</v>
      </c>
      <c r="BA185" s="303"/>
      <c r="BB185" s="303"/>
      <c r="BC185" s="303"/>
      <c r="BD185" s="303"/>
      <c r="BE185" s="303"/>
      <c r="BF185" s="303"/>
      <c r="BG185" s="353">
        <f t="shared" si="23"/>
        <v>0</v>
      </c>
      <c r="BH185" s="303"/>
      <c r="BI185" s="303"/>
      <c r="BJ185" s="354">
        <f t="shared" si="17"/>
        <v>3</v>
      </c>
      <c r="BK185" s="316" t="str">
        <f t="shared" si="24"/>
        <v>Habilitado</v>
      </c>
    </row>
    <row r="186" spans="1:63" ht="51" customHeight="1" x14ac:dyDescent="0.25">
      <c r="A186" s="324">
        <v>184</v>
      </c>
      <c r="B186" s="345" t="s">
        <v>2153</v>
      </c>
      <c r="C186" s="335" t="s">
        <v>2152</v>
      </c>
      <c r="D186" s="360" t="s">
        <v>140</v>
      </c>
      <c r="E186" s="347">
        <v>1</v>
      </c>
      <c r="F186" s="314" t="s">
        <v>510</v>
      </c>
      <c r="G186" s="314" t="s">
        <v>510</v>
      </c>
      <c r="H186" s="314" t="s">
        <v>510</v>
      </c>
      <c r="I186" s="314" t="s">
        <v>510</v>
      </c>
      <c r="J186" s="314">
        <v>40</v>
      </c>
      <c r="K186" s="29">
        <f t="shared" si="18"/>
        <v>40</v>
      </c>
      <c r="L186" s="314" t="s">
        <v>504</v>
      </c>
      <c r="M186" s="314"/>
      <c r="N186" s="314"/>
      <c r="O186" s="314"/>
      <c r="P186" s="314"/>
      <c r="Q186" s="314"/>
      <c r="R186" s="314"/>
      <c r="S186" s="314"/>
      <c r="T186" s="314"/>
      <c r="U186" s="314"/>
      <c r="V186" s="350" t="s">
        <v>510</v>
      </c>
      <c r="W186" s="350" t="s">
        <v>510</v>
      </c>
      <c r="X186" s="350" t="s">
        <v>510</v>
      </c>
      <c r="Y186" s="350" t="s">
        <v>510</v>
      </c>
      <c r="Z186" s="304">
        <v>20</v>
      </c>
      <c r="AA186" s="350">
        <f t="shared" si="19"/>
        <v>20</v>
      </c>
      <c r="AB186" s="307" t="s">
        <v>504</v>
      </c>
      <c r="AC186" s="306"/>
      <c r="AD186" s="303"/>
      <c r="AE186" s="303"/>
      <c r="AF186" s="303"/>
      <c r="AG186" s="303"/>
      <c r="AH186" s="314"/>
      <c r="AI186" s="297">
        <f t="shared" si="20"/>
        <v>0</v>
      </c>
      <c r="AJ186" s="303"/>
      <c r="AK186" s="303"/>
      <c r="AL186" s="303"/>
      <c r="AM186" s="303"/>
      <c r="AN186" s="303"/>
      <c r="AO186" s="303"/>
      <c r="AP186" s="303"/>
      <c r="AQ186" s="289">
        <f t="shared" si="21"/>
        <v>0</v>
      </c>
      <c r="AR186" s="303"/>
      <c r="AS186" s="303"/>
      <c r="AT186" s="303" t="s">
        <v>510</v>
      </c>
      <c r="AU186" s="303" t="s">
        <v>510</v>
      </c>
      <c r="AV186" s="303" t="s">
        <v>510</v>
      </c>
      <c r="AW186" s="303" t="s">
        <v>510</v>
      </c>
      <c r="AX186" s="303">
        <v>40</v>
      </c>
      <c r="AY186" s="139">
        <f t="shared" si="22"/>
        <v>40</v>
      </c>
      <c r="AZ186" s="303" t="s">
        <v>504</v>
      </c>
      <c r="BA186" s="303"/>
      <c r="BB186" s="303"/>
      <c r="BC186" s="303"/>
      <c r="BD186" s="303"/>
      <c r="BE186" s="303"/>
      <c r="BF186" s="303"/>
      <c r="BG186" s="353">
        <f t="shared" si="23"/>
        <v>0</v>
      </c>
      <c r="BH186" s="303"/>
      <c r="BI186" s="303"/>
      <c r="BJ186" s="354">
        <f t="shared" si="17"/>
        <v>3</v>
      </c>
      <c r="BK186" s="316" t="str">
        <f t="shared" si="24"/>
        <v>Habilitado</v>
      </c>
    </row>
    <row r="187" spans="1:63" ht="25.5" x14ac:dyDescent="0.25">
      <c r="A187" s="324">
        <v>185</v>
      </c>
      <c r="B187" s="345" t="s">
        <v>2154</v>
      </c>
      <c r="C187" s="335" t="s">
        <v>518</v>
      </c>
      <c r="D187" s="360" t="s">
        <v>140</v>
      </c>
      <c r="E187" s="347">
        <v>1</v>
      </c>
      <c r="F187" s="314"/>
      <c r="G187" s="314"/>
      <c r="H187" s="314"/>
      <c r="I187" s="314"/>
      <c r="J187" s="314"/>
      <c r="K187" s="29">
        <f t="shared" si="18"/>
        <v>0</v>
      </c>
      <c r="L187" s="314"/>
      <c r="M187" s="314"/>
      <c r="N187" s="314"/>
      <c r="O187" s="314"/>
      <c r="P187" s="314"/>
      <c r="Q187" s="314"/>
      <c r="R187" s="314"/>
      <c r="S187" s="314"/>
      <c r="T187" s="314"/>
      <c r="U187" s="314"/>
      <c r="V187" s="350" t="s">
        <v>510</v>
      </c>
      <c r="W187" s="350" t="s">
        <v>510</v>
      </c>
      <c r="X187" s="350" t="s">
        <v>511</v>
      </c>
      <c r="Y187" s="350" t="s">
        <v>510</v>
      </c>
      <c r="Z187" s="304">
        <v>20</v>
      </c>
      <c r="AA187" s="350">
        <f t="shared" si="19"/>
        <v>20</v>
      </c>
      <c r="AB187" s="307" t="s">
        <v>504</v>
      </c>
      <c r="AC187" s="306"/>
      <c r="AD187" s="303" t="s">
        <v>510</v>
      </c>
      <c r="AE187" s="303" t="s">
        <v>510</v>
      </c>
      <c r="AF187" s="303" t="s">
        <v>511</v>
      </c>
      <c r="AG187" s="322" t="s">
        <v>510</v>
      </c>
      <c r="AH187" s="314">
        <v>0</v>
      </c>
      <c r="AI187" s="297">
        <f t="shared" si="20"/>
        <v>0</v>
      </c>
      <c r="AJ187" s="303" t="s">
        <v>504</v>
      </c>
      <c r="AK187" s="303"/>
      <c r="AL187" s="303"/>
      <c r="AM187" s="303"/>
      <c r="AN187" s="303"/>
      <c r="AO187" s="303"/>
      <c r="AP187" s="303"/>
      <c r="AQ187" s="289">
        <f t="shared" si="21"/>
        <v>0</v>
      </c>
      <c r="AR187" s="303"/>
      <c r="AS187" s="301"/>
      <c r="AT187" s="303" t="s">
        <v>510</v>
      </c>
      <c r="AU187" s="303" t="s">
        <v>510</v>
      </c>
      <c r="AV187" s="303" t="s">
        <v>511</v>
      </c>
      <c r="AW187" s="303" t="s">
        <v>510</v>
      </c>
      <c r="AX187" s="303">
        <v>40</v>
      </c>
      <c r="AY187" s="139">
        <f t="shared" si="22"/>
        <v>40</v>
      </c>
      <c r="AZ187" s="303" t="s">
        <v>504</v>
      </c>
      <c r="BA187" s="301"/>
      <c r="BB187" s="356" t="s">
        <v>519</v>
      </c>
      <c r="BC187" s="356" t="s">
        <v>519</v>
      </c>
      <c r="BD187" s="356" t="s">
        <v>511</v>
      </c>
      <c r="BE187" s="303" t="s">
        <v>510</v>
      </c>
      <c r="BF187" s="352">
        <v>0</v>
      </c>
      <c r="BG187" s="353">
        <f t="shared" si="23"/>
        <v>0</v>
      </c>
      <c r="BH187" s="303" t="s">
        <v>520</v>
      </c>
      <c r="BI187" s="303" t="s">
        <v>1877</v>
      </c>
      <c r="BJ187" s="354">
        <f t="shared" si="17"/>
        <v>3</v>
      </c>
      <c r="BK187" s="316" t="str">
        <f t="shared" si="24"/>
        <v>Habilitado</v>
      </c>
    </row>
    <row r="188" spans="1:63" ht="25.5" x14ac:dyDescent="0.25">
      <c r="A188" s="324">
        <v>186</v>
      </c>
      <c r="B188" s="345" t="s">
        <v>2155</v>
      </c>
      <c r="C188" s="335" t="s">
        <v>2156</v>
      </c>
      <c r="D188" s="360" t="s">
        <v>140</v>
      </c>
      <c r="E188" s="347">
        <v>1</v>
      </c>
      <c r="F188" s="314"/>
      <c r="G188" s="314"/>
      <c r="H188" s="314"/>
      <c r="I188" s="314"/>
      <c r="J188" s="314"/>
      <c r="K188" s="29">
        <f t="shared" si="18"/>
        <v>0</v>
      </c>
      <c r="L188" s="314"/>
      <c r="M188" s="314"/>
      <c r="N188" s="314"/>
      <c r="O188" s="314"/>
      <c r="P188" s="314"/>
      <c r="Q188" s="314"/>
      <c r="R188" s="314"/>
      <c r="S188" s="314"/>
      <c r="T188" s="314"/>
      <c r="U188" s="314"/>
      <c r="V188" s="350"/>
      <c r="W188" s="350"/>
      <c r="X188" s="350"/>
      <c r="Y188" s="350"/>
      <c r="Z188" s="307"/>
      <c r="AA188" s="350">
        <f t="shared" si="19"/>
        <v>0</v>
      </c>
      <c r="AB188" s="307"/>
      <c r="AC188" s="307"/>
      <c r="AD188" s="303" t="s">
        <v>510</v>
      </c>
      <c r="AE188" s="303" t="s">
        <v>510</v>
      </c>
      <c r="AF188" s="303" t="s">
        <v>510</v>
      </c>
      <c r="AG188" s="322" t="s">
        <v>510</v>
      </c>
      <c r="AH188" s="314">
        <v>0</v>
      </c>
      <c r="AI188" s="297">
        <f t="shared" si="20"/>
        <v>0</v>
      </c>
      <c r="AJ188" s="303" t="s">
        <v>504</v>
      </c>
      <c r="AK188" s="301"/>
      <c r="AL188" s="303"/>
      <c r="AM188" s="303"/>
      <c r="AN188" s="303"/>
      <c r="AO188" s="303"/>
      <c r="AP188" s="303"/>
      <c r="AQ188" s="289">
        <f t="shared" si="21"/>
        <v>0</v>
      </c>
      <c r="AR188" s="303"/>
      <c r="AS188" s="303"/>
      <c r="AT188" s="329"/>
      <c r="AU188" s="329"/>
      <c r="AV188" s="329"/>
      <c r="AW188" s="329"/>
      <c r="AX188" s="329"/>
      <c r="AY188" s="139">
        <f t="shared" si="22"/>
        <v>0</v>
      </c>
      <c r="AZ188" s="303"/>
      <c r="BA188" s="303"/>
      <c r="BB188" s="356" t="s">
        <v>519</v>
      </c>
      <c r="BC188" s="356" t="s">
        <v>519</v>
      </c>
      <c r="BD188" s="356" t="s">
        <v>519</v>
      </c>
      <c r="BE188" s="303" t="s">
        <v>510</v>
      </c>
      <c r="BF188" s="352">
        <v>0</v>
      </c>
      <c r="BG188" s="353">
        <f t="shared" si="23"/>
        <v>0</v>
      </c>
      <c r="BH188" s="303" t="s">
        <v>520</v>
      </c>
      <c r="BI188" s="303" t="s">
        <v>1877</v>
      </c>
      <c r="BJ188" s="354">
        <f t="shared" si="17"/>
        <v>1</v>
      </c>
      <c r="BK188" s="316" t="str">
        <f t="shared" si="24"/>
        <v>Habilitado</v>
      </c>
    </row>
    <row r="189" spans="1:63" ht="25.5" x14ac:dyDescent="0.25">
      <c r="A189" s="324">
        <v>187</v>
      </c>
      <c r="B189" s="345" t="s">
        <v>2157</v>
      </c>
      <c r="C189" s="335" t="s">
        <v>2158</v>
      </c>
      <c r="D189" s="357" t="s">
        <v>140</v>
      </c>
      <c r="E189" s="347">
        <v>1</v>
      </c>
      <c r="F189" s="314" t="s">
        <v>510</v>
      </c>
      <c r="G189" s="314" t="s">
        <v>510</v>
      </c>
      <c r="H189" s="314" t="s">
        <v>510</v>
      </c>
      <c r="I189" s="314" t="s">
        <v>510</v>
      </c>
      <c r="J189" s="314">
        <v>40</v>
      </c>
      <c r="K189" s="29">
        <f t="shared" si="18"/>
        <v>40</v>
      </c>
      <c r="L189" s="314" t="s">
        <v>504</v>
      </c>
      <c r="M189" s="314"/>
      <c r="N189" s="314"/>
      <c r="O189" s="314"/>
      <c r="P189" s="314"/>
      <c r="Q189" s="314"/>
      <c r="R189" s="314"/>
      <c r="S189" s="314"/>
      <c r="T189" s="314"/>
      <c r="U189" s="314"/>
      <c r="V189" s="350"/>
      <c r="W189" s="350"/>
      <c r="X189" s="350"/>
      <c r="Y189" s="350"/>
      <c r="Z189" s="307"/>
      <c r="AA189" s="350">
        <f t="shared" si="19"/>
        <v>0</v>
      </c>
      <c r="AB189" s="307"/>
      <c r="AC189" s="307"/>
      <c r="AD189" s="303" t="s">
        <v>510</v>
      </c>
      <c r="AE189" s="303" t="s">
        <v>510</v>
      </c>
      <c r="AF189" s="303" t="s">
        <v>510</v>
      </c>
      <c r="AG189" s="322" t="s">
        <v>510</v>
      </c>
      <c r="AH189" s="314">
        <v>0</v>
      </c>
      <c r="AI189" s="297">
        <f t="shared" si="20"/>
        <v>0</v>
      </c>
      <c r="AJ189" s="303" t="s">
        <v>504</v>
      </c>
      <c r="AK189" s="303"/>
      <c r="AL189" s="303"/>
      <c r="AM189" s="303"/>
      <c r="AN189" s="303"/>
      <c r="AO189" s="303"/>
      <c r="AP189" s="303"/>
      <c r="AQ189" s="289">
        <f t="shared" si="21"/>
        <v>0</v>
      </c>
      <c r="AR189" s="303"/>
      <c r="AS189" s="303"/>
      <c r="AT189" s="303" t="s">
        <v>519</v>
      </c>
      <c r="AU189" s="303" t="s">
        <v>519</v>
      </c>
      <c r="AV189" s="303" t="s">
        <v>519</v>
      </c>
      <c r="AW189" s="303" t="s">
        <v>510</v>
      </c>
      <c r="AX189" s="303">
        <v>0</v>
      </c>
      <c r="AY189" s="139">
        <f t="shared" si="22"/>
        <v>0</v>
      </c>
      <c r="AZ189" s="303" t="s">
        <v>520</v>
      </c>
      <c r="BA189" s="303"/>
      <c r="BB189" s="356" t="s">
        <v>519</v>
      </c>
      <c r="BC189" s="356" t="s">
        <v>519</v>
      </c>
      <c r="BD189" s="356" t="s">
        <v>519</v>
      </c>
      <c r="BE189" s="303" t="s">
        <v>510</v>
      </c>
      <c r="BF189" s="352">
        <v>0</v>
      </c>
      <c r="BG189" s="353">
        <f t="shared" si="23"/>
        <v>0</v>
      </c>
      <c r="BH189" s="303" t="s">
        <v>520</v>
      </c>
      <c r="BI189" s="303" t="s">
        <v>1877</v>
      </c>
      <c r="BJ189" s="354">
        <f t="shared" si="17"/>
        <v>2</v>
      </c>
      <c r="BK189" s="316" t="str">
        <f t="shared" si="24"/>
        <v>Habilitado</v>
      </c>
    </row>
    <row r="190" spans="1:63" ht="38.25" x14ac:dyDescent="0.25">
      <c r="A190" s="324">
        <v>188</v>
      </c>
      <c r="B190" s="345" t="s">
        <v>2159</v>
      </c>
      <c r="C190" s="335" t="s">
        <v>2160</v>
      </c>
      <c r="D190" s="360" t="s">
        <v>140</v>
      </c>
      <c r="E190" s="347">
        <v>1</v>
      </c>
      <c r="F190" s="314" t="s">
        <v>510</v>
      </c>
      <c r="G190" s="314" t="s">
        <v>510</v>
      </c>
      <c r="H190" s="314" t="s">
        <v>510</v>
      </c>
      <c r="I190" s="314" t="s">
        <v>510</v>
      </c>
      <c r="J190" s="314">
        <v>40</v>
      </c>
      <c r="K190" s="29">
        <f t="shared" si="18"/>
        <v>40</v>
      </c>
      <c r="L190" s="314" t="s">
        <v>504</v>
      </c>
      <c r="M190" s="314"/>
      <c r="N190" s="314"/>
      <c r="O190" s="314"/>
      <c r="P190" s="314"/>
      <c r="Q190" s="314"/>
      <c r="R190" s="314"/>
      <c r="S190" s="314"/>
      <c r="T190" s="314"/>
      <c r="U190" s="314"/>
      <c r="V190" s="350"/>
      <c r="W190" s="350"/>
      <c r="X190" s="350"/>
      <c r="Y190" s="350"/>
      <c r="Z190" s="307"/>
      <c r="AA190" s="350">
        <f t="shared" si="19"/>
        <v>0</v>
      </c>
      <c r="AB190" s="307"/>
      <c r="AC190" s="307"/>
      <c r="AD190" s="303" t="s">
        <v>510</v>
      </c>
      <c r="AE190" s="303" t="s">
        <v>510</v>
      </c>
      <c r="AF190" s="303" t="s">
        <v>510</v>
      </c>
      <c r="AG190" s="322" t="s">
        <v>510</v>
      </c>
      <c r="AH190" s="314">
        <v>0</v>
      </c>
      <c r="AI190" s="297">
        <f t="shared" si="20"/>
        <v>0</v>
      </c>
      <c r="AJ190" s="303" t="s">
        <v>504</v>
      </c>
      <c r="AK190" s="303"/>
      <c r="AL190" s="303"/>
      <c r="AM190" s="303"/>
      <c r="AN190" s="303"/>
      <c r="AO190" s="303"/>
      <c r="AP190" s="303"/>
      <c r="AQ190" s="289">
        <f t="shared" si="21"/>
        <v>0</v>
      </c>
      <c r="AR190" s="303"/>
      <c r="AS190" s="303"/>
      <c r="AT190" s="303" t="s">
        <v>510</v>
      </c>
      <c r="AU190" s="303" t="s">
        <v>519</v>
      </c>
      <c r="AV190" s="303" t="s">
        <v>510</v>
      </c>
      <c r="AW190" s="303" t="s">
        <v>510</v>
      </c>
      <c r="AX190" s="303">
        <v>0</v>
      </c>
      <c r="AY190" s="139">
        <f t="shared" si="22"/>
        <v>0</v>
      </c>
      <c r="AZ190" s="303" t="s">
        <v>520</v>
      </c>
      <c r="BA190" s="304" t="s">
        <v>2161</v>
      </c>
      <c r="BB190" s="356" t="s">
        <v>510</v>
      </c>
      <c r="BC190" s="356" t="s">
        <v>510</v>
      </c>
      <c r="BD190" s="356" t="s">
        <v>510</v>
      </c>
      <c r="BE190" s="303" t="s">
        <v>510</v>
      </c>
      <c r="BF190" s="352">
        <v>0</v>
      </c>
      <c r="BG190" s="353">
        <f t="shared" si="23"/>
        <v>0</v>
      </c>
      <c r="BH190" s="303" t="s">
        <v>504</v>
      </c>
      <c r="BI190" s="303"/>
      <c r="BJ190" s="354">
        <f t="shared" si="17"/>
        <v>3</v>
      </c>
      <c r="BK190" s="316" t="str">
        <f t="shared" si="24"/>
        <v>Habilitado</v>
      </c>
    </row>
    <row r="191" spans="1:63" ht="38.25" x14ac:dyDescent="0.25">
      <c r="A191" s="324">
        <v>189</v>
      </c>
      <c r="B191" s="325" t="s">
        <v>2162</v>
      </c>
      <c r="C191" s="325" t="s">
        <v>2160</v>
      </c>
      <c r="D191" s="325" t="s">
        <v>140</v>
      </c>
      <c r="E191" s="362">
        <v>1</v>
      </c>
      <c r="F191" s="406" t="s">
        <v>510</v>
      </c>
      <c r="G191" s="406" t="s">
        <v>519</v>
      </c>
      <c r="H191" s="406" t="s">
        <v>510</v>
      </c>
      <c r="I191" s="406" t="s">
        <v>510</v>
      </c>
      <c r="J191" s="406">
        <v>0</v>
      </c>
      <c r="K191" s="29">
        <f t="shared" si="18"/>
        <v>0</v>
      </c>
      <c r="L191" s="406" t="s">
        <v>593</v>
      </c>
      <c r="M191" s="406" t="s">
        <v>2163</v>
      </c>
      <c r="N191" s="406"/>
      <c r="O191" s="406"/>
      <c r="P191" s="406"/>
      <c r="Q191" s="406"/>
      <c r="R191" s="406"/>
      <c r="S191" s="406"/>
      <c r="T191" s="406"/>
      <c r="U191" s="406"/>
      <c r="V191" s="350"/>
      <c r="W191" s="350"/>
      <c r="X191" s="350"/>
      <c r="Y191" s="350"/>
      <c r="Z191" s="307"/>
      <c r="AA191" s="350">
        <f t="shared" si="19"/>
        <v>0</v>
      </c>
      <c r="AB191" s="307"/>
      <c r="AC191" s="307"/>
      <c r="AD191" s="304" t="s">
        <v>510</v>
      </c>
      <c r="AE191" s="304" t="s">
        <v>510</v>
      </c>
      <c r="AF191" s="304" t="s">
        <v>510</v>
      </c>
      <c r="AG191" s="322" t="s">
        <v>510</v>
      </c>
      <c r="AH191" s="326">
        <v>0</v>
      </c>
      <c r="AI191" s="297">
        <f t="shared" si="20"/>
        <v>0</v>
      </c>
      <c r="AJ191" s="303" t="s">
        <v>504</v>
      </c>
      <c r="AK191" s="304"/>
      <c r="AL191" s="304"/>
      <c r="AM191" s="304"/>
      <c r="AN191" s="304"/>
      <c r="AO191" s="304"/>
      <c r="AP191" s="304"/>
      <c r="AQ191" s="289">
        <f t="shared" si="21"/>
        <v>0</v>
      </c>
      <c r="AR191" s="304"/>
      <c r="AS191" s="304"/>
      <c r="AT191" s="304" t="s">
        <v>510</v>
      </c>
      <c r="AU191" s="304" t="s">
        <v>519</v>
      </c>
      <c r="AV191" s="304" t="s">
        <v>510</v>
      </c>
      <c r="AW191" s="303" t="s">
        <v>510</v>
      </c>
      <c r="AX191" s="303">
        <v>0</v>
      </c>
      <c r="AY191" s="139">
        <f t="shared" si="22"/>
        <v>0</v>
      </c>
      <c r="AZ191" s="304" t="s">
        <v>593</v>
      </c>
      <c r="BA191" s="304" t="s">
        <v>2161</v>
      </c>
      <c r="BB191" s="363" t="s">
        <v>510</v>
      </c>
      <c r="BC191" s="364" t="s">
        <v>519</v>
      </c>
      <c r="BD191" s="364" t="s">
        <v>510</v>
      </c>
      <c r="BE191" s="336" t="s">
        <v>510</v>
      </c>
      <c r="BF191" s="336">
        <v>0</v>
      </c>
      <c r="BG191" s="353">
        <f t="shared" si="23"/>
        <v>0</v>
      </c>
      <c r="BH191" s="336" t="s">
        <v>520</v>
      </c>
      <c r="BI191" s="336" t="s">
        <v>2164</v>
      </c>
      <c r="BJ191" s="354">
        <f t="shared" si="17"/>
        <v>1</v>
      </c>
      <c r="BK191" s="316" t="str">
        <f t="shared" si="24"/>
        <v>Habilitado</v>
      </c>
    </row>
    <row r="192" spans="1:63" ht="111" customHeight="1" x14ac:dyDescent="0.25">
      <c r="A192" s="324">
        <v>190</v>
      </c>
      <c r="B192" s="325" t="s">
        <v>2165</v>
      </c>
      <c r="C192" s="325" t="s">
        <v>2160</v>
      </c>
      <c r="D192" s="325" t="s">
        <v>140</v>
      </c>
      <c r="E192" s="362">
        <v>1</v>
      </c>
      <c r="F192" s="406" t="s">
        <v>510</v>
      </c>
      <c r="G192" s="406" t="s">
        <v>510</v>
      </c>
      <c r="H192" s="406" t="s">
        <v>510</v>
      </c>
      <c r="I192" s="406" t="s">
        <v>510</v>
      </c>
      <c r="J192" s="406">
        <v>40</v>
      </c>
      <c r="K192" s="29">
        <f t="shared" si="18"/>
        <v>40</v>
      </c>
      <c r="L192" s="314" t="s">
        <v>504</v>
      </c>
      <c r="M192" s="406"/>
      <c r="N192" s="406"/>
      <c r="O192" s="406"/>
      <c r="P192" s="406"/>
      <c r="Q192" s="406"/>
      <c r="R192" s="406"/>
      <c r="S192" s="406"/>
      <c r="T192" s="406"/>
      <c r="U192" s="406"/>
      <c r="V192" s="350"/>
      <c r="W192" s="350"/>
      <c r="X192" s="350"/>
      <c r="Y192" s="350"/>
      <c r="Z192" s="307"/>
      <c r="AA192" s="350">
        <f t="shared" si="19"/>
        <v>0</v>
      </c>
      <c r="AB192" s="307"/>
      <c r="AC192" s="307"/>
      <c r="AD192" s="304" t="s">
        <v>510</v>
      </c>
      <c r="AE192" s="304" t="s">
        <v>510</v>
      </c>
      <c r="AF192" s="304" t="s">
        <v>510</v>
      </c>
      <c r="AG192" s="322" t="s">
        <v>510</v>
      </c>
      <c r="AH192" s="326">
        <v>0</v>
      </c>
      <c r="AI192" s="297">
        <f t="shared" si="20"/>
        <v>0</v>
      </c>
      <c r="AJ192" s="303" t="s">
        <v>504</v>
      </c>
      <c r="AK192" s="304"/>
      <c r="AL192" s="304"/>
      <c r="AM192" s="304"/>
      <c r="AN192" s="304"/>
      <c r="AO192" s="304"/>
      <c r="AP192" s="304"/>
      <c r="AQ192" s="289">
        <f t="shared" si="21"/>
        <v>0</v>
      </c>
      <c r="AR192" s="304"/>
      <c r="AS192" s="304"/>
      <c r="AT192" s="325"/>
      <c r="AU192" s="325"/>
      <c r="AV192" s="325"/>
      <c r="AW192" s="325"/>
      <c r="AX192" s="325"/>
      <c r="AY192" s="139">
        <f t="shared" si="22"/>
        <v>0</v>
      </c>
      <c r="AZ192" s="304"/>
      <c r="BA192" s="304"/>
      <c r="BB192" s="356" t="s">
        <v>519</v>
      </c>
      <c r="BC192" s="356" t="s">
        <v>519</v>
      </c>
      <c r="BD192" s="356" t="s">
        <v>519</v>
      </c>
      <c r="BE192" s="303" t="s">
        <v>510</v>
      </c>
      <c r="BF192" s="352">
        <v>0</v>
      </c>
      <c r="BG192" s="353">
        <f t="shared" si="23"/>
        <v>0</v>
      </c>
      <c r="BH192" s="303" t="s">
        <v>520</v>
      </c>
      <c r="BI192" s="303" t="s">
        <v>1877</v>
      </c>
      <c r="BJ192" s="354">
        <f t="shared" si="17"/>
        <v>2</v>
      </c>
      <c r="BK192" s="316" t="str">
        <f t="shared" si="24"/>
        <v>Habilitado</v>
      </c>
    </row>
    <row r="193" spans="1:63" ht="25.5" x14ac:dyDescent="0.25">
      <c r="A193" s="324">
        <v>191</v>
      </c>
      <c r="B193" s="345" t="s">
        <v>2166</v>
      </c>
      <c r="C193" s="357" t="s">
        <v>2160</v>
      </c>
      <c r="D193" s="357" t="s">
        <v>140</v>
      </c>
      <c r="E193" s="347">
        <v>1</v>
      </c>
      <c r="F193" s="314" t="s">
        <v>510</v>
      </c>
      <c r="G193" s="314" t="s">
        <v>510</v>
      </c>
      <c r="H193" s="314" t="s">
        <v>510</v>
      </c>
      <c r="I193" s="314" t="s">
        <v>510</v>
      </c>
      <c r="J193" s="314">
        <v>40</v>
      </c>
      <c r="K193" s="29">
        <f t="shared" si="18"/>
        <v>40</v>
      </c>
      <c r="L193" s="314" t="s">
        <v>504</v>
      </c>
      <c r="M193" s="314"/>
      <c r="N193" s="314"/>
      <c r="O193" s="314"/>
      <c r="P193" s="314"/>
      <c r="Q193" s="314"/>
      <c r="R193" s="314"/>
      <c r="S193" s="314"/>
      <c r="T193" s="314"/>
      <c r="U193" s="314"/>
      <c r="V193" s="350"/>
      <c r="W193" s="350"/>
      <c r="X193" s="350"/>
      <c r="Y193" s="350"/>
      <c r="Z193" s="307"/>
      <c r="AA193" s="350">
        <f t="shared" si="19"/>
        <v>0</v>
      </c>
      <c r="AB193" s="307"/>
      <c r="AC193" s="303"/>
      <c r="AD193" s="303" t="s">
        <v>510</v>
      </c>
      <c r="AE193" s="303" t="s">
        <v>510</v>
      </c>
      <c r="AF193" s="303" t="s">
        <v>510</v>
      </c>
      <c r="AG193" s="322" t="s">
        <v>510</v>
      </c>
      <c r="AH193" s="314">
        <v>0</v>
      </c>
      <c r="AI193" s="297">
        <f t="shared" si="20"/>
        <v>0</v>
      </c>
      <c r="AJ193" s="303" t="s">
        <v>504</v>
      </c>
      <c r="AK193" s="301"/>
      <c r="AL193" s="303"/>
      <c r="AM193" s="303"/>
      <c r="AN193" s="303"/>
      <c r="AO193" s="303"/>
      <c r="AP193" s="303"/>
      <c r="AQ193" s="289">
        <f t="shared" si="21"/>
        <v>0</v>
      </c>
      <c r="AR193" s="303"/>
      <c r="AS193" s="301"/>
      <c r="AT193" s="303" t="s">
        <v>510</v>
      </c>
      <c r="AU193" s="303" t="s">
        <v>519</v>
      </c>
      <c r="AV193" s="303" t="s">
        <v>510</v>
      </c>
      <c r="AW193" s="303" t="s">
        <v>510</v>
      </c>
      <c r="AX193" s="303">
        <v>0</v>
      </c>
      <c r="AY193" s="139">
        <f t="shared" si="22"/>
        <v>0</v>
      </c>
      <c r="AZ193" s="303" t="s">
        <v>520</v>
      </c>
      <c r="BA193" s="304" t="s">
        <v>2161</v>
      </c>
      <c r="BB193" s="356" t="s">
        <v>519</v>
      </c>
      <c r="BC193" s="356" t="s">
        <v>519</v>
      </c>
      <c r="BD193" s="356" t="s">
        <v>519</v>
      </c>
      <c r="BE193" s="303" t="s">
        <v>510</v>
      </c>
      <c r="BF193" s="352">
        <v>0</v>
      </c>
      <c r="BG193" s="353">
        <f t="shared" si="23"/>
        <v>0</v>
      </c>
      <c r="BH193" s="303" t="s">
        <v>520</v>
      </c>
      <c r="BI193" s="303" t="s">
        <v>1877</v>
      </c>
      <c r="BJ193" s="354">
        <f t="shared" si="17"/>
        <v>2</v>
      </c>
      <c r="BK193" s="316" t="str">
        <f t="shared" si="24"/>
        <v>Habilitado</v>
      </c>
    </row>
    <row r="194" spans="1:63" ht="25.5" x14ac:dyDescent="0.25">
      <c r="A194" s="324">
        <v>192</v>
      </c>
      <c r="B194" s="345" t="s">
        <v>2167</v>
      </c>
      <c r="C194" s="335" t="s">
        <v>518</v>
      </c>
      <c r="D194" s="360" t="s">
        <v>140</v>
      </c>
      <c r="E194" s="347">
        <v>1</v>
      </c>
      <c r="F194" s="314"/>
      <c r="G194" s="314"/>
      <c r="H194" s="314"/>
      <c r="I194" s="314"/>
      <c r="J194" s="314"/>
      <c r="K194" s="29">
        <f t="shared" si="18"/>
        <v>0</v>
      </c>
      <c r="L194" s="314"/>
      <c r="M194" s="314"/>
      <c r="N194" s="314"/>
      <c r="O194" s="314"/>
      <c r="P194" s="314"/>
      <c r="Q194" s="314"/>
      <c r="R194" s="314"/>
      <c r="S194" s="314"/>
      <c r="T194" s="314"/>
      <c r="U194" s="314"/>
      <c r="V194" s="350"/>
      <c r="W194" s="350"/>
      <c r="X194" s="350"/>
      <c r="Y194" s="350"/>
      <c r="Z194" s="307"/>
      <c r="AA194" s="350">
        <f t="shared" si="19"/>
        <v>0</v>
      </c>
      <c r="AB194" s="307"/>
      <c r="AC194" s="307"/>
      <c r="AD194" s="304" t="s">
        <v>510</v>
      </c>
      <c r="AE194" s="304" t="s">
        <v>510</v>
      </c>
      <c r="AF194" s="304" t="s">
        <v>511</v>
      </c>
      <c r="AG194" s="322" t="s">
        <v>510</v>
      </c>
      <c r="AH194" s="326">
        <v>0</v>
      </c>
      <c r="AI194" s="297">
        <f t="shared" si="20"/>
        <v>0</v>
      </c>
      <c r="AJ194" s="303" t="s">
        <v>504</v>
      </c>
      <c r="AK194" s="303"/>
      <c r="AL194" s="303"/>
      <c r="AM194" s="303"/>
      <c r="AN194" s="303"/>
      <c r="AO194" s="303"/>
      <c r="AP194" s="303"/>
      <c r="AQ194" s="289">
        <f t="shared" si="21"/>
        <v>0</v>
      </c>
      <c r="AR194" s="303"/>
      <c r="AS194" s="303"/>
      <c r="AT194" s="329"/>
      <c r="AU194" s="329"/>
      <c r="AV194" s="329"/>
      <c r="AW194" s="329"/>
      <c r="AX194" s="329"/>
      <c r="AY194" s="139">
        <f t="shared" si="22"/>
        <v>0</v>
      </c>
      <c r="AZ194" s="303"/>
      <c r="BA194" s="303"/>
      <c r="BB194" s="356" t="s">
        <v>519</v>
      </c>
      <c r="BC194" s="356" t="s">
        <v>519</v>
      </c>
      <c r="BD194" s="356" t="s">
        <v>511</v>
      </c>
      <c r="BE194" s="303" t="s">
        <v>510</v>
      </c>
      <c r="BF194" s="352">
        <v>0</v>
      </c>
      <c r="BG194" s="353">
        <f t="shared" si="23"/>
        <v>0</v>
      </c>
      <c r="BH194" s="303" t="s">
        <v>520</v>
      </c>
      <c r="BI194" s="303" t="s">
        <v>1877</v>
      </c>
      <c r="BJ194" s="354">
        <f t="shared" si="17"/>
        <v>1</v>
      </c>
      <c r="BK194" s="316" t="str">
        <f t="shared" si="24"/>
        <v>Habilitado</v>
      </c>
    </row>
    <row r="195" spans="1:63" ht="25.5" x14ac:dyDescent="0.25">
      <c r="A195" s="324">
        <v>193</v>
      </c>
      <c r="B195" s="345" t="s">
        <v>2168</v>
      </c>
      <c r="C195" s="335" t="s">
        <v>2169</v>
      </c>
      <c r="D195" s="357" t="s">
        <v>140</v>
      </c>
      <c r="E195" s="347">
        <v>1</v>
      </c>
      <c r="F195" s="314" t="s">
        <v>510</v>
      </c>
      <c r="G195" s="314" t="s">
        <v>510</v>
      </c>
      <c r="H195" s="314" t="s">
        <v>510</v>
      </c>
      <c r="I195" s="314" t="s">
        <v>510</v>
      </c>
      <c r="J195" s="314">
        <v>40</v>
      </c>
      <c r="K195" s="29">
        <f t="shared" si="18"/>
        <v>40</v>
      </c>
      <c r="L195" s="314" t="s">
        <v>504</v>
      </c>
      <c r="M195" s="314"/>
      <c r="N195" s="314"/>
      <c r="O195" s="314"/>
      <c r="P195" s="314"/>
      <c r="Q195" s="314"/>
      <c r="R195" s="314"/>
      <c r="S195" s="314"/>
      <c r="T195" s="314"/>
      <c r="U195" s="314"/>
      <c r="V195" s="350"/>
      <c r="W195" s="350"/>
      <c r="X195" s="350"/>
      <c r="Y195" s="350"/>
      <c r="Z195" s="307"/>
      <c r="AA195" s="350">
        <f t="shared" si="19"/>
        <v>0</v>
      </c>
      <c r="AB195" s="307"/>
      <c r="AC195" s="307"/>
      <c r="AD195" s="303" t="s">
        <v>510</v>
      </c>
      <c r="AE195" s="303" t="s">
        <v>510</v>
      </c>
      <c r="AF195" s="303" t="s">
        <v>510</v>
      </c>
      <c r="AG195" s="322" t="s">
        <v>510</v>
      </c>
      <c r="AH195" s="314">
        <v>0</v>
      </c>
      <c r="AI195" s="297">
        <f t="shared" si="20"/>
        <v>0</v>
      </c>
      <c r="AJ195" s="303" t="s">
        <v>504</v>
      </c>
      <c r="AK195" s="301"/>
      <c r="AL195" s="303"/>
      <c r="AM195" s="303"/>
      <c r="AN195" s="303"/>
      <c r="AO195" s="303"/>
      <c r="AP195" s="303"/>
      <c r="AQ195" s="289">
        <f t="shared" si="21"/>
        <v>0</v>
      </c>
      <c r="AR195" s="303"/>
      <c r="AS195" s="303"/>
      <c r="AT195" s="329"/>
      <c r="AU195" s="329"/>
      <c r="AV195" s="329"/>
      <c r="AW195" s="329"/>
      <c r="AX195" s="329"/>
      <c r="AY195" s="139">
        <f t="shared" si="22"/>
        <v>0</v>
      </c>
      <c r="AZ195" s="303"/>
      <c r="BA195" s="303"/>
      <c r="BB195" s="356" t="s">
        <v>519</v>
      </c>
      <c r="BC195" s="356" t="s">
        <v>519</v>
      </c>
      <c r="BD195" s="356" t="s">
        <v>519</v>
      </c>
      <c r="BE195" s="303" t="s">
        <v>510</v>
      </c>
      <c r="BF195" s="352">
        <v>0</v>
      </c>
      <c r="BG195" s="353">
        <f t="shared" si="23"/>
        <v>0</v>
      </c>
      <c r="BH195" s="303" t="s">
        <v>520</v>
      </c>
      <c r="BI195" s="303" t="s">
        <v>1877</v>
      </c>
      <c r="BJ195" s="354">
        <f t="shared" ref="BJ195:BJ258" si="25">COUNTIF(L195,"Habilitado")+COUNTIF(T195,"Habilitado")+COUNTIF(AB195,"Habilitado")+COUNTIF(AJ195,"Habilitado")+COUNTIF(AR195,"Habilitado")+COUNTIF(AZ195,"Habilitado")+COUNTIF(BH195,"Habilitado")</f>
        <v>2</v>
      </c>
      <c r="BK195" s="316" t="str">
        <f t="shared" si="24"/>
        <v>Habilitado</v>
      </c>
    </row>
    <row r="196" spans="1:63" ht="55.5" customHeight="1" x14ac:dyDescent="0.25">
      <c r="A196" s="324">
        <v>194</v>
      </c>
      <c r="B196" s="345" t="s">
        <v>2170</v>
      </c>
      <c r="C196" s="335" t="s">
        <v>2160</v>
      </c>
      <c r="D196" s="357" t="s">
        <v>140</v>
      </c>
      <c r="E196" s="347">
        <v>1</v>
      </c>
      <c r="F196" s="314" t="s">
        <v>510</v>
      </c>
      <c r="G196" s="314" t="s">
        <v>510</v>
      </c>
      <c r="H196" s="314" t="s">
        <v>510</v>
      </c>
      <c r="I196" s="314" t="s">
        <v>510</v>
      </c>
      <c r="J196" s="314">
        <v>40</v>
      </c>
      <c r="K196" s="29">
        <f t="shared" ref="K196:K259" si="26">+J196</f>
        <v>40</v>
      </c>
      <c r="L196" s="314" t="s">
        <v>504</v>
      </c>
      <c r="M196" s="314"/>
      <c r="N196" s="314"/>
      <c r="O196" s="314"/>
      <c r="P196" s="314"/>
      <c r="Q196" s="314"/>
      <c r="R196" s="314"/>
      <c r="S196" s="314"/>
      <c r="T196" s="314"/>
      <c r="U196" s="314"/>
      <c r="V196" s="350"/>
      <c r="W196" s="350"/>
      <c r="X196" s="350"/>
      <c r="Y196" s="350"/>
      <c r="Z196" s="307"/>
      <c r="AA196" s="350">
        <f t="shared" ref="AA196:AA259" si="27">(Z196)</f>
        <v>0</v>
      </c>
      <c r="AB196" s="307"/>
      <c r="AC196" s="307"/>
      <c r="AD196" s="303" t="s">
        <v>510</v>
      </c>
      <c r="AE196" s="303" t="s">
        <v>510</v>
      </c>
      <c r="AF196" s="303" t="s">
        <v>519</v>
      </c>
      <c r="AG196" s="322" t="s">
        <v>510</v>
      </c>
      <c r="AH196" s="314">
        <v>0</v>
      </c>
      <c r="AI196" s="297">
        <f t="shared" ref="AI196:AI259" si="28">+AH196</f>
        <v>0</v>
      </c>
      <c r="AJ196" s="303" t="s">
        <v>520</v>
      </c>
      <c r="AK196" s="301" t="s">
        <v>2171</v>
      </c>
      <c r="AL196" s="303"/>
      <c r="AM196" s="303"/>
      <c r="AN196" s="303"/>
      <c r="AO196" s="303"/>
      <c r="AP196" s="303"/>
      <c r="AQ196" s="289">
        <f t="shared" ref="AQ196:AQ259" si="29">+AP196</f>
        <v>0</v>
      </c>
      <c r="AR196" s="303"/>
      <c r="AS196" s="303"/>
      <c r="AT196" s="303" t="s">
        <v>510</v>
      </c>
      <c r="AU196" s="303" t="s">
        <v>519</v>
      </c>
      <c r="AV196" s="303" t="s">
        <v>510</v>
      </c>
      <c r="AW196" s="303" t="s">
        <v>510</v>
      </c>
      <c r="AX196" s="303">
        <v>0</v>
      </c>
      <c r="AY196" s="139">
        <f t="shared" ref="AY196:AY259" si="30">+AX196</f>
        <v>0</v>
      </c>
      <c r="AZ196" s="303" t="s">
        <v>520</v>
      </c>
      <c r="BA196" s="304" t="s">
        <v>2172</v>
      </c>
      <c r="BB196" s="356" t="s">
        <v>519</v>
      </c>
      <c r="BC196" s="356" t="s">
        <v>519</v>
      </c>
      <c r="BD196" s="356" t="s">
        <v>519</v>
      </c>
      <c r="BE196" s="303" t="s">
        <v>510</v>
      </c>
      <c r="BF196" s="352">
        <v>0</v>
      </c>
      <c r="BG196" s="353">
        <f t="shared" ref="BG196:BG259" si="31">+BF196</f>
        <v>0</v>
      </c>
      <c r="BH196" s="303" t="s">
        <v>520</v>
      </c>
      <c r="BI196" s="303" t="s">
        <v>1877</v>
      </c>
      <c r="BJ196" s="354">
        <f t="shared" si="25"/>
        <v>1</v>
      </c>
      <c r="BK196" s="316" t="str">
        <f t="shared" si="24"/>
        <v>Habilitado</v>
      </c>
    </row>
    <row r="197" spans="1:63" ht="112.5" customHeight="1" x14ac:dyDescent="0.25">
      <c r="A197" s="324">
        <v>195</v>
      </c>
      <c r="B197" s="325" t="s">
        <v>2173</v>
      </c>
      <c r="C197" s="325" t="s">
        <v>2174</v>
      </c>
      <c r="D197" s="325" t="s">
        <v>140</v>
      </c>
      <c r="E197" s="362">
        <v>1</v>
      </c>
      <c r="F197" s="406" t="s">
        <v>510</v>
      </c>
      <c r="G197" s="406" t="s">
        <v>510</v>
      </c>
      <c r="H197" s="406" t="s">
        <v>510</v>
      </c>
      <c r="I197" s="406" t="s">
        <v>510</v>
      </c>
      <c r="J197" s="406">
        <v>40</v>
      </c>
      <c r="K197" s="29">
        <f t="shared" si="26"/>
        <v>40</v>
      </c>
      <c r="L197" s="314" t="s">
        <v>504</v>
      </c>
      <c r="M197" s="406"/>
      <c r="N197" s="406"/>
      <c r="O197" s="406"/>
      <c r="P197" s="406"/>
      <c r="Q197" s="406"/>
      <c r="R197" s="406"/>
      <c r="S197" s="406"/>
      <c r="T197" s="406"/>
      <c r="U197" s="406"/>
      <c r="V197" s="350"/>
      <c r="W197" s="350"/>
      <c r="X197" s="350"/>
      <c r="Y197" s="350"/>
      <c r="Z197" s="307"/>
      <c r="AA197" s="350">
        <f t="shared" si="27"/>
        <v>0</v>
      </c>
      <c r="AB197" s="307"/>
      <c r="AC197" s="303"/>
      <c r="AD197" s="304" t="s">
        <v>510</v>
      </c>
      <c r="AE197" s="304" t="s">
        <v>510</v>
      </c>
      <c r="AF197" s="304" t="s">
        <v>510</v>
      </c>
      <c r="AG197" s="322" t="s">
        <v>510</v>
      </c>
      <c r="AH197" s="326">
        <v>0</v>
      </c>
      <c r="AI197" s="297">
        <f t="shared" si="28"/>
        <v>0</v>
      </c>
      <c r="AJ197" s="303" t="s">
        <v>504</v>
      </c>
      <c r="AK197" s="304"/>
      <c r="AL197" s="304"/>
      <c r="AM197" s="304"/>
      <c r="AN197" s="304"/>
      <c r="AO197" s="304"/>
      <c r="AP197" s="304"/>
      <c r="AQ197" s="289">
        <f t="shared" si="29"/>
        <v>0</v>
      </c>
      <c r="AR197" s="304"/>
      <c r="AS197" s="304"/>
      <c r="AT197" s="304" t="s">
        <v>510</v>
      </c>
      <c r="AU197" s="304" t="s">
        <v>510</v>
      </c>
      <c r="AV197" s="304" t="s">
        <v>510</v>
      </c>
      <c r="AW197" s="303" t="s">
        <v>510</v>
      </c>
      <c r="AX197" s="303">
        <v>40</v>
      </c>
      <c r="AY197" s="139">
        <f t="shared" si="30"/>
        <v>40</v>
      </c>
      <c r="AZ197" s="304" t="s">
        <v>504</v>
      </c>
      <c r="BA197" s="304"/>
      <c r="BB197" s="356" t="s">
        <v>519</v>
      </c>
      <c r="BC197" s="356" t="s">
        <v>519</v>
      </c>
      <c r="BD197" s="356" t="s">
        <v>519</v>
      </c>
      <c r="BE197" s="303" t="s">
        <v>510</v>
      </c>
      <c r="BF197" s="352">
        <v>0</v>
      </c>
      <c r="BG197" s="353">
        <f t="shared" si="31"/>
        <v>0</v>
      </c>
      <c r="BH197" s="303" t="s">
        <v>520</v>
      </c>
      <c r="BI197" s="303" t="s">
        <v>1877</v>
      </c>
      <c r="BJ197" s="354">
        <f t="shared" si="25"/>
        <v>3</v>
      </c>
      <c r="BK197" s="316" t="str">
        <f t="shared" si="24"/>
        <v>Habilitado</v>
      </c>
    </row>
    <row r="198" spans="1:63" ht="59.25" customHeight="1" x14ac:dyDescent="0.25">
      <c r="A198" s="324">
        <v>196</v>
      </c>
      <c r="B198" s="345" t="s">
        <v>2175</v>
      </c>
      <c r="C198" s="357" t="s">
        <v>2176</v>
      </c>
      <c r="D198" s="360" t="s">
        <v>140</v>
      </c>
      <c r="E198" s="347">
        <v>1</v>
      </c>
      <c r="F198" s="314" t="s">
        <v>510</v>
      </c>
      <c r="G198" s="314" t="s">
        <v>510</v>
      </c>
      <c r="H198" s="314" t="s">
        <v>510</v>
      </c>
      <c r="I198" s="314" t="s">
        <v>510</v>
      </c>
      <c r="J198" s="314">
        <v>40</v>
      </c>
      <c r="K198" s="29">
        <f t="shared" si="26"/>
        <v>40</v>
      </c>
      <c r="L198" s="314" t="s">
        <v>504</v>
      </c>
      <c r="M198" s="407"/>
      <c r="N198" s="407"/>
      <c r="O198" s="407"/>
      <c r="P198" s="407"/>
      <c r="Q198" s="407"/>
      <c r="R198" s="407"/>
      <c r="S198" s="407"/>
      <c r="T198" s="407"/>
      <c r="U198" s="407"/>
      <c r="V198" s="350"/>
      <c r="W198" s="350"/>
      <c r="X198" s="350"/>
      <c r="Y198" s="350"/>
      <c r="Z198" s="307"/>
      <c r="AA198" s="350">
        <f t="shared" si="27"/>
        <v>0</v>
      </c>
      <c r="AB198" s="307"/>
      <c r="AC198" s="307"/>
      <c r="AD198" s="384" t="s">
        <v>510</v>
      </c>
      <c r="AE198" s="384" t="s">
        <v>519</v>
      </c>
      <c r="AF198" s="384" t="s">
        <v>510</v>
      </c>
      <c r="AG198" s="322" t="s">
        <v>510</v>
      </c>
      <c r="AH198" s="385">
        <v>0</v>
      </c>
      <c r="AI198" s="297">
        <f t="shared" si="28"/>
        <v>0</v>
      </c>
      <c r="AJ198" s="303" t="s">
        <v>520</v>
      </c>
      <c r="AK198" s="386" t="s">
        <v>2177</v>
      </c>
      <c r="AL198" s="303"/>
      <c r="AM198" s="303"/>
      <c r="AN198" s="303"/>
      <c r="AO198" s="303"/>
      <c r="AP198" s="303"/>
      <c r="AQ198" s="289">
        <f t="shared" si="29"/>
        <v>0</v>
      </c>
      <c r="AR198" s="303"/>
      <c r="AS198" s="301"/>
      <c r="AT198" s="303" t="s">
        <v>510</v>
      </c>
      <c r="AU198" s="303" t="s">
        <v>510</v>
      </c>
      <c r="AV198" s="303" t="s">
        <v>510</v>
      </c>
      <c r="AW198" s="303" t="s">
        <v>510</v>
      </c>
      <c r="AX198" s="303">
        <v>40</v>
      </c>
      <c r="AY198" s="139">
        <f t="shared" si="30"/>
        <v>40</v>
      </c>
      <c r="AZ198" s="303" t="s">
        <v>504</v>
      </c>
      <c r="BA198" s="304"/>
      <c r="BB198" s="356" t="s">
        <v>519</v>
      </c>
      <c r="BC198" s="356" t="s">
        <v>519</v>
      </c>
      <c r="BD198" s="356" t="s">
        <v>519</v>
      </c>
      <c r="BE198" s="303" t="s">
        <v>510</v>
      </c>
      <c r="BF198" s="352">
        <v>0</v>
      </c>
      <c r="BG198" s="353">
        <f t="shared" si="31"/>
        <v>0</v>
      </c>
      <c r="BH198" s="303" t="s">
        <v>520</v>
      </c>
      <c r="BI198" s="303" t="s">
        <v>1877</v>
      </c>
      <c r="BJ198" s="354">
        <f t="shared" si="25"/>
        <v>2</v>
      </c>
      <c r="BK198" s="316" t="str">
        <f t="shared" si="24"/>
        <v>Habilitado</v>
      </c>
    </row>
    <row r="199" spans="1:63" ht="99.75" customHeight="1" x14ac:dyDescent="0.25">
      <c r="A199" s="324">
        <v>197</v>
      </c>
      <c r="B199" s="345" t="s">
        <v>2178</v>
      </c>
      <c r="C199" s="335" t="s">
        <v>2160</v>
      </c>
      <c r="D199" s="360" t="s">
        <v>140</v>
      </c>
      <c r="E199" s="347">
        <v>1</v>
      </c>
      <c r="F199" s="314" t="s">
        <v>510</v>
      </c>
      <c r="G199" s="314" t="s">
        <v>510</v>
      </c>
      <c r="H199" s="314" t="s">
        <v>510</v>
      </c>
      <c r="I199" s="314" t="s">
        <v>510</v>
      </c>
      <c r="J199" s="314">
        <v>40</v>
      </c>
      <c r="K199" s="29">
        <f t="shared" si="26"/>
        <v>40</v>
      </c>
      <c r="L199" s="314" t="s">
        <v>504</v>
      </c>
      <c r="M199" s="314"/>
      <c r="N199" s="314"/>
      <c r="O199" s="314"/>
      <c r="P199" s="314"/>
      <c r="Q199" s="314"/>
      <c r="R199" s="314"/>
      <c r="S199" s="314"/>
      <c r="T199" s="314"/>
      <c r="U199" s="314"/>
      <c r="V199" s="350"/>
      <c r="W199" s="350"/>
      <c r="X199" s="350"/>
      <c r="Y199" s="350"/>
      <c r="Z199" s="307"/>
      <c r="AA199" s="350">
        <f t="shared" si="27"/>
        <v>0</v>
      </c>
      <c r="AB199" s="307"/>
      <c r="AC199" s="307"/>
      <c r="AD199" s="348" t="s">
        <v>510</v>
      </c>
      <c r="AE199" s="348" t="s">
        <v>519</v>
      </c>
      <c r="AF199" s="348" t="s">
        <v>510</v>
      </c>
      <c r="AG199" s="322" t="s">
        <v>510</v>
      </c>
      <c r="AH199" s="349">
        <v>0</v>
      </c>
      <c r="AI199" s="297">
        <f t="shared" si="28"/>
        <v>0</v>
      </c>
      <c r="AJ199" s="303" t="s">
        <v>520</v>
      </c>
      <c r="AK199" s="386" t="s">
        <v>2179</v>
      </c>
      <c r="AL199" s="303"/>
      <c r="AM199" s="303"/>
      <c r="AN199" s="303"/>
      <c r="AO199" s="303"/>
      <c r="AP199" s="303"/>
      <c r="AQ199" s="289">
        <f t="shared" si="29"/>
        <v>0</v>
      </c>
      <c r="AR199" s="303"/>
      <c r="AS199" s="303"/>
      <c r="AT199" s="303" t="s">
        <v>510</v>
      </c>
      <c r="AU199" s="303" t="s">
        <v>519</v>
      </c>
      <c r="AV199" s="303" t="s">
        <v>510</v>
      </c>
      <c r="AW199" s="303" t="s">
        <v>510</v>
      </c>
      <c r="AX199" s="303">
        <v>0</v>
      </c>
      <c r="AY199" s="139">
        <f t="shared" si="30"/>
        <v>0</v>
      </c>
      <c r="AZ199" s="303" t="s">
        <v>520</v>
      </c>
      <c r="BA199" s="304" t="s">
        <v>2172</v>
      </c>
      <c r="BB199" s="356" t="s">
        <v>519</v>
      </c>
      <c r="BC199" s="356" t="s">
        <v>519</v>
      </c>
      <c r="BD199" s="356" t="s">
        <v>519</v>
      </c>
      <c r="BE199" s="303" t="s">
        <v>510</v>
      </c>
      <c r="BF199" s="352">
        <v>0</v>
      </c>
      <c r="BG199" s="353">
        <f t="shared" si="31"/>
        <v>0</v>
      </c>
      <c r="BH199" s="303" t="s">
        <v>520</v>
      </c>
      <c r="BI199" s="303" t="s">
        <v>1877</v>
      </c>
      <c r="BJ199" s="354">
        <f t="shared" si="25"/>
        <v>1</v>
      </c>
      <c r="BK199" s="316" t="str">
        <f t="shared" si="24"/>
        <v>Habilitado</v>
      </c>
    </row>
    <row r="200" spans="1:63" ht="118.5" customHeight="1" x14ac:dyDescent="0.25">
      <c r="A200" s="324">
        <v>198</v>
      </c>
      <c r="B200" s="345" t="s">
        <v>2180</v>
      </c>
      <c r="C200" s="357" t="s">
        <v>2176</v>
      </c>
      <c r="D200" s="360" t="s">
        <v>140</v>
      </c>
      <c r="E200" s="347">
        <v>1</v>
      </c>
      <c r="F200" s="314" t="s">
        <v>510</v>
      </c>
      <c r="G200" s="314" t="s">
        <v>510</v>
      </c>
      <c r="H200" s="314" t="s">
        <v>510</v>
      </c>
      <c r="I200" s="314" t="s">
        <v>510</v>
      </c>
      <c r="J200" s="314">
        <v>40</v>
      </c>
      <c r="K200" s="29">
        <f t="shared" si="26"/>
        <v>40</v>
      </c>
      <c r="L200" s="314" t="s">
        <v>504</v>
      </c>
      <c r="M200" s="314"/>
      <c r="N200" s="314"/>
      <c r="O200" s="314"/>
      <c r="P200" s="314"/>
      <c r="Q200" s="314"/>
      <c r="R200" s="314"/>
      <c r="S200" s="314"/>
      <c r="T200" s="314"/>
      <c r="U200" s="314"/>
      <c r="V200" s="350"/>
      <c r="W200" s="350"/>
      <c r="X200" s="350"/>
      <c r="Y200" s="350"/>
      <c r="Z200" s="307"/>
      <c r="AA200" s="350">
        <f t="shared" si="27"/>
        <v>0</v>
      </c>
      <c r="AB200" s="307"/>
      <c r="AC200" s="307"/>
      <c r="AD200" s="303" t="s">
        <v>510</v>
      </c>
      <c r="AE200" s="303" t="s">
        <v>510</v>
      </c>
      <c r="AF200" s="303" t="s">
        <v>510</v>
      </c>
      <c r="AG200" s="322" t="s">
        <v>510</v>
      </c>
      <c r="AH200" s="314">
        <v>0</v>
      </c>
      <c r="AI200" s="297">
        <f t="shared" si="28"/>
        <v>0</v>
      </c>
      <c r="AJ200" s="303" t="s">
        <v>504</v>
      </c>
      <c r="AK200" s="301"/>
      <c r="AL200" s="303"/>
      <c r="AM200" s="303"/>
      <c r="AN200" s="303"/>
      <c r="AO200" s="303"/>
      <c r="AP200" s="303"/>
      <c r="AQ200" s="289">
        <f t="shared" si="29"/>
        <v>0</v>
      </c>
      <c r="AR200" s="303"/>
      <c r="AS200" s="303"/>
      <c r="AT200" s="303" t="s">
        <v>510</v>
      </c>
      <c r="AU200" s="303" t="s">
        <v>510</v>
      </c>
      <c r="AV200" s="303" t="s">
        <v>510</v>
      </c>
      <c r="AW200" s="303" t="s">
        <v>510</v>
      </c>
      <c r="AX200" s="303">
        <v>40</v>
      </c>
      <c r="AY200" s="139">
        <f t="shared" si="30"/>
        <v>40</v>
      </c>
      <c r="AZ200" s="303" t="s">
        <v>504</v>
      </c>
      <c r="BA200" s="304"/>
      <c r="BB200" s="356" t="s">
        <v>519</v>
      </c>
      <c r="BC200" s="356" t="s">
        <v>519</v>
      </c>
      <c r="BD200" s="356" t="s">
        <v>519</v>
      </c>
      <c r="BE200" s="303" t="s">
        <v>510</v>
      </c>
      <c r="BF200" s="352">
        <v>0</v>
      </c>
      <c r="BG200" s="353">
        <f t="shared" si="31"/>
        <v>0</v>
      </c>
      <c r="BH200" s="303" t="s">
        <v>520</v>
      </c>
      <c r="BI200" s="303" t="s">
        <v>1877</v>
      </c>
      <c r="BJ200" s="354">
        <f t="shared" si="25"/>
        <v>3</v>
      </c>
      <c r="BK200" s="316" t="str">
        <f t="shared" si="24"/>
        <v>Habilitado</v>
      </c>
    </row>
    <row r="201" spans="1:63" ht="111" customHeight="1" x14ac:dyDescent="0.25">
      <c r="A201" s="324">
        <v>199</v>
      </c>
      <c r="B201" s="345" t="s">
        <v>2181</v>
      </c>
      <c r="C201" s="357" t="s">
        <v>2176</v>
      </c>
      <c r="D201" s="360" t="s">
        <v>140</v>
      </c>
      <c r="E201" s="347">
        <v>1</v>
      </c>
      <c r="F201" s="314" t="s">
        <v>510</v>
      </c>
      <c r="G201" s="314" t="s">
        <v>510</v>
      </c>
      <c r="H201" s="314" t="s">
        <v>510</v>
      </c>
      <c r="I201" s="314" t="s">
        <v>510</v>
      </c>
      <c r="J201" s="314">
        <v>40</v>
      </c>
      <c r="K201" s="29">
        <f t="shared" si="26"/>
        <v>40</v>
      </c>
      <c r="L201" s="314" t="s">
        <v>504</v>
      </c>
      <c r="M201" s="314"/>
      <c r="N201" s="314"/>
      <c r="O201" s="314"/>
      <c r="P201" s="314"/>
      <c r="Q201" s="314"/>
      <c r="R201" s="314"/>
      <c r="S201" s="314"/>
      <c r="T201" s="314"/>
      <c r="U201" s="314"/>
      <c r="V201" s="350"/>
      <c r="W201" s="350"/>
      <c r="X201" s="350"/>
      <c r="Y201" s="350"/>
      <c r="Z201" s="307"/>
      <c r="AA201" s="350">
        <f t="shared" si="27"/>
        <v>0</v>
      </c>
      <c r="AB201" s="307"/>
      <c r="AC201" s="307"/>
      <c r="AD201" s="303" t="s">
        <v>510</v>
      </c>
      <c r="AE201" s="303" t="s">
        <v>510</v>
      </c>
      <c r="AF201" s="303" t="s">
        <v>510</v>
      </c>
      <c r="AG201" s="322" t="s">
        <v>510</v>
      </c>
      <c r="AH201" s="314">
        <v>0</v>
      </c>
      <c r="AI201" s="297">
        <f t="shared" si="28"/>
        <v>0</v>
      </c>
      <c r="AJ201" s="303" t="s">
        <v>504</v>
      </c>
      <c r="AK201" s="303"/>
      <c r="AL201" s="303"/>
      <c r="AM201" s="303"/>
      <c r="AN201" s="303"/>
      <c r="AO201" s="303"/>
      <c r="AP201" s="303"/>
      <c r="AQ201" s="289">
        <f t="shared" si="29"/>
        <v>0</v>
      </c>
      <c r="AR201" s="303"/>
      <c r="AS201" s="303"/>
      <c r="AT201" s="303" t="s">
        <v>510</v>
      </c>
      <c r="AU201" s="303" t="s">
        <v>510</v>
      </c>
      <c r="AV201" s="303" t="s">
        <v>510</v>
      </c>
      <c r="AW201" s="303" t="s">
        <v>510</v>
      </c>
      <c r="AX201" s="303">
        <v>40</v>
      </c>
      <c r="AY201" s="139">
        <f t="shared" si="30"/>
        <v>40</v>
      </c>
      <c r="AZ201" s="303" t="s">
        <v>504</v>
      </c>
      <c r="BA201" s="301"/>
      <c r="BB201" s="356" t="s">
        <v>519</v>
      </c>
      <c r="BC201" s="356" t="s">
        <v>519</v>
      </c>
      <c r="BD201" s="356" t="s">
        <v>519</v>
      </c>
      <c r="BE201" s="303" t="s">
        <v>510</v>
      </c>
      <c r="BF201" s="352">
        <v>0</v>
      </c>
      <c r="BG201" s="353">
        <f t="shared" si="31"/>
        <v>0</v>
      </c>
      <c r="BH201" s="303" t="s">
        <v>520</v>
      </c>
      <c r="BI201" s="303" t="s">
        <v>1877</v>
      </c>
      <c r="BJ201" s="354">
        <f t="shared" si="25"/>
        <v>3</v>
      </c>
      <c r="BK201" s="316" t="str">
        <f t="shared" si="24"/>
        <v>Habilitado</v>
      </c>
    </row>
    <row r="202" spans="1:63" ht="23.25" customHeight="1" x14ac:dyDescent="0.25">
      <c r="A202" s="324">
        <v>200</v>
      </c>
      <c r="B202" s="345" t="s">
        <v>2182</v>
      </c>
      <c r="C202" s="335" t="s">
        <v>2183</v>
      </c>
      <c r="D202" s="360" t="s">
        <v>140</v>
      </c>
      <c r="E202" s="347">
        <v>1</v>
      </c>
      <c r="F202" s="314" t="s">
        <v>510</v>
      </c>
      <c r="G202" s="314" t="s">
        <v>510</v>
      </c>
      <c r="H202" s="314" t="s">
        <v>510</v>
      </c>
      <c r="I202" s="314" t="s">
        <v>510</v>
      </c>
      <c r="J202" s="314">
        <v>40</v>
      </c>
      <c r="K202" s="29">
        <f t="shared" si="26"/>
        <v>40</v>
      </c>
      <c r="L202" s="314" t="s">
        <v>504</v>
      </c>
      <c r="M202" s="314"/>
      <c r="N202" s="314"/>
      <c r="O202" s="314"/>
      <c r="P202" s="314"/>
      <c r="Q202" s="314"/>
      <c r="R202" s="314"/>
      <c r="S202" s="314"/>
      <c r="T202" s="314"/>
      <c r="U202" s="314"/>
      <c r="V202" s="350"/>
      <c r="W202" s="350"/>
      <c r="X202" s="350"/>
      <c r="Y202" s="350"/>
      <c r="Z202" s="307"/>
      <c r="AA202" s="350">
        <f t="shared" si="27"/>
        <v>0</v>
      </c>
      <c r="AB202" s="307"/>
      <c r="AC202" s="307"/>
      <c r="AD202" s="303"/>
      <c r="AE202" s="303"/>
      <c r="AF202" s="303"/>
      <c r="AG202" s="303"/>
      <c r="AH202" s="314"/>
      <c r="AI202" s="297">
        <f t="shared" si="28"/>
        <v>0</v>
      </c>
      <c r="AJ202" s="303"/>
      <c r="AK202" s="303"/>
      <c r="AL202" s="303"/>
      <c r="AM202" s="303"/>
      <c r="AN202" s="303"/>
      <c r="AO202" s="303"/>
      <c r="AP202" s="303"/>
      <c r="AQ202" s="289">
        <f t="shared" si="29"/>
        <v>0</v>
      </c>
      <c r="AR202" s="303"/>
      <c r="AS202" s="303"/>
      <c r="AT202" s="303" t="s">
        <v>510</v>
      </c>
      <c r="AU202" s="303" t="s">
        <v>510</v>
      </c>
      <c r="AV202" s="303" t="s">
        <v>510</v>
      </c>
      <c r="AW202" s="303" t="s">
        <v>510</v>
      </c>
      <c r="AX202" s="303">
        <v>40</v>
      </c>
      <c r="AY202" s="139">
        <f t="shared" si="30"/>
        <v>40</v>
      </c>
      <c r="AZ202" s="303" t="s">
        <v>504</v>
      </c>
      <c r="BA202" s="304"/>
      <c r="BB202" s="303"/>
      <c r="BC202" s="303"/>
      <c r="BD202" s="303"/>
      <c r="BE202" s="303"/>
      <c r="BF202" s="352"/>
      <c r="BG202" s="353">
        <f t="shared" si="31"/>
        <v>0</v>
      </c>
      <c r="BH202" s="303"/>
      <c r="BI202" s="303"/>
      <c r="BJ202" s="354">
        <f t="shared" si="25"/>
        <v>2</v>
      </c>
      <c r="BK202" s="316" t="str">
        <f t="shared" si="24"/>
        <v>Habilitado</v>
      </c>
    </row>
    <row r="203" spans="1:63" ht="51" x14ac:dyDescent="0.25">
      <c r="A203" s="324">
        <v>201</v>
      </c>
      <c r="B203" s="345" t="s">
        <v>2184</v>
      </c>
      <c r="C203" s="357" t="s">
        <v>2185</v>
      </c>
      <c r="D203" s="360" t="s">
        <v>140</v>
      </c>
      <c r="E203" s="347">
        <v>1</v>
      </c>
      <c r="F203" s="314" t="s">
        <v>510</v>
      </c>
      <c r="G203" s="314" t="s">
        <v>510</v>
      </c>
      <c r="H203" s="314" t="s">
        <v>511</v>
      </c>
      <c r="I203" s="314" t="s">
        <v>510</v>
      </c>
      <c r="J203" s="314">
        <v>40</v>
      </c>
      <c r="K203" s="29">
        <f t="shared" si="26"/>
        <v>40</v>
      </c>
      <c r="L203" s="314" t="s">
        <v>504</v>
      </c>
      <c r="M203" s="314"/>
      <c r="N203" s="314"/>
      <c r="O203" s="314"/>
      <c r="P203" s="314"/>
      <c r="Q203" s="314"/>
      <c r="R203" s="314"/>
      <c r="S203" s="314"/>
      <c r="T203" s="314"/>
      <c r="U203" s="314"/>
      <c r="V203" s="350"/>
      <c r="W203" s="350"/>
      <c r="X203" s="350"/>
      <c r="Y203" s="350"/>
      <c r="Z203" s="307"/>
      <c r="AA203" s="350">
        <f t="shared" si="27"/>
        <v>0</v>
      </c>
      <c r="AB203" s="307"/>
      <c r="AC203" s="307"/>
      <c r="AD203" s="303" t="s">
        <v>510</v>
      </c>
      <c r="AE203" s="303" t="s">
        <v>510</v>
      </c>
      <c r="AF203" s="303" t="s">
        <v>510</v>
      </c>
      <c r="AG203" s="303" t="s">
        <v>510</v>
      </c>
      <c r="AH203" s="314">
        <v>0</v>
      </c>
      <c r="AI203" s="297">
        <f t="shared" si="28"/>
        <v>0</v>
      </c>
      <c r="AJ203" s="303" t="s">
        <v>504</v>
      </c>
      <c r="AK203" s="303"/>
      <c r="AL203" s="303"/>
      <c r="AM203" s="303"/>
      <c r="AN203" s="303"/>
      <c r="AO203" s="303"/>
      <c r="AP203" s="303"/>
      <c r="AQ203" s="289">
        <f t="shared" si="29"/>
        <v>0</v>
      </c>
      <c r="AR203" s="303"/>
      <c r="AS203" s="301"/>
      <c r="AT203" s="329"/>
      <c r="AU203" s="329"/>
      <c r="AV203" s="329"/>
      <c r="AW203" s="329"/>
      <c r="AX203" s="329"/>
      <c r="AY203" s="139">
        <f t="shared" si="30"/>
        <v>0</v>
      </c>
      <c r="AZ203" s="303"/>
      <c r="BA203" s="303"/>
      <c r="BB203" s="356" t="s">
        <v>519</v>
      </c>
      <c r="BC203" s="356" t="s">
        <v>519</v>
      </c>
      <c r="BD203" s="356" t="s">
        <v>511</v>
      </c>
      <c r="BE203" s="303" t="s">
        <v>510</v>
      </c>
      <c r="BF203" s="352">
        <v>0</v>
      </c>
      <c r="BG203" s="353">
        <f t="shared" si="31"/>
        <v>0</v>
      </c>
      <c r="BH203" s="303" t="s">
        <v>520</v>
      </c>
      <c r="BI203" s="303" t="s">
        <v>1877</v>
      </c>
      <c r="BJ203" s="354">
        <f t="shared" si="25"/>
        <v>2</v>
      </c>
      <c r="BK203" s="316" t="str">
        <f t="shared" si="24"/>
        <v>Habilitado</v>
      </c>
    </row>
    <row r="204" spans="1:63" ht="63.75" x14ac:dyDescent="0.25">
      <c r="A204" s="324">
        <v>202</v>
      </c>
      <c r="B204" s="345" t="s">
        <v>2186</v>
      </c>
      <c r="C204" s="357" t="s">
        <v>518</v>
      </c>
      <c r="D204" s="360" t="s">
        <v>140</v>
      </c>
      <c r="E204" s="347">
        <v>1</v>
      </c>
      <c r="F204" s="314" t="s">
        <v>510</v>
      </c>
      <c r="G204" s="314" t="s">
        <v>519</v>
      </c>
      <c r="H204" s="314" t="s">
        <v>510</v>
      </c>
      <c r="I204" s="314" t="s">
        <v>510</v>
      </c>
      <c r="J204" s="406">
        <v>0</v>
      </c>
      <c r="K204" s="29">
        <f t="shared" si="26"/>
        <v>0</v>
      </c>
      <c r="L204" s="314" t="s">
        <v>520</v>
      </c>
      <c r="M204" s="407" t="s">
        <v>2187</v>
      </c>
      <c r="N204" s="407"/>
      <c r="O204" s="407"/>
      <c r="P204" s="407"/>
      <c r="Q204" s="407"/>
      <c r="R204" s="407"/>
      <c r="S204" s="407"/>
      <c r="T204" s="407"/>
      <c r="U204" s="407"/>
      <c r="V204" s="350"/>
      <c r="W204" s="350"/>
      <c r="X204" s="350"/>
      <c r="Y204" s="350"/>
      <c r="Z204" s="307"/>
      <c r="AA204" s="350">
        <f t="shared" si="27"/>
        <v>0</v>
      </c>
      <c r="AB204" s="307"/>
      <c r="AC204" s="307"/>
      <c r="AD204" s="303" t="s">
        <v>510</v>
      </c>
      <c r="AE204" s="303" t="s">
        <v>510</v>
      </c>
      <c r="AF204" s="303" t="s">
        <v>510</v>
      </c>
      <c r="AG204" s="303" t="s">
        <v>510</v>
      </c>
      <c r="AH204" s="314">
        <v>0</v>
      </c>
      <c r="AI204" s="297">
        <f t="shared" si="28"/>
        <v>0</v>
      </c>
      <c r="AJ204" s="303" t="s">
        <v>504</v>
      </c>
      <c r="AK204" s="303"/>
      <c r="AL204" s="303"/>
      <c r="AM204" s="303"/>
      <c r="AN204" s="303"/>
      <c r="AO204" s="303"/>
      <c r="AP204" s="303"/>
      <c r="AQ204" s="289">
        <f t="shared" si="29"/>
        <v>0</v>
      </c>
      <c r="AR204" s="303"/>
      <c r="AS204" s="301"/>
      <c r="AT204" s="329"/>
      <c r="AU204" s="329"/>
      <c r="AV204" s="329"/>
      <c r="AW204" s="329"/>
      <c r="AX204" s="329"/>
      <c r="AY204" s="139">
        <f t="shared" si="30"/>
        <v>0</v>
      </c>
      <c r="AZ204" s="303"/>
      <c r="BA204" s="303"/>
      <c r="BB204" s="356" t="s">
        <v>519</v>
      </c>
      <c r="BC204" s="356" t="s">
        <v>519</v>
      </c>
      <c r="BD204" s="356" t="s">
        <v>519</v>
      </c>
      <c r="BE204" s="303" t="s">
        <v>510</v>
      </c>
      <c r="BF204" s="352">
        <v>0</v>
      </c>
      <c r="BG204" s="353">
        <f t="shared" si="31"/>
        <v>0</v>
      </c>
      <c r="BH204" s="303" t="s">
        <v>520</v>
      </c>
      <c r="BI204" s="303" t="s">
        <v>1877</v>
      </c>
      <c r="BJ204" s="354">
        <f t="shared" si="25"/>
        <v>1</v>
      </c>
      <c r="BK204" s="316" t="str">
        <f t="shared" si="24"/>
        <v>Habilitado</v>
      </c>
    </row>
    <row r="205" spans="1:63" ht="38.25" x14ac:dyDescent="0.25">
      <c r="A205" s="324">
        <v>203</v>
      </c>
      <c r="B205" s="345" t="s">
        <v>2188</v>
      </c>
      <c r="C205" s="335" t="s">
        <v>2189</v>
      </c>
      <c r="D205" s="360" t="s">
        <v>2190</v>
      </c>
      <c r="E205" s="347">
        <v>1</v>
      </c>
      <c r="F205" s="314" t="s">
        <v>510</v>
      </c>
      <c r="G205" s="314" t="s">
        <v>510</v>
      </c>
      <c r="H205" s="314" t="s">
        <v>510</v>
      </c>
      <c r="I205" s="314" t="s">
        <v>510</v>
      </c>
      <c r="J205" s="314">
        <v>40</v>
      </c>
      <c r="K205" s="29">
        <f t="shared" si="26"/>
        <v>40</v>
      </c>
      <c r="L205" s="314" t="s">
        <v>504</v>
      </c>
      <c r="M205" s="314"/>
      <c r="N205" s="314"/>
      <c r="O205" s="314"/>
      <c r="P205" s="314"/>
      <c r="Q205" s="314"/>
      <c r="R205" s="314"/>
      <c r="S205" s="314"/>
      <c r="T205" s="314"/>
      <c r="U205" s="314"/>
      <c r="V205" s="350"/>
      <c r="W205" s="350"/>
      <c r="X205" s="350"/>
      <c r="Y205" s="350"/>
      <c r="Z205" s="307"/>
      <c r="AA205" s="350">
        <f t="shared" si="27"/>
        <v>0</v>
      </c>
      <c r="AB205" s="307"/>
      <c r="AC205" s="307"/>
      <c r="AD205" s="303" t="s">
        <v>510</v>
      </c>
      <c r="AE205" s="303" t="s">
        <v>510</v>
      </c>
      <c r="AF205" s="303" t="s">
        <v>510</v>
      </c>
      <c r="AG205" s="303" t="s">
        <v>510</v>
      </c>
      <c r="AH205" s="314">
        <v>0</v>
      </c>
      <c r="AI205" s="297">
        <f t="shared" si="28"/>
        <v>0</v>
      </c>
      <c r="AJ205" s="303" t="s">
        <v>504</v>
      </c>
      <c r="AK205" s="303"/>
      <c r="AL205" s="303"/>
      <c r="AM205" s="303"/>
      <c r="AN205" s="303"/>
      <c r="AO205" s="303"/>
      <c r="AP205" s="303"/>
      <c r="AQ205" s="289">
        <f t="shared" si="29"/>
        <v>0</v>
      </c>
      <c r="AR205" s="303"/>
      <c r="AS205" s="303"/>
      <c r="AT205" s="329"/>
      <c r="AU205" s="329"/>
      <c r="AV205" s="329"/>
      <c r="AW205" s="329"/>
      <c r="AX205" s="329"/>
      <c r="AY205" s="139">
        <f t="shared" si="30"/>
        <v>0</v>
      </c>
      <c r="AZ205" s="303"/>
      <c r="BA205" s="303"/>
      <c r="BB205" s="356" t="s">
        <v>519</v>
      </c>
      <c r="BC205" s="356" t="s">
        <v>519</v>
      </c>
      <c r="BD205" s="356" t="s">
        <v>519</v>
      </c>
      <c r="BE205" s="303" t="s">
        <v>510</v>
      </c>
      <c r="BF205" s="352">
        <v>0</v>
      </c>
      <c r="BG205" s="353">
        <f t="shared" si="31"/>
        <v>0</v>
      </c>
      <c r="BH205" s="303" t="s">
        <v>520</v>
      </c>
      <c r="BI205" s="303" t="s">
        <v>1877</v>
      </c>
      <c r="BJ205" s="354">
        <f t="shared" si="25"/>
        <v>2</v>
      </c>
      <c r="BK205" s="316" t="str">
        <f t="shared" si="24"/>
        <v>Habilitado</v>
      </c>
    </row>
    <row r="206" spans="1:63" ht="25.5" x14ac:dyDescent="0.25">
      <c r="A206" s="324">
        <v>204</v>
      </c>
      <c r="B206" s="345" t="s">
        <v>2191</v>
      </c>
      <c r="C206" s="357" t="s">
        <v>1883</v>
      </c>
      <c r="D206" s="357" t="s">
        <v>140</v>
      </c>
      <c r="E206" s="347">
        <v>1</v>
      </c>
      <c r="F206" s="314" t="s">
        <v>510</v>
      </c>
      <c r="G206" s="314" t="s">
        <v>510</v>
      </c>
      <c r="H206" s="314" t="s">
        <v>510</v>
      </c>
      <c r="I206" s="314" t="s">
        <v>510</v>
      </c>
      <c r="J206" s="314">
        <v>40</v>
      </c>
      <c r="K206" s="29">
        <f t="shared" si="26"/>
        <v>40</v>
      </c>
      <c r="L206" s="314" t="s">
        <v>504</v>
      </c>
      <c r="M206" s="314"/>
      <c r="N206" s="314"/>
      <c r="O206" s="314"/>
      <c r="P206" s="314"/>
      <c r="Q206" s="314"/>
      <c r="R206" s="314"/>
      <c r="S206" s="314"/>
      <c r="T206" s="314"/>
      <c r="U206" s="314"/>
      <c r="V206" s="350"/>
      <c r="W206" s="350"/>
      <c r="X206" s="350"/>
      <c r="Y206" s="350"/>
      <c r="Z206" s="307"/>
      <c r="AA206" s="350">
        <f t="shared" si="27"/>
        <v>0</v>
      </c>
      <c r="AB206" s="307"/>
      <c r="AC206" s="307"/>
      <c r="AD206" s="303" t="s">
        <v>510</v>
      </c>
      <c r="AE206" s="303" t="s">
        <v>510</v>
      </c>
      <c r="AF206" s="303" t="s">
        <v>519</v>
      </c>
      <c r="AG206" s="303" t="s">
        <v>510</v>
      </c>
      <c r="AH206" s="314">
        <v>0</v>
      </c>
      <c r="AI206" s="297">
        <f t="shared" si="28"/>
        <v>0</v>
      </c>
      <c r="AJ206" s="303" t="s">
        <v>520</v>
      </c>
      <c r="AK206" s="301" t="s">
        <v>2192</v>
      </c>
      <c r="AL206" s="303"/>
      <c r="AM206" s="303"/>
      <c r="AN206" s="303"/>
      <c r="AO206" s="303"/>
      <c r="AP206" s="303"/>
      <c r="AQ206" s="289">
        <f t="shared" si="29"/>
        <v>0</v>
      </c>
      <c r="AR206" s="303"/>
      <c r="AS206" s="303"/>
      <c r="AT206" s="329"/>
      <c r="AU206" s="329"/>
      <c r="AV206" s="329"/>
      <c r="AW206" s="329"/>
      <c r="AX206" s="329"/>
      <c r="AY206" s="139">
        <f t="shared" si="30"/>
        <v>0</v>
      </c>
      <c r="AZ206" s="303"/>
      <c r="BA206" s="303"/>
      <c r="BB206" s="356" t="s">
        <v>519</v>
      </c>
      <c r="BC206" s="356" t="s">
        <v>519</v>
      </c>
      <c r="BD206" s="356" t="s">
        <v>519</v>
      </c>
      <c r="BE206" s="303" t="s">
        <v>510</v>
      </c>
      <c r="BF206" s="352">
        <v>0</v>
      </c>
      <c r="BG206" s="353">
        <f t="shared" si="31"/>
        <v>0</v>
      </c>
      <c r="BH206" s="303" t="s">
        <v>520</v>
      </c>
      <c r="BI206" s="303" t="s">
        <v>1877</v>
      </c>
      <c r="BJ206" s="354">
        <f t="shared" si="25"/>
        <v>1</v>
      </c>
      <c r="BK206" s="316" t="str">
        <f t="shared" si="24"/>
        <v>Habilitado</v>
      </c>
    </row>
    <row r="207" spans="1:63" ht="25.5" x14ac:dyDescent="0.25">
      <c r="A207" s="324">
        <v>205</v>
      </c>
      <c r="B207" s="345" t="s">
        <v>2193</v>
      </c>
      <c r="C207" s="335" t="s">
        <v>518</v>
      </c>
      <c r="D207" s="360" t="s">
        <v>140</v>
      </c>
      <c r="E207" s="347">
        <v>1</v>
      </c>
      <c r="F207" s="314" t="s">
        <v>510</v>
      </c>
      <c r="G207" s="314" t="s">
        <v>510</v>
      </c>
      <c r="H207" s="314" t="s">
        <v>511</v>
      </c>
      <c r="I207" s="314" t="s">
        <v>510</v>
      </c>
      <c r="J207" s="314">
        <v>40</v>
      </c>
      <c r="K207" s="29">
        <f t="shared" si="26"/>
        <v>40</v>
      </c>
      <c r="L207" s="314" t="s">
        <v>504</v>
      </c>
      <c r="M207" s="314"/>
      <c r="N207" s="314"/>
      <c r="O207" s="314"/>
      <c r="P207" s="314"/>
      <c r="Q207" s="314"/>
      <c r="R207" s="314"/>
      <c r="S207" s="314"/>
      <c r="T207" s="314"/>
      <c r="U207" s="314"/>
      <c r="V207" s="350" t="s">
        <v>510</v>
      </c>
      <c r="W207" s="350" t="s">
        <v>510</v>
      </c>
      <c r="X207" s="350" t="s">
        <v>511</v>
      </c>
      <c r="Y207" s="350" t="s">
        <v>510</v>
      </c>
      <c r="Z207" s="304">
        <v>20</v>
      </c>
      <c r="AA207" s="350">
        <f t="shared" si="27"/>
        <v>20</v>
      </c>
      <c r="AB207" s="307" t="s">
        <v>504</v>
      </c>
      <c r="AC207" s="306"/>
      <c r="AD207" s="303" t="s">
        <v>510</v>
      </c>
      <c r="AE207" s="303" t="s">
        <v>510</v>
      </c>
      <c r="AF207" s="303" t="s">
        <v>511</v>
      </c>
      <c r="AG207" s="303" t="s">
        <v>510</v>
      </c>
      <c r="AH207" s="314">
        <v>0</v>
      </c>
      <c r="AI207" s="297">
        <f t="shared" si="28"/>
        <v>0</v>
      </c>
      <c r="AJ207" s="303" t="s">
        <v>504</v>
      </c>
      <c r="AK207" s="303"/>
      <c r="AL207" s="303"/>
      <c r="AM207" s="303"/>
      <c r="AN207" s="303"/>
      <c r="AO207" s="303"/>
      <c r="AP207" s="303"/>
      <c r="AQ207" s="289">
        <f t="shared" si="29"/>
        <v>0</v>
      </c>
      <c r="AR207" s="303"/>
      <c r="AS207" s="301"/>
      <c r="AT207" s="329"/>
      <c r="AU207" s="329"/>
      <c r="AV207" s="329"/>
      <c r="AW207" s="329"/>
      <c r="AX207" s="329"/>
      <c r="AY207" s="139">
        <f t="shared" si="30"/>
        <v>0</v>
      </c>
      <c r="AZ207" s="303"/>
      <c r="BA207" s="303"/>
      <c r="BB207" s="356" t="s">
        <v>519</v>
      </c>
      <c r="BC207" s="356" t="s">
        <v>519</v>
      </c>
      <c r="BD207" s="356" t="s">
        <v>511</v>
      </c>
      <c r="BE207" s="303" t="s">
        <v>510</v>
      </c>
      <c r="BF207" s="352">
        <v>0</v>
      </c>
      <c r="BG207" s="353">
        <f t="shared" si="31"/>
        <v>0</v>
      </c>
      <c r="BH207" s="303" t="s">
        <v>520</v>
      </c>
      <c r="BI207" s="303" t="s">
        <v>1877</v>
      </c>
      <c r="BJ207" s="354">
        <f t="shared" si="25"/>
        <v>3</v>
      </c>
      <c r="BK207" s="316" t="str">
        <f t="shared" si="24"/>
        <v>Habilitado</v>
      </c>
    </row>
    <row r="208" spans="1:63" ht="25.5" x14ac:dyDescent="0.25">
      <c r="A208" s="324">
        <v>206</v>
      </c>
      <c r="B208" s="345" t="s">
        <v>2194</v>
      </c>
      <c r="C208" s="335" t="s">
        <v>518</v>
      </c>
      <c r="D208" s="360" t="s">
        <v>140</v>
      </c>
      <c r="E208" s="347">
        <v>1</v>
      </c>
      <c r="F208" s="314" t="s">
        <v>510</v>
      </c>
      <c r="G208" s="314" t="s">
        <v>510</v>
      </c>
      <c r="H208" s="314" t="s">
        <v>511</v>
      </c>
      <c r="I208" s="314" t="s">
        <v>510</v>
      </c>
      <c r="J208" s="314">
        <v>40</v>
      </c>
      <c r="K208" s="29">
        <f t="shared" si="26"/>
        <v>40</v>
      </c>
      <c r="L208" s="314" t="s">
        <v>504</v>
      </c>
      <c r="M208" s="314"/>
      <c r="N208" s="314"/>
      <c r="O208" s="314"/>
      <c r="P208" s="314"/>
      <c r="Q208" s="314"/>
      <c r="R208" s="314"/>
      <c r="S208" s="314"/>
      <c r="T208" s="314"/>
      <c r="U208" s="314"/>
      <c r="V208" s="350"/>
      <c r="W208" s="350"/>
      <c r="X208" s="350"/>
      <c r="Y208" s="350"/>
      <c r="Z208" s="307"/>
      <c r="AA208" s="350">
        <f t="shared" si="27"/>
        <v>0</v>
      </c>
      <c r="AB208" s="307"/>
      <c r="AC208" s="307"/>
      <c r="AD208" s="303" t="s">
        <v>510</v>
      </c>
      <c r="AE208" s="303" t="s">
        <v>510</v>
      </c>
      <c r="AF208" s="303" t="s">
        <v>511</v>
      </c>
      <c r="AG208" s="303" t="s">
        <v>510</v>
      </c>
      <c r="AH208" s="314">
        <v>0</v>
      </c>
      <c r="AI208" s="297">
        <f t="shared" si="28"/>
        <v>0</v>
      </c>
      <c r="AJ208" s="303" t="s">
        <v>504</v>
      </c>
      <c r="AK208" s="303"/>
      <c r="AL208" s="303"/>
      <c r="AM208" s="303"/>
      <c r="AN208" s="303"/>
      <c r="AO208" s="303"/>
      <c r="AP208" s="303"/>
      <c r="AQ208" s="289">
        <f t="shared" si="29"/>
        <v>0</v>
      </c>
      <c r="AR208" s="303"/>
      <c r="AS208" s="303"/>
      <c r="AT208" s="329"/>
      <c r="AU208" s="329"/>
      <c r="AV208" s="329"/>
      <c r="AW208" s="329"/>
      <c r="AX208" s="329"/>
      <c r="AY208" s="139">
        <f t="shared" si="30"/>
        <v>0</v>
      </c>
      <c r="AZ208" s="303"/>
      <c r="BA208" s="303"/>
      <c r="BB208" s="356" t="s">
        <v>519</v>
      </c>
      <c r="BC208" s="356" t="s">
        <v>519</v>
      </c>
      <c r="BD208" s="356" t="s">
        <v>511</v>
      </c>
      <c r="BE208" s="303" t="s">
        <v>510</v>
      </c>
      <c r="BF208" s="352">
        <v>0</v>
      </c>
      <c r="BG208" s="353">
        <f t="shared" si="31"/>
        <v>0</v>
      </c>
      <c r="BH208" s="303" t="s">
        <v>520</v>
      </c>
      <c r="BI208" s="303" t="s">
        <v>1877</v>
      </c>
      <c r="BJ208" s="354">
        <f t="shared" si="25"/>
        <v>2</v>
      </c>
      <c r="BK208" s="316" t="str">
        <f t="shared" si="24"/>
        <v>Habilitado</v>
      </c>
    </row>
    <row r="209" spans="1:63" ht="51" x14ac:dyDescent="0.25">
      <c r="A209" s="324">
        <v>207</v>
      </c>
      <c r="B209" s="345" t="s">
        <v>2195</v>
      </c>
      <c r="C209" s="357" t="s">
        <v>518</v>
      </c>
      <c r="D209" s="360" t="s">
        <v>140</v>
      </c>
      <c r="E209" s="347">
        <v>1</v>
      </c>
      <c r="F209" s="314"/>
      <c r="G209" s="314"/>
      <c r="H209" s="314"/>
      <c r="I209" s="314"/>
      <c r="J209" s="314"/>
      <c r="K209" s="29">
        <f t="shared" si="26"/>
        <v>0</v>
      </c>
      <c r="L209" s="314"/>
      <c r="M209" s="314"/>
      <c r="N209" s="314"/>
      <c r="O209" s="314"/>
      <c r="P209" s="314"/>
      <c r="Q209" s="314"/>
      <c r="R209" s="314"/>
      <c r="S209" s="314"/>
      <c r="T209" s="314"/>
      <c r="U209" s="314"/>
      <c r="V209" s="350"/>
      <c r="W209" s="350"/>
      <c r="X209" s="350"/>
      <c r="Y209" s="350"/>
      <c r="Z209" s="307"/>
      <c r="AA209" s="350">
        <f t="shared" si="27"/>
        <v>0</v>
      </c>
      <c r="AB209" s="307"/>
      <c r="AC209" s="307"/>
      <c r="AD209" s="303" t="s">
        <v>510</v>
      </c>
      <c r="AE209" s="303" t="s">
        <v>510</v>
      </c>
      <c r="AF209" s="303" t="s">
        <v>519</v>
      </c>
      <c r="AG209" s="303" t="s">
        <v>510</v>
      </c>
      <c r="AH209" s="314">
        <v>0</v>
      </c>
      <c r="AI209" s="297">
        <f t="shared" si="28"/>
        <v>0</v>
      </c>
      <c r="AJ209" s="303" t="s">
        <v>520</v>
      </c>
      <c r="AK209" s="301" t="s">
        <v>2196</v>
      </c>
      <c r="AL209" s="303"/>
      <c r="AM209" s="303"/>
      <c r="AN209" s="303"/>
      <c r="AO209" s="303"/>
      <c r="AP209" s="303"/>
      <c r="AQ209" s="289">
        <f t="shared" si="29"/>
        <v>0</v>
      </c>
      <c r="AR209" s="303"/>
      <c r="AS209" s="303"/>
      <c r="AT209" s="329"/>
      <c r="AU209" s="329"/>
      <c r="AV209" s="329"/>
      <c r="AW209" s="329"/>
      <c r="AX209" s="329"/>
      <c r="AY209" s="139">
        <f t="shared" si="30"/>
        <v>0</v>
      </c>
      <c r="AZ209" s="303"/>
      <c r="BA209" s="303"/>
      <c r="BB209" s="356" t="s">
        <v>519</v>
      </c>
      <c r="BC209" s="356" t="s">
        <v>519</v>
      </c>
      <c r="BD209" s="356" t="s">
        <v>519</v>
      </c>
      <c r="BE209" s="303" t="s">
        <v>510</v>
      </c>
      <c r="BF209" s="352">
        <v>0</v>
      </c>
      <c r="BG209" s="353">
        <f t="shared" si="31"/>
        <v>0</v>
      </c>
      <c r="BH209" s="303" t="s">
        <v>520</v>
      </c>
      <c r="BI209" s="303" t="s">
        <v>1877</v>
      </c>
      <c r="BJ209" s="354">
        <f t="shared" si="25"/>
        <v>0</v>
      </c>
      <c r="BK209" s="316" t="str">
        <f t="shared" si="24"/>
        <v>Desierto</v>
      </c>
    </row>
    <row r="210" spans="1:63" ht="38.25" x14ac:dyDescent="0.25">
      <c r="A210" s="324">
        <v>208</v>
      </c>
      <c r="B210" s="345" t="s">
        <v>2197</v>
      </c>
      <c r="C210" s="357" t="s">
        <v>2198</v>
      </c>
      <c r="D210" s="357" t="s">
        <v>1061</v>
      </c>
      <c r="E210" s="347">
        <v>1</v>
      </c>
      <c r="F210" s="314"/>
      <c r="G210" s="314"/>
      <c r="H210" s="314"/>
      <c r="I210" s="314"/>
      <c r="J210" s="314"/>
      <c r="K210" s="29">
        <f t="shared" si="26"/>
        <v>0</v>
      </c>
      <c r="L210" s="314"/>
      <c r="M210" s="314"/>
      <c r="N210" s="314"/>
      <c r="O210" s="314"/>
      <c r="P210" s="314"/>
      <c r="Q210" s="314"/>
      <c r="R210" s="314"/>
      <c r="S210" s="314"/>
      <c r="T210" s="314"/>
      <c r="U210" s="314"/>
      <c r="V210" s="350"/>
      <c r="W210" s="350"/>
      <c r="X210" s="350"/>
      <c r="Y210" s="350"/>
      <c r="Z210" s="307"/>
      <c r="AA210" s="350">
        <f t="shared" si="27"/>
        <v>0</v>
      </c>
      <c r="AB210" s="307"/>
      <c r="AC210" s="307"/>
      <c r="AD210" s="303" t="s">
        <v>510</v>
      </c>
      <c r="AE210" s="303" t="s">
        <v>510</v>
      </c>
      <c r="AF210" s="303" t="s">
        <v>510</v>
      </c>
      <c r="AG210" s="303" t="s">
        <v>510</v>
      </c>
      <c r="AH210" s="314">
        <v>0</v>
      </c>
      <c r="AI210" s="297">
        <f t="shared" si="28"/>
        <v>0</v>
      </c>
      <c r="AJ210" s="303" t="s">
        <v>504</v>
      </c>
      <c r="AK210" s="303"/>
      <c r="AL210" s="303"/>
      <c r="AM210" s="303"/>
      <c r="AN210" s="303"/>
      <c r="AO210" s="303"/>
      <c r="AP210" s="303"/>
      <c r="AQ210" s="289">
        <f t="shared" si="29"/>
        <v>0</v>
      </c>
      <c r="AR210" s="303"/>
      <c r="AS210" s="303"/>
      <c r="AT210" s="329"/>
      <c r="AU210" s="329"/>
      <c r="AV210" s="329"/>
      <c r="AW210" s="329"/>
      <c r="AX210" s="329"/>
      <c r="AY210" s="139">
        <f t="shared" si="30"/>
        <v>0</v>
      </c>
      <c r="AZ210" s="303"/>
      <c r="BA210" s="303"/>
      <c r="BB210" s="356" t="s">
        <v>519</v>
      </c>
      <c r="BC210" s="356" t="s">
        <v>519</v>
      </c>
      <c r="BD210" s="356" t="s">
        <v>519</v>
      </c>
      <c r="BE210" s="303" t="s">
        <v>510</v>
      </c>
      <c r="BF210" s="352">
        <v>0</v>
      </c>
      <c r="BG210" s="353">
        <f t="shared" si="31"/>
        <v>0</v>
      </c>
      <c r="BH210" s="303" t="s">
        <v>520</v>
      </c>
      <c r="BI210" s="303" t="s">
        <v>1877</v>
      </c>
      <c r="BJ210" s="354">
        <f t="shared" si="25"/>
        <v>1</v>
      </c>
      <c r="BK210" s="316" t="str">
        <f t="shared" si="24"/>
        <v>Habilitado</v>
      </c>
    </row>
    <row r="211" spans="1:63" x14ac:dyDescent="0.25">
      <c r="A211" s="324">
        <v>209</v>
      </c>
      <c r="B211" s="345" t="s">
        <v>2199</v>
      </c>
      <c r="C211" s="335" t="s">
        <v>518</v>
      </c>
      <c r="D211" s="360" t="s">
        <v>2200</v>
      </c>
      <c r="E211" s="347">
        <v>1</v>
      </c>
      <c r="F211" s="314"/>
      <c r="G211" s="314"/>
      <c r="H211" s="314"/>
      <c r="I211" s="314"/>
      <c r="J211" s="314"/>
      <c r="K211" s="29">
        <f t="shared" si="26"/>
        <v>0</v>
      </c>
      <c r="L211" s="314"/>
      <c r="M211" s="314"/>
      <c r="N211" s="314"/>
      <c r="O211" s="314"/>
      <c r="P211" s="314"/>
      <c r="Q211" s="314"/>
      <c r="R211" s="314"/>
      <c r="S211" s="314"/>
      <c r="T211" s="314"/>
      <c r="U211" s="314"/>
      <c r="V211" s="350"/>
      <c r="W211" s="350"/>
      <c r="X211" s="350"/>
      <c r="Y211" s="350"/>
      <c r="Z211" s="307"/>
      <c r="AA211" s="350">
        <f t="shared" si="27"/>
        <v>0</v>
      </c>
      <c r="AB211" s="307"/>
      <c r="AC211" s="307"/>
      <c r="AD211" s="303"/>
      <c r="AE211" s="303"/>
      <c r="AF211" s="303"/>
      <c r="AG211" s="303"/>
      <c r="AH211" s="314"/>
      <c r="AI211" s="297">
        <f t="shared" si="28"/>
        <v>0</v>
      </c>
      <c r="AJ211" s="303"/>
      <c r="AK211" s="303"/>
      <c r="AL211" s="303"/>
      <c r="AM211" s="303"/>
      <c r="AN211" s="303"/>
      <c r="AO211" s="303"/>
      <c r="AP211" s="303"/>
      <c r="AQ211" s="289">
        <f t="shared" si="29"/>
        <v>0</v>
      </c>
      <c r="AR211" s="303"/>
      <c r="AS211" s="303"/>
      <c r="AT211" s="329"/>
      <c r="AU211" s="329"/>
      <c r="AV211" s="329"/>
      <c r="AW211" s="329"/>
      <c r="AX211" s="329"/>
      <c r="AY211" s="139">
        <f t="shared" si="30"/>
        <v>0</v>
      </c>
      <c r="AZ211" s="303"/>
      <c r="BA211" s="303"/>
      <c r="BB211" s="303"/>
      <c r="BC211" s="303"/>
      <c r="BD211" s="303"/>
      <c r="BE211" s="303"/>
      <c r="BF211" s="303"/>
      <c r="BG211" s="353">
        <f t="shared" si="31"/>
        <v>0</v>
      </c>
      <c r="BH211" s="303"/>
      <c r="BI211" s="303"/>
      <c r="BJ211" s="354">
        <f t="shared" si="25"/>
        <v>0</v>
      </c>
      <c r="BK211" s="316" t="str">
        <f t="shared" si="24"/>
        <v>Desierto</v>
      </c>
    </row>
    <row r="212" spans="1:63" x14ac:dyDescent="0.25">
      <c r="A212" s="324">
        <v>210</v>
      </c>
      <c r="B212" s="345" t="s">
        <v>2201</v>
      </c>
      <c r="C212" s="387" t="s">
        <v>2202</v>
      </c>
      <c r="D212" s="387" t="s">
        <v>2203</v>
      </c>
      <c r="E212" s="347">
        <v>1</v>
      </c>
      <c r="F212" s="314"/>
      <c r="G212" s="314"/>
      <c r="H212" s="314"/>
      <c r="I212" s="314"/>
      <c r="J212" s="314"/>
      <c r="K212" s="29">
        <f t="shared" si="26"/>
        <v>0</v>
      </c>
      <c r="L212" s="314"/>
      <c r="M212" s="314"/>
      <c r="N212" s="314"/>
      <c r="O212" s="314"/>
      <c r="P212" s="314"/>
      <c r="Q212" s="314"/>
      <c r="R212" s="314"/>
      <c r="S212" s="314"/>
      <c r="T212" s="314"/>
      <c r="U212" s="314"/>
      <c r="V212" s="350"/>
      <c r="W212" s="350"/>
      <c r="X212" s="350"/>
      <c r="Y212" s="350"/>
      <c r="Z212" s="307"/>
      <c r="AA212" s="350">
        <f t="shared" si="27"/>
        <v>0</v>
      </c>
      <c r="AB212" s="307"/>
      <c r="AC212" s="307"/>
      <c r="AD212" s="303"/>
      <c r="AE212" s="303"/>
      <c r="AF212" s="303"/>
      <c r="AG212" s="303"/>
      <c r="AH212" s="314"/>
      <c r="AI212" s="297">
        <f t="shared" si="28"/>
        <v>0</v>
      </c>
      <c r="AJ212" s="303"/>
      <c r="AK212" s="303"/>
      <c r="AL212" s="303"/>
      <c r="AM212" s="303"/>
      <c r="AN212" s="303"/>
      <c r="AO212" s="303"/>
      <c r="AP212" s="303"/>
      <c r="AQ212" s="289">
        <f t="shared" si="29"/>
        <v>0</v>
      </c>
      <c r="AR212" s="303"/>
      <c r="AS212" s="303"/>
      <c r="AT212" s="329"/>
      <c r="AU212" s="329"/>
      <c r="AV212" s="329"/>
      <c r="AW212" s="329"/>
      <c r="AX212" s="329"/>
      <c r="AY212" s="139">
        <f t="shared" si="30"/>
        <v>0</v>
      </c>
      <c r="AZ212" s="303"/>
      <c r="BA212" s="303"/>
      <c r="BB212" s="303"/>
      <c r="BC212" s="303"/>
      <c r="BD212" s="303"/>
      <c r="BE212" s="303"/>
      <c r="BF212" s="303"/>
      <c r="BG212" s="353">
        <f t="shared" si="31"/>
        <v>0</v>
      </c>
      <c r="BH212" s="303"/>
      <c r="BI212" s="303"/>
      <c r="BJ212" s="354">
        <f t="shared" si="25"/>
        <v>0</v>
      </c>
      <c r="BK212" s="316" t="str">
        <f t="shared" si="24"/>
        <v>Desierto</v>
      </c>
    </row>
    <row r="213" spans="1:63" ht="25.5" x14ac:dyDescent="0.25">
      <c r="A213" s="324">
        <v>211</v>
      </c>
      <c r="B213" s="345" t="s">
        <v>2204</v>
      </c>
      <c r="C213" s="335" t="s">
        <v>2205</v>
      </c>
      <c r="D213" s="360" t="s">
        <v>2206</v>
      </c>
      <c r="E213" s="347">
        <v>1</v>
      </c>
      <c r="F213" s="314" t="s">
        <v>510</v>
      </c>
      <c r="G213" s="314" t="s">
        <v>510</v>
      </c>
      <c r="H213" s="314" t="s">
        <v>510</v>
      </c>
      <c r="I213" s="314" t="s">
        <v>510</v>
      </c>
      <c r="J213" s="314">
        <v>40</v>
      </c>
      <c r="K213" s="29">
        <f t="shared" si="26"/>
        <v>40</v>
      </c>
      <c r="L213" s="314" t="s">
        <v>504</v>
      </c>
      <c r="M213" s="314"/>
      <c r="N213" s="314"/>
      <c r="O213" s="314"/>
      <c r="P213" s="314"/>
      <c r="Q213" s="314"/>
      <c r="R213" s="314"/>
      <c r="S213" s="314"/>
      <c r="T213" s="314"/>
      <c r="U213" s="314"/>
      <c r="V213" s="350"/>
      <c r="W213" s="350"/>
      <c r="X213" s="350"/>
      <c r="Y213" s="350"/>
      <c r="Z213" s="307"/>
      <c r="AA213" s="350">
        <f t="shared" si="27"/>
        <v>0</v>
      </c>
      <c r="AB213" s="307"/>
      <c r="AC213" s="307"/>
      <c r="AD213" s="303"/>
      <c r="AE213" s="303"/>
      <c r="AF213" s="303"/>
      <c r="AG213" s="303"/>
      <c r="AH213" s="314"/>
      <c r="AI213" s="297">
        <f t="shared" si="28"/>
        <v>0</v>
      </c>
      <c r="AJ213" s="303"/>
      <c r="AK213" s="303"/>
      <c r="AL213" s="303"/>
      <c r="AM213" s="303"/>
      <c r="AN213" s="303"/>
      <c r="AO213" s="303"/>
      <c r="AP213" s="303"/>
      <c r="AQ213" s="289">
        <f t="shared" si="29"/>
        <v>0</v>
      </c>
      <c r="AR213" s="303"/>
      <c r="AS213" s="303"/>
      <c r="AT213" s="329"/>
      <c r="AU213" s="329"/>
      <c r="AV213" s="329"/>
      <c r="AW213" s="329"/>
      <c r="AX213" s="329"/>
      <c r="AY213" s="139">
        <f t="shared" si="30"/>
        <v>0</v>
      </c>
      <c r="AZ213" s="303"/>
      <c r="BA213" s="303"/>
      <c r="BB213" s="304"/>
      <c r="BC213" s="304"/>
      <c r="BD213" s="304"/>
      <c r="BE213" s="304"/>
      <c r="BF213" s="304"/>
      <c r="BG213" s="353">
        <f t="shared" si="31"/>
        <v>0</v>
      </c>
      <c r="BH213" s="304"/>
      <c r="BI213" s="304"/>
      <c r="BJ213" s="354">
        <f t="shared" si="25"/>
        <v>1</v>
      </c>
      <c r="BK213" s="316" t="str">
        <f t="shared" si="24"/>
        <v>Habilitado</v>
      </c>
    </row>
    <row r="214" spans="1:63" ht="38.25" x14ac:dyDescent="0.25">
      <c r="A214" s="324">
        <v>212</v>
      </c>
      <c r="B214" s="345" t="s">
        <v>2207</v>
      </c>
      <c r="C214" s="335" t="s">
        <v>2208</v>
      </c>
      <c r="D214" s="357" t="s">
        <v>2209</v>
      </c>
      <c r="E214" s="347">
        <v>1</v>
      </c>
      <c r="F214" s="314"/>
      <c r="G214" s="314"/>
      <c r="H214" s="314"/>
      <c r="I214" s="314"/>
      <c r="J214" s="314"/>
      <c r="K214" s="29">
        <f t="shared" si="26"/>
        <v>0</v>
      </c>
      <c r="L214" s="314"/>
      <c r="M214" s="314"/>
      <c r="N214" s="314"/>
      <c r="O214" s="314"/>
      <c r="P214" s="314"/>
      <c r="Q214" s="314"/>
      <c r="R214" s="314"/>
      <c r="S214" s="314"/>
      <c r="T214" s="314"/>
      <c r="U214" s="314"/>
      <c r="V214" s="350"/>
      <c r="W214" s="350"/>
      <c r="X214" s="350"/>
      <c r="Y214" s="350"/>
      <c r="Z214" s="307"/>
      <c r="AA214" s="350">
        <f t="shared" si="27"/>
        <v>0</v>
      </c>
      <c r="AB214" s="307"/>
      <c r="AC214" s="307"/>
      <c r="AD214" s="303"/>
      <c r="AE214" s="303"/>
      <c r="AF214" s="303"/>
      <c r="AG214" s="303"/>
      <c r="AH214" s="314"/>
      <c r="AI214" s="297">
        <f t="shared" si="28"/>
        <v>0</v>
      </c>
      <c r="AJ214" s="303"/>
      <c r="AK214" s="303"/>
      <c r="AL214" s="303"/>
      <c r="AM214" s="303"/>
      <c r="AN214" s="303"/>
      <c r="AO214" s="303"/>
      <c r="AP214" s="303"/>
      <c r="AQ214" s="289">
        <f t="shared" si="29"/>
        <v>0</v>
      </c>
      <c r="AR214" s="303"/>
      <c r="AS214" s="303"/>
      <c r="AT214" s="329"/>
      <c r="AU214" s="329"/>
      <c r="AV214" s="329"/>
      <c r="AW214" s="329"/>
      <c r="AX214" s="329"/>
      <c r="AY214" s="139">
        <f t="shared" si="30"/>
        <v>0</v>
      </c>
      <c r="AZ214" s="303"/>
      <c r="BA214" s="303"/>
      <c r="BB214" s="303"/>
      <c r="BC214" s="303"/>
      <c r="BD214" s="303"/>
      <c r="BE214" s="303"/>
      <c r="BF214" s="303"/>
      <c r="BG214" s="353">
        <f t="shared" si="31"/>
        <v>0</v>
      </c>
      <c r="BH214" s="303"/>
      <c r="BI214" s="303"/>
      <c r="BJ214" s="354">
        <f t="shared" si="25"/>
        <v>0</v>
      </c>
      <c r="BK214" s="316" t="str">
        <f t="shared" si="24"/>
        <v>Desierto</v>
      </c>
    </row>
    <row r="215" spans="1:63" ht="38.25" x14ac:dyDescent="0.25">
      <c r="A215" s="324">
        <v>213</v>
      </c>
      <c r="B215" s="345" t="s">
        <v>2210</v>
      </c>
      <c r="C215" s="335" t="s">
        <v>2208</v>
      </c>
      <c r="D215" s="357" t="s">
        <v>2209</v>
      </c>
      <c r="E215" s="347">
        <v>1</v>
      </c>
      <c r="F215" s="314"/>
      <c r="G215" s="314"/>
      <c r="H215" s="314"/>
      <c r="I215" s="314"/>
      <c r="J215" s="314"/>
      <c r="K215" s="29">
        <f t="shared" si="26"/>
        <v>0</v>
      </c>
      <c r="L215" s="314"/>
      <c r="M215" s="314"/>
      <c r="N215" s="314"/>
      <c r="O215" s="314"/>
      <c r="P215" s="314"/>
      <c r="Q215" s="314"/>
      <c r="R215" s="314"/>
      <c r="S215" s="314"/>
      <c r="T215" s="314"/>
      <c r="U215" s="314"/>
      <c r="V215" s="350"/>
      <c r="W215" s="350"/>
      <c r="X215" s="350"/>
      <c r="Y215" s="350"/>
      <c r="Z215" s="307"/>
      <c r="AA215" s="350">
        <f t="shared" si="27"/>
        <v>0</v>
      </c>
      <c r="AB215" s="307"/>
      <c r="AC215" s="307"/>
      <c r="AD215" s="303"/>
      <c r="AE215" s="303"/>
      <c r="AF215" s="303"/>
      <c r="AG215" s="303"/>
      <c r="AH215" s="314"/>
      <c r="AI215" s="297">
        <f t="shared" si="28"/>
        <v>0</v>
      </c>
      <c r="AJ215" s="303"/>
      <c r="AK215" s="303"/>
      <c r="AL215" s="303"/>
      <c r="AM215" s="303"/>
      <c r="AN215" s="303"/>
      <c r="AO215" s="303"/>
      <c r="AP215" s="303"/>
      <c r="AQ215" s="289">
        <f t="shared" si="29"/>
        <v>0</v>
      </c>
      <c r="AR215" s="303"/>
      <c r="AS215" s="303"/>
      <c r="AT215" s="329"/>
      <c r="AU215" s="329"/>
      <c r="AV215" s="329"/>
      <c r="AW215" s="329"/>
      <c r="AX215" s="329"/>
      <c r="AY215" s="139">
        <f t="shared" si="30"/>
        <v>0</v>
      </c>
      <c r="AZ215" s="303"/>
      <c r="BA215" s="303"/>
      <c r="BB215" s="303"/>
      <c r="BC215" s="303"/>
      <c r="BD215" s="303"/>
      <c r="BE215" s="303"/>
      <c r="BF215" s="303"/>
      <c r="BG215" s="353">
        <f t="shared" si="31"/>
        <v>0</v>
      </c>
      <c r="BH215" s="303"/>
      <c r="BI215" s="303"/>
      <c r="BJ215" s="354">
        <f t="shared" si="25"/>
        <v>0</v>
      </c>
      <c r="BK215" s="316" t="str">
        <f t="shared" si="24"/>
        <v>Desierto</v>
      </c>
    </row>
    <row r="216" spans="1:63" ht="38.25" x14ac:dyDescent="0.25">
      <c r="A216" s="324">
        <v>214</v>
      </c>
      <c r="B216" s="345" t="s">
        <v>2211</v>
      </c>
      <c r="C216" s="335" t="s">
        <v>2208</v>
      </c>
      <c r="D216" s="357" t="s">
        <v>2209</v>
      </c>
      <c r="E216" s="347">
        <v>1</v>
      </c>
      <c r="F216" s="314"/>
      <c r="G216" s="314"/>
      <c r="H216" s="314"/>
      <c r="I216" s="314"/>
      <c r="J216" s="314"/>
      <c r="K216" s="29">
        <f t="shared" si="26"/>
        <v>0</v>
      </c>
      <c r="L216" s="314"/>
      <c r="M216" s="314"/>
      <c r="N216" s="314"/>
      <c r="O216" s="314"/>
      <c r="P216" s="314"/>
      <c r="Q216" s="314"/>
      <c r="R216" s="314"/>
      <c r="S216" s="314"/>
      <c r="T216" s="314"/>
      <c r="U216" s="314"/>
      <c r="V216" s="350"/>
      <c r="W216" s="350"/>
      <c r="X216" s="350"/>
      <c r="Y216" s="350"/>
      <c r="Z216" s="307"/>
      <c r="AA216" s="350">
        <f t="shared" si="27"/>
        <v>0</v>
      </c>
      <c r="AB216" s="307"/>
      <c r="AC216" s="307"/>
      <c r="AD216" s="303"/>
      <c r="AE216" s="303"/>
      <c r="AF216" s="303"/>
      <c r="AG216" s="303"/>
      <c r="AH216" s="314"/>
      <c r="AI216" s="297">
        <f t="shared" si="28"/>
        <v>0</v>
      </c>
      <c r="AJ216" s="303"/>
      <c r="AK216" s="303"/>
      <c r="AL216" s="303"/>
      <c r="AM216" s="303"/>
      <c r="AN216" s="303"/>
      <c r="AO216" s="303"/>
      <c r="AP216" s="303"/>
      <c r="AQ216" s="289">
        <f t="shared" si="29"/>
        <v>0</v>
      </c>
      <c r="AR216" s="303"/>
      <c r="AS216" s="303"/>
      <c r="AT216" s="329"/>
      <c r="AU216" s="329"/>
      <c r="AV216" s="329"/>
      <c r="AW216" s="329"/>
      <c r="AX216" s="329"/>
      <c r="AY216" s="139">
        <f t="shared" si="30"/>
        <v>0</v>
      </c>
      <c r="AZ216" s="303"/>
      <c r="BA216" s="303"/>
      <c r="BB216" s="303"/>
      <c r="BC216" s="303"/>
      <c r="BD216" s="303"/>
      <c r="BE216" s="303"/>
      <c r="BF216" s="303"/>
      <c r="BG216" s="353">
        <f t="shared" si="31"/>
        <v>0</v>
      </c>
      <c r="BH216" s="303"/>
      <c r="BI216" s="303"/>
      <c r="BJ216" s="354">
        <f t="shared" si="25"/>
        <v>0</v>
      </c>
      <c r="BK216" s="316" t="str">
        <f t="shared" si="24"/>
        <v>Desierto</v>
      </c>
    </row>
    <row r="217" spans="1:63" ht="38.25" x14ac:dyDescent="0.25">
      <c r="A217" s="324">
        <v>215</v>
      </c>
      <c r="B217" s="345" t="s">
        <v>2212</v>
      </c>
      <c r="C217" s="357" t="s">
        <v>2213</v>
      </c>
      <c r="D217" s="360" t="s">
        <v>1061</v>
      </c>
      <c r="E217" s="347">
        <v>1</v>
      </c>
      <c r="F217" s="314" t="s">
        <v>510</v>
      </c>
      <c r="G217" s="314" t="s">
        <v>510</v>
      </c>
      <c r="H217" s="314" t="s">
        <v>510</v>
      </c>
      <c r="I217" s="314" t="s">
        <v>510</v>
      </c>
      <c r="J217" s="314">
        <v>40</v>
      </c>
      <c r="K217" s="29">
        <f t="shared" si="26"/>
        <v>40</v>
      </c>
      <c r="L217" s="314" t="s">
        <v>504</v>
      </c>
      <c r="M217" s="314"/>
      <c r="N217" s="314"/>
      <c r="O217" s="314"/>
      <c r="P217" s="314"/>
      <c r="Q217" s="314"/>
      <c r="R217" s="314"/>
      <c r="S217" s="314"/>
      <c r="T217" s="314"/>
      <c r="U217" s="314"/>
      <c r="V217" s="350"/>
      <c r="W217" s="350"/>
      <c r="X217" s="350"/>
      <c r="Y217" s="350"/>
      <c r="Z217" s="307"/>
      <c r="AA217" s="350">
        <f t="shared" si="27"/>
        <v>0</v>
      </c>
      <c r="AB217" s="307"/>
      <c r="AC217" s="307"/>
      <c r="AD217" s="303" t="s">
        <v>519</v>
      </c>
      <c r="AE217" s="303" t="s">
        <v>519</v>
      </c>
      <c r="AF217" s="303" t="s">
        <v>519</v>
      </c>
      <c r="AG217" s="303" t="s">
        <v>510</v>
      </c>
      <c r="AH217" s="314">
        <v>0</v>
      </c>
      <c r="AI217" s="297">
        <f t="shared" si="28"/>
        <v>0</v>
      </c>
      <c r="AJ217" s="303" t="s">
        <v>520</v>
      </c>
      <c r="AK217" s="301" t="s">
        <v>2214</v>
      </c>
      <c r="AL217" s="303"/>
      <c r="AM217" s="303"/>
      <c r="AN217" s="303"/>
      <c r="AO217" s="303"/>
      <c r="AP217" s="303"/>
      <c r="AQ217" s="289">
        <f t="shared" si="29"/>
        <v>0</v>
      </c>
      <c r="AR217" s="303"/>
      <c r="AS217" s="303"/>
      <c r="AT217" s="329"/>
      <c r="AU217" s="329"/>
      <c r="AV217" s="329"/>
      <c r="AW217" s="329"/>
      <c r="AX217" s="329"/>
      <c r="AY217" s="139">
        <f t="shared" si="30"/>
        <v>0</v>
      </c>
      <c r="AZ217" s="303"/>
      <c r="BA217" s="303"/>
      <c r="BB217" s="303"/>
      <c r="BC217" s="303"/>
      <c r="BD217" s="303"/>
      <c r="BE217" s="303"/>
      <c r="BF217" s="303"/>
      <c r="BG217" s="353">
        <f t="shared" si="31"/>
        <v>0</v>
      </c>
      <c r="BH217" s="303"/>
      <c r="BI217" s="303"/>
      <c r="BJ217" s="354">
        <f t="shared" si="25"/>
        <v>1</v>
      </c>
      <c r="BK217" s="316" t="str">
        <f t="shared" si="24"/>
        <v>Habilitado</v>
      </c>
    </row>
    <row r="218" spans="1:63" ht="25.5" x14ac:dyDescent="0.25">
      <c r="A218" s="324">
        <v>216</v>
      </c>
      <c r="B218" s="345" t="s">
        <v>2215</v>
      </c>
      <c r="C218" s="357" t="s">
        <v>2216</v>
      </c>
      <c r="D218" s="360" t="s">
        <v>1572</v>
      </c>
      <c r="E218" s="347">
        <v>1</v>
      </c>
      <c r="F218" s="314"/>
      <c r="G218" s="314"/>
      <c r="H218" s="314"/>
      <c r="I218" s="314"/>
      <c r="J218" s="314"/>
      <c r="K218" s="29">
        <f t="shared" si="26"/>
        <v>0</v>
      </c>
      <c r="L218" s="314"/>
      <c r="M218" s="407"/>
      <c r="N218" s="407"/>
      <c r="O218" s="407"/>
      <c r="P218" s="407"/>
      <c r="Q218" s="407"/>
      <c r="R218" s="407"/>
      <c r="S218" s="407"/>
      <c r="T218" s="407"/>
      <c r="U218" s="407"/>
      <c r="V218" s="350"/>
      <c r="W218" s="350"/>
      <c r="X218" s="350"/>
      <c r="Y218" s="350"/>
      <c r="Z218" s="307"/>
      <c r="AA218" s="350">
        <f t="shared" si="27"/>
        <v>0</v>
      </c>
      <c r="AB218" s="307"/>
      <c r="AC218" s="306"/>
      <c r="AD218" s="303" t="s">
        <v>510</v>
      </c>
      <c r="AE218" s="303" t="s">
        <v>510</v>
      </c>
      <c r="AF218" s="303" t="s">
        <v>510</v>
      </c>
      <c r="AG218" s="303" t="s">
        <v>510</v>
      </c>
      <c r="AH218" s="314">
        <v>0</v>
      </c>
      <c r="AI218" s="297">
        <f t="shared" si="28"/>
        <v>0</v>
      </c>
      <c r="AJ218" s="303" t="s">
        <v>504</v>
      </c>
      <c r="AK218" s="303"/>
      <c r="AL218" s="303"/>
      <c r="AM218" s="303"/>
      <c r="AN218" s="303"/>
      <c r="AO218" s="303"/>
      <c r="AP218" s="303"/>
      <c r="AQ218" s="289">
        <f t="shared" si="29"/>
        <v>0</v>
      </c>
      <c r="AR218" s="303"/>
      <c r="AS218" s="303"/>
      <c r="AT218" s="329"/>
      <c r="AU218" s="329"/>
      <c r="AV218" s="329"/>
      <c r="AW218" s="329"/>
      <c r="AX218" s="329"/>
      <c r="AY218" s="139">
        <f t="shared" si="30"/>
        <v>0</v>
      </c>
      <c r="AZ218" s="303"/>
      <c r="BA218" s="303"/>
      <c r="BB218" s="356" t="s">
        <v>519</v>
      </c>
      <c r="BC218" s="356" t="s">
        <v>519</v>
      </c>
      <c r="BD218" s="356" t="s">
        <v>519</v>
      </c>
      <c r="BE218" s="303" t="s">
        <v>510</v>
      </c>
      <c r="BF218" s="352">
        <v>0</v>
      </c>
      <c r="BG218" s="353">
        <f t="shared" si="31"/>
        <v>0</v>
      </c>
      <c r="BH218" s="303" t="s">
        <v>520</v>
      </c>
      <c r="BI218" s="303" t="s">
        <v>1877</v>
      </c>
      <c r="BJ218" s="354">
        <f t="shared" si="25"/>
        <v>1</v>
      </c>
      <c r="BK218" s="316" t="str">
        <f t="shared" si="24"/>
        <v>Habilitado</v>
      </c>
    </row>
    <row r="219" spans="1:63" ht="25.5" x14ac:dyDescent="0.25">
      <c r="A219" s="324">
        <v>217</v>
      </c>
      <c r="B219" s="345" t="s">
        <v>2217</v>
      </c>
      <c r="C219" s="335" t="s">
        <v>2218</v>
      </c>
      <c r="D219" s="360" t="s">
        <v>1666</v>
      </c>
      <c r="E219" s="347">
        <v>1</v>
      </c>
      <c r="F219" s="314"/>
      <c r="G219" s="314"/>
      <c r="H219" s="314"/>
      <c r="I219" s="314"/>
      <c r="J219" s="314"/>
      <c r="K219" s="29">
        <f t="shared" si="26"/>
        <v>0</v>
      </c>
      <c r="L219" s="314"/>
      <c r="M219" s="314"/>
      <c r="N219" s="314"/>
      <c r="O219" s="314"/>
      <c r="P219" s="314"/>
      <c r="Q219" s="314"/>
      <c r="R219" s="314"/>
      <c r="S219" s="314"/>
      <c r="T219" s="314"/>
      <c r="U219" s="314"/>
      <c r="V219" s="350"/>
      <c r="W219" s="350"/>
      <c r="X219" s="350"/>
      <c r="Y219" s="350"/>
      <c r="Z219" s="307"/>
      <c r="AA219" s="350">
        <f t="shared" si="27"/>
        <v>0</v>
      </c>
      <c r="AB219" s="307"/>
      <c r="AC219" s="307"/>
      <c r="AD219" s="303" t="s">
        <v>510</v>
      </c>
      <c r="AE219" s="303" t="s">
        <v>510</v>
      </c>
      <c r="AF219" s="303" t="s">
        <v>510</v>
      </c>
      <c r="AG219" s="303" t="s">
        <v>510</v>
      </c>
      <c r="AH219" s="314">
        <v>0</v>
      </c>
      <c r="AI219" s="297">
        <f t="shared" si="28"/>
        <v>0</v>
      </c>
      <c r="AJ219" s="303" t="s">
        <v>504</v>
      </c>
      <c r="AK219" s="303"/>
      <c r="AL219" s="303"/>
      <c r="AM219" s="303"/>
      <c r="AN219" s="303"/>
      <c r="AO219" s="303"/>
      <c r="AP219" s="303"/>
      <c r="AQ219" s="289">
        <f t="shared" si="29"/>
        <v>0</v>
      </c>
      <c r="AR219" s="303"/>
      <c r="AS219" s="303"/>
      <c r="AT219" s="329"/>
      <c r="AU219" s="329"/>
      <c r="AV219" s="329"/>
      <c r="AW219" s="329"/>
      <c r="AX219" s="329"/>
      <c r="AY219" s="139">
        <f t="shared" si="30"/>
        <v>0</v>
      </c>
      <c r="AZ219" s="303"/>
      <c r="BA219" s="303"/>
      <c r="BB219" s="356" t="s">
        <v>519</v>
      </c>
      <c r="BC219" s="356" t="s">
        <v>519</v>
      </c>
      <c r="BD219" s="356" t="s">
        <v>519</v>
      </c>
      <c r="BE219" s="303" t="s">
        <v>510</v>
      </c>
      <c r="BF219" s="352">
        <v>0</v>
      </c>
      <c r="BG219" s="353">
        <f t="shared" si="31"/>
        <v>0</v>
      </c>
      <c r="BH219" s="303" t="s">
        <v>520</v>
      </c>
      <c r="BI219" s="303" t="s">
        <v>1877</v>
      </c>
      <c r="BJ219" s="354">
        <f t="shared" si="25"/>
        <v>1</v>
      </c>
      <c r="BK219" s="316" t="str">
        <f t="shared" si="24"/>
        <v>Habilitado</v>
      </c>
    </row>
    <row r="220" spans="1:63" x14ac:dyDescent="0.25">
      <c r="A220" s="324">
        <v>218</v>
      </c>
      <c r="B220" s="345" t="s">
        <v>2219</v>
      </c>
      <c r="C220" s="335" t="s">
        <v>2220</v>
      </c>
      <c r="D220" s="357" t="s">
        <v>638</v>
      </c>
      <c r="E220" s="347">
        <v>1</v>
      </c>
      <c r="F220" s="314"/>
      <c r="G220" s="314"/>
      <c r="H220" s="314"/>
      <c r="I220" s="314"/>
      <c r="J220" s="314"/>
      <c r="K220" s="29">
        <f t="shared" si="26"/>
        <v>0</v>
      </c>
      <c r="L220" s="314"/>
      <c r="M220" s="314"/>
      <c r="N220" s="314"/>
      <c r="O220" s="314"/>
      <c r="P220" s="314"/>
      <c r="Q220" s="314"/>
      <c r="R220" s="314"/>
      <c r="S220" s="314"/>
      <c r="T220" s="314"/>
      <c r="U220" s="314"/>
      <c r="V220" s="350"/>
      <c r="W220" s="350"/>
      <c r="X220" s="350"/>
      <c r="Y220" s="350"/>
      <c r="Z220" s="307"/>
      <c r="AA220" s="350">
        <f t="shared" si="27"/>
        <v>0</v>
      </c>
      <c r="AB220" s="307"/>
      <c r="AC220" s="307"/>
      <c r="AD220" s="303"/>
      <c r="AE220" s="303"/>
      <c r="AF220" s="303"/>
      <c r="AG220" s="303"/>
      <c r="AH220" s="314"/>
      <c r="AI220" s="297">
        <f t="shared" si="28"/>
        <v>0</v>
      </c>
      <c r="AJ220" s="303"/>
      <c r="AK220" s="303"/>
      <c r="AL220" s="303"/>
      <c r="AM220" s="303"/>
      <c r="AN220" s="303"/>
      <c r="AO220" s="303"/>
      <c r="AP220" s="303"/>
      <c r="AQ220" s="289">
        <f t="shared" si="29"/>
        <v>0</v>
      </c>
      <c r="AR220" s="303"/>
      <c r="AS220" s="303"/>
      <c r="AT220" s="329"/>
      <c r="AU220" s="329"/>
      <c r="AV220" s="329"/>
      <c r="AW220" s="329"/>
      <c r="AX220" s="329"/>
      <c r="AY220" s="139">
        <f t="shared" si="30"/>
        <v>0</v>
      </c>
      <c r="AZ220" s="303"/>
      <c r="BA220" s="303"/>
      <c r="BB220" s="303"/>
      <c r="BC220" s="303"/>
      <c r="BD220" s="303"/>
      <c r="BE220" s="303"/>
      <c r="BF220" s="303"/>
      <c r="BG220" s="353">
        <f t="shared" si="31"/>
        <v>0</v>
      </c>
      <c r="BH220" s="303"/>
      <c r="BI220" s="303"/>
      <c r="BJ220" s="354">
        <f t="shared" si="25"/>
        <v>0</v>
      </c>
      <c r="BK220" s="316" t="str">
        <f t="shared" si="24"/>
        <v>Desierto</v>
      </c>
    </row>
    <row r="221" spans="1:63" ht="38.25" x14ac:dyDescent="0.25">
      <c r="A221" s="324">
        <v>219</v>
      </c>
      <c r="B221" s="345" t="s">
        <v>2221</v>
      </c>
      <c r="C221" s="335" t="s">
        <v>2222</v>
      </c>
      <c r="D221" s="360" t="s">
        <v>2223</v>
      </c>
      <c r="E221" s="347">
        <v>1</v>
      </c>
      <c r="F221" s="314" t="s">
        <v>510</v>
      </c>
      <c r="G221" s="314" t="s">
        <v>510</v>
      </c>
      <c r="H221" s="314" t="s">
        <v>511</v>
      </c>
      <c r="I221" s="314" t="s">
        <v>510</v>
      </c>
      <c r="J221" s="314">
        <v>40</v>
      </c>
      <c r="K221" s="29">
        <f t="shared" si="26"/>
        <v>40</v>
      </c>
      <c r="L221" s="314" t="s">
        <v>504</v>
      </c>
      <c r="M221" s="314"/>
      <c r="N221" s="314"/>
      <c r="O221" s="314"/>
      <c r="P221" s="314"/>
      <c r="Q221" s="314"/>
      <c r="R221" s="314"/>
      <c r="S221" s="314"/>
      <c r="T221" s="314"/>
      <c r="U221" s="314"/>
      <c r="V221" s="350"/>
      <c r="W221" s="350"/>
      <c r="X221" s="350"/>
      <c r="Y221" s="350"/>
      <c r="Z221" s="307"/>
      <c r="AA221" s="350">
        <f t="shared" si="27"/>
        <v>0</v>
      </c>
      <c r="AB221" s="307"/>
      <c r="AC221" s="307"/>
      <c r="AD221" s="303"/>
      <c r="AE221" s="303"/>
      <c r="AF221" s="303"/>
      <c r="AG221" s="303"/>
      <c r="AH221" s="314"/>
      <c r="AI221" s="297">
        <f t="shared" si="28"/>
        <v>0</v>
      </c>
      <c r="AJ221" s="303"/>
      <c r="AK221" s="361"/>
      <c r="AL221" s="303"/>
      <c r="AM221" s="303"/>
      <c r="AN221" s="303"/>
      <c r="AO221" s="303"/>
      <c r="AP221" s="303"/>
      <c r="AQ221" s="289">
        <f t="shared" si="29"/>
        <v>0</v>
      </c>
      <c r="AR221" s="314"/>
      <c r="AS221" s="314"/>
      <c r="AT221" s="329"/>
      <c r="AU221" s="329"/>
      <c r="AV221" s="329"/>
      <c r="AW221" s="329"/>
      <c r="AX221" s="329"/>
      <c r="AY221" s="139">
        <f t="shared" si="30"/>
        <v>0</v>
      </c>
      <c r="AZ221" s="375"/>
      <c r="BA221" s="375"/>
      <c r="BB221" s="303"/>
      <c r="BC221" s="303"/>
      <c r="BD221" s="303"/>
      <c r="BE221" s="303"/>
      <c r="BF221" s="303"/>
      <c r="BG221" s="353">
        <f t="shared" si="31"/>
        <v>0</v>
      </c>
      <c r="BH221" s="303"/>
      <c r="BI221" s="303"/>
      <c r="BJ221" s="354">
        <f t="shared" si="25"/>
        <v>1</v>
      </c>
      <c r="BK221" s="316" t="str">
        <f t="shared" si="24"/>
        <v>Habilitado</v>
      </c>
    </row>
    <row r="222" spans="1:63" ht="25.5" x14ac:dyDescent="0.25">
      <c r="A222" s="324">
        <v>220</v>
      </c>
      <c r="B222" s="345" t="s">
        <v>2224</v>
      </c>
      <c r="C222" s="335" t="s">
        <v>518</v>
      </c>
      <c r="D222" s="388" t="s">
        <v>140</v>
      </c>
      <c r="E222" s="347">
        <v>1</v>
      </c>
      <c r="F222" s="314"/>
      <c r="G222" s="314"/>
      <c r="H222" s="314"/>
      <c r="I222" s="314"/>
      <c r="J222" s="314"/>
      <c r="K222" s="29">
        <f t="shared" si="26"/>
        <v>0</v>
      </c>
      <c r="L222" s="314"/>
      <c r="M222" s="314"/>
      <c r="N222" s="314"/>
      <c r="O222" s="314"/>
      <c r="P222" s="314"/>
      <c r="Q222" s="314"/>
      <c r="R222" s="314"/>
      <c r="S222" s="314"/>
      <c r="T222" s="314"/>
      <c r="U222" s="314"/>
      <c r="V222" s="350"/>
      <c r="W222" s="350"/>
      <c r="X222" s="350"/>
      <c r="Y222" s="350"/>
      <c r="Z222" s="307"/>
      <c r="AA222" s="350">
        <f t="shared" si="27"/>
        <v>0</v>
      </c>
      <c r="AB222" s="307"/>
      <c r="AC222" s="307"/>
      <c r="AD222" s="303"/>
      <c r="AE222" s="303"/>
      <c r="AF222" s="303"/>
      <c r="AG222" s="303"/>
      <c r="AH222" s="314"/>
      <c r="AI222" s="297">
        <f t="shared" si="28"/>
        <v>0</v>
      </c>
      <c r="AJ222" s="303"/>
      <c r="AK222" s="303"/>
      <c r="AL222" s="303"/>
      <c r="AM222" s="303"/>
      <c r="AN222" s="303"/>
      <c r="AO222" s="303"/>
      <c r="AP222" s="303"/>
      <c r="AQ222" s="289">
        <f t="shared" si="29"/>
        <v>0</v>
      </c>
      <c r="AR222" s="303"/>
      <c r="AS222" s="303"/>
      <c r="AT222" s="303" t="s">
        <v>510</v>
      </c>
      <c r="AU222" s="303" t="s">
        <v>510</v>
      </c>
      <c r="AV222" s="303" t="s">
        <v>511</v>
      </c>
      <c r="AW222" s="303" t="s">
        <v>510</v>
      </c>
      <c r="AX222" s="314">
        <v>40</v>
      </c>
      <c r="AY222" s="139">
        <f t="shared" si="30"/>
        <v>40</v>
      </c>
      <c r="AZ222" s="303" t="s">
        <v>504</v>
      </c>
      <c r="BA222" s="303"/>
      <c r="BB222" s="304"/>
      <c r="BC222" s="304"/>
      <c r="BD222" s="304"/>
      <c r="BE222" s="304"/>
      <c r="BF222" s="304"/>
      <c r="BG222" s="353">
        <f t="shared" si="31"/>
        <v>0</v>
      </c>
      <c r="BH222" s="304"/>
      <c r="BI222" s="304"/>
      <c r="BJ222" s="354">
        <f t="shared" si="25"/>
        <v>1</v>
      </c>
      <c r="BK222" s="316" t="str">
        <f t="shared" si="24"/>
        <v>Habilitado</v>
      </c>
    </row>
    <row r="223" spans="1:63" ht="51" x14ac:dyDescent="0.25">
      <c r="A223" s="324">
        <v>221</v>
      </c>
      <c r="B223" s="345" t="s">
        <v>2225</v>
      </c>
      <c r="C223" s="335" t="s">
        <v>2226</v>
      </c>
      <c r="D223" s="360" t="s">
        <v>1061</v>
      </c>
      <c r="E223" s="347">
        <v>1</v>
      </c>
      <c r="F223" s="314" t="s">
        <v>510</v>
      </c>
      <c r="G223" s="314" t="s">
        <v>510</v>
      </c>
      <c r="H223" s="314" t="s">
        <v>510</v>
      </c>
      <c r="I223" s="314" t="s">
        <v>510</v>
      </c>
      <c r="J223" s="314">
        <v>40</v>
      </c>
      <c r="K223" s="29">
        <f t="shared" si="26"/>
        <v>40</v>
      </c>
      <c r="L223" s="314" t="s">
        <v>504</v>
      </c>
      <c r="M223" s="314"/>
      <c r="N223" s="314"/>
      <c r="O223" s="314"/>
      <c r="P223" s="314"/>
      <c r="Q223" s="314"/>
      <c r="R223" s="314"/>
      <c r="S223" s="314"/>
      <c r="T223" s="314"/>
      <c r="U223" s="314"/>
      <c r="V223" s="350"/>
      <c r="W223" s="350"/>
      <c r="X223" s="350"/>
      <c r="Y223" s="350"/>
      <c r="Z223" s="307"/>
      <c r="AA223" s="350">
        <f t="shared" si="27"/>
        <v>0</v>
      </c>
      <c r="AB223" s="307"/>
      <c r="AC223" s="307"/>
      <c r="AD223" s="303" t="s">
        <v>510</v>
      </c>
      <c r="AE223" s="303" t="s">
        <v>510</v>
      </c>
      <c r="AF223" s="303" t="s">
        <v>510</v>
      </c>
      <c r="AG223" s="303" t="s">
        <v>510</v>
      </c>
      <c r="AH223" s="314">
        <v>0</v>
      </c>
      <c r="AI223" s="297">
        <f t="shared" si="28"/>
        <v>0</v>
      </c>
      <c r="AJ223" s="303" t="s">
        <v>504</v>
      </c>
      <c r="AK223" s="303"/>
      <c r="AL223" s="303"/>
      <c r="AM223" s="303"/>
      <c r="AN223" s="303"/>
      <c r="AO223" s="303"/>
      <c r="AP223" s="303"/>
      <c r="AQ223" s="289">
        <f t="shared" si="29"/>
        <v>0</v>
      </c>
      <c r="AR223" s="303"/>
      <c r="AS223" s="303"/>
      <c r="AT223" s="303" t="s">
        <v>510</v>
      </c>
      <c r="AU223" s="303" t="s">
        <v>519</v>
      </c>
      <c r="AV223" s="303" t="s">
        <v>510</v>
      </c>
      <c r="AW223" s="303" t="s">
        <v>510</v>
      </c>
      <c r="AX223" s="303">
        <v>0</v>
      </c>
      <c r="AY223" s="139">
        <f t="shared" si="30"/>
        <v>0</v>
      </c>
      <c r="AZ223" s="303" t="s">
        <v>520</v>
      </c>
      <c r="BA223" s="301" t="s">
        <v>2227</v>
      </c>
      <c r="BB223" s="356" t="s">
        <v>519</v>
      </c>
      <c r="BC223" s="356" t="s">
        <v>519</v>
      </c>
      <c r="BD223" s="356" t="s">
        <v>519</v>
      </c>
      <c r="BE223" s="303" t="s">
        <v>510</v>
      </c>
      <c r="BF223" s="352">
        <v>0</v>
      </c>
      <c r="BG223" s="353">
        <f t="shared" si="31"/>
        <v>0</v>
      </c>
      <c r="BH223" s="303" t="s">
        <v>520</v>
      </c>
      <c r="BI223" s="303" t="s">
        <v>1877</v>
      </c>
      <c r="BJ223" s="354">
        <f t="shared" si="25"/>
        <v>2</v>
      </c>
      <c r="BK223" s="316" t="str">
        <f t="shared" si="24"/>
        <v>Habilitado</v>
      </c>
    </row>
    <row r="224" spans="1:63" ht="89.25" x14ac:dyDescent="0.25">
      <c r="A224" s="324">
        <v>222</v>
      </c>
      <c r="B224" s="345" t="s">
        <v>2228</v>
      </c>
      <c r="C224" s="357" t="s">
        <v>2229</v>
      </c>
      <c r="D224" s="360" t="s">
        <v>140</v>
      </c>
      <c r="E224" s="347">
        <v>1</v>
      </c>
      <c r="F224" s="314" t="s">
        <v>510</v>
      </c>
      <c r="G224" s="314" t="s">
        <v>510</v>
      </c>
      <c r="H224" s="314" t="s">
        <v>510</v>
      </c>
      <c r="I224" s="314" t="s">
        <v>510</v>
      </c>
      <c r="J224" s="314">
        <v>40</v>
      </c>
      <c r="K224" s="29">
        <f t="shared" si="26"/>
        <v>40</v>
      </c>
      <c r="L224" s="314" t="s">
        <v>504</v>
      </c>
      <c r="M224" s="314"/>
      <c r="N224" s="314"/>
      <c r="O224" s="314"/>
      <c r="P224" s="314"/>
      <c r="Q224" s="314"/>
      <c r="R224" s="314"/>
      <c r="S224" s="314"/>
      <c r="T224" s="314"/>
      <c r="U224" s="314"/>
      <c r="V224" s="350" t="s">
        <v>510</v>
      </c>
      <c r="W224" s="350" t="s">
        <v>510</v>
      </c>
      <c r="X224" s="350" t="s">
        <v>510</v>
      </c>
      <c r="Y224" s="350" t="s">
        <v>510</v>
      </c>
      <c r="Z224" s="304">
        <v>20</v>
      </c>
      <c r="AA224" s="350">
        <f t="shared" si="27"/>
        <v>20</v>
      </c>
      <c r="AB224" s="307" t="s">
        <v>504</v>
      </c>
      <c r="AC224" s="307"/>
      <c r="AD224" s="303"/>
      <c r="AE224" s="303"/>
      <c r="AF224" s="303"/>
      <c r="AG224" s="303"/>
      <c r="AH224" s="314"/>
      <c r="AI224" s="297">
        <f t="shared" si="28"/>
        <v>0</v>
      </c>
      <c r="AJ224" s="303"/>
      <c r="AK224" s="303"/>
      <c r="AL224" s="303"/>
      <c r="AM224" s="303"/>
      <c r="AN224" s="303"/>
      <c r="AO224" s="303"/>
      <c r="AP224" s="303"/>
      <c r="AQ224" s="289">
        <f t="shared" si="29"/>
        <v>0</v>
      </c>
      <c r="AR224" s="303"/>
      <c r="AS224" s="303"/>
      <c r="AT224" s="303" t="s">
        <v>510</v>
      </c>
      <c r="AU224" s="303" t="s">
        <v>510</v>
      </c>
      <c r="AV224" s="303" t="s">
        <v>510</v>
      </c>
      <c r="AW224" s="303" t="s">
        <v>510</v>
      </c>
      <c r="AX224" s="303">
        <v>40</v>
      </c>
      <c r="AY224" s="139">
        <f t="shared" si="30"/>
        <v>40</v>
      </c>
      <c r="AZ224" s="303" t="s">
        <v>504</v>
      </c>
      <c r="BA224" s="303"/>
      <c r="BB224" s="303"/>
      <c r="BC224" s="303"/>
      <c r="BD224" s="303"/>
      <c r="BE224" s="303"/>
      <c r="BF224" s="303"/>
      <c r="BG224" s="353">
        <f t="shared" si="31"/>
        <v>0</v>
      </c>
      <c r="BH224" s="303"/>
      <c r="BI224" s="303"/>
      <c r="BJ224" s="354">
        <f t="shared" si="25"/>
        <v>3</v>
      </c>
      <c r="BK224" s="316" t="str">
        <f t="shared" ref="BK224:BK287" si="32">IF(BJ224&gt;=1,"Habilitado","Desierto")</f>
        <v>Habilitado</v>
      </c>
    </row>
    <row r="225" spans="1:63" ht="51" x14ac:dyDescent="0.25">
      <c r="A225" s="324">
        <v>223</v>
      </c>
      <c r="B225" s="345" t="s">
        <v>2230</v>
      </c>
      <c r="C225" s="357" t="s">
        <v>2229</v>
      </c>
      <c r="D225" s="360" t="s">
        <v>140</v>
      </c>
      <c r="E225" s="347">
        <v>1</v>
      </c>
      <c r="F225" s="314" t="s">
        <v>510</v>
      </c>
      <c r="G225" s="314" t="s">
        <v>510</v>
      </c>
      <c r="H225" s="314" t="s">
        <v>510</v>
      </c>
      <c r="I225" s="314" t="s">
        <v>510</v>
      </c>
      <c r="J225" s="314">
        <v>40</v>
      </c>
      <c r="K225" s="29">
        <f t="shared" si="26"/>
        <v>40</v>
      </c>
      <c r="L225" s="314" t="s">
        <v>504</v>
      </c>
      <c r="M225" s="314"/>
      <c r="N225" s="314"/>
      <c r="O225" s="314"/>
      <c r="P225" s="314"/>
      <c r="Q225" s="314"/>
      <c r="R225" s="314"/>
      <c r="S225" s="314"/>
      <c r="T225" s="314"/>
      <c r="U225" s="314"/>
      <c r="V225" s="350" t="s">
        <v>510</v>
      </c>
      <c r="W225" s="350" t="s">
        <v>510</v>
      </c>
      <c r="X225" s="350" t="s">
        <v>510</v>
      </c>
      <c r="Y225" s="350" t="s">
        <v>510</v>
      </c>
      <c r="Z225" s="304">
        <v>20</v>
      </c>
      <c r="AA225" s="350">
        <f t="shared" si="27"/>
        <v>20</v>
      </c>
      <c r="AB225" s="307" t="s">
        <v>504</v>
      </c>
      <c r="AC225" s="303"/>
      <c r="AD225" s="303"/>
      <c r="AE225" s="303"/>
      <c r="AF225" s="303"/>
      <c r="AG225" s="303"/>
      <c r="AH225" s="314"/>
      <c r="AI225" s="297">
        <f t="shared" si="28"/>
        <v>0</v>
      </c>
      <c r="AJ225" s="303"/>
      <c r="AK225" s="303"/>
      <c r="AL225" s="303"/>
      <c r="AM225" s="303"/>
      <c r="AN225" s="303"/>
      <c r="AO225" s="303"/>
      <c r="AP225" s="303"/>
      <c r="AQ225" s="289">
        <f t="shared" si="29"/>
        <v>0</v>
      </c>
      <c r="AR225" s="303"/>
      <c r="AS225" s="303"/>
      <c r="AT225" s="303" t="s">
        <v>510</v>
      </c>
      <c r="AU225" s="303" t="s">
        <v>510</v>
      </c>
      <c r="AV225" s="303" t="s">
        <v>510</v>
      </c>
      <c r="AW225" s="303" t="s">
        <v>510</v>
      </c>
      <c r="AX225" s="303">
        <v>40</v>
      </c>
      <c r="AY225" s="139">
        <f t="shared" si="30"/>
        <v>40</v>
      </c>
      <c r="AZ225" s="303" t="s">
        <v>504</v>
      </c>
      <c r="BA225" s="303"/>
      <c r="BB225" s="303"/>
      <c r="BC225" s="303"/>
      <c r="BD225" s="303"/>
      <c r="BE225" s="303"/>
      <c r="BF225" s="303"/>
      <c r="BG225" s="353">
        <f t="shared" si="31"/>
        <v>0</v>
      </c>
      <c r="BH225" s="303"/>
      <c r="BI225" s="303"/>
      <c r="BJ225" s="354">
        <f t="shared" si="25"/>
        <v>3</v>
      </c>
      <c r="BK225" s="316" t="str">
        <f t="shared" si="32"/>
        <v>Habilitado</v>
      </c>
    </row>
    <row r="226" spans="1:63" ht="79.5" customHeight="1" x14ac:dyDescent="0.25">
      <c r="A226" s="324">
        <v>224</v>
      </c>
      <c r="B226" s="325" t="s">
        <v>2231</v>
      </c>
      <c r="C226" s="325" t="s">
        <v>2229</v>
      </c>
      <c r="D226" s="325" t="s">
        <v>140</v>
      </c>
      <c r="E226" s="362">
        <v>1</v>
      </c>
      <c r="F226" s="406"/>
      <c r="G226" s="406"/>
      <c r="H226" s="406"/>
      <c r="I226" s="406"/>
      <c r="J226" s="406"/>
      <c r="K226" s="29">
        <f t="shared" si="26"/>
        <v>0</v>
      </c>
      <c r="L226" s="406"/>
      <c r="M226" s="406"/>
      <c r="N226" s="406"/>
      <c r="O226" s="406"/>
      <c r="P226" s="406"/>
      <c r="Q226" s="406"/>
      <c r="R226" s="406"/>
      <c r="S226" s="406"/>
      <c r="T226" s="406"/>
      <c r="U226" s="406"/>
      <c r="V226" s="350"/>
      <c r="W226" s="350"/>
      <c r="X226" s="350"/>
      <c r="Y226" s="350"/>
      <c r="Z226" s="307"/>
      <c r="AA226" s="350">
        <f t="shared" si="27"/>
        <v>0</v>
      </c>
      <c r="AB226" s="307"/>
      <c r="AC226" s="307"/>
      <c r="AD226" s="304"/>
      <c r="AE226" s="304"/>
      <c r="AF226" s="304"/>
      <c r="AG226" s="304"/>
      <c r="AH226" s="326"/>
      <c r="AI226" s="297">
        <f t="shared" si="28"/>
        <v>0</v>
      </c>
      <c r="AJ226" s="304"/>
      <c r="AK226" s="304"/>
      <c r="AL226" s="304"/>
      <c r="AM226" s="304"/>
      <c r="AN226" s="304"/>
      <c r="AO226" s="304"/>
      <c r="AP226" s="304"/>
      <c r="AQ226" s="289">
        <f t="shared" si="29"/>
        <v>0</v>
      </c>
      <c r="AR226" s="304"/>
      <c r="AS226" s="304"/>
      <c r="AT226" s="325"/>
      <c r="AU226" s="325"/>
      <c r="AV226" s="325"/>
      <c r="AW226" s="325"/>
      <c r="AX226" s="325"/>
      <c r="AY226" s="139">
        <f t="shared" si="30"/>
        <v>0</v>
      </c>
      <c r="AZ226" s="304"/>
      <c r="BA226" s="304"/>
      <c r="BB226" s="303"/>
      <c r="BC226" s="303"/>
      <c r="BD226" s="303"/>
      <c r="BE226" s="303"/>
      <c r="BF226" s="303"/>
      <c r="BG226" s="353">
        <f t="shared" si="31"/>
        <v>0</v>
      </c>
      <c r="BH226" s="303"/>
      <c r="BI226" s="303"/>
      <c r="BJ226" s="354">
        <f t="shared" si="25"/>
        <v>0</v>
      </c>
      <c r="BK226" s="316" t="str">
        <f t="shared" si="32"/>
        <v>Desierto</v>
      </c>
    </row>
    <row r="227" spans="1:63" ht="102" x14ac:dyDescent="0.25">
      <c r="A227" s="324">
        <v>225</v>
      </c>
      <c r="B227" s="325" t="s">
        <v>2232</v>
      </c>
      <c r="C227" s="325" t="s">
        <v>2229</v>
      </c>
      <c r="D227" s="325" t="s">
        <v>140</v>
      </c>
      <c r="E227" s="362">
        <v>1</v>
      </c>
      <c r="F227" s="406" t="s">
        <v>510</v>
      </c>
      <c r="G227" s="406" t="s">
        <v>510</v>
      </c>
      <c r="H227" s="406" t="s">
        <v>510</v>
      </c>
      <c r="I227" s="406" t="s">
        <v>510</v>
      </c>
      <c r="J227" s="406">
        <v>40</v>
      </c>
      <c r="K227" s="29">
        <f t="shared" si="26"/>
        <v>40</v>
      </c>
      <c r="L227" s="314" t="s">
        <v>504</v>
      </c>
      <c r="M227" s="406" t="s">
        <v>551</v>
      </c>
      <c r="N227" s="406"/>
      <c r="O227" s="406"/>
      <c r="P227" s="406"/>
      <c r="Q227" s="406"/>
      <c r="R227" s="406"/>
      <c r="S227" s="406"/>
      <c r="T227" s="406"/>
      <c r="U227" s="406"/>
      <c r="V227" s="406" t="s">
        <v>510</v>
      </c>
      <c r="W227" s="406" t="s">
        <v>510</v>
      </c>
      <c r="X227" s="406" t="s">
        <v>510</v>
      </c>
      <c r="Y227" s="350" t="s">
        <v>510</v>
      </c>
      <c r="Z227" s="304">
        <v>20</v>
      </c>
      <c r="AA227" s="350">
        <f t="shared" si="27"/>
        <v>20</v>
      </c>
      <c r="AB227" s="307" t="s">
        <v>504</v>
      </c>
      <c r="AC227" s="307"/>
      <c r="AD227" s="304"/>
      <c r="AE227" s="304"/>
      <c r="AF227" s="304"/>
      <c r="AG227" s="304"/>
      <c r="AH227" s="326"/>
      <c r="AI227" s="297">
        <f t="shared" si="28"/>
        <v>0</v>
      </c>
      <c r="AJ227" s="304"/>
      <c r="AK227" s="304"/>
      <c r="AL227" s="304"/>
      <c r="AM227" s="304"/>
      <c r="AN227" s="304"/>
      <c r="AO227" s="304"/>
      <c r="AP227" s="304"/>
      <c r="AQ227" s="289">
        <f t="shared" si="29"/>
        <v>0</v>
      </c>
      <c r="AR227" s="304"/>
      <c r="AS227" s="304"/>
      <c r="AT227" s="304" t="s">
        <v>510</v>
      </c>
      <c r="AU227" s="304" t="s">
        <v>510</v>
      </c>
      <c r="AV227" s="304" t="s">
        <v>510</v>
      </c>
      <c r="AW227" s="303" t="s">
        <v>510</v>
      </c>
      <c r="AX227" s="303">
        <v>40</v>
      </c>
      <c r="AY227" s="139">
        <f t="shared" si="30"/>
        <v>40</v>
      </c>
      <c r="AZ227" s="304" t="s">
        <v>504</v>
      </c>
      <c r="BA227" s="303"/>
      <c r="BB227" s="303"/>
      <c r="BC227" s="303"/>
      <c r="BD227" s="303"/>
      <c r="BE227" s="303"/>
      <c r="BF227" s="303"/>
      <c r="BG227" s="353">
        <f t="shared" si="31"/>
        <v>0</v>
      </c>
      <c r="BH227" s="303"/>
      <c r="BI227" s="303"/>
      <c r="BJ227" s="354">
        <f t="shared" si="25"/>
        <v>3</v>
      </c>
      <c r="BK227" s="316" t="str">
        <f t="shared" si="32"/>
        <v>Habilitado</v>
      </c>
    </row>
    <row r="228" spans="1:63" ht="38.25" x14ac:dyDescent="0.25">
      <c r="A228" s="332">
        <v>226</v>
      </c>
      <c r="B228" s="333" t="s">
        <v>2233</v>
      </c>
      <c r="C228" s="333" t="s">
        <v>2229</v>
      </c>
      <c r="D228" s="333" t="s">
        <v>140</v>
      </c>
      <c r="E228" s="365">
        <v>1</v>
      </c>
      <c r="F228" s="406" t="s">
        <v>510</v>
      </c>
      <c r="G228" s="406" t="s">
        <v>510</v>
      </c>
      <c r="H228" s="406" t="s">
        <v>510</v>
      </c>
      <c r="I228" s="406" t="s">
        <v>510</v>
      </c>
      <c r="J228" s="406">
        <v>40</v>
      </c>
      <c r="K228" s="29">
        <f t="shared" si="26"/>
        <v>40</v>
      </c>
      <c r="L228" s="314" t="s">
        <v>504</v>
      </c>
      <c r="M228" s="406" t="s">
        <v>551</v>
      </c>
      <c r="N228" s="406"/>
      <c r="O228" s="406"/>
      <c r="P228" s="406"/>
      <c r="Q228" s="406"/>
      <c r="R228" s="406"/>
      <c r="S228" s="406"/>
      <c r="T228" s="406"/>
      <c r="U228" s="406"/>
      <c r="V228" s="406" t="s">
        <v>510</v>
      </c>
      <c r="W228" s="406" t="s">
        <v>510</v>
      </c>
      <c r="X228" s="406" t="s">
        <v>510</v>
      </c>
      <c r="Y228" s="350" t="s">
        <v>510</v>
      </c>
      <c r="Z228" s="304">
        <v>20</v>
      </c>
      <c r="AA228" s="350">
        <f t="shared" si="27"/>
        <v>20</v>
      </c>
      <c r="AB228" s="307" t="s">
        <v>504</v>
      </c>
      <c r="AC228" s="307"/>
      <c r="AD228" s="327"/>
      <c r="AE228" s="327"/>
      <c r="AF228" s="327"/>
      <c r="AG228" s="327"/>
      <c r="AH228" s="334"/>
      <c r="AI228" s="297">
        <f t="shared" si="28"/>
        <v>0</v>
      </c>
      <c r="AJ228" s="327"/>
      <c r="AK228" s="327"/>
      <c r="AL228" s="327"/>
      <c r="AM228" s="327"/>
      <c r="AN228" s="327"/>
      <c r="AO228" s="327"/>
      <c r="AP228" s="327"/>
      <c r="AQ228" s="289">
        <f t="shared" si="29"/>
        <v>0</v>
      </c>
      <c r="AR228" s="327"/>
      <c r="AS228" s="327"/>
      <c r="AT228" s="327" t="s">
        <v>510</v>
      </c>
      <c r="AU228" s="327" t="s">
        <v>510</v>
      </c>
      <c r="AV228" s="327" t="s">
        <v>510</v>
      </c>
      <c r="AW228" s="303" t="s">
        <v>510</v>
      </c>
      <c r="AX228" s="303">
        <v>40</v>
      </c>
      <c r="AY228" s="139">
        <f t="shared" si="30"/>
        <v>40</v>
      </c>
      <c r="AZ228" s="327" t="s">
        <v>504</v>
      </c>
      <c r="BA228" s="303"/>
      <c r="BB228" s="303"/>
      <c r="BC228" s="303"/>
      <c r="BD228" s="303"/>
      <c r="BE228" s="303"/>
      <c r="BF228" s="303"/>
      <c r="BG228" s="353">
        <f t="shared" si="31"/>
        <v>0</v>
      </c>
      <c r="BH228" s="303"/>
      <c r="BI228" s="303"/>
      <c r="BJ228" s="354">
        <f t="shared" si="25"/>
        <v>3</v>
      </c>
      <c r="BK228" s="316" t="str">
        <f t="shared" si="32"/>
        <v>Habilitado</v>
      </c>
    </row>
    <row r="229" spans="1:63" ht="102" x14ac:dyDescent="0.25">
      <c r="A229" s="332">
        <v>227</v>
      </c>
      <c r="B229" s="333" t="s">
        <v>2234</v>
      </c>
      <c r="C229" s="333" t="s">
        <v>2229</v>
      </c>
      <c r="D229" s="333" t="s">
        <v>140</v>
      </c>
      <c r="E229" s="365">
        <v>1</v>
      </c>
      <c r="F229" s="406" t="s">
        <v>510</v>
      </c>
      <c r="G229" s="406" t="s">
        <v>510</v>
      </c>
      <c r="H229" s="406" t="s">
        <v>510</v>
      </c>
      <c r="I229" s="406" t="s">
        <v>510</v>
      </c>
      <c r="J229" s="406">
        <v>40</v>
      </c>
      <c r="K229" s="29">
        <f t="shared" si="26"/>
        <v>40</v>
      </c>
      <c r="L229" s="314" t="s">
        <v>504</v>
      </c>
      <c r="M229" s="406" t="s">
        <v>551</v>
      </c>
      <c r="N229" s="406"/>
      <c r="O229" s="406"/>
      <c r="P229" s="406"/>
      <c r="Q229" s="406"/>
      <c r="R229" s="406"/>
      <c r="S229" s="406"/>
      <c r="T229" s="406"/>
      <c r="U229" s="406"/>
      <c r="V229" s="406" t="s">
        <v>510</v>
      </c>
      <c r="W229" s="406" t="s">
        <v>510</v>
      </c>
      <c r="X229" s="406" t="s">
        <v>510</v>
      </c>
      <c r="Y229" s="350" t="s">
        <v>510</v>
      </c>
      <c r="Z229" s="304">
        <v>20</v>
      </c>
      <c r="AA229" s="350">
        <f t="shared" si="27"/>
        <v>20</v>
      </c>
      <c r="AB229" s="307" t="s">
        <v>504</v>
      </c>
      <c r="AC229" s="307"/>
      <c r="AD229" s="327"/>
      <c r="AE229" s="327"/>
      <c r="AF229" s="327"/>
      <c r="AG229" s="327"/>
      <c r="AH229" s="334"/>
      <c r="AI229" s="297">
        <f t="shared" si="28"/>
        <v>0</v>
      </c>
      <c r="AJ229" s="327"/>
      <c r="AK229" s="327"/>
      <c r="AL229" s="327"/>
      <c r="AM229" s="327"/>
      <c r="AN229" s="327"/>
      <c r="AO229" s="327"/>
      <c r="AP229" s="327"/>
      <c r="AQ229" s="289">
        <f t="shared" si="29"/>
        <v>0</v>
      </c>
      <c r="AR229" s="327"/>
      <c r="AS229" s="327"/>
      <c r="AT229" s="327" t="s">
        <v>510</v>
      </c>
      <c r="AU229" s="327" t="s">
        <v>510</v>
      </c>
      <c r="AV229" s="327" t="s">
        <v>510</v>
      </c>
      <c r="AW229" s="303" t="s">
        <v>510</v>
      </c>
      <c r="AX229" s="303">
        <v>40</v>
      </c>
      <c r="AY229" s="139">
        <f t="shared" si="30"/>
        <v>40</v>
      </c>
      <c r="AZ229" s="327" t="s">
        <v>504</v>
      </c>
      <c r="BA229" s="303"/>
      <c r="BB229" s="303"/>
      <c r="BC229" s="303"/>
      <c r="BD229" s="303"/>
      <c r="BE229" s="303"/>
      <c r="BF229" s="303"/>
      <c r="BG229" s="353">
        <f t="shared" si="31"/>
        <v>0</v>
      </c>
      <c r="BH229" s="303"/>
      <c r="BI229" s="303"/>
      <c r="BJ229" s="354">
        <f t="shared" si="25"/>
        <v>3</v>
      </c>
      <c r="BK229" s="316" t="str">
        <f t="shared" si="32"/>
        <v>Habilitado</v>
      </c>
    </row>
    <row r="230" spans="1:63" ht="102" x14ac:dyDescent="0.25">
      <c r="A230" s="324">
        <v>228</v>
      </c>
      <c r="B230" s="345" t="s">
        <v>2235</v>
      </c>
      <c r="C230" s="335" t="s">
        <v>2229</v>
      </c>
      <c r="D230" s="360" t="s">
        <v>140</v>
      </c>
      <c r="E230" s="347">
        <v>1</v>
      </c>
      <c r="F230" s="314" t="s">
        <v>510</v>
      </c>
      <c r="G230" s="314" t="s">
        <v>510</v>
      </c>
      <c r="H230" s="314" t="s">
        <v>510</v>
      </c>
      <c r="I230" s="314" t="s">
        <v>510</v>
      </c>
      <c r="J230" s="314">
        <v>40</v>
      </c>
      <c r="K230" s="29">
        <f t="shared" si="26"/>
        <v>40</v>
      </c>
      <c r="L230" s="314" t="s">
        <v>504</v>
      </c>
      <c r="M230" s="314"/>
      <c r="N230" s="314"/>
      <c r="O230" s="314"/>
      <c r="P230" s="314"/>
      <c r="Q230" s="314"/>
      <c r="R230" s="314"/>
      <c r="S230" s="314"/>
      <c r="T230" s="314"/>
      <c r="U230" s="314"/>
      <c r="V230" s="350" t="s">
        <v>510</v>
      </c>
      <c r="W230" s="350" t="s">
        <v>510</v>
      </c>
      <c r="X230" s="350" t="s">
        <v>510</v>
      </c>
      <c r="Y230" s="350" t="s">
        <v>510</v>
      </c>
      <c r="Z230" s="304">
        <v>20</v>
      </c>
      <c r="AA230" s="350">
        <f t="shared" si="27"/>
        <v>20</v>
      </c>
      <c r="AB230" s="307" t="s">
        <v>504</v>
      </c>
      <c r="AC230" s="307"/>
      <c r="AD230" s="303"/>
      <c r="AE230" s="303"/>
      <c r="AF230" s="303"/>
      <c r="AG230" s="303"/>
      <c r="AH230" s="314"/>
      <c r="AI230" s="297">
        <f t="shared" si="28"/>
        <v>0</v>
      </c>
      <c r="AJ230" s="303"/>
      <c r="AK230" s="303"/>
      <c r="AL230" s="303"/>
      <c r="AM230" s="303"/>
      <c r="AN230" s="303"/>
      <c r="AO230" s="303"/>
      <c r="AP230" s="303"/>
      <c r="AQ230" s="289">
        <f t="shared" si="29"/>
        <v>0</v>
      </c>
      <c r="AR230" s="303"/>
      <c r="AS230" s="303"/>
      <c r="AT230" s="303" t="s">
        <v>510</v>
      </c>
      <c r="AU230" s="303" t="s">
        <v>510</v>
      </c>
      <c r="AV230" s="303" t="s">
        <v>510</v>
      </c>
      <c r="AW230" s="303" t="s">
        <v>510</v>
      </c>
      <c r="AX230" s="303">
        <v>40</v>
      </c>
      <c r="AY230" s="139">
        <f t="shared" si="30"/>
        <v>40</v>
      </c>
      <c r="AZ230" s="327" t="s">
        <v>504</v>
      </c>
      <c r="BA230" s="303"/>
      <c r="BB230" s="303"/>
      <c r="BC230" s="303"/>
      <c r="BD230" s="303"/>
      <c r="BE230" s="303"/>
      <c r="BF230" s="303"/>
      <c r="BG230" s="353">
        <f t="shared" si="31"/>
        <v>0</v>
      </c>
      <c r="BH230" s="303"/>
      <c r="BI230" s="303"/>
      <c r="BJ230" s="354">
        <f t="shared" si="25"/>
        <v>3</v>
      </c>
      <c r="BK230" s="316" t="str">
        <f t="shared" si="32"/>
        <v>Habilitado</v>
      </c>
    </row>
    <row r="231" spans="1:63" ht="102" x14ac:dyDescent="0.25">
      <c r="A231" s="324">
        <v>229</v>
      </c>
      <c r="B231" s="345" t="s">
        <v>2236</v>
      </c>
      <c r="C231" s="357" t="s">
        <v>2229</v>
      </c>
      <c r="D231" s="360" t="s">
        <v>140</v>
      </c>
      <c r="E231" s="347">
        <v>1</v>
      </c>
      <c r="F231" s="314" t="s">
        <v>510</v>
      </c>
      <c r="G231" s="314" t="s">
        <v>510</v>
      </c>
      <c r="H231" s="314" t="s">
        <v>510</v>
      </c>
      <c r="I231" s="314" t="s">
        <v>510</v>
      </c>
      <c r="J231" s="314">
        <v>40</v>
      </c>
      <c r="K231" s="29">
        <f t="shared" si="26"/>
        <v>40</v>
      </c>
      <c r="L231" s="314" t="s">
        <v>504</v>
      </c>
      <c r="M231" s="314"/>
      <c r="N231" s="314"/>
      <c r="O231" s="314"/>
      <c r="P231" s="314"/>
      <c r="Q231" s="314"/>
      <c r="R231" s="314"/>
      <c r="S231" s="314"/>
      <c r="T231" s="314"/>
      <c r="U231" s="314"/>
      <c r="V231" s="350" t="s">
        <v>510</v>
      </c>
      <c r="W231" s="350" t="s">
        <v>510</v>
      </c>
      <c r="X231" s="350" t="s">
        <v>510</v>
      </c>
      <c r="Y231" s="350" t="s">
        <v>510</v>
      </c>
      <c r="Z231" s="304">
        <v>20</v>
      </c>
      <c r="AA231" s="350">
        <f t="shared" si="27"/>
        <v>20</v>
      </c>
      <c r="AB231" s="307" t="s">
        <v>504</v>
      </c>
      <c r="AC231" s="307"/>
      <c r="AD231" s="303"/>
      <c r="AE231" s="303"/>
      <c r="AF231" s="303"/>
      <c r="AG231" s="303"/>
      <c r="AH231" s="314"/>
      <c r="AI231" s="297">
        <f t="shared" si="28"/>
        <v>0</v>
      </c>
      <c r="AJ231" s="303"/>
      <c r="AK231" s="301"/>
      <c r="AL231" s="303"/>
      <c r="AM231" s="303"/>
      <c r="AN231" s="303"/>
      <c r="AO231" s="303"/>
      <c r="AP231" s="303"/>
      <c r="AQ231" s="289">
        <f t="shared" si="29"/>
        <v>0</v>
      </c>
      <c r="AR231" s="303"/>
      <c r="AS231" s="303"/>
      <c r="AT231" s="303" t="s">
        <v>510</v>
      </c>
      <c r="AU231" s="303" t="s">
        <v>510</v>
      </c>
      <c r="AV231" s="303" t="s">
        <v>510</v>
      </c>
      <c r="AW231" s="303" t="s">
        <v>510</v>
      </c>
      <c r="AX231" s="303">
        <v>40</v>
      </c>
      <c r="AY231" s="139">
        <f t="shared" si="30"/>
        <v>40</v>
      </c>
      <c r="AZ231" s="327" t="s">
        <v>504</v>
      </c>
      <c r="BA231" s="303"/>
      <c r="BB231" s="303"/>
      <c r="BC231" s="303"/>
      <c r="BD231" s="303"/>
      <c r="BE231" s="303"/>
      <c r="BF231" s="303"/>
      <c r="BG231" s="353">
        <f t="shared" si="31"/>
        <v>0</v>
      </c>
      <c r="BH231" s="303"/>
      <c r="BI231" s="303"/>
      <c r="BJ231" s="354">
        <f t="shared" si="25"/>
        <v>3</v>
      </c>
      <c r="BK231" s="316" t="str">
        <f t="shared" si="32"/>
        <v>Habilitado</v>
      </c>
    </row>
    <row r="232" spans="1:63" ht="89.25" x14ac:dyDescent="0.25">
      <c r="A232" s="324">
        <v>230</v>
      </c>
      <c r="B232" s="345" t="s">
        <v>2237</v>
      </c>
      <c r="C232" s="335" t="s">
        <v>2229</v>
      </c>
      <c r="D232" s="357" t="s">
        <v>140</v>
      </c>
      <c r="E232" s="347">
        <v>1</v>
      </c>
      <c r="F232" s="314"/>
      <c r="G232" s="314"/>
      <c r="H232" s="314"/>
      <c r="I232" s="314"/>
      <c r="J232" s="314"/>
      <c r="K232" s="29">
        <f t="shared" si="26"/>
        <v>0</v>
      </c>
      <c r="L232" s="314"/>
      <c r="M232" s="314"/>
      <c r="N232" s="314"/>
      <c r="O232" s="314"/>
      <c r="P232" s="314"/>
      <c r="Q232" s="314"/>
      <c r="R232" s="314"/>
      <c r="S232" s="314"/>
      <c r="T232" s="314"/>
      <c r="U232" s="314"/>
      <c r="V232" s="350"/>
      <c r="W232" s="350"/>
      <c r="X232" s="350"/>
      <c r="Y232" s="350"/>
      <c r="Z232" s="307"/>
      <c r="AA232" s="350">
        <f t="shared" si="27"/>
        <v>0</v>
      </c>
      <c r="AB232" s="307"/>
      <c r="AC232" s="307"/>
      <c r="AD232" s="303"/>
      <c r="AE232" s="303"/>
      <c r="AF232" s="303"/>
      <c r="AG232" s="303"/>
      <c r="AH232" s="314"/>
      <c r="AI232" s="297">
        <f t="shared" si="28"/>
        <v>0</v>
      </c>
      <c r="AJ232" s="303"/>
      <c r="AK232" s="303"/>
      <c r="AL232" s="303"/>
      <c r="AM232" s="303"/>
      <c r="AN232" s="303"/>
      <c r="AO232" s="303"/>
      <c r="AP232" s="303"/>
      <c r="AQ232" s="289">
        <f t="shared" si="29"/>
        <v>0</v>
      </c>
      <c r="AR232" s="303"/>
      <c r="AS232" s="303"/>
      <c r="AT232" s="303" t="s">
        <v>510</v>
      </c>
      <c r="AU232" s="303" t="s">
        <v>510</v>
      </c>
      <c r="AV232" s="303" t="s">
        <v>519</v>
      </c>
      <c r="AW232" s="303" t="s">
        <v>510</v>
      </c>
      <c r="AX232" s="303">
        <v>0</v>
      </c>
      <c r="AY232" s="139">
        <f t="shared" si="30"/>
        <v>0</v>
      </c>
      <c r="AZ232" s="327" t="s">
        <v>593</v>
      </c>
      <c r="BA232" s="301" t="s">
        <v>2238</v>
      </c>
      <c r="BB232" s="303"/>
      <c r="BC232" s="303"/>
      <c r="BD232" s="303"/>
      <c r="BE232" s="303"/>
      <c r="BF232" s="303"/>
      <c r="BG232" s="353">
        <f t="shared" si="31"/>
        <v>0</v>
      </c>
      <c r="BH232" s="303"/>
      <c r="BI232" s="303"/>
      <c r="BJ232" s="354">
        <f t="shared" si="25"/>
        <v>0</v>
      </c>
      <c r="BK232" s="316" t="str">
        <f t="shared" si="32"/>
        <v>Desierto</v>
      </c>
    </row>
    <row r="233" spans="1:63" ht="102" x14ac:dyDescent="0.25">
      <c r="A233" s="324">
        <v>231</v>
      </c>
      <c r="B233" s="345" t="s">
        <v>2239</v>
      </c>
      <c r="C233" s="357" t="s">
        <v>2229</v>
      </c>
      <c r="D233" s="360" t="s">
        <v>140</v>
      </c>
      <c r="E233" s="347">
        <v>1</v>
      </c>
      <c r="F233" s="314" t="s">
        <v>510</v>
      </c>
      <c r="G233" s="314" t="s">
        <v>510</v>
      </c>
      <c r="H233" s="314" t="s">
        <v>510</v>
      </c>
      <c r="I233" s="314" t="s">
        <v>510</v>
      </c>
      <c r="J233" s="314">
        <v>40</v>
      </c>
      <c r="K233" s="29">
        <f t="shared" si="26"/>
        <v>40</v>
      </c>
      <c r="L233" s="314" t="s">
        <v>504</v>
      </c>
      <c r="M233" s="314"/>
      <c r="N233" s="314"/>
      <c r="O233" s="314"/>
      <c r="P233" s="314"/>
      <c r="Q233" s="314"/>
      <c r="R233" s="314"/>
      <c r="S233" s="314"/>
      <c r="T233" s="314"/>
      <c r="U233" s="314"/>
      <c r="V233" s="350" t="s">
        <v>510</v>
      </c>
      <c r="W233" s="350" t="s">
        <v>510</v>
      </c>
      <c r="X233" s="350" t="s">
        <v>510</v>
      </c>
      <c r="Y233" s="350" t="s">
        <v>510</v>
      </c>
      <c r="Z233" s="304">
        <v>20</v>
      </c>
      <c r="AA233" s="350">
        <f t="shared" si="27"/>
        <v>20</v>
      </c>
      <c r="AB233" s="307" t="s">
        <v>504</v>
      </c>
      <c r="AC233" s="307"/>
      <c r="AD233" s="303"/>
      <c r="AE233" s="303"/>
      <c r="AF233" s="303"/>
      <c r="AG233" s="303"/>
      <c r="AH233" s="314"/>
      <c r="AI233" s="297">
        <f t="shared" si="28"/>
        <v>0</v>
      </c>
      <c r="AJ233" s="303"/>
      <c r="AK233" s="303"/>
      <c r="AL233" s="303"/>
      <c r="AM233" s="303"/>
      <c r="AN233" s="303"/>
      <c r="AO233" s="303"/>
      <c r="AP233" s="303"/>
      <c r="AQ233" s="289">
        <f t="shared" si="29"/>
        <v>0</v>
      </c>
      <c r="AR233" s="303"/>
      <c r="AS233" s="303"/>
      <c r="AT233" s="303" t="s">
        <v>510</v>
      </c>
      <c r="AU233" s="303" t="s">
        <v>510</v>
      </c>
      <c r="AV233" s="303" t="s">
        <v>510</v>
      </c>
      <c r="AW233" s="303" t="s">
        <v>510</v>
      </c>
      <c r="AX233" s="303">
        <v>40</v>
      </c>
      <c r="AY233" s="139">
        <f t="shared" si="30"/>
        <v>40</v>
      </c>
      <c r="AZ233" s="327" t="s">
        <v>504</v>
      </c>
      <c r="BA233" s="303"/>
      <c r="BB233" s="303"/>
      <c r="BC233" s="303"/>
      <c r="BD233" s="303"/>
      <c r="BE233" s="303"/>
      <c r="BF233" s="303"/>
      <c r="BG233" s="353">
        <f t="shared" si="31"/>
        <v>0</v>
      </c>
      <c r="BH233" s="303"/>
      <c r="BI233" s="303"/>
      <c r="BJ233" s="354">
        <f t="shared" si="25"/>
        <v>3</v>
      </c>
      <c r="BK233" s="316" t="str">
        <f t="shared" si="32"/>
        <v>Habilitado</v>
      </c>
    </row>
    <row r="234" spans="1:63" ht="102" x14ac:dyDescent="0.25">
      <c r="A234" s="324">
        <v>232</v>
      </c>
      <c r="B234" s="325" t="s">
        <v>2240</v>
      </c>
      <c r="C234" s="325" t="s">
        <v>2229</v>
      </c>
      <c r="D234" s="325" t="s">
        <v>140</v>
      </c>
      <c r="E234" s="362">
        <v>1</v>
      </c>
      <c r="F234" s="406"/>
      <c r="G234" s="406"/>
      <c r="H234" s="406"/>
      <c r="I234" s="406"/>
      <c r="J234" s="406"/>
      <c r="K234" s="29">
        <f t="shared" si="26"/>
        <v>0</v>
      </c>
      <c r="L234" s="406"/>
      <c r="M234" s="406"/>
      <c r="N234" s="406"/>
      <c r="O234" s="406"/>
      <c r="P234" s="406"/>
      <c r="Q234" s="406"/>
      <c r="R234" s="406"/>
      <c r="S234" s="406"/>
      <c r="T234" s="406"/>
      <c r="U234" s="406"/>
      <c r="V234" s="350"/>
      <c r="W234" s="350"/>
      <c r="X234" s="350"/>
      <c r="Y234" s="350"/>
      <c r="Z234" s="307"/>
      <c r="AA234" s="350">
        <f t="shared" si="27"/>
        <v>0</v>
      </c>
      <c r="AB234" s="307"/>
      <c r="AC234" s="307"/>
      <c r="AD234" s="304"/>
      <c r="AE234" s="304"/>
      <c r="AF234" s="304"/>
      <c r="AG234" s="304"/>
      <c r="AH234" s="326"/>
      <c r="AI234" s="297">
        <f t="shared" si="28"/>
        <v>0</v>
      </c>
      <c r="AJ234" s="304"/>
      <c r="AK234" s="304"/>
      <c r="AL234" s="304"/>
      <c r="AM234" s="304"/>
      <c r="AN234" s="304"/>
      <c r="AO234" s="304"/>
      <c r="AP234" s="304"/>
      <c r="AQ234" s="289">
        <f t="shared" si="29"/>
        <v>0</v>
      </c>
      <c r="AR234" s="304"/>
      <c r="AS234" s="304"/>
      <c r="AT234" s="304" t="s">
        <v>510</v>
      </c>
      <c r="AU234" s="304" t="s">
        <v>510</v>
      </c>
      <c r="AV234" s="304" t="s">
        <v>510</v>
      </c>
      <c r="AW234" s="303" t="s">
        <v>510</v>
      </c>
      <c r="AX234" s="303">
        <v>40</v>
      </c>
      <c r="AY234" s="139">
        <f t="shared" si="30"/>
        <v>40</v>
      </c>
      <c r="AZ234" s="327" t="s">
        <v>504</v>
      </c>
      <c r="BA234" s="303"/>
      <c r="BB234" s="303"/>
      <c r="BC234" s="303"/>
      <c r="BD234" s="303"/>
      <c r="BE234" s="303"/>
      <c r="BF234" s="303"/>
      <c r="BG234" s="353">
        <f t="shared" si="31"/>
        <v>0</v>
      </c>
      <c r="BH234" s="303"/>
      <c r="BI234" s="303"/>
      <c r="BJ234" s="354">
        <f t="shared" si="25"/>
        <v>1</v>
      </c>
      <c r="BK234" s="316" t="str">
        <f t="shared" si="32"/>
        <v>Habilitado</v>
      </c>
    </row>
    <row r="235" spans="1:63" ht="102" x14ac:dyDescent="0.25">
      <c r="A235" s="324">
        <v>233</v>
      </c>
      <c r="B235" s="345" t="s">
        <v>2241</v>
      </c>
      <c r="C235" s="335" t="s">
        <v>2229</v>
      </c>
      <c r="D235" s="360" t="s">
        <v>140</v>
      </c>
      <c r="E235" s="347">
        <v>1</v>
      </c>
      <c r="F235" s="314" t="s">
        <v>510</v>
      </c>
      <c r="G235" s="314" t="s">
        <v>510</v>
      </c>
      <c r="H235" s="314" t="s">
        <v>510</v>
      </c>
      <c r="I235" s="314" t="s">
        <v>510</v>
      </c>
      <c r="J235" s="314">
        <v>40</v>
      </c>
      <c r="K235" s="29">
        <f t="shared" si="26"/>
        <v>40</v>
      </c>
      <c r="L235" s="314" t="s">
        <v>504</v>
      </c>
      <c r="M235" s="314"/>
      <c r="N235" s="314"/>
      <c r="O235" s="314"/>
      <c r="P235" s="314"/>
      <c r="Q235" s="314"/>
      <c r="R235" s="314"/>
      <c r="S235" s="314"/>
      <c r="T235" s="314"/>
      <c r="U235" s="314"/>
      <c r="V235" s="350" t="s">
        <v>510</v>
      </c>
      <c r="W235" s="350" t="s">
        <v>510</v>
      </c>
      <c r="X235" s="350" t="s">
        <v>510</v>
      </c>
      <c r="Y235" s="350" t="s">
        <v>510</v>
      </c>
      <c r="Z235" s="304">
        <v>20</v>
      </c>
      <c r="AA235" s="350">
        <f t="shared" si="27"/>
        <v>20</v>
      </c>
      <c r="AB235" s="307" t="s">
        <v>504</v>
      </c>
      <c r="AC235" s="307"/>
      <c r="AD235" s="303"/>
      <c r="AE235" s="303"/>
      <c r="AF235" s="303"/>
      <c r="AG235" s="303"/>
      <c r="AH235" s="314"/>
      <c r="AI235" s="297">
        <f t="shared" si="28"/>
        <v>0</v>
      </c>
      <c r="AJ235" s="303"/>
      <c r="AK235" s="303"/>
      <c r="AL235" s="303"/>
      <c r="AM235" s="303"/>
      <c r="AN235" s="303"/>
      <c r="AO235" s="303"/>
      <c r="AP235" s="303"/>
      <c r="AQ235" s="289">
        <f t="shared" si="29"/>
        <v>0</v>
      </c>
      <c r="AR235" s="303"/>
      <c r="AS235" s="303"/>
      <c r="AT235" s="303" t="s">
        <v>510</v>
      </c>
      <c r="AU235" s="303" t="s">
        <v>510</v>
      </c>
      <c r="AV235" s="303" t="s">
        <v>510</v>
      </c>
      <c r="AW235" s="303" t="s">
        <v>510</v>
      </c>
      <c r="AX235" s="303">
        <v>40</v>
      </c>
      <c r="AY235" s="139">
        <f t="shared" si="30"/>
        <v>40</v>
      </c>
      <c r="AZ235" s="327" t="s">
        <v>504</v>
      </c>
      <c r="BA235" s="301"/>
      <c r="BB235" s="303"/>
      <c r="BC235" s="303"/>
      <c r="BD235" s="303"/>
      <c r="BE235" s="303"/>
      <c r="BF235" s="303"/>
      <c r="BG235" s="353">
        <f t="shared" si="31"/>
        <v>0</v>
      </c>
      <c r="BH235" s="303"/>
      <c r="BI235" s="303"/>
      <c r="BJ235" s="354">
        <f t="shared" si="25"/>
        <v>3</v>
      </c>
      <c r="BK235" s="316" t="str">
        <f t="shared" si="32"/>
        <v>Habilitado</v>
      </c>
    </row>
    <row r="236" spans="1:63" ht="25.5" x14ac:dyDescent="0.25">
      <c r="A236" s="324">
        <v>234</v>
      </c>
      <c r="B236" s="345" t="s">
        <v>2242</v>
      </c>
      <c r="C236" s="357" t="s">
        <v>518</v>
      </c>
      <c r="D236" s="360" t="s">
        <v>2243</v>
      </c>
      <c r="E236" s="347">
        <v>1</v>
      </c>
      <c r="F236" s="314"/>
      <c r="G236" s="314"/>
      <c r="H236" s="314"/>
      <c r="I236" s="314"/>
      <c r="J236" s="314"/>
      <c r="K236" s="29">
        <f t="shared" si="26"/>
        <v>0</v>
      </c>
      <c r="L236" s="314"/>
      <c r="M236" s="314"/>
      <c r="N236" s="314"/>
      <c r="O236" s="314"/>
      <c r="P236" s="314"/>
      <c r="Q236" s="314"/>
      <c r="R236" s="314"/>
      <c r="S236" s="314"/>
      <c r="T236" s="314"/>
      <c r="U236" s="314"/>
      <c r="V236" s="350"/>
      <c r="W236" s="350"/>
      <c r="X236" s="350"/>
      <c r="Y236" s="350"/>
      <c r="Z236" s="307"/>
      <c r="AA236" s="350">
        <f t="shared" si="27"/>
        <v>0</v>
      </c>
      <c r="AB236" s="307"/>
      <c r="AC236" s="307"/>
      <c r="AD236" s="303"/>
      <c r="AE236" s="303"/>
      <c r="AF236" s="303"/>
      <c r="AG236" s="303"/>
      <c r="AH236" s="314"/>
      <c r="AI236" s="297">
        <f t="shared" si="28"/>
        <v>0</v>
      </c>
      <c r="AJ236" s="303"/>
      <c r="AK236" s="303"/>
      <c r="AL236" s="303"/>
      <c r="AM236" s="303"/>
      <c r="AN236" s="303"/>
      <c r="AO236" s="303"/>
      <c r="AP236" s="303"/>
      <c r="AQ236" s="289">
        <f t="shared" si="29"/>
        <v>0</v>
      </c>
      <c r="AR236" s="303"/>
      <c r="AS236" s="303"/>
      <c r="AT236" s="303" t="s">
        <v>510</v>
      </c>
      <c r="AU236" s="303" t="s">
        <v>510</v>
      </c>
      <c r="AV236" s="303" t="s">
        <v>510</v>
      </c>
      <c r="AW236" s="303" t="s">
        <v>510</v>
      </c>
      <c r="AX236" s="303">
        <v>40</v>
      </c>
      <c r="AY236" s="139">
        <f t="shared" si="30"/>
        <v>40</v>
      </c>
      <c r="AZ236" s="327" t="s">
        <v>504</v>
      </c>
      <c r="BA236" s="301"/>
      <c r="BB236" s="303"/>
      <c r="BC236" s="303"/>
      <c r="BD236" s="303"/>
      <c r="BE236" s="303"/>
      <c r="BF236" s="303"/>
      <c r="BG236" s="353">
        <f t="shared" si="31"/>
        <v>0</v>
      </c>
      <c r="BH236" s="303"/>
      <c r="BI236" s="303"/>
      <c r="BJ236" s="354">
        <f t="shared" si="25"/>
        <v>1</v>
      </c>
      <c r="BK236" s="316" t="str">
        <f t="shared" si="32"/>
        <v>Habilitado</v>
      </c>
    </row>
    <row r="237" spans="1:63" ht="38.25" x14ac:dyDescent="0.25">
      <c r="A237" s="324">
        <v>235</v>
      </c>
      <c r="B237" s="345" t="s">
        <v>2244</v>
      </c>
      <c r="C237" s="335" t="s">
        <v>518</v>
      </c>
      <c r="D237" s="360" t="s">
        <v>140</v>
      </c>
      <c r="E237" s="347">
        <v>1</v>
      </c>
      <c r="F237" s="314"/>
      <c r="G237" s="314"/>
      <c r="H237" s="314"/>
      <c r="I237" s="314"/>
      <c r="J237" s="314"/>
      <c r="K237" s="29">
        <f t="shared" si="26"/>
        <v>0</v>
      </c>
      <c r="L237" s="314"/>
      <c r="M237" s="314"/>
      <c r="N237" s="314"/>
      <c r="O237" s="314"/>
      <c r="P237" s="314"/>
      <c r="Q237" s="314"/>
      <c r="R237" s="314"/>
      <c r="S237" s="314"/>
      <c r="T237" s="314"/>
      <c r="U237" s="314"/>
      <c r="V237" s="350"/>
      <c r="W237" s="350"/>
      <c r="X237" s="350"/>
      <c r="Y237" s="350"/>
      <c r="Z237" s="307"/>
      <c r="AA237" s="350">
        <f t="shared" si="27"/>
        <v>0</v>
      </c>
      <c r="AB237" s="307"/>
      <c r="AC237" s="307"/>
      <c r="AD237" s="303"/>
      <c r="AE237" s="303"/>
      <c r="AF237" s="303"/>
      <c r="AG237" s="303"/>
      <c r="AH237" s="314"/>
      <c r="AI237" s="297">
        <f t="shared" si="28"/>
        <v>0</v>
      </c>
      <c r="AJ237" s="303"/>
      <c r="AK237" s="303"/>
      <c r="AL237" s="303"/>
      <c r="AM237" s="303"/>
      <c r="AN237" s="303"/>
      <c r="AO237" s="303"/>
      <c r="AP237" s="303"/>
      <c r="AQ237" s="289">
        <f t="shared" si="29"/>
        <v>0</v>
      </c>
      <c r="AR237" s="303"/>
      <c r="AS237" s="303"/>
      <c r="AT237" s="329"/>
      <c r="AU237" s="329"/>
      <c r="AV237" s="329"/>
      <c r="AW237" s="329"/>
      <c r="AX237" s="329"/>
      <c r="AY237" s="139">
        <f t="shared" si="30"/>
        <v>0</v>
      </c>
      <c r="AZ237" s="303"/>
      <c r="BA237" s="303"/>
      <c r="BB237" s="303"/>
      <c r="BC237" s="303"/>
      <c r="BD237" s="303"/>
      <c r="BE237" s="303"/>
      <c r="BF237" s="303"/>
      <c r="BG237" s="353">
        <f t="shared" si="31"/>
        <v>0</v>
      </c>
      <c r="BH237" s="303"/>
      <c r="BI237" s="304"/>
      <c r="BJ237" s="354">
        <f t="shared" si="25"/>
        <v>0</v>
      </c>
      <c r="BK237" s="316" t="str">
        <f t="shared" si="32"/>
        <v>Desierto</v>
      </c>
    </row>
    <row r="238" spans="1:63" ht="38.25" x14ac:dyDescent="0.25">
      <c r="A238" s="324">
        <v>236</v>
      </c>
      <c r="B238" s="345" t="s">
        <v>2245</v>
      </c>
      <c r="C238" s="335" t="s">
        <v>518</v>
      </c>
      <c r="D238" s="360" t="s">
        <v>140</v>
      </c>
      <c r="E238" s="347">
        <v>1</v>
      </c>
      <c r="F238" s="314"/>
      <c r="G238" s="314"/>
      <c r="H238" s="314"/>
      <c r="I238" s="314"/>
      <c r="J238" s="314"/>
      <c r="K238" s="29">
        <f t="shared" si="26"/>
        <v>0</v>
      </c>
      <c r="L238" s="314"/>
      <c r="M238" s="314"/>
      <c r="N238" s="314"/>
      <c r="O238" s="314"/>
      <c r="P238" s="314"/>
      <c r="Q238" s="314"/>
      <c r="R238" s="314"/>
      <c r="S238" s="314"/>
      <c r="T238" s="314"/>
      <c r="U238" s="314"/>
      <c r="V238" s="350"/>
      <c r="W238" s="350"/>
      <c r="X238" s="350"/>
      <c r="Y238" s="350"/>
      <c r="Z238" s="307"/>
      <c r="AA238" s="350">
        <f t="shared" si="27"/>
        <v>0</v>
      </c>
      <c r="AB238" s="307"/>
      <c r="AC238" s="307"/>
      <c r="AD238" s="303" t="s">
        <v>510</v>
      </c>
      <c r="AE238" s="303" t="s">
        <v>510</v>
      </c>
      <c r="AF238" s="303" t="s">
        <v>510</v>
      </c>
      <c r="AG238" s="322" t="s">
        <v>510</v>
      </c>
      <c r="AH238" s="314">
        <v>0</v>
      </c>
      <c r="AI238" s="297">
        <f t="shared" si="28"/>
        <v>0</v>
      </c>
      <c r="AJ238" s="303" t="s">
        <v>504</v>
      </c>
      <c r="AK238" s="303"/>
      <c r="AL238" s="303"/>
      <c r="AM238" s="303"/>
      <c r="AN238" s="303"/>
      <c r="AO238" s="303"/>
      <c r="AP238" s="303"/>
      <c r="AQ238" s="289">
        <f t="shared" si="29"/>
        <v>0</v>
      </c>
      <c r="AR238" s="303"/>
      <c r="AS238" s="303"/>
      <c r="AT238" s="329"/>
      <c r="AU238" s="329"/>
      <c r="AV238" s="329"/>
      <c r="AW238" s="329"/>
      <c r="AX238" s="329"/>
      <c r="AY238" s="139">
        <f t="shared" si="30"/>
        <v>0</v>
      </c>
      <c r="AZ238" s="303"/>
      <c r="BA238" s="303"/>
      <c r="BB238" s="356" t="s">
        <v>519</v>
      </c>
      <c r="BC238" s="356" t="s">
        <v>519</v>
      </c>
      <c r="BD238" s="356" t="s">
        <v>519</v>
      </c>
      <c r="BE238" s="303" t="s">
        <v>510</v>
      </c>
      <c r="BF238" s="352">
        <v>0</v>
      </c>
      <c r="BG238" s="353">
        <f t="shared" si="31"/>
        <v>0</v>
      </c>
      <c r="BH238" s="303" t="s">
        <v>520</v>
      </c>
      <c r="BI238" s="303" t="s">
        <v>1877</v>
      </c>
      <c r="BJ238" s="354">
        <f t="shared" si="25"/>
        <v>1</v>
      </c>
      <c r="BK238" s="316" t="str">
        <f t="shared" si="32"/>
        <v>Habilitado</v>
      </c>
    </row>
    <row r="239" spans="1:63" ht="38.25" x14ac:dyDescent="0.25">
      <c r="A239" s="324">
        <v>237</v>
      </c>
      <c r="B239" s="345" t="s">
        <v>2246</v>
      </c>
      <c r="C239" s="335" t="s">
        <v>518</v>
      </c>
      <c r="D239" s="360" t="s">
        <v>140</v>
      </c>
      <c r="E239" s="347">
        <v>1</v>
      </c>
      <c r="F239" s="314"/>
      <c r="G239" s="314"/>
      <c r="H239" s="314"/>
      <c r="I239" s="314"/>
      <c r="J239" s="314"/>
      <c r="K239" s="29">
        <f t="shared" si="26"/>
        <v>0</v>
      </c>
      <c r="L239" s="314"/>
      <c r="M239" s="314"/>
      <c r="N239" s="314"/>
      <c r="O239" s="314"/>
      <c r="P239" s="314"/>
      <c r="Q239" s="314"/>
      <c r="R239" s="314"/>
      <c r="S239" s="314"/>
      <c r="T239" s="314"/>
      <c r="U239" s="314"/>
      <c r="V239" s="350"/>
      <c r="W239" s="350"/>
      <c r="X239" s="350"/>
      <c r="Y239" s="350"/>
      <c r="Z239" s="307"/>
      <c r="AA239" s="350">
        <f t="shared" si="27"/>
        <v>0</v>
      </c>
      <c r="AB239" s="307"/>
      <c r="AC239" s="307"/>
      <c r="AD239" s="303" t="s">
        <v>510</v>
      </c>
      <c r="AE239" s="303" t="s">
        <v>510</v>
      </c>
      <c r="AF239" s="303" t="s">
        <v>511</v>
      </c>
      <c r="AG239" s="322" t="s">
        <v>510</v>
      </c>
      <c r="AH239" s="314">
        <v>0</v>
      </c>
      <c r="AI239" s="297">
        <f t="shared" si="28"/>
        <v>0</v>
      </c>
      <c r="AJ239" s="303" t="s">
        <v>504</v>
      </c>
      <c r="AK239" s="361"/>
      <c r="AL239" s="303"/>
      <c r="AM239" s="303"/>
      <c r="AN239" s="303"/>
      <c r="AO239" s="303"/>
      <c r="AP239" s="303"/>
      <c r="AQ239" s="289">
        <f t="shared" si="29"/>
        <v>0</v>
      </c>
      <c r="AR239" s="314"/>
      <c r="AS239" s="314"/>
      <c r="AT239" s="329"/>
      <c r="AU239" s="329"/>
      <c r="AV239" s="329"/>
      <c r="AW239" s="329"/>
      <c r="AX239" s="329"/>
      <c r="AY239" s="139">
        <f t="shared" si="30"/>
        <v>0</v>
      </c>
      <c r="AZ239" s="375"/>
      <c r="BA239" s="375"/>
      <c r="BB239" s="356" t="s">
        <v>519</v>
      </c>
      <c r="BC239" s="356" t="s">
        <v>519</v>
      </c>
      <c r="BD239" s="356" t="s">
        <v>511</v>
      </c>
      <c r="BE239" s="303" t="s">
        <v>510</v>
      </c>
      <c r="BF239" s="352">
        <v>0</v>
      </c>
      <c r="BG239" s="353">
        <f t="shared" si="31"/>
        <v>0</v>
      </c>
      <c r="BH239" s="303" t="s">
        <v>520</v>
      </c>
      <c r="BI239" s="303" t="s">
        <v>1877</v>
      </c>
      <c r="BJ239" s="354">
        <f t="shared" si="25"/>
        <v>1</v>
      </c>
      <c r="BK239" s="316" t="str">
        <f t="shared" si="32"/>
        <v>Habilitado</v>
      </c>
    </row>
    <row r="240" spans="1:63" ht="63.75" x14ac:dyDescent="0.25">
      <c r="A240" s="324">
        <v>238</v>
      </c>
      <c r="B240" s="345" t="s">
        <v>2247</v>
      </c>
      <c r="C240" s="335" t="s">
        <v>2248</v>
      </c>
      <c r="D240" s="360" t="s">
        <v>2249</v>
      </c>
      <c r="E240" s="347">
        <v>1</v>
      </c>
      <c r="F240" s="314"/>
      <c r="G240" s="314"/>
      <c r="H240" s="314"/>
      <c r="I240" s="314"/>
      <c r="J240" s="314"/>
      <c r="K240" s="29">
        <f t="shared" si="26"/>
        <v>0</v>
      </c>
      <c r="L240" s="314"/>
      <c r="M240" s="314"/>
      <c r="N240" s="314"/>
      <c r="O240" s="314"/>
      <c r="P240" s="314"/>
      <c r="Q240" s="314"/>
      <c r="R240" s="314"/>
      <c r="S240" s="314"/>
      <c r="T240" s="314"/>
      <c r="U240" s="314"/>
      <c r="V240" s="350"/>
      <c r="W240" s="350"/>
      <c r="X240" s="350"/>
      <c r="Y240" s="350"/>
      <c r="Z240" s="307"/>
      <c r="AA240" s="350">
        <f t="shared" si="27"/>
        <v>0</v>
      </c>
      <c r="AB240" s="307"/>
      <c r="AC240" s="307"/>
      <c r="AD240" s="303"/>
      <c r="AE240" s="303"/>
      <c r="AF240" s="303"/>
      <c r="AG240" s="303"/>
      <c r="AH240" s="314"/>
      <c r="AI240" s="297">
        <f t="shared" si="28"/>
        <v>0</v>
      </c>
      <c r="AJ240" s="303"/>
      <c r="AK240" s="303"/>
      <c r="AL240" s="303"/>
      <c r="AM240" s="303"/>
      <c r="AN240" s="303"/>
      <c r="AO240" s="303"/>
      <c r="AP240" s="303"/>
      <c r="AQ240" s="289">
        <f t="shared" si="29"/>
        <v>0</v>
      </c>
      <c r="AR240" s="303"/>
      <c r="AS240" s="303"/>
      <c r="AT240" s="329"/>
      <c r="AU240" s="329"/>
      <c r="AV240" s="329"/>
      <c r="AW240" s="329"/>
      <c r="AX240" s="329"/>
      <c r="AY240" s="139">
        <f t="shared" si="30"/>
        <v>0</v>
      </c>
      <c r="AZ240" s="303"/>
      <c r="BA240" s="303"/>
      <c r="BB240" s="303"/>
      <c r="BC240" s="303"/>
      <c r="BD240" s="303"/>
      <c r="BE240" s="303"/>
      <c r="BF240" s="303"/>
      <c r="BG240" s="353">
        <f t="shared" si="31"/>
        <v>0</v>
      </c>
      <c r="BH240" s="303"/>
      <c r="BI240" s="303"/>
      <c r="BJ240" s="354">
        <f t="shared" si="25"/>
        <v>0</v>
      </c>
      <c r="BK240" s="316" t="str">
        <f t="shared" si="32"/>
        <v>Desierto</v>
      </c>
    </row>
    <row r="241" spans="1:63" ht="51" x14ac:dyDescent="0.25">
      <c r="A241" s="324">
        <v>239</v>
      </c>
      <c r="B241" s="345" t="s">
        <v>2250</v>
      </c>
      <c r="C241" s="335" t="s">
        <v>518</v>
      </c>
      <c r="D241" s="360" t="s">
        <v>1942</v>
      </c>
      <c r="E241" s="347">
        <v>1</v>
      </c>
      <c r="F241" s="314" t="s">
        <v>510</v>
      </c>
      <c r="G241" s="314" t="s">
        <v>519</v>
      </c>
      <c r="H241" s="314" t="s">
        <v>511</v>
      </c>
      <c r="I241" s="314" t="s">
        <v>510</v>
      </c>
      <c r="J241" s="406">
        <v>0</v>
      </c>
      <c r="K241" s="29">
        <f t="shared" si="26"/>
        <v>0</v>
      </c>
      <c r="L241" s="314" t="s">
        <v>520</v>
      </c>
      <c r="M241" s="407" t="s">
        <v>2251</v>
      </c>
      <c r="N241" s="407"/>
      <c r="O241" s="407"/>
      <c r="P241" s="407"/>
      <c r="Q241" s="407"/>
      <c r="R241" s="407"/>
      <c r="S241" s="407"/>
      <c r="T241" s="407"/>
      <c r="U241" s="407"/>
      <c r="V241" s="350"/>
      <c r="W241" s="350"/>
      <c r="X241" s="350"/>
      <c r="Y241" s="350"/>
      <c r="Z241" s="307"/>
      <c r="AA241" s="350">
        <f t="shared" si="27"/>
        <v>0</v>
      </c>
      <c r="AB241" s="307"/>
      <c r="AC241" s="307"/>
      <c r="AD241" s="303" t="s">
        <v>510</v>
      </c>
      <c r="AE241" s="303" t="s">
        <v>510</v>
      </c>
      <c r="AF241" s="303" t="s">
        <v>511</v>
      </c>
      <c r="AG241" s="322" t="s">
        <v>510</v>
      </c>
      <c r="AH241" s="314">
        <v>0</v>
      </c>
      <c r="AI241" s="297">
        <f t="shared" si="28"/>
        <v>0</v>
      </c>
      <c r="AJ241" s="303" t="s">
        <v>504</v>
      </c>
      <c r="AK241" s="361"/>
      <c r="AL241" s="303"/>
      <c r="AM241" s="303"/>
      <c r="AN241" s="303"/>
      <c r="AO241" s="303"/>
      <c r="AP241" s="303"/>
      <c r="AQ241" s="289">
        <f t="shared" si="29"/>
        <v>0</v>
      </c>
      <c r="AR241" s="314"/>
      <c r="AS241" s="314"/>
      <c r="AT241" s="329"/>
      <c r="AU241" s="329"/>
      <c r="AV241" s="329"/>
      <c r="AW241" s="329"/>
      <c r="AX241" s="329"/>
      <c r="AY241" s="139">
        <f t="shared" si="30"/>
        <v>0</v>
      </c>
      <c r="AZ241" s="375"/>
      <c r="BA241" s="375"/>
      <c r="BB241" s="356" t="s">
        <v>519</v>
      </c>
      <c r="BC241" s="356" t="s">
        <v>519</v>
      </c>
      <c r="BD241" s="356" t="s">
        <v>511</v>
      </c>
      <c r="BE241" s="303" t="s">
        <v>510</v>
      </c>
      <c r="BF241" s="352">
        <v>0</v>
      </c>
      <c r="BG241" s="353">
        <f t="shared" si="31"/>
        <v>0</v>
      </c>
      <c r="BH241" s="303" t="s">
        <v>520</v>
      </c>
      <c r="BI241" s="303" t="s">
        <v>1877</v>
      </c>
      <c r="BJ241" s="354">
        <f t="shared" si="25"/>
        <v>1</v>
      </c>
      <c r="BK241" s="316" t="str">
        <f t="shared" si="32"/>
        <v>Habilitado</v>
      </c>
    </row>
    <row r="242" spans="1:63" ht="38.25" x14ac:dyDescent="0.25">
      <c r="A242" s="324">
        <v>240</v>
      </c>
      <c r="B242" s="345" t="s">
        <v>2252</v>
      </c>
      <c r="C242" s="335" t="s">
        <v>2253</v>
      </c>
      <c r="D242" s="360" t="s">
        <v>2254</v>
      </c>
      <c r="E242" s="347">
        <v>1</v>
      </c>
      <c r="F242" s="314"/>
      <c r="G242" s="314"/>
      <c r="H242" s="314"/>
      <c r="I242" s="314"/>
      <c r="J242" s="314"/>
      <c r="K242" s="29">
        <f t="shared" si="26"/>
        <v>0</v>
      </c>
      <c r="L242" s="314"/>
      <c r="M242" s="314"/>
      <c r="N242" s="314"/>
      <c r="O242" s="314"/>
      <c r="P242" s="314"/>
      <c r="Q242" s="314"/>
      <c r="R242" s="314"/>
      <c r="S242" s="314"/>
      <c r="T242" s="314"/>
      <c r="U242" s="314"/>
      <c r="V242" s="350"/>
      <c r="W242" s="350"/>
      <c r="X242" s="350"/>
      <c r="Y242" s="350"/>
      <c r="Z242" s="307"/>
      <c r="AA242" s="350">
        <f t="shared" si="27"/>
        <v>0</v>
      </c>
      <c r="AB242" s="307"/>
      <c r="AC242" s="307"/>
      <c r="AD242" s="303"/>
      <c r="AE242" s="303"/>
      <c r="AF242" s="303"/>
      <c r="AG242" s="303"/>
      <c r="AH242" s="314"/>
      <c r="AI242" s="297">
        <f t="shared" si="28"/>
        <v>0</v>
      </c>
      <c r="AJ242" s="303"/>
      <c r="AK242" s="303"/>
      <c r="AL242" s="303"/>
      <c r="AM242" s="303"/>
      <c r="AN242" s="303"/>
      <c r="AO242" s="303"/>
      <c r="AP242" s="303"/>
      <c r="AQ242" s="289">
        <f t="shared" si="29"/>
        <v>0</v>
      </c>
      <c r="AR242" s="303"/>
      <c r="AS242" s="303"/>
      <c r="AT242" s="329"/>
      <c r="AU242" s="329"/>
      <c r="AV242" s="329"/>
      <c r="AW242" s="329"/>
      <c r="AX242" s="329"/>
      <c r="AY242" s="139">
        <f t="shared" si="30"/>
        <v>0</v>
      </c>
      <c r="AZ242" s="303"/>
      <c r="BA242" s="303"/>
      <c r="BB242" s="303"/>
      <c r="BC242" s="303"/>
      <c r="BD242" s="303"/>
      <c r="BE242" s="303"/>
      <c r="BF242" s="303"/>
      <c r="BG242" s="353">
        <f t="shared" si="31"/>
        <v>0</v>
      </c>
      <c r="BH242" s="303"/>
      <c r="BI242" s="301"/>
      <c r="BJ242" s="354">
        <f t="shared" si="25"/>
        <v>0</v>
      </c>
      <c r="BK242" s="316" t="str">
        <f t="shared" si="32"/>
        <v>Desierto</v>
      </c>
    </row>
    <row r="243" spans="1:63" ht="36" customHeight="1" x14ac:dyDescent="0.25">
      <c r="A243" s="324">
        <v>241</v>
      </c>
      <c r="B243" s="345" t="s">
        <v>2255</v>
      </c>
      <c r="C243" s="335" t="s">
        <v>2256</v>
      </c>
      <c r="D243" s="360" t="s">
        <v>140</v>
      </c>
      <c r="E243" s="347">
        <v>1</v>
      </c>
      <c r="F243" s="314" t="s">
        <v>510</v>
      </c>
      <c r="G243" s="314" t="s">
        <v>510</v>
      </c>
      <c r="H243" s="314" t="s">
        <v>510</v>
      </c>
      <c r="I243" s="314" t="s">
        <v>510</v>
      </c>
      <c r="J243" s="314">
        <v>40</v>
      </c>
      <c r="K243" s="29">
        <f t="shared" si="26"/>
        <v>40</v>
      </c>
      <c r="L243" s="314" t="s">
        <v>504</v>
      </c>
      <c r="M243" s="407"/>
      <c r="N243" s="407"/>
      <c r="O243" s="407"/>
      <c r="P243" s="407"/>
      <c r="Q243" s="407"/>
      <c r="R243" s="407"/>
      <c r="S243" s="407"/>
      <c r="T243" s="407"/>
      <c r="U243" s="407"/>
      <c r="V243" s="350"/>
      <c r="W243" s="350"/>
      <c r="X243" s="350"/>
      <c r="Y243" s="350"/>
      <c r="Z243" s="307"/>
      <c r="AA243" s="350">
        <f t="shared" si="27"/>
        <v>0</v>
      </c>
      <c r="AB243" s="307"/>
      <c r="AC243" s="307"/>
      <c r="AD243" s="303"/>
      <c r="AE243" s="303"/>
      <c r="AF243" s="303"/>
      <c r="AG243" s="303"/>
      <c r="AH243" s="314"/>
      <c r="AI243" s="297">
        <f t="shared" si="28"/>
        <v>0</v>
      </c>
      <c r="AJ243" s="303"/>
      <c r="AK243" s="361"/>
      <c r="AL243" s="303"/>
      <c r="AM243" s="303"/>
      <c r="AN243" s="303"/>
      <c r="AO243" s="303"/>
      <c r="AP243" s="303"/>
      <c r="AQ243" s="289">
        <f t="shared" si="29"/>
        <v>0</v>
      </c>
      <c r="AR243" s="314"/>
      <c r="AS243" s="314"/>
      <c r="AT243" s="329"/>
      <c r="AU243" s="329"/>
      <c r="AV243" s="329"/>
      <c r="AW243" s="329"/>
      <c r="AX243" s="329"/>
      <c r="AY243" s="139">
        <f t="shared" si="30"/>
        <v>0</v>
      </c>
      <c r="AZ243" s="375"/>
      <c r="BA243" s="375"/>
      <c r="BB243" s="303"/>
      <c r="BC243" s="303"/>
      <c r="BD243" s="303"/>
      <c r="BE243" s="303"/>
      <c r="BF243" s="303"/>
      <c r="BG243" s="353">
        <f t="shared" si="31"/>
        <v>0</v>
      </c>
      <c r="BH243" s="303"/>
      <c r="BI243" s="301"/>
      <c r="BJ243" s="354">
        <f t="shared" si="25"/>
        <v>1</v>
      </c>
      <c r="BK243" s="316" t="str">
        <f t="shared" si="32"/>
        <v>Habilitado</v>
      </c>
    </row>
    <row r="244" spans="1:63" ht="25.5" x14ac:dyDescent="0.25">
      <c r="A244" s="324">
        <v>242</v>
      </c>
      <c r="B244" s="345" t="s">
        <v>2257</v>
      </c>
      <c r="C244" s="335" t="s">
        <v>2258</v>
      </c>
      <c r="D244" s="360" t="s">
        <v>140</v>
      </c>
      <c r="E244" s="347">
        <v>1</v>
      </c>
      <c r="F244" s="314" t="s">
        <v>510</v>
      </c>
      <c r="G244" s="314" t="s">
        <v>510</v>
      </c>
      <c r="H244" s="314" t="s">
        <v>511</v>
      </c>
      <c r="I244" s="314" t="s">
        <v>510</v>
      </c>
      <c r="J244" s="314">
        <v>40</v>
      </c>
      <c r="K244" s="29">
        <f t="shared" si="26"/>
        <v>40</v>
      </c>
      <c r="L244" s="314" t="s">
        <v>504</v>
      </c>
      <c r="M244" s="314"/>
      <c r="N244" s="314"/>
      <c r="O244" s="314"/>
      <c r="P244" s="314"/>
      <c r="Q244" s="314"/>
      <c r="R244" s="314"/>
      <c r="S244" s="314"/>
      <c r="T244" s="314"/>
      <c r="U244" s="314"/>
      <c r="V244" s="350"/>
      <c r="W244" s="350"/>
      <c r="X244" s="350"/>
      <c r="Y244" s="350"/>
      <c r="Z244" s="307"/>
      <c r="AA244" s="350">
        <f t="shared" si="27"/>
        <v>0</v>
      </c>
      <c r="AB244" s="307"/>
      <c r="AC244" s="307"/>
      <c r="AD244" s="303"/>
      <c r="AE244" s="303"/>
      <c r="AF244" s="303"/>
      <c r="AG244" s="303"/>
      <c r="AH244" s="314"/>
      <c r="AI244" s="297">
        <f t="shared" si="28"/>
        <v>0</v>
      </c>
      <c r="AJ244" s="303"/>
      <c r="AK244" s="303"/>
      <c r="AL244" s="303"/>
      <c r="AM244" s="303"/>
      <c r="AN244" s="303"/>
      <c r="AO244" s="303"/>
      <c r="AP244" s="303"/>
      <c r="AQ244" s="289">
        <f t="shared" si="29"/>
        <v>0</v>
      </c>
      <c r="AR244" s="303"/>
      <c r="AS244" s="303"/>
      <c r="AT244" s="329"/>
      <c r="AU244" s="329"/>
      <c r="AV244" s="329"/>
      <c r="AW244" s="329"/>
      <c r="AX244" s="329"/>
      <c r="AY244" s="139">
        <f t="shared" si="30"/>
        <v>0</v>
      </c>
      <c r="AZ244" s="303"/>
      <c r="BA244" s="303"/>
      <c r="BB244" s="303"/>
      <c r="BC244" s="303"/>
      <c r="BD244" s="303"/>
      <c r="BE244" s="303"/>
      <c r="BF244" s="303"/>
      <c r="BG244" s="353">
        <f t="shared" si="31"/>
        <v>0</v>
      </c>
      <c r="BH244" s="303"/>
      <c r="BI244" s="301"/>
      <c r="BJ244" s="354">
        <f t="shared" si="25"/>
        <v>1</v>
      </c>
      <c r="BK244" s="316" t="str">
        <f t="shared" si="32"/>
        <v>Habilitado</v>
      </c>
    </row>
    <row r="245" spans="1:63" ht="79.5" customHeight="1" x14ac:dyDescent="0.25">
      <c r="A245" s="324">
        <v>243</v>
      </c>
      <c r="B245" s="345" t="s">
        <v>2259</v>
      </c>
      <c r="C245" s="357" t="s">
        <v>2260</v>
      </c>
      <c r="D245" s="360" t="s">
        <v>140</v>
      </c>
      <c r="E245" s="347">
        <v>1</v>
      </c>
      <c r="F245" s="314" t="s">
        <v>510</v>
      </c>
      <c r="G245" s="314" t="s">
        <v>510</v>
      </c>
      <c r="H245" s="314" t="s">
        <v>511</v>
      </c>
      <c r="I245" s="314" t="s">
        <v>510</v>
      </c>
      <c r="J245" s="314">
        <v>40</v>
      </c>
      <c r="K245" s="29">
        <f t="shared" si="26"/>
        <v>40</v>
      </c>
      <c r="L245" s="314" t="s">
        <v>504</v>
      </c>
      <c r="M245" s="314"/>
      <c r="N245" s="314"/>
      <c r="O245" s="314"/>
      <c r="P245" s="314"/>
      <c r="Q245" s="314"/>
      <c r="R245" s="314"/>
      <c r="S245" s="314"/>
      <c r="T245" s="314"/>
      <c r="U245" s="314"/>
      <c r="V245" s="350"/>
      <c r="W245" s="350"/>
      <c r="X245" s="350"/>
      <c r="Y245" s="350"/>
      <c r="Z245" s="307"/>
      <c r="AA245" s="350">
        <f t="shared" si="27"/>
        <v>0</v>
      </c>
      <c r="AB245" s="307"/>
      <c r="AC245" s="307"/>
      <c r="AD245" s="303"/>
      <c r="AE245" s="303"/>
      <c r="AF245" s="303"/>
      <c r="AG245" s="303"/>
      <c r="AH245" s="314"/>
      <c r="AI245" s="297">
        <f t="shared" si="28"/>
        <v>0</v>
      </c>
      <c r="AJ245" s="303"/>
      <c r="AK245" s="303"/>
      <c r="AL245" s="303"/>
      <c r="AM245" s="303"/>
      <c r="AN245" s="303"/>
      <c r="AO245" s="303"/>
      <c r="AP245" s="303"/>
      <c r="AQ245" s="289">
        <f t="shared" si="29"/>
        <v>0</v>
      </c>
      <c r="AR245" s="303"/>
      <c r="AS245" s="303"/>
      <c r="AT245" s="329"/>
      <c r="AU245" s="329"/>
      <c r="AV245" s="329"/>
      <c r="AW245" s="329"/>
      <c r="AX245" s="329"/>
      <c r="AY245" s="139">
        <f t="shared" si="30"/>
        <v>0</v>
      </c>
      <c r="AZ245" s="303"/>
      <c r="BA245" s="301"/>
      <c r="BB245" s="303"/>
      <c r="BC245" s="303"/>
      <c r="BD245" s="303"/>
      <c r="BE245" s="303"/>
      <c r="BF245" s="303"/>
      <c r="BG245" s="353">
        <f t="shared" si="31"/>
        <v>0</v>
      </c>
      <c r="BH245" s="303"/>
      <c r="BI245" s="303"/>
      <c r="BJ245" s="354">
        <f t="shared" si="25"/>
        <v>1</v>
      </c>
      <c r="BK245" s="316" t="str">
        <f t="shared" si="32"/>
        <v>Habilitado</v>
      </c>
    </row>
    <row r="246" spans="1:63" ht="25.5" x14ac:dyDescent="0.25">
      <c r="A246" s="324">
        <v>244</v>
      </c>
      <c r="B246" s="345" t="s">
        <v>2261</v>
      </c>
      <c r="C246" s="335" t="s">
        <v>518</v>
      </c>
      <c r="D246" s="360" t="s">
        <v>140</v>
      </c>
      <c r="E246" s="347">
        <v>1</v>
      </c>
      <c r="F246" s="314"/>
      <c r="G246" s="314"/>
      <c r="H246" s="314"/>
      <c r="I246" s="314"/>
      <c r="J246" s="314"/>
      <c r="K246" s="29">
        <f t="shared" si="26"/>
        <v>0</v>
      </c>
      <c r="L246" s="314"/>
      <c r="M246" s="314"/>
      <c r="N246" s="314"/>
      <c r="O246" s="314"/>
      <c r="P246" s="314"/>
      <c r="Q246" s="314"/>
      <c r="R246" s="314"/>
      <c r="S246" s="314"/>
      <c r="T246" s="314"/>
      <c r="U246" s="314"/>
      <c r="V246" s="350"/>
      <c r="W246" s="350"/>
      <c r="X246" s="350"/>
      <c r="Y246" s="350"/>
      <c r="Z246" s="307"/>
      <c r="AA246" s="350">
        <f t="shared" si="27"/>
        <v>0</v>
      </c>
      <c r="AB246" s="307"/>
      <c r="AC246" s="307"/>
      <c r="AD246" s="303"/>
      <c r="AE246" s="303"/>
      <c r="AF246" s="303"/>
      <c r="AG246" s="303"/>
      <c r="AH246" s="314"/>
      <c r="AI246" s="297">
        <f t="shared" si="28"/>
        <v>0</v>
      </c>
      <c r="AJ246" s="303"/>
      <c r="AK246" s="303"/>
      <c r="AL246" s="303"/>
      <c r="AM246" s="303"/>
      <c r="AN246" s="303"/>
      <c r="AO246" s="303"/>
      <c r="AP246" s="303"/>
      <c r="AQ246" s="289">
        <f t="shared" si="29"/>
        <v>0</v>
      </c>
      <c r="AR246" s="303"/>
      <c r="AS246" s="303"/>
      <c r="AT246" s="329"/>
      <c r="AU246" s="329"/>
      <c r="AV246" s="329"/>
      <c r="AW246" s="329"/>
      <c r="AX246" s="329"/>
      <c r="AY246" s="139">
        <f t="shared" si="30"/>
        <v>0</v>
      </c>
      <c r="AZ246" s="303"/>
      <c r="BA246" s="303"/>
      <c r="BB246" s="303"/>
      <c r="BC246" s="303"/>
      <c r="BD246" s="303"/>
      <c r="BE246" s="303"/>
      <c r="BF246" s="303"/>
      <c r="BG246" s="353">
        <f t="shared" si="31"/>
        <v>0</v>
      </c>
      <c r="BH246" s="303"/>
      <c r="BI246" s="303"/>
      <c r="BJ246" s="354">
        <f t="shared" si="25"/>
        <v>0</v>
      </c>
      <c r="BK246" s="316" t="str">
        <f t="shared" si="32"/>
        <v>Desierto</v>
      </c>
    </row>
    <row r="247" spans="1:63" x14ac:dyDescent="0.25">
      <c r="A247" s="324">
        <v>245</v>
      </c>
      <c r="B247" s="345" t="s">
        <v>2262</v>
      </c>
      <c r="C247" s="335" t="s">
        <v>518</v>
      </c>
      <c r="D247" s="360" t="s">
        <v>2263</v>
      </c>
      <c r="E247" s="347">
        <v>1</v>
      </c>
      <c r="F247" s="314" t="s">
        <v>510</v>
      </c>
      <c r="G247" s="314" t="s">
        <v>510</v>
      </c>
      <c r="H247" s="314" t="s">
        <v>511</v>
      </c>
      <c r="I247" s="314" t="s">
        <v>510</v>
      </c>
      <c r="J247" s="314">
        <v>40</v>
      </c>
      <c r="K247" s="29">
        <f t="shared" si="26"/>
        <v>40</v>
      </c>
      <c r="L247" s="314" t="s">
        <v>504</v>
      </c>
      <c r="M247" s="314"/>
      <c r="N247" s="314"/>
      <c r="O247" s="314"/>
      <c r="P247" s="314"/>
      <c r="Q247" s="314"/>
      <c r="R247" s="314"/>
      <c r="S247" s="314"/>
      <c r="T247" s="314"/>
      <c r="U247" s="314"/>
      <c r="V247" s="350"/>
      <c r="W247" s="350"/>
      <c r="X247" s="350"/>
      <c r="Y247" s="350"/>
      <c r="Z247" s="307"/>
      <c r="AA247" s="350">
        <f t="shared" si="27"/>
        <v>0</v>
      </c>
      <c r="AB247" s="307"/>
      <c r="AC247" s="307"/>
      <c r="AD247" s="303" t="s">
        <v>510</v>
      </c>
      <c r="AE247" s="303" t="s">
        <v>510</v>
      </c>
      <c r="AF247" s="303" t="s">
        <v>511</v>
      </c>
      <c r="AG247" s="322" t="s">
        <v>510</v>
      </c>
      <c r="AH247" s="314">
        <v>0</v>
      </c>
      <c r="AI247" s="297">
        <f t="shared" si="28"/>
        <v>0</v>
      </c>
      <c r="AJ247" s="303" t="s">
        <v>504</v>
      </c>
      <c r="AK247" s="303"/>
      <c r="AL247" s="303"/>
      <c r="AM247" s="303"/>
      <c r="AN247" s="303"/>
      <c r="AO247" s="303"/>
      <c r="AP247" s="303"/>
      <c r="AQ247" s="289">
        <f t="shared" si="29"/>
        <v>0</v>
      </c>
      <c r="AR247" s="303"/>
      <c r="AS247" s="303"/>
      <c r="AT247" s="329"/>
      <c r="AU247" s="329"/>
      <c r="AV247" s="329"/>
      <c r="AW247" s="329"/>
      <c r="AX247" s="329"/>
      <c r="AY247" s="139">
        <f t="shared" si="30"/>
        <v>0</v>
      </c>
      <c r="AZ247" s="303"/>
      <c r="BA247" s="303"/>
      <c r="BB247" s="356" t="s">
        <v>519</v>
      </c>
      <c r="BC247" s="356" t="s">
        <v>519</v>
      </c>
      <c r="BD247" s="356" t="s">
        <v>511</v>
      </c>
      <c r="BE247" s="303" t="s">
        <v>510</v>
      </c>
      <c r="BF247" s="352">
        <v>0</v>
      </c>
      <c r="BG247" s="353">
        <f t="shared" si="31"/>
        <v>0</v>
      </c>
      <c r="BH247" s="303" t="s">
        <v>520</v>
      </c>
      <c r="BI247" s="303" t="s">
        <v>1877</v>
      </c>
      <c r="BJ247" s="354">
        <f t="shared" si="25"/>
        <v>2</v>
      </c>
      <c r="BK247" s="316" t="str">
        <f t="shared" si="32"/>
        <v>Habilitado</v>
      </c>
    </row>
    <row r="248" spans="1:63" ht="38.25" x14ac:dyDescent="0.25">
      <c r="A248" s="324">
        <v>246</v>
      </c>
      <c r="B248" s="345" t="s">
        <v>2264</v>
      </c>
      <c r="C248" s="335" t="s">
        <v>518</v>
      </c>
      <c r="D248" s="360" t="s">
        <v>2265</v>
      </c>
      <c r="E248" s="347">
        <v>1</v>
      </c>
      <c r="F248" s="314" t="s">
        <v>519</v>
      </c>
      <c r="G248" s="314" t="s">
        <v>519</v>
      </c>
      <c r="H248" s="314" t="s">
        <v>511</v>
      </c>
      <c r="I248" s="314" t="s">
        <v>510</v>
      </c>
      <c r="J248" s="314">
        <v>0</v>
      </c>
      <c r="K248" s="29">
        <f t="shared" si="26"/>
        <v>0</v>
      </c>
      <c r="L248" s="314" t="s">
        <v>520</v>
      </c>
      <c r="M248" s="407" t="s">
        <v>2266</v>
      </c>
      <c r="N248" s="407"/>
      <c r="O248" s="407"/>
      <c r="P248" s="407"/>
      <c r="Q248" s="407"/>
      <c r="R248" s="407"/>
      <c r="S248" s="407"/>
      <c r="T248" s="407"/>
      <c r="U248" s="407"/>
      <c r="V248" s="350"/>
      <c r="W248" s="350"/>
      <c r="X248" s="350"/>
      <c r="Y248" s="350"/>
      <c r="Z248" s="307"/>
      <c r="AA248" s="350">
        <f t="shared" si="27"/>
        <v>0</v>
      </c>
      <c r="AB248" s="307"/>
      <c r="AC248" s="307"/>
      <c r="AD248" s="303" t="s">
        <v>519</v>
      </c>
      <c r="AE248" s="303" t="s">
        <v>519</v>
      </c>
      <c r="AF248" s="303" t="s">
        <v>511</v>
      </c>
      <c r="AG248" s="322" t="s">
        <v>510</v>
      </c>
      <c r="AH248" s="314">
        <v>0</v>
      </c>
      <c r="AI248" s="297">
        <f t="shared" si="28"/>
        <v>0</v>
      </c>
      <c r="AJ248" s="303" t="s">
        <v>520</v>
      </c>
      <c r="AK248" s="361" t="s">
        <v>2267</v>
      </c>
      <c r="AL248" s="303"/>
      <c r="AM248" s="303"/>
      <c r="AN248" s="303"/>
      <c r="AO248" s="303"/>
      <c r="AP248" s="303"/>
      <c r="AQ248" s="289">
        <f t="shared" si="29"/>
        <v>0</v>
      </c>
      <c r="AR248" s="314"/>
      <c r="AS248" s="314"/>
      <c r="AT248" s="329"/>
      <c r="AU248" s="329"/>
      <c r="AV248" s="329"/>
      <c r="AW248" s="329"/>
      <c r="AX248" s="329"/>
      <c r="AY248" s="139">
        <f t="shared" si="30"/>
        <v>0</v>
      </c>
      <c r="AZ248" s="375"/>
      <c r="BA248" s="375"/>
      <c r="BB248" s="303"/>
      <c r="BC248" s="303"/>
      <c r="BD248" s="303"/>
      <c r="BE248" s="303"/>
      <c r="BF248" s="303"/>
      <c r="BG248" s="353">
        <f t="shared" si="31"/>
        <v>0</v>
      </c>
      <c r="BH248" s="303"/>
      <c r="BI248" s="303"/>
      <c r="BJ248" s="354">
        <f t="shared" si="25"/>
        <v>0</v>
      </c>
      <c r="BK248" s="316" t="str">
        <f t="shared" si="32"/>
        <v>Desierto</v>
      </c>
    </row>
    <row r="249" spans="1:63" ht="25.5" x14ac:dyDescent="0.25">
      <c r="A249" s="324">
        <v>247</v>
      </c>
      <c r="B249" s="345" t="s">
        <v>2268</v>
      </c>
      <c r="C249" s="335" t="s">
        <v>518</v>
      </c>
      <c r="D249" s="360" t="s">
        <v>2269</v>
      </c>
      <c r="E249" s="347">
        <v>1</v>
      </c>
      <c r="F249" s="314" t="s">
        <v>519</v>
      </c>
      <c r="G249" s="314" t="s">
        <v>519</v>
      </c>
      <c r="H249" s="314" t="s">
        <v>511</v>
      </c>
      <c r="I249" s="314" t="s">
        <v>510</v>
      </c>
      <c r="J249" s="314">
        <v>0</v>
      </c>
      <c r="K249" s="29">
        <f t="shared" si="26"/>
        <v>0</v>
      </c>
      <c r="L249" s="314" t="s">
        <v>520</v>
      </c>
      <c r="M249" s="407" t="s">
        <v>2270</v>
      </c>
      <c r="N249" s="407"/>
      <c r="O249" s="407"/>
      <c r="P249" s="407"/>
      <c r="Q249" s="407"/>
      <c r="R249" s="407"/>
      <c r="S249" s="407"/>
      <c r="T249" s="407"/>
      <c r="U249" s="407"/>
      <c r="V249" s="350"/>
      <c r="W249" s="350"/>
      <c r="X249" s="350"/>
      <c r="Y249" s="350"/>
      <c r="Z249" s="307"/>
      <c r="AA249" s="350">
        <f t="shared" si="27"/>
        <v>0</v>
      </c>
      <c r="AB249" s="307"/>
      <c r="AC249" s="307"/>
      <c r="AD249" s="303"/>
      <c r="AE249" s="303"/>
      <c r="AF249" s="303"/>
      <c r="AG249" s="303"/>
      <c r="AH249" s="314"/>
      <c r="AI249" s="297">
        <f t="shared" si="28"/>
        <v>0</v>
      </c>
      <c r="AJ249" s="303"/>
      <c r="AK249" s="361"/>
      <c r="AL249" s="303"/>
      <c r="AM249" s="303"/>
      <c r="AN249" s="303"/>
      <c r="AO249" s="303"/>
      <c r="AP249" s="303"/>
      <c r="AQ249" s="289">
        <f t="shared" si="29"/>
        <v>0</v>
      </c>
      <c r="AR249" s="314"/>
      <c r="AS249" s="314"/>
      <c r="AT249" s="329"/>
      <c r="AU249" s="329"/>
      <c r="AV249" s="329"/>
      <c r="AW249" s="329"/>
      <c r="AX249" s="329"/>
      <c r="AY249" s="139">
        <f t="shared" si="30"/>
        <v>0</v>
      </c>
      <c r="AZ249" s="375"/>
      <c r="BA249" s="375"/>
      <c r="BB249" s="303"/>
      <c r="BC249" s="303"/>
      <c r="BD249" s="303"/>
      <c r="BE249" s="303"/>
      <c r="BF249" s="303"/>
      <c r="BG249" s="353">
        <f t="shared" si="31"/>
        <v>0</v>
      </c>
      <c r="BH249" s="303"/>
      <c r="BI249" s="303"/>
      <c r="BJ249" s="354">
        <f t="shared" si="25"/>
        <v>0</v>
      </c>
      <c r="BK249" s="316" t="str">
        <f t="shared" si="32"/>
        <v>Desierto</v>
      </c>
    </row>
    <row r="250" spans="1:63" x14ac:dyDescent="0.25">
      <c r="A250" s="324">
        <v>248</v>
      </c>
      <c r="B250" s="345" t="s">
        <v>2271</v>
      </c>
      <c r="C250" s="335" t="s">
        <v>518</v>
      </c>
      <c r="D250" s="360" t="s">
        <v>2272</v>
      </c>
      <c r="E250" s="347">
        <v>1</v>
      </c>
      <c r="F250" s="314"/>
      <c r="G250" s="314"/>
      <c r="H250" s="314"/>
      <c r="I250" s="314"/>
      <c r="J250" s="314"/>
      <c r="K250" s="29">
        <f t="shared" si="26"/>
        <v>0</v>
      </c>
      <c r="L250" s="314"/>
      <c r="M250" s="314"/>
      <c r="N250" s="314"/>
      <c r="O250" s="314"/>
      <c r="P250" s="314"/>
      <c r="Q250" s="314"/>
      <c r="R250" s="314"/>
      <c r="S250" s="314"/>
      <c r="T250" s="314"/>
      <c r="U250" s="314"/>
      <c r="V250" s="350"/>
      <c r="W250" s="350"/>
      <c r="X250" s="350"/>
      <c r="Y250" s="350"/>
      <c r="Z250" s="307"/>
      <c r="AA250" s="350">
        <f t="shared" si="27"/>
        <v>0</v>
      </c>
      <c r="AB250" s="307"/>
      <c r="AC250" s="307"/>
      <c r="AD250" s="303"/>
      <c r="AE250" s="303"/>
      <c r="AF250" s="303"/>
      <c r="AG250" s="303"/>
      <c r="AH250" s="314"/>
      <c r="AI250" s="297">
        <f t="shared" si="28"/>
        <v>0</v>
      </c>
      <c r="AJ250" s="303"/>
      <c r="AK250" s="303"/>
      <c r="AL250" s="303"/>
      <c r="AM250" s="303"/>
      <c r="AN250" s="303"/>
      <c r="AO250" s="303"/>
      <c r="AP250" s="303"/>
      <c r="AQ250" s="289">
        <f t="shared" si="29"/>
        <v>0</v>
      </c>
      <c r="AR250" s="303"/>
      <c r="AS250" s="303"/>
      <c r="AT250" s="329"/>
      <c r="AU250" s="329"/>
      <c r="AV250" s="329"/>
      <c r="AW250" s="329"/>
      <c r="AX250" s="329"/>
      <c r="AY250" s="139">
        <f t="shared" si="30"/>
        <v>0</v>
      </c>
      <c r="AZ250" s="303"/>
      <c r="BA250" s="303"/>
      <c r="BB250" s="303"/>
      <c r="BC250" s="303"/>
      <c r="BD250" s="303"/>
      <c r="BE250" s="303"/>
      <c r="BF250" s="303"/>
      <c r="BG250" s="353">
        <f t="shared" si="31"/>
        <v>0</v>
      </c>
      <c r="BH250" s="303"/>
      <c r="BI250" s="303"/>
      <c r="BJ250" s="354">
        <f t="shared" si="25"/>
        <v>0</v>
      </c>
      <c r="BK250" s="316" t="str">
        <f t="shared" si="32"/>
        <v>Desierto</v>
      </c>
    </row>
    <row r="251" spans="1:63" ht="25.5" x14ac:dyDescent="0.25">
      <c r="A251" s="324">
        <v>249</v>
      </c>
      <c r="B251" s="345" t="s">
        <v>2273</v>
      </c>
      <c r="C251" s="335" t="s">
        <v>518</v>
      </c>
      <c r="D251" s="360" t="s">
        <v>1492</v>
      </c>
      <c r="E251" s="347">
        <v>1</v>
      </c>
      <c r="F251" s="314"/>
      <c r="G251" s="314"/>
      <c r="H251" s="314"/>
      <c r="I251" s="314"/>
      <c r="J251" s="314"/>
      <c r="K251" s="29">
        <f t="shared" si="26"/>
        <v>0</v>
      </c>
      <c r="L251" s="314"/>
      <c r="M251" s="314"/>
      <c r="N251" s="314"/>
      <c r="O251" s="314"/>
      <c r="P251" s="314"/>
      <c r="Q251" s="314"/>
      <c r="R251" s="314"/>
      <c r="S251" s="314"/>
      <c r="T251" s="314"/>
      <c r="U251" s="314"/>
      <c r="V251" s="350"/>
      <c r="W251" s="350"/>
      <c r="X251" s="350"/>
      <c r="Y251" s="350"/>
      <c r="Z251" s="307"/>
      <c r="AA251" s="350">
        <f t="shared" si="27"/>
        <v>0</v>
      </c>
      <c r="AB251" s="307"/>
      <c r="AC251" s="307"/>
      <c r="AD251" s="303"/>
      <c r="AE251" s="303"/>
      <c r="AF251" s="303"/>
      <c r="AG251" s="303"/>
      <c r="AH251" s="314"/>
      <c r="AI251" s="297">
        <f t="shared" si="28"/>
        <v>0</v>
      </c>
      <c r="AJ251" s="303"/>
      <c r="AK251" s="303"/>
      <c r="AL251" s="303"/>
      <c r="AM251" s="303"/>
      <c r="AN251" s="303"/>
      <c r="AO251" s="303"/>
      <c r="AP251" s="303"/>
      <c r="AQ251" s="289">
        <f t="shared" si="29"/>
        <v>0</v>
      </c>
      <c r="AR251" s="303"/>
      <c r="AS251" s="303"/>
      <c r="AT251" s="329"/>
      <c r="AU251" s="329"/>
      <c r="AV251" s="329"/>
      <c r="AW251" s="329"/>
      <c r="AX251" s="329"/>
      <c r="AY251" s="139">
        <f t="shared" si="30"/>
        <v>0</v>
      </c>
      <c r="AZ251" s="303"/>
      <c r="BA251" s="303"/>
      <c r="BB251" s="303"/>
      <c r="BC251" s="303"/>
      <c r="BD251" s="303"/>
      <c r="BE251" s="303"/>
      <c r="BF251" s="303"/>
      <c r="BG251" s="353">
        <f t="shared" si="31"/>
        <v>0</v>
      </c>
      <c r="BH251" s="303"/>
      <c r="BI251" s="303"/>
      <c r="BJ251" s="354">
        <f t="shared" si="25"/>
        <v>0</v>
      </c>
      <c r="BK251" s="316" t="str">
        <f t="shared" si="32"/>
        <v>Desierto</v>
      </c>
    </row>
    <row r="252" spans="1:63" ht="25.5" x14ac:dyDescent="0.25">
      <c r="A252" s="324">
        <v>250</v>
      </c>
      <c r="B252" s="345" t="s">
        <v>2274</v>
      </c>
      <c r="C252" s="335" t="s">
        <v>518</v>
      </c>
      <c r="D252" s="360" t="s">
        <v>140</v>
      </c>
      <c r="E252" s="347">
        <v>1</v>
      </c>
      <c r="F252" s="314"/>
      <c r="G252" s="314"/>
      <c r="H252" s="314"/>
      <c r="I252" s="314"/>
      <c r="J252" s="314"/>
      <c r="K252" s="29">
        <f t="shared" si="26"/>
        <v>0</v>
      </c>
      <c r="L252" s="314"/>
      <c r="M252" s="314"/>
      <c r="N252" s="314"/>
      <c r="O252" s="314"/>
      <c r="P252" s="314"/>
      <c r="Q252" s="314"/>
      <c r="R252" s="314"/>
      <c r="S252" s="314"/>
      <c r="T252" s="314"/>
      <c r="U252" s="314"/>
      <c r="V252" s="350"/>
      <c r="W252" s="350"/>
      <c r="X252" s="350"/>
      <c r="Y252" s="350"/>
      <c r="Z252" s="307"/>
      <c r="AA252" s="350">
        <f t="shared" si="27"/>
        <v>0</v>
      </c>
      <c r="AB252" s="307"/>
      <c r="AC252" s="307"/>
      <c r="AD252" s="303"/>
      <c r="AE252" s="303"/>
      <c r="AF252" s="303"/>
      <c r="AG252" s="303"/>
      <c r="AH252" s="314"/>
      <c r="AI252" s="297">
        <f t="shared" si="28"/>
        <v>0</v>
      </c>
      <c r="AJ252" s="303"/>
      <c r="AK252" s="303"/>
      <c r="AL252" s="303"/>
      <c r="AM252" s="303"/>
      <c r="AN252" s="303"/>
      <c r="AO252" s="303"/>
      <c r="AP252" s="303"/>
      <c r="AQ252" s="289">
        <f t="shared" si="29"/>
        <v>0</v>
      </c>
      <c r="AR252" s="303"/>
      <c r="AS252" s="303"/>
      <c r="AT252" s="329"/>
      <c r="AU252" s="329"/>
      <c r="AV252" s="329"/>
      <c r="AW252" s="329"/>
      <c r="AX252" s="329"/>
      <c r="AY252" s="139">
        <f t="shared" si="30"/>
        <v>0</v>
      </c>
      <c r="AZ252" s="303"/>
      <c r="BA252" s="303"/>
      <c r="BB252" s="304"/>
      <c r="BC252" s="304"/>
      <c r="BD252" s="304"/>
      <c r="BE252" s="304"/>
      <c r="BF252" s="304"/>
      <c r="BG252" s="353">
        <f t="shared" si="31"/>
        <v>0</v>
      </c>
      <c r="BH252" s="304"/>
      <c r="BI252" s="304"/>
      <c r="BJ252" s="354">
        <f t="shared" si="25"/>
        <v>0</v>
      </c>
      <c r="BK252" s="316" t="str">
        <f t="shared" si="32"/>
        <v>Desierto</v>
      </c>
    </row>
    <row r="253" spans="1:63" ht="25.5" x14ac:dyDescent="0.25">
      <c r="A253" s="324">
        <v>251</v>
      </c>
      <c r="B253" s="345" t="s">
        <v>2275</v>
      </c>
      <c r="C253" s="335" t="s">
        <v>1579</v>
      </c>
      <c r="D253" s="360" t="s">
        <v>2276</v>
      </c>
      <c r="E253" s="347">
        <v>1</v>
      </c>
      <c r="F253" s="314"/>
      <c r="G253" s="314"/>
      <c r="H253" s="314"/>
      <c r="I253" s="314"/>
      <c r="J253" s="314"/>
      <c r="K253" s="29">
        <f t="shared" si="26"/>
        <v>0</v>
      </c>
      <c r="L253" s="314"/>
      <c r="M253" s="314"/>
      <c r="N253" s="314"/>
      <c r="O253" s="314"/>
      <c r="P253" s="314"/>
      <c r="Q253" s="314"/>
      <c r="R253" s="314"/>
      <c r="S253" s="314"/>
      <c r="T253" s="314"/>
      <c r="U253" s="314"/>
      <c r="V253" s="350"/>
      <c r="W253" s="350"/>
      <c r="X253" s="350"/>
      <c r="Y253" s="350"/>
      <c r="Z253" s="307"/>
      <c r="AA253" s="350">
        <f t="shared" si="27"/>
        <v>0</v>
      </c>
      <c r="AB253" s="307"/>
      <c r="AC253" s="307"/>
      <c r="AD253" s="303"/>
      <c r="AE253" s="303"/>
      <c r="AF253" s="303"/>
      <c r="AG253" s="303"/>
      <c r="AH253" s="314"/>
      <c r="AI253" s="297">
        <f t="shared" si="28"/>
        <v>0</v>
      </c>
      <c r="AJ253" s="303"/>
      <c r="AK253" s="303"/>
      <c r="AL253" s="303"/>
      <c r="AM253" s="303"/>
      <c r="AN253" s="303"/>
      <c r="AO253" s="303"/>
      <c r="AP253" s="303"/>
      <c r="AQ253" s="289">
        <f t="shared" si="29"/>
        <v>0</v>
      </c>
      <c r="AR253" s="303"/>
      <c r="AS253" s="303"/>
      <c r="AT253" s="329"/>
      <c r="AU253" s="329"/>
      <c r="AV253" s="329"/>
      <c r="AW253" s="329"/>
      <c r="AX253" s="329"/>
      <c r="AY253" s="139">
        <f t="shared" si="30"/>
        <v>0</v>
      </c>
      <c r="AZ253" s="303"/>
      <c r="BA253" s="303"/>
      <c r="BB253" s="303"/>
      <c r="BC253" s="303"/>
      <c r="BD253" s="303"/>
      <c r="BE253" s="303"/>
      <c r="BF253" s="303"/>
      <c r="BG253" s="353">
        <f t="shared" si="31"/>
        <v>0</v>
      </c>
      <c r="BH253" s="303"/>
      <c r="BI253" s="303"/>
      <c r="BJ253" s="354">
        <f t="shared" si="25"/>
        <v>0</v>
      </c>
      <c r="BK253" s="316" t="str">
        <f t="shared" si="32"/>
        <v>Desierto</v>
      </c>
    </row>
    <row r="254" spans="1:63" ht="36" customHeight="1" x14ac:dyDescent="0.25">
      <c r="A254" s="324">
        <v>252</v>
      </c>
      <c r="B254" s="345" t="s">
        <v>2277</v>
      </c>
      <c r="C254" s="357" t="s">
        <v>518</v>
      </c>
      <c r="D254" s="360" t="s">
        <v>140</v>
      </c>
      <c r="E254" s="347">
        <v>1</v>
      </c>
      <c r="F254" s="314" t="s">
        <v>510</v>
      </c>
      <c r="G254" s="314" t="s">
        <v>510</v>
      </c>
      <c r="H254" s="314" t="s">
        <v>511</v>
      </c>
      <c r="I254" s="314" t="s">
        <v>510</v>
      </c>
      <c r="J254" s="406">
        <v>0</v>
      </c>
      <c r="K254" s="29">
        <f t="shared" si="26"/>
        <v>0</v>
      </c>
      <c r="L254" s="314" t="s">
        <v>504</v>
      </c>
      <c r="M254" s="407"/>
      <c r="N254" s="407"/>
      <c r="O254" s="407"/>
      <c r="P254" s="407"/>
      <c r="Q254" s="407"/>
      <c r="R254" s="407"/>
      <c r="S254" s="407"/>
      <c r="T254" s="407"/>
      <c r="U254" s="407"/>
      <c r="V254" s="350"/>
      <c r="W254" s="350"/>
      <c r="X254" s="350"/>
      <c r="Y254" s="350"/>
      <c r="Z254" s="307"/>
      <c r="AA254" s="350">
        <f t="shared" si="27"/>
        <v>0</v>
      </c>
      <c r="AB254" s="307"/>
      <c r="AC254" s="306"/>
      <c r="AD254" s="303" t="s">
        <v>510</v>
      </c>
      <c r="AE254" s="303" t="s">
        <v>519</v>
      </c>
      <c r="AF254" s="303" t="s">
        <v>511</v>
      </c>
      <c r="AG254" s="322" t="s">
        <v>510</v>
      </c>
      <c r="AH254" s="314">
        <v>0</v>
      </c>
      <c r="AI254" s="297">
        <f t="shared" si="28"/>
        <v>0</v>
      </c>
      <c r="AJ254" s="303" t="s">
        <v>520</v>
      </c>
      <c r="AK254" s="301" t="s">
        <v>2278</v>
      </c>
      <c r="AL254" s="303"/>
      <c r="AM254" s="303"/>
      <c r="AN254" s="303"/>
      <c r="AO254" s="303"/>
      <c r="AP254" s="303"/>
      <c r="AQ254" s="289">
        <f t="shared" si="29"/>
        <v>0</v>
      </c>
      <c r="AR254" s="303"/>
      <c r="AS254" s="303"/>
      <c r="AT254" s="329"/>
      <c r="AU254" s="329"/>
      <c r="AV254" s="329"/>
      <c r="AW254" s="329"/>
      <c r="AX254" s="329"/>
      <c r="AY254" s="139">
        <f t="shared" si="30"/>
        <v>0</v>
      </c>
      <c r="AZ254" s="303"/>
      <c r="BA254" s="303"/>
      <c r="BB254" s="356" t="s">
        <v>510</v>
      </c>
      <c r="BC254" s="356" t="s">
        <v>510</v>
      </c>
      <c r="BD254" s="356" t="s">
        <v>510</v>
      </c>
      <c r="BE254" s="303" t="s">
        <v>510</v>
      </c>
      <c r="BF254" s="352">
        <v>0</v>
      </c>
      <c r="BG254" s="353">
        <f t="shared" si="31"/>
        <v>0</v>
      </c>
      <c r="BH254" s="303" t="s">
        <v>520</v>
      </c>
      <c r="BI254" s="301" t="s">
        <v>2279</v>
      </c>
      <c r="BJ254" s="354">
        <f t="shared" si="25"/>
        <v>1</v>
      </c>
      <c r="BK254" s="316" t="str">
        <f t="shared" si="32"/>
        <v>Habilitado</v>
      </c>
    </row>
    <row r="255" spans="1:63" ht="27.75" customHeight="1" x14ac:dyDescent="0.25">
      <c r="A255" s="324">
        <v>253</v>
      </c>
      <c r="B255" s="345" t="s">
        <v>2280</v>
      </c>
      <c r="C255" s="335" t="s">
        <v>518</v>
      </c>
      <c r="D255" s="360" t="s">
        <v>140</v>
      </c>
      <c r="E255" s="347">
        <v>1</v>
      </c>
      <c r="F255" s="314" t="s">
        <v>510</v>
      </c>
      <c r="G255" s="314" t="s">
        <v>510</v>
      </c>
      <c r="H255" s="314" t="s">
        <v>511</v>
      </c>
      <c r="I255" s="314" t="s">
        <v>510</v>
      </c>
      <c r="J255" s="406">
        <v>40</v>
      </c>
      <c r="K255" s="29">
        <f t="shared" si="26"/>
        <v>40</v>
      </c>
      <c r="L255" s="314" t="s">
        <v>504</v>
      </c>
      <c r="M255" s="314"/>
      <c r="N255" s="314"/>
      <c r="O255" s="314"/>
      <c r="P255" s="314"/>
      <c r="Q255" s="314"/>
      <c r="R255" s="314"/>
      <c r="S255" s="314"/>
      <c r="T255" s="314"/>
      <c r="U255" s="314"/>
      <c r="V255" s="350" t="s">
        <v>510</v>
      </c>
      <c r="W255" s="350" t="s">
        <v>510</v>
      </c>
      <c r="X255" s="350" t="s">
        <v>511</v>
      </c>
      <c r="Y255" s="350" t="s">
        <v>510</v>
      </c>
      <c r="Z255" s="304">
        <v>20</v>
      </c>
      <c r="AA255" s="350">
        <f t="shared" si="27"/>
        <v>20</v>
      </c>
      <c r="AB255" s="307" t="s">
        <v>504</v>
      </c>
      <c r="AC255" s="307"/>
      <c r="AD255" s="303" t="s">
        <v>510</v>
      </c>
      <c r="AE255" s="303" t="s">
        <v>510</v>
      </c>
      <c r="AF255" s="303" t="s">
        <v>511</v>
      </c>
      <c r="AG255" s="322" t="s">
        <v>510</v>
      </c>
      <c r="AH255" s="314">
        <v>0</v>
      </c>
      <c r="AI255" s="297">
        <f t="shared" si="28"/>
        <v>0</v>
      </c>
      <c r="AJ255" s="303" t="s">
        <v>504</v>
      </c>
      <c r="AK255" s="303"/>
      <c r="AL255" s="303"/>
      <c r="AM255" s="303"/>
      <c r="AN255" s="303"/>
      <c r="AO255" s="303"/>
      <c r="AP255" s="303"/>
      <c r="AQ255" s="289">
        <f t="shared" si="29"/>
        <v>0</v>
      </c>
      <c r="AR255" s="303"/>
      <c r="AS255" s="303"/>
      <c r="AT255" s="303" t="s">
        <v>510</v>
      </c>
      <c r="AU255" s="303" t="s">
        <v>510</v>
      </c>
      <c r="AV255" s="303" t="s">
        <v>511</v>
      </c>
      <c r="AW255" s="303" t="s">
        <v>510</v>
      </c>
      <c r="AX255" s="314">
        <v>40</v>
      </c>
      <c r="AY255" s="139">
        <f t="shared" si="30"/>
        <v>40</v>
      </c>
      <c r="AZ255" s="303" t="s">
        <v>504</v>
      </c>
      <c r="BA255" s="303"/>
      <c r="BB255" s="356" t="s">
        <v>519</v>
      </c>
      <c r="BC255" s="356" t="s">
        <v>519</v>
      </c>
      <c r="BD255" s="356" t="s">
        <v>511</v>
      </c>
      <c r="BE255" s="303" t="s">
        <v>510</v>
      </c>
      <c r="BF255" s="352">
        <v>0</v>
      </c>
      <c r="BG255" s="353">
        <f t="shared" si="31"/>
        <v>0</v>
      </c>
      <c r="BH255" s="303" t="s">
        <v>520</v>
      </c>
      <c r="BI255" s="303" t="s">
        <v>1877</v>
      </c>
      <c r="BJ255" s="354">
        <f t="shared" si="25"/>
        <v>4</v>
      </c>
      <c r="BK255" s="316" t="str">
        <f t="shared" si="32"/>
        <v>Habilitado</v>
      </c>
    </row>
    <row r="256" spans="1:63" ht="41.25" customHeight="1" x14ac:dyDescent="0.25">
      <c r="A256" s="324">
        <v>254</v>
      </c>
      <c r="B256" s="345" t="s">
        <v>2281</v>
      </c>
      <c r="C256" s="335" t="s">
        <v>518</v>
      </c>
      <c r="D256" s="360" t="s">
        <v>1983</v>
      </c>
      <c r="E256" s="347">
        <v>1</v>
      </c>
      <c r="F256" s="314" t="s">
        <v>510</v>
      </c>
      <c r="G256" s="314" t="s">
        <v>510</v>
      </c>
      <c r="H256" s="314" t="s">
        <v>511</v>
      </c>
      <c r="I256" s="314" t="s">
        <v>510</v>
      </c>
      <c r="J256" s="314">
        <v>40</v>
      </c>
      <c r="K256" s="29">
        <f t="shared" si="26"/>
        <v>40</v>
      </c>
      <c r="L256" s="314" t="s">
        <v>504</v>
      </c>
      <c r="M256" s="407" t="s">
        <v>2282</v>
      </c>
      <c r="N256" s="407"/>
      <c r="O256" s="407"/>
      <c r="P256" s="407"/>
      <c r="Q256" s="407"/>
      <c r="R256" s="407"/>
      <c r="S256" s="407"/>
      <c r="T256" s="407"/>
      <c r="U256" s="407"/>
      <c r="V256" s="350"/>
      <c r="W256" s="350"/>
      <c r="X256" s="350"/>
      <c r="Y256" s="350"/>
      <c r="Z256" s="307"/>
      <c r="AA256" s="350">
        <f t="shared" si="27"/>
        <v>0</v>
      </c>
      <c r="AB256" s="307"/>
      <c r="AC256" s="306"/>
      <c r="AD256" s="303" t="s">
        <v>510</v>
      </c>
      <c r="AE256" s="303" t="s">
        <v>510</v>
      </c>
      <c r="AF256" s="303" t="s">
        <v>511</v>
      </c>
      <c r="AG256" s="322" t="s">
        <v>510</v>
      </c>
      <c r="AH256" s="314">
        <v>0</v>
      </c>
      <c r="AI256" s="297">
        <f t="shared" si="28"/>
        <v>0</v>
      </c>
      <c r="AJ256" s="303" t="s">
        <v>504</v>
      </c>
      <c r="AK256" s="303"/>
      <c r="AL256" s="303"/>
      <c r="AM256" s="303"/>
      <c r="AN256" s="303"/>
      <c r="AO256" s="303"/>
      <c r="AP256" s="303"/>
      <c r="AQ256" s="289">
        <f t="shared" si="29"/>
        <v>0</v>
      </c>
      <c r="AR256" s="303"/>
      <c r="AS256" s="303"/>
      <c r="AT256" s="303" t="s">
        <v>510</v>
      </c>
      <c r="AU256" s="303" t="s">
        <v>510</v>
      </c>
      <c r="AV256" s="303" t="s">
        <v>511</v>
      </c>
      <c r="AW256" s="303" t="s">
        <v>510</v>
      </c>
      <c r="AX256" s="314">
        <v>40</v>
      </c>
      <c r="AY256" s="139">
        <f t="shared" si="30"/>
        <v>40</v>
      </c>
      <c r="AZ256" s="303" t="s">
        <v>504</v>
      </c>
      <c r="BA256" s="303"/>
      <c r="BB256" s="356" t="s">
        <v>519</v>
      </c>
      <c r="BC256" s="356" t="s">
        <v>519</v>
      </c>
      <c r="BD256" s="356" t="s">
        <v>511</v>
      </c>
      <c r="BE256" s="303" t="s">
        <v>510</v>
      </c>
      <c r="BF256" s="352">
        <v>0</v>
      </c>
      <c r="BG256" s="353">
        <f t="shared" si="31"/>
        <v>0</v>
      </c>
      <c r="BH256" s="303" t="s">
        <v>520</v>
      </c>
      <c r="BI256" s="303" t="s">
        <v>1877</v>
      </c>
      <c r="BJ256" s="354">
        <f t="shared" si="25"/>
        <v>3</v>
      </c>
      <c r="BK256" s="316" t="str">
        <f t="shared" si="32"/>
        <v>Habilitado</v>
      </c>
    </row>
    <row r="257" spans="1:63" ht="25.5" x14ac:dyDescent="0.25">
      <c r="A257" s="324">
        <v>255</v>
      </c>
      <c r="B257" s="325" t="s">
        <v>2283</v>
      </c>
      <c r="C257" s="325" t="s">
        <v>518</v>
      </c>
      <c r="D257" s="325" t="s">
        <v>140</v>
      </c>
      <c r="E257" s="362">
        <v>1</v>
      </c>
      <c r="F257" s="406"/>
      <c r="G257" s="406"/>
      <c r="H257" s="406"/>
      <c r="I257" s="406"/>
      <c r="J257" s="406"/>
      <c r="K257" s="29">
        <f t="shared" si="26"/>
        <v>0</v>
      </c>
      <c r="L257" s="406"/>
      <c r="M257" s="406"/>
      <c r="N257" s="406"/>
      <c r="O257" s="406"/>
      <c r="P257" s="406"/>
      <c r="Q257" s="406"/>
      <c r="R257" s="406"/>
      <c r="S257" s="406"/>
      <c r="T257" s="406"/>
      <c r="U257" s="406"/>
      <c r="V257" s="350"/>
      <c r="W257" s="350"/>
      <c r="X257" s="350"/>
      <c r="Y257" s="350"/>
      <c r="Z257" s="307"/>
      <c r="AA257" s="350">
        <f t="shared" si="27"/>
        <v>0</v>
      </c>
      <c r="AB257" s="307"/>
      <c r="AC257" s="307"/>
      <c r="AD257" s="304"/>
      <c r="AE257" s="304"/>
      <c r="AF257" s="304"/>
      <c r="AG257" s="304"/>
      <c r="AH257" s="326"/>
      <c r="AI257" s="297">
        <f t="shared" si="28"/>
        <v>0</v>
      </c>
      <c r="AJ257" s="304"/>
      <c r="AK257" s="304"/>
      <c r="AL257" s="304"/>
      <c r="AM257" s="304"/>
      <c r="AN257" s="304"/>
      <c r="AO257" s="304"/>
      <c r="AP257" s="304"/>
      <c r="AQ257" s="289">
        <f t="shared" si="29"/>
        <v>0</v>
      </c>
      <c r="AR257" s="304"/>
      <c r="AS257" s="304"/>
      <c r="AT257" s="325"/>
      <c r="AU257" s="325"/>
      <c r="AV257" s="325"/>
      <c r="AW257" s="325"/>
      <c r="AX257" s="325"/>
      <c r="AY257" s="139">
        <f t="shared" si="30"/>
        <v>0</v>
      </c>
      <c r="AZ257" s="304"/>
      <c r="BA257" s="304"/>
      <c r="BB257" s="303" t="s">
        <v>519</v>
      </c>
      <c r="BC257" s="303" t="s">
        <v>519</v>
      </c>
      <c r="BD257" s="356" t="s">
        <v>511</v>
      </c>
      <c r="BE257" s="303" t="s">
        <v>510</v>
      </c>
      <c r="BF257" s="352">
        <v>0</v>
      </c>
      <c r="BG257" s="353">
        <f t="shared" si="31"/>
        <v>0</v>
      </c>
      <c r="BH257" s="303" t="s">
        <v>520</v>
      </c>
      <c r="BI257" s="303" t="s">
        <v>1877</v>
      </c>
      <c r="BJ257" s="354">
        <f t="shared" si="25"/>
        <v>0</v>
      </c>
      <c r="BK257" s="316" t="str">
        <f t="shared" si="32"/>
        <v>Desierto</v>
      </c>
    </row>
    <row r="258" spans="1:63" ht="25.5" x14ac:dyDescent="0.25">
      <c r="A258" s="324">
        <v>256</v>
      </c>
      <c r="B258" s="345" t="s">
        <v>2284</v>
      </c>
      <c r="C258" s="335" t="s">
        <v>518</v>
      </c>
      <c r="D258" s="360" t="s">
        <v>2243</v>
      </c>
      <c r="E258" s="347">
        <v>1</v>
      </c>
      <c r="F258" s="314" t="s">
        <v>510</v>
      </c>
      <c r="G258" s="314" t="s">
        <v>510</v>
      </c>
      <c r="H258" s="314" t="s">
        <v>511</v>
      </c>
      <c r="I258" s="314" t="s">
        <v>510</v>
      </c>
      <c r="J258" s="314">
        <v>40</v>
      </c>
      <c r="K258" s="29">
        <f t="shared" si="26"/>
        <v>40</v>
      </c>
      <c r="L258" s="314" t="s">
        <v>504</v>
      </c>
      <c r="M258" s="314"/>
      <c r="N258" s="314"/>
      <c r="O258" s="314"/>
      <c r="P258" s="314"/>
      <c r="Q258" s="314"/>
      <c r="R258" s="314"/>
      <c r="S258" s="314"/>
      <c r="T258" s="314"/>
      <c r="U258" s="314"/>
      <c r="V258" s="350"/>
      <c r="W258" s="350"/>
      <c r="X258" s="350"/>
      <c r="Y258" s="350"/>
      <c r="Z258" s="307"/>
      <c r="AA258" s="350">
        <f t="shared" si="27"/>
        <v>0</v>
      </c>
      <c r="AB258" s="307"/>
      <c r="AC258" s="307"/>
      <c r="AD258" s="303" t="s">
        <v>510</v>
      </c>
      <c r="AE258" s="303" t="s">
        <v>510</v>
      </c>
      <c r="AF258" s="303" t="s">
        <v>511</v>
      </c>
      <c r="AG258" s="322" t="s">
        <v>510</v>
      </c>
      <c r="AH258" s="314">
        <v>0</v>
      </c>
      <c r="AI258" s="297">
        <f t="shared" si="28"/>
        <v>0</v>
      </c>
      <c r="AJ258" s="303" t="s">
        <v>504</v>
      </c>
      <c r="AK258" s="303"/>
      <c r="AL258" s="303"/>
      <c r="AM258" s="303"/>
      <c r="AN258" s="303"/>
      <c r="AO258" s="303"/>
      <c r="AP258" s="303"/>
      <c r="AQ258" s="289">
        <f t="shared" si="29"/>
        <v>0</v>
      </c>
      <c r="AR258" s="303"/>
      <c r="AS258" s="303"/>
      <c r="AT258" s="303" t="s">
        <v>510</v>
      </c>
      <c r="AU258" s="303" t="s">
        <v>510</v>
      </c>
      <c r="AV258" s="303" t="s">
        <v>511</v>
      </c>
      <c r="AW258" s="303" t="s">
        <v>510</v>
      </c>
      <c r="AX258" s="314">
        <v>40</v>
      </c>
      <c r="AY258" s="139">
        <f t="shared" si="30"/>
        <v>40</v>
      </c>
      <c r="AZ258" s="303" t="s">
        <v>504</v>
      </c>
      <c r="BA258" s="303"/>
      <c r="BB258" s="356" t="s">
        <v>510</v>
      </c>
      <c r="BC258" s="356" t="s">
        <v>510</v>
      </c>
      <c r="BD258" s="356" t="s">
        <v>511</v>
      </c>
      <c r="BE258" s="303" t="s">
        <v>510</v>
      </c>
      <c r="BF258" s="352">
        <v>0</v>
      </c>
      <c r="BG258" s="353">
        <f t="shared" si="31"/>
        <v>0</v>
      </c>
      <c r="BH258" s="303" t="s">
        <v>504</v>
      </c>
      <c r="BI258" s="303"/>
      <c r="BJ258" s="354">
        <f t="shared" si="25"/>
        <v>4</v>
      </c>
      <c r="BK258" s="316" t="str">
        <f t="shared" si="32"/>
        <v>Habilitado</v>
      </c>
    </row>
    <row r="259" spans="1:63" x14ac:dyDescent="0.25">
      <c r="A259" s="324">
        <v>257</v>
      </c>
      <c r="B259" s="345" t="s">
        <v>2285</v>
      </c>
      <c r="C259" s="335" t="s">
        <v>518</v>
      </c>
      <c r="D259" s="357" t="s">
        <v>140</v>
      </c>
      <c r="E259" s="347">
        <v>1</v>
      </c>
      <c r="F259" s="314" t="s">
        <v>510</v>
      </c>
      <c r="G259" s="314" t="s">
        <v>510</v>
      </c>
      <c r="H259" s="314" t="s">
        <v>511</v>
      </c>
      <c r="I259" s="314" t="s">
        <v>510</v>
      </c>
      <c r="J259" s="314">
        <v>40</v>
      </c>
      <c r="K259" s="29">
        <f t="shared" si="26"/>
        <v>40</v>
      </c>
      <c r="L259" s="314" t="s">
        <v>504</v>
      </c>
      <c r="M259" s="314"/>
      <c r="N259" s="314"/>
      <c r="O259" s="314"/>
      <c r="P259" s="314"/>
      <c r="Q259" s="314"/>
      <c r="R259" s="314"/>
      <c r="S259" s="314"/>
      <c r="T259" s="314"/>
      <c r="U259" s="314"/>
      <c r="V259" s="350"/>
      <c r="W259" s="350"/>
      <c r="X259" s="350"/>
      <c r="Y259" s="350"/>
      <c r="Z259" s="307"/>
      <c r="AA259" s="350">
        <f t="shared" si="27"/>
        <v>0</v>
      </c>
      <c r="AB259" s="307"/>
      <c r="AC259" s="307"/>
      <c r="AD259" s="303"/>
      <c r="AE259" s="303"/>
      <c r="AF259" s="303"/>
      <c r="AG259" s="303"/>
      <c r="AH259" s="314"/>
      <c r="AI259" s="297">
        <f t="shared" si="28"/>
        <v>0</v>
      </c>
      <c r="AJ259" s="303"/>
      <c r="AK259" s="303"/>
      <c r="AL259" s="303"/>
      <c r="AM259" s="303"/>
      <c r="AN259" s="303"/>
      <c r="AO259" s="303"/>
      <c r="AP259" s="303"/>
      <c r="AQ259" s="289">
        <f t="shared" si="29"/>
        <v>0</v>
      </c>
      <c r="AR259" s="303"/>
      <c r="AS259" s="303"/>
      <c r="AT259" s="303" t="s">
        <v>510</v>
      </c>
      <c r="AU259" s="303" t="s">
        <v>510</v>
      </c>
      <c r="AV259" s="303" t="s">
        <v>511</v>
      </c>
      <c r="AW259" s="303" t="s">
        <v>510</v>
      </c>
      <c r="AX259" s="314">
        <v>40</v>
      </c>
      <c r="AY259" s="139">
        <f t="shared" si="30"/>
        <v>40</v>
      </c>
      <c r="AZ259" s="303" t="s">
        <v>504</v>
      </c>
      <c r="BA259" s="303"/>
      <c r="BB259" s="303"/>
      <c r="BC259" s="303"/>
      <c r="BD259" s="303"/>
      <c r="BE259" s="303"/>
      <c r="BF259" s="303"/>
      <c r="BG259" s="353">
        <f t="shared" si="31"/>
        <v>0</v>
      </c>
      <c r="BH259" s="303"/>
      <c r="BI259" s="303"/>
      <c r="BJ259" s="354">
        <f t="shared" ref="BJ259:BJ322" si="33">COUNTIF(L259,"Habilitado")+COUNTIF(T259,"Habilitado")+COUNTIF(AB259,"Habilitado")+COUNTIF(AJ259,"Habilitado")+COUNTIF(AR259,"Habilitado")+COUNTIF(AZ259,"Habilitado")+COUNTIF(BH259,"Habilitado")</f>
        <v>2</v>
      </c>
      <c r="BK259" s="316" t="str">
        <f t="shared" si="32"/>
        <v>Habilitado</v>
      </c>
    </row>
    <row r="260" spans="1:63" ht="25.5" x14ac:dyDescent="0.25">
      <c r="A260" s="324">
        <v>258</v>
      </c>
      <c r="B260" s="345" t="s">
        <v>2286</v>
      </c>
      <c r="C260" s="335" t="s">
        <v>518</v>
      </c>
      <c r="D260" s="357" t="s">
        <v>140</v>
      </c>
      <c r="E260" s="347">
        <v>1</v>
      </c>
      <c r="F260" s="314"/>
      <c r="G260" s="314"/>
      <c r="H260" s="314"/>
      <c r="I260" s="314"/>
      <c r="J260" s="314"/>
      <c r="K260" s="29">
        <f t="shared" ref="K260:K323" si="34">+J260</f>
        <v>0</v>
      </c>
      <c r="L260" s="314"/>
      <c r="M260" s="314"/>
      <c r="N260" s="314"/>
      <c r="O260" s="314"/>
      <c r="P260" s="314"/>
      <c r="Q260" s="314"/>
      <c r="R260" s="314"/>
      <c r="S260" s="314"/>
      <c r="T260" s="314"/>
      <c r="U260" s="314"/>
      <c r="V260" s="350"/>
      <c r="W260" s="350"/>
      <c r="X260" s="350"/>
      <c r="Y260" s="350"/>
      <c r="Z260" s="307"/>
      <c r="AA260" s="350">
        <f t="shared" ref="AA260:AA323" si="35">(Z260)</f>
        <v>0</v>
      </c>
      <c r="AB260" s="307"/>
      <c r="AC260" s="307"/>
      <c r="AD260" s="303"/>
      <c r="AE260" s="303"/>
      <c r="AF260" s="303"/>
      <c r="AG260" s="303"/>
      <c r="AH260" s="314"/>
      <c r="AI260" s="297">
        <f t="shared" ref="AI260:AI323" si="36">+AH260</f>
        <v>0</v>
      </c>
      <c r="AJ260" s="303"/>
      <c r="AK260" s="303"/>
      <c r="AL260" s="303"/>
      <c r="AM260" s="303"/>
      <c r="AN260" s="303"/>
      <c r="AO260" s="303"/>
      <c r="AP260" s="303"/>
      <c r="AQ260" s="289">
        <f t="shared" ref="AQ260:AQ323" si="37">+AP260</f>
        <v>0</v>
      </c>
      <c r="AR260" s="303"/>
      <c r="AS260" s="303"/>
      <c r="AT260" s="329"/>
      <c r="AU260" s="329"/>
      <c r="AV260" s="329"/>
      <c r="AW260" s="329"/>
      <c r="AX260" s="329"/>
      <c r="AY260" s="139">
        <f t="shared" ref="AY260:AY323" si="38">+AX260</f>
        <v>0</v>
      </c>
      <c r="AZ260" s="303"/>
      <c r="BA260" s="303"/>
      <c r="BB260" s="303"/>
      <c r="BC260" s="303"/>
      <c r="BD260" s="303"/>
      <c r="BE260" s="303"/>
      <c r="BF260" s="303"/>
      <c r="BG260" s="353">
        <f t="shared" ref="BG260:BG323" si="39">+BF260</f>
        <v>0</v>
      </c>
      <c r="BH260" s="303"/>
      <c r="BI260" s="303"/>
      <c r="BJ260" s="354">
        <f t="shared" si="33"/>
        <v>0</v>
      </c>
      <c r="BK260" s="316" t="str">
        <f t="shared" si="32"/>
        <v>Desierto</v>
      </c>
    </row>
    <row r="261" spans="1:63" x14ac:dyDescent="0.25">
      <c r="A261" s="324">
        <v>259</v>
      </c>
      <c r="B261" s="345" t="s">
        <v>2287</v>
      </c>
      <c r="C261" s="335" t="s">
        <v>518</v>
      </c>
      <c r="D261" s="360" t="s">
        <v>140</v>
      </c>
      <c r="E261" s="347">
        <v>1</v>
      </c>
      <c r="F261" s="314"/>
      <c r="G261" s="314"/>
      <c r="H261" s="314"/>
      <c r="I261" s="314"/>
      <c r="J261" s="314"/>
      <c r="K261" s="29">
        <f t="shared" si="34"/>
        <v>0</v>
      </c>
      <c r="L261" s="314"/>
      <c r="M261" s="314"/>
      <c r="N261" s="314"/>
      <c r="O261" s="314"/>
      <c r="P261" s="314"/>
      <c r="Q261" s="314"/>
      <c r="R261" s="314"/>
      <c r="S261" s="314"/>
      <c r="T261" s="314"/>
      <c r="U261" s="314"/>
      <c r="V261" s="350"/>
      <c r="W261" s="350"/>
      <c r="X261" s="350"/>
      <c r="Y261" s="350"/>
      <c r="Z261" s="307"/>
      <c r="AA261" s="350">
        <f t="shared" si="35"/>
        <v>0</v>
      </c>
      <c r="AB261" s="307"/>
      <c r="AC261" s="307"/>
      <c r="AD261" s="303"/>
      <c r="AE261" s="303"/>
      <c r="AF261" s="303"/>
      <c r="AG261" s="303"/>
      <c r="AH261" s="314"/>
      <c r="AI261" s="297">
        <f t="shared" si="36"/>
        <v>0</v>
      </c>
      <c r="AJ261" s="303"/>
      <c r="AK261" s="303"/>
      <c r="AL261" s="303"/>
      <c r="AM261" s="303"/>
      <c r="AN261" s="303"/>
      <c r="AO261" s="303"/>
      <c r="AP261" s="303"/>
      <c r="AQ261" s="289">
        <f t="shared" si="37"/>
        <v>0</v>
      </c>
      <c r="AR261" s="303"/>
      <c r="AS261" s="303"/>
      <c r="AT261" s="329"/>
      <c r="AU261" s="329"/>
      <c r="AV261" s="329"/>
      <c r="AW261" s="329"/>
      <c r="AX261" s="329"/>
      <c r="AY261" s="139">
        <f t="shared" si="38"/>
        <v>0</v>
      </c>
      <c r="AZ261" s="303"/>
      <c r="BA261" s="303"/>
      <c r="BB261" s="303"/>
      <c r="BC261" s="303"/>
      <c r="BD261" s="303"/>
      <c r="BE261" s="303"/>
      <c r="BF261" s="303"/>
      <c r="BG261" s="353">
        <f t="shared" si="39"/>
        <v>0</v>
      </c>
      <c r="BH261" s="303"/>
      <c r="BI261" s="303"/>
      <c r="BJ261" s="354">
        <f t="shared" si="33"/>
        <v>0</v>
      </c>
      <c r="BK261" s="316" t="str">
        <f t="shared" si="32"/>
        <v>Desierto</v>
      </c>
    </row>
    <row r="262" spans="1:63" ht="25.5" x14ac:dyDescent="0.25">
      <c r="A262" s="324">
        <v>260</v>
      </c>
      <c r="B262" s="345" t="s">
        <v>2288</v>
      </c>
      <c r="C262" s="335" t="s">
        <v>2289</v>
      </c>
      <c r="D262" s="360" t="s">
        <v>140</v>
      </c>
      <c r="E262" s="347">
        <v>1</v>
      </c>
      <c r="F262" s="406"/>
      <c r="G262" s="406"/>
      <c r="H262" s="406"/>
      <c r="I262" s="314"/>
      <c r="J262" s="406"/>
      <c r="K262" s="29">
        <f t="shared" si="34"/>
        <v>0</v>
      </c>
      <c r="L262" s="314"/>
      <c r="M262" s="406"/>
      <c r="N262" s="406"/>
      <c r="O262" s="406"/>
      <c r="P262" s="406"/>
      <c r="Q262" s="406"/>
      <c r="R262" s="406"/>
      <c r="S262" s="406"/>
      <c r="T262" s="406"/>
      <c r="U262" s="406"/>
      <c r="V262" s="406"/>
      <c r="W262" s="406"/>
      <c r="X262" s="406"/>
      <c r="Y262" s="406"/>
      <c r="Z262" s="304"/>
      <c r="AA262" s="350">
        <f t="shared" si="35"/>
        <v>0</v>
      </c>
      <c r="AB262" s="304"/>
      <c r="AC262" s="304"/>
      <c r="AD262" s="304"/>
      <c r="AE262" s="304"/>
      <c r="AF262" s="304"/>
      <c r="AG262" s="304"/>
      <c r="AH262" s="326"/>
      <c r="AI262" s="297">
        <f t="shared" si="36"/>
        <v>0</v>
      </c>
      <c r="AJ262" s="304"/>
      <c r="AK262" s="304"/>
      <c r="AL262" s="304"/>
      <c r="AM262" s="304"/>
      <c r="AN262" s="304"/>
      <c r="AO262" s="304"/>
      <c r="AP262" s="304"/>
      <c r="AQ262" s="289">
        <f t="shared" si="37"/>
        <v>0</v>
      </c>
      <c r="AR262" s="304"/>
      <c r="AS262" s="304"/>
      <c r="AT262" s="325"/>
      <c r="AU262" s="325"/>
      <c r="AV262" s="325"/>
      <c r="AW262" s="325"/>
      <c r="AX262" s="325"/>
      <c r="AY262" s="139">
        <f t="shared" si="38"/>
        <v>0</v>
      </c>
      <c r="AZ262" s="304"/>
      <c r="BA262" s="304"/>
      <c r="BB262" s="304"/>
      <c r="BC262" s="304"/>
      <c r="BD262" s="304"/>
      <c r="BE262" s="304"/>
      <c r="BF262" s="304"/>
      <c r="BG262" s="353">
        <f t="shared" si="39"/>
        <v>0</v>
      </c>
      <c r="BH262" s="304"/>
      <c r="BI262" s="304"/>
      <c r="BJ262" s="354">
        <f t="shared" si="33"/>
        <v>0</v>
      </c>
      <c r="BK262" s="316" t="str">
        <f t="shared" si="32"/>
        <v>Desierto</v>
      </c>
    </row>
    <row r="263" spans="1:63" ht="51" x14ac:dyDescent="0.25">
      <c r="A263" s="324">
        <v>261</v>
      </c>
      <c r="B263" s="345" t="s">
        <v>2290</v>
      </c>
      <c r="C263" s="335" t="s">
        <v>2291</v>
      </c>
      <c r="D263" s="360" t="s">
        <v>1061</v>
      </c>
      <c r="E263" s="347">
        <v>1</v>
      </c>
      <c r="F263" s="314"/>
      <c r="G263" s="314"/>
      <c r="H263" s="314"/>
      <c r="I263" s="314"/>
      <c r="J263" s="314"/>
      <c r="K263" s="29">
        <f t="shared" si="34"/>
        <v>0</v>
      </c>
      <c r="L263" s="314"/>
      <c r="M263" s="314"/>
      <c r="N263" s="314"/>
      <c r="O263" s="314"/>
      <c r="P263" s="314"/>
      <c r="Q263" s="314"/>
      <c r="R263" s="314"/>
      <c r="S263" s="314"/>
      <c r="T263" s="314"/>
      <c r="U263" s="314"/>
      <c r="V263" s="350"/>
      <c r="W263" s="350"/>
      <c r="X263" s="350"/>
      <c r="Y263" s="350"/>
      <c r="Z263" s="307"/>
      <c r="AA263" s="350">
        <f t="shared" si="35"/>
        <v>0</v>
      </c>
      <c r="AB263" s="307"/>
      <c r="AC263" s="307"/>
      <c r="AD263" s="303"/>
      <c r="AE263" s="303"/>
      <c r="AF263" s="303"/>
      <c r="AG263" s="303"/>
      <c r="AH263" s="314"/>
      <c r="AI263" s="297">
        <f t="shared" si="36"/>
        <v>0</v>
      </c>
      <c r="AJ263" s="303"/>
      <c r="AK263" s="303"/>
      <c r="AL263" s="303"/>
      <c r="AM263" s="303"/>
      <c r="AN263" s="303"/>
      <c r="AO263" s="303"/>
      <c r="AP263" s="303"/>
      <c r="AQ263" s="289">
        <f t="shared" si="37"/>
        <v>0</v>
      </c>
      <c r="AR263" s="303"/>
      <c r="AS263" s="303"/>
      <c r="AT263" s="329"/>
      <c r="AU263" s="329"/>
      <c r="AV263" s="329"/>
      <c r="AW263" s="329"/>
      <c r="AX263" s="329"/>
      <c r="AY263" s="139">
        <f t="shared" si="38"/>
        <v>0</v>
      </c>
      <c r="AZ263" s="303"/>
      <c r="BA263" s="303"/>
      <c r="BB263" s="303"/>
      <c r="BC263" s="303"/>
      <c r="BD263" s="303"/>
      <c r="BE263" s="303"/>
      <c r="BF263" s="303"/>
      <c r="BG263" s="353">
        <f t="shared" si="39"/>
        <v>0</v>
      </c>
      <c r="BH263" s="303"/>
      <c r="BI263" s="303"/>
      <c r="BJ263" s="354">
        <f t="shared" si="33"/>
        <v>0</v>
      </c>
      <c r="BK263" s="316" t="str">
        <f t="shared" si="32"/>
        <v>Desierto</v>
      </c>
    </row>
    <row r="264" spans="1:63" ht="51" x14ac:dyDescent="0.25">
      <c r="A264" s="324">
        <v>262</v>
      </c>
      <c r="B264" s="345" t="s">
        <v>2292</v>
      </c>
      <c r="C264" s="335" t="s">
        <v>2291</v>
      </c>
      <c r="D264" s="360" t="s">
        <v>1061</v>
      </c>
      <c r="E264" s="347">
        <v>1</v>
      </c>
      <c r="F264" s="314"/>
      <c r="G264" s="314"/>
      <c r="H264" s="314"/>
      <c r="I264" s="314"/>
      <c r="J264" s="314"/>
      <c r="K264" s="29">
        <f t="shared" si="34"/>
        <v>0</v>
      </c>
      <c r="L264" s="314"/>
      <c r="M264" s="314"/>
      <c r="N264" s="314"/>
      <c r="O264" s="314"/>
      <c r="P264" s="314"/>
      <c r="Q264" s="314"/>
      <c r="R264" s="314"/>
      <c r="S264" s="314"/>
      <c r="T264" s="314"/>
      <c r="U264" s="314"/>
      <c r="V264" s="350"/>
      <c r="W264" s="350"/>
      <c r="X264" s="350"/>
      <c r="Y264" s="350"/>
      <c r="Z264" s="307"/>
      <c r="AA264" s="350">
        <f t="shared" si="35"/>
        <v>0</v>
      </c>
      <c r="AB264" s="307"/>
      <c r="AC264" s="307"/>
      <c r="AD264" s="303"/>
      <c r="AE264" s="303"/>
      <c r="AF264" s="303"/>
      <c r="AG264" s="303"/>
      <c r="AH264" s="314"/>
      <c r="AI264" s="297">
        <f t="shared" si="36"/>
        <v>0</v>
      </c>
      <c r="AJ264" s="303"/>
      <c r="AK264" s="303"/>
      <c r="AL264" s="303"/>
      <c r="AM264" s="303"/>
      <c r="AN264" s="303"/>
      <c r="AO264" s="303"/>
      <c r="AP264" s="303"/>
      <c r="AQ264" s="289">
        <f t="shared" si="37"/>
        <v>0</v>
      </c>
      <c r="AR264" s="303"/>
      <c r="AS264" s="303"/>
      <c r="AT264" s="329"/>
      <c r="AU264" s="329"/>
      <c r="AV264" s="329"/>
      <c r="AW264" s="329"/>
      <c r="AX264" s="329"/>
      <c r="AY264" s="139">
        <f t="shared" si="38"/>
        <v>0</v>
      </c>
      <c r="AZ264" s="303"/>
      <c r="BA264" s="303"/>
      <c r="BB264" s="303"/>
      <c r="BC264" s="303"/>
      <c r="BD264" s="303"/>
      <c r="BE264" s="303"/>
      <c r="BF264" s="303"/>
      <c r="BG264" s="353">
        <f t="shared" si="39"/>
        <v>0</v>
      </c>
      <c r="BH264" s="303"/>
      <c r="BI264" s="303"/>
      <c r="BJ264" s="354">
        <f t="shared" si="33"/>
        <v>0</v>
      </c>
      <c r="BK264" s="316" t="str">
        <f t="shared" si="32"/>
        <v>Desierto</v>
      </c>
    </row>
    <row r="265" spans="1:63" ht="76.5" x14ac:dyDescent="0.25">
      <c r="A265" s="324">
        <v>263</v>
      </c>
      <c r="B265" s="345" t="s">
        <v>2293</v>
      </c>
      <c r="C265" s="335" t="s">
        <v>2291</v>
      </c>
      <c r="D265" s="360" t="s">
        <v>1061</v>
      </c>
      <c r="E265" s="347">
        <v>1</v>
      </c>
      <c r="F265" s="314"/>
      <c r="G265" s="314"/>
      <c r="H265" s="314"/>
      <c r="I265" s="314"/>
      <c r="J265" s="314"/>
      <c r="K265" s="29">
        <f t="shared" si="34"/>
        <v>0</v>
      </c>
      <c r="L265" s="314"/>
      <c r="M265" s="314"/>
      <c r="N265" s="314"/>
      <c r="O265" s="314"/>
      <c r="P265" s="314"/>
      <c r="Q265" s="314"/>
      <c r="R265" s="314"/>
      <c r="S265" s="314"/>
      <c r="T265" s="314"/>
      <c r="U265" s="314"/>
      <c r="V265" s="350"/>
      <c r="W265" s="350"/>
      <c r="X265" s="350"/>
      <c r="Y265" s="350"/>
      <c r="Z265" s="307"/>
      <c r="AA265" s="350">
        <f t="shared" si="35"/>
        <v>0</v>
      </c>
      <c r="AB265" s="307"/>
      <c r="AC265" s="307"/>
      <c r="AD265" s="303"/>
      <c r="AE265" s="303"/>
      <c r="AF265" s="303"/>
      <c r="AG265" s="303"/>
      <c r="AH265" s="314"/>
      <c r="AI265" s="297">
        <f t="shared" si="36"/>
        <v>0</v>
      </c>
      <c r="AJ265" s="303"/>
      <c r="AK265" s="303"/>
      <c r="AL265" s="303"/>
      <c r="AM265" s="303"/>
      <c r="AN265" s="303"/>
      <c r="AO265" s="303"/>
      <c r="AP265" s="303"/>
      <c r="AQ265" s="289">
        <f t="shared" si="37"/>
        <v>0</v>
      </c>
      <c r="AR265" s="303"/>
      <c r="AS265" s="303"/>
      <c r="AT265" s="329"/>
      <c r="AU265" s="329"/>
      <c r="AV265" s="329"/>
      <c r="AW265" s="329"/>
      <c r="AX265" s="329"/>
      <c r="AY265" s="139">
        <f t="shared" si="38"/>
        <v>0</v>
      </c>
      <c r="AZ265" s="303"/>
      <c r="BA265" s="303"/>
      <c r="BB265" s="303"/>
      <c r="BC265" s="303"/>
      <c r="BD265" s="303"/>
      <c r="BE265" s="303"/>
      <c r="BF265" s="303"/>
      <c r="BG265" s="353">
        <f t="shared" si="39"/>
        <v>0</v>
      </c>
      <c r="BH265" s="303"/>
      <c r="BI265" s="303"/>
      <c r="BJ265" s="354">
        <f t="shared" si="33"/>
        <v>0</v>
      </c>
      <c r="BK265" s="316" t="str">
        <f t="shared" si="32"/>
        <v>Desierto</v>
      </c>
    </row>
    <row r="266" spans="1:63" ht="76.5" x14ac:dyDescent="0.25">
      <c r="A266" s="324">
        <v>264</v>
      </c>
      <c r="B266" s="345" t="s">
        <v>2294</v>
      </c>
      <c r="C266" s="335" t="s">
        <v>2291</v>
      </c>
      <c r="D266" s="360" t="s">
        <v>2295</v>
      </c>
      <c r="E266" s="347">
        <v>1</v>
      </c>
      <c r="F266" s="314"/>
      <c r="G266" s="314"/>
      <c r="H266" s="314"/>
      <c r="I266" s="314"/>
      <c r="J266" s="314"/>
      <c r="K266" s="29">
        <f t="shared" si="34"/>
        <v>0</v>
      </c>
      <c r="L266" s="314"/>
      <c r="M266" s="314"/>
      <c r="N266" s="314"/>
      <c r="O266" s="314"/>
      <c r="P266" s="314"/>
      <c r="Q266" s="314"/>
      <c r="R266" s="314"/>
      <c r="S266" s="314"/>
      <c r="T266" s="314"/>
      <c r="U266" s="314"/>
      <c r="V266" s="350"/>
      <c r="W266" s="350"/>
      <c r="X266" s="350"/>
      <c r="Y266" s="350"/>
      <c r="Z266" s="307"/>
      <c r="AA266" s="350">
        <f t="shared" si="35"/>
        <v>0</v>
      </c>
      <c r="AB266" s="307"/>
      <c r="AC266" s="307"/>
      <c r="AD266" s="303"/>
      <c r="AE266" s="303"/>
      <c r="AF266" s="303"/>
      <c r="AG266" s="303"/>
      <c r="AH266" s="314"/>
      <c r="AI266" s="297">
        <f t="shared" si="36"/>
        <v>0</v>
      </c>
      <c r="AJ266" s="303"/>
      <c r="AK266" s="303"/>
      <c r="AL266" s="303"/>
      <c r="AM266" s="303"/>
      <c r="AN266" s="303"/>
      <c r="AO266" s="303"/>
      <c r="AP266" s="303"/>
      <c r="AQ266" s="289">
        <f t="shared" si="37"/>
        <v>0</v>
      </c>
      <c r="AR266" s="303"/>
      <c r="AS266" s="303"/>
      <c r="AT266" s="329"/>
      <c r="AU266" s="329"/>
      <c r="AV266" s="329"/>
      <c r="AW266" s="329"/>
      <c r="AX266" s="329"/>
      <c r="AY266" s="139">
        <f t="shared" si="38"/>
        <v>0</v>
      </c>
      <c r="AZ266" s="303"/>
      <c r="BA266" s="303"/>
      <c r="BB266" s="303"/>
      <c r="BC266" s="303"/>
      <c r="BD266" s="303"/>
      <c r="BE266" s="303"/>
      <c r="BF266" s="303"/>
      <c r="BG266" s="353">
        <f t="shared" si="39"/>
        <v>0</v>
      </c>
      <c r="BH266" s="303"/>
      <c r="BI266" s="303"/>
      <c r="BJ266" s="354">
        <f t="shared" si="33"/>
        <v>0</v>
      </c>
      <c r="BK266" s="316" t="str">
        <f t="shared" si="32"/>
        <v>Desierto</v>
      </c>
    </row>
    <row r="267" spans="1:63" ht="76.5" x14ac:dyDescent="0.25">
      <c r="A267" s="324">
        <v>265</v>
      </c>
      <c r="B267" s="345" t="s">
        <v>2296</v>
      </c>
      <c r="C267" s="335" t="s">
        <v>2291</v>
      </c>
      <c r="D267" s="360" t="s">
        <v>1061</v>
      </c>
      <c r="E267" s="347">
        <v>1</v>
      </c>
      <c r="F267" s="314"/>
      <c r="G267" s="314"/>
      <c r="H267" s="314"/>
      <c r="I267" s="314"/>
      <c r="J267" s="314"/>
      <c r="K267" s="29">
        <f t="shared" si="34"/>
        <v>0</v>
      </c>
      <c r="L267" s="314"/>
      <c r="M267" s="314"/>
      <c r="N267" s="314"/>
      <c r="O267" s="314"/>
      <c r="P267" s="314"/>
      <c r="Q267" s="314"/>
      <c r="R267" s="314"/>
      <c r="S267" s="314"/>
      <c r="T267" s="314"/>
      <c r="U267" s="314"/>
      <c r="V267" s="350"/>
      <c r="W267" s="350"/>
      <c r="X267" s="350"/>
      <c r="Y267" s="350"/>
      <c r="Z267" s="307"/>
      <c r="AA267" s="350">
        <f t="shared" si="35"/>
        <v>0</v>
      </c>
      <c r="AB267" s="307"/>
      <c r="AC267" s="307"/>
      <c r="AD267" s="303"/>
      <c r="AE267" s="303"/>
      <c r="AF267" s="303"/>
      <c r="AG267" s="303"/>
      <c r="AH267" s="314"/>
      <c r="AI267" s="297">
        <f t="shared" si="36"/>
        <v>0</v>
      </c>
      <c r="AJ267" s="303"/>
      <c r="AK267" s="303"/>
      <c r="AL267" s="303"/>
      <c r="AM267" s="303"/>
      <c r="AN267" s="303"/>
      <c r="AO267" s="303"/>
      <c r="AP267" s="303"/>
      <c r="AQ267" s="289">
        <f t="shared" si="37"/>
        <v>0</v>
      </c>
      <c r="AR267" s="303"/>
      <c r="AS267" s="303"/>
      <c r="AT267" s="329"/>
      <c r="AU267" s="329"/>
      <c r="AV267" s="329"/>
      <c r="AW267" s="329"/>
      <c r="AX267" s="329"/>
      <c r="AY267" s="139">
        <f t="shared" si="38"/>
        <v>0</v>
      </c>
      <c r="AZ267" s="303"/>
      <c r="BA267" s="303"/>
      <c r="BB267" s="303"/>
      <c r="BC267" s="303"/>
      <c r="BD267" s="303"/>
      <c r="BE267" s="303"/>
      <c r="BF267" s="303"/>
      <c r="BG267" s="353">
        <f t="shared" si="39"/>
        <v>0</v>
      </c>
      <c r="BH267" s="303"/>
      <c r="BI267" s="303"/>
      <c r="BJ267" s="354">
        <f t="shared" si="33"/>
        <v>0</v>
      </c>
      <c r="BK267" s="316" t="str">
        <f t="shared" si="32"/>
        <v>Desierto</v>
      </c>
    </row>
    <row r="268" spans="1:63" ht="51" x14ac:dyDescent="0.25">
      <c r="A268" s="324">
        <v>266</v>
      </c>
      <c r="B268" s="345" t="s">
        <v>2297</v>
      </c>
      <c r="C268" s="331" t="s">
        <v>2298</v>
      </c>
      <c r="D268" s="329" t="s">
        <v>2299</v>
      </c>
      <c r="E268" s="347">
        <v>1</v>
      </c>
      <c r="F268" s="314"/>
      <c r="G268" s="314"/>
      <c r="H268" s="314"/>
      <c r="I268" s="314"/>
      <c r="J268" s="314"/>
      <c r="K268" s="29">
        <f t="shared" si="34"/>
        <v>0</v>
      </c>
      <c r="L268" s="314"/>
      <c r="M268" s="314"/>
      <c r="N268" s="314"/>
      <c r="O268" s="314"/>
      <c r="P268" s="314"/>
      <c r="Q268" s="314"/>
      <c r="R268" s="314"/>
      <c r="S268" s="314"/>
      <c r="T268" s="314"/>
      <c r="U268" s="314"/>
      <c r="V268" s="350"/>
      <c r="W268" s="350"/>
      <c r="X268" s="350"/>
      <c r="Y268" s="350"/>
      <c r="Z268" s="307"/>
      <c r="AA268" s="350">
        <f t="shared" si="35"/>
        <v>0</v>
      </c>
      <c r="AB268" s="307"/>
      <c r="AC268" s="307"/>
      <c r="AD268" s="303"/>
      <c r="AE268" s="303"/>
      <c r="AF268" s="303"/>
      <c r="AG268" s="303"/>
      <c r="AH268" s="314"/>
      <c r="AI268" s="297">
        <f t="shared" si="36"/>
        <v>0</v>
      </c>
      <c r="AJ268" s="303"/>
      <c r="AK268" s="303"/>
      <c r="AL268" s="303"/>
      <c r="AM268" s="303"/>
      <c r="AN268" s="303"/>
      <c r="AO268" s="303"/>
      <c r="AP268" s="303"/>
      <c r="AQ268" s="289">
        <f t="shared" si="37"/>
        <v>0</v>
      </c>
      <c r="AR268" s="303"/>
      <c r="AS268" s="303"/>
      <c r="AT268" s="329"/>
      <c r="AU268" s="329"/>
      <c r="AV268" s="329"/>
      <c r="AW268" s="329"/>
      <c r="AX268" s="329"/>
      <c r="AY268" s="139">
        <f t="shared" si="38"/>
        <v>0</v>
      </c>
      <c r="AZ268" s="303"/>
      <c r="BA268" s="303"/>
      <c r="BB268" s="303"/>
      <c r="BC268" s="303"/>
      <c r="BD268" s="303"/>
      <c r="BE268" s="303"/>
      <c r="BF268" s="303"/>
      <c r="BG268" s="353">
        <f t="shared" si="39"/>
        <v>0</v>
      </c>
      <c r="BH268" s="303"/>
      <c r="BI268" s="303"/>
      <c r="BJ268" s="354">
        <f t="shared" si="33"/>
        <v>0</v>
      </c>
      <c r="BK268" s="316" t="str">
        <f t="shared" si="32"/>
        <v>Desierto</v>
      </c>
    </row>
    <row r="269" spans="1:63" ht="51" x14ac:dyDescent="0.25">
      <c r="A269" s="324">
        <v>267</v>
      </c>
      <c r="B269" s="345" t="s">
        <v>2300</v>
      </c>
      <c r="C269" s="380" t="s">
        <v>2301</v>
      </c>
      <c r="D269" s="329" t="s">
        <v>2299</v>
      </c>
      <c r="E269" s="347">
        <v>1</v>
      </c>
      <c r="F269" s="314"/>
      <c r="G269" s="314"/>
      <c r="H269" s="314"/>
      <c r="I269" s="314"/>
      <c r="J269" s="314"/>
      <c r="K269" s="29">
        <f t="shared" si="34"/>
        <v>0</v>
      </c>
      <c r="L269" s="314"/>
      <c r="M269" s="407"/>
      <c r="N269" s="407"/>
      <c r="O269" s="407"/>
      <c r="P269" s="407"/>
      <c r="Q269" s="407"/>
      <c r="R269" s="407"/>
      <c r="S269" s="407"/>
      <c r="T269" s="407"/>
      <c r="U269" s="407"/>
      <c r="V269" s="350"/>
      <c r="W269" s="350"/>
      <c r="X269" s="350"/>
      <c r="Y269" s="350"/>
      <c r="Z269" s="307"/>
      <c r="AA269" s="350">
        <f t="shared" si="35"/>
        <v>0</v>
      </c>
      <c r="AB269" s="307"/>
      <c r="AC269" s="307"/>
      <c r="AD269" s="303"/>
      <c r="AE269" s="303"/>
      <c r="AF269" s="303"/>
      <c r="AG269" s="303"/>
      <c r="AH269" s="314"/>
      <c r="AI269" s="297">
        <f t="shared" si="36"/>
        <v>0</v>
      </c>
      <c r="AJ269" s="303"/>
      <c r="AK269" s="361"/>
      <c r="AL269" s="303"/>
      <c r="AM269" s="303"/>
      <c r="AN269" s="303"/>
      <c r="AO269" s="303"/>
      <c r="AP269" s="303"/>
      <c r="AQ269" s="289">
        <f t="shared" si="37"/>
        <v>0</v>
      </c>
      <c r="AR269" s="314"/>
      <c r="AS269" s="314"/>
      <c r="AT269" s="329"/>
      <c r="AU269" s="329"/>
      <c r="AV269" s="329"/>
      <c r="AW269" s="329"/>
      <c r="AX269" s="329"/>
      <c r="AY269" s="139">
        <f t="shared" si="38"/>
        <v>0</v>
      </c>
      <c r="AZ269" s="375"/>
      <c r="BA269" s="375"/>
      <c r="BB269" s="303"/>
      <c r="BC269" s="303"/>
      <c r="BD269" s="303"/>
      <c r="BE269" s="303"/>
      <c r="BF269" s="303"/>
      <c r="BG269" s="353">
        <f t="shared" si="39"/>
        <v>0</v>
      </c>
      <c r="BH269" s="303"/>
      <c r="BI269" s="303"/>
      <c r="BJ269" s="354">
        <f t="shared" si="33"/>
        <v>0</v>
      </c>
      <c r="BK269" s="316" t="str">
        <f t="shared" si="32"/>
        <v>Desierto</v>
      </c>
    </row>
    <row r="270" spans="1:63" ht="51" x14ac:dyDescent="0.25">
      <c r="A270" s="324">
        <v>268</v>
      </c>
      <c r="B270" s="345" t="s">
        <v>2302</v>
      </c>
      <c r="C270" s="380" t="s">
        <v>2303</v>
      </c>
      <c r="D270" s="329" t="s">
        <v>2299</v>
      </c>
      <c r="E270" s="347">
        <v>1</v>
      </c>
      <c r="F270" s="314"/>
      <c r="G270" s="314"/>
      <c r="H270" s="314"/>
      <c r="I270" s="314"/>
      <c r="J270" s="314"/>
      <c r="K270" s="29">
        <f t="shared" si="34"/>
        <v>0</v>
      </c>
      <c r="L270" s="314"/>
      <c r="M270" s="407"/>
      <c r="N270" s="407"/>
      <c r="O270" s="407"/>
      <c r="P270" s="407"/>
      <c r="Q270" s="407"/>
      <c r="R270" s="407"/>
      <c r="S270" s="407"/>
      <c r="T270" s="407"/>
      <c r="U270" s="407"/>
      <c r="V270" s="350"/>
      <c r="W270" s="350"/>
      <c r="X270" s="350"/>
      <c r="Y270" s="350"/>
      <c r="Z270" s="307"/>
      <c r="AA270" s="350">
        <f t="shared" si="35"/>
        <v>0</v>
      </c>
      <c r="AB270" s="307"/>
      <c r="AC270" s="307"/>
      <c r="AD270" s="303"/>
      <c r="AE270" s="303"/>
      <c r="AF270" s="303"/>
      <c r="AG270" s="303"/>
      <c r="AH270" s="314"/>
      <c r="AI270" s="297">
        <f t="shared" si="36"/>
        <v>0</v>
      </c>
      <c r="AJ270" s="303"/>
      <c r="AK270" s="361"/>
      <c r="AL270" s="303"/>
      <c r="AM270" s="303"/>
      <c r="AN270" s="303"/>
      <c r="AO270" s="303"/>
      <c r="AP270" s="303"/>
      <c r="AQ270" s="289">
        <f t="shared" si="37"/>
        <v>0</v>
      </c>
      <c r="AR270" s="314"/>
      <c r="AS270" s="314"/>
      <c r="AT270" s="329"/>
      <c r="AU270" s="329"/>
      <c r="AV270" s="329"/>
      <c r="AW270" s="329"/>
      <c r="AX270" s="329"/>
      <c r="AY270" s="139">
        <f t="shared" si="38"/>
        <v>0</v>
      </c>
      <c r="AZ270" s="375"/>
      <c r="BA270" s="375"/>
      <c r="BB270" s="303"/>
      <c r="BC270" s="303"/>
      <c r="BD270" s="303"/>
      <c r="BE270" s="303"/>
      <c r="BF270" s="303"/>
      <c r="BG270" s="353">
        <f t="shared" si="39"/>
        <v>0</v>
      </c>
      <c r="BH270" s="303"/>
      <c r="BI270" s="303"/>
      <c r="BJ270" s="354">
        <f t="shared" si="33"/>
        <v>0</v>
      </c>
      <c r="BK270" s="316" t="str">
        <f t="shared" si="32"/>
        <v>Desierto</v>
      </c>
    </row>
    <row r="271" spans="1:63" x14ac:dyDescent="0.25">
      <c r="A271" s="324">
        <v>269</v>
      </c>
      <c r="B271" s="345" t="s">
        <v>2304</v>
      </c>
      <c r="C271" s="335" t="s">
        <v>518</v>
      </c>
      <c r="D271" s="357" t="s">
        <v>1629</v>
      </c>
      <c r="E271" s="347">
        <v>1</v>
      </c>
      <c r="F271" s="314" t="s">
        <v>510</v>
      </c>
      <c r="G271" s="314" t="s">
        <v>510</v>
      </c>
      <c r="H271" s="314" t="s">
        <v>511</v>
      </c>
      <c r="I271" s="314" t="s">
        <v>510</v>
      </c>
      <c r="J271" s="406">
        <v>0</v>
      </c>
      <c r="K271" s="29">
        <f t="shared" si="34"/>
        <v>0</v>
      </c>
      <c r="L271" s="314" t="s">
        <v>504</v>
      </c>
      <c r="M271" s="314"/>
      <c r="N271" s="314"/>
      <c r="O271" s="314"/>
      <c r="P271" s="314"/>
      <c r="Q271" s="314"/>
      <c r="R271" s="314"/>
      <c r="S271" s="314"/>
      <c r="T271" s="314"/>
      <c r="U271" s="314"/>
      <c r="V271" s="350"/>
      <c r="W271" s="350"/>
      <c r="X271" s="350"/>
      <c r="Y271" s="350"/>
      <c r="Z271" s="307"/>
      <c r="AA271" s="350">
        <f t="shared" si="35"/>
        <v>0</v>
      </c>
      <c r="AB271" s="307"/>
      <c r="AC271" s="307"/>
      <c r="AD271" s="303"/>
      <c r="AE271" s="303"/>
      <c r="AF271" s="303"/>
      <c r="AG271" s="303"/>
      <c r="AH271" s="314"/>
      <c r="AI271" s="297">
        <f t="shared" si="36"/>
        <v>0</v>
      </c>
      <c r="AJ271" s="303"/>
      <c r="AK271" s="303"/>
      <c r="AL271" s="303"/>
      <c r="AM271" s="303"/>
      <c r="AN271" s="303"/>
      <c r="AO271" s="303"/>
      <c r="AP271" s="303"/>
      <c r="AQ271" s="289">
        <f t="shared" si="37"/>
        <v>0</v>
      </c>
      <c r="AR271" s="303"/>
      <c r="AS271" s="303"/>
      <c r="AT271" s="329"/>
      <c r="AU271" s="329"/>
      <c r="AV271" s="329"/>
      <c r="AW271" s="329"/>
      <c r="AX271" s="329"/>
      <c r="AY271" s="139">
        <f t="shared" si="38"/>
        <v>0</v>
      </c>
      <c r="AZ271" s="303"/>
      <c r="BA271" s="303"/>
      <c r="BB271" s="304"/>
      <c r="BC271" s="304"/>
      <c r="BD271" s="304"/>
      <c r="BE271" s="304"/>
      <c r="BF271" s="304"/>
      <c r="BG271" s="353">
        <f t="shared" si="39"/>
        <v>0</v>
      </c>
      <c r="BH271" s="304"/>
      <c r="BI271" s="304"/>
      <c r="BJ271" s="354">
        <f t="shared" si="33"/>
        <v>1</v>
      </c>
      <c r="BK271" s="316" t="str">
        <f t="shared" si="32"/>
        <v>Habilitado</v>
      </c>
    </row>
    <row r="272" spans="1:63" x14ac:dyDescent="0.25">
      <c r="A272" s="324">
        <v>270</v>
      </c>
      <c r="B272" s="345" t="s">
        <v>2305</v>
      </c>
      <c r="C272" s="335" t="s">
        <v>518</v>
      </c>
      <c r="D272" s="357" t="s">
        <v>1629</v>
      </c>
      <c r="E272" s="347">
        <v>1</v>
      </c>
      <c r="F272" s="314" t="s">
        <v>510</v>
      </c>
      <c r="G272" s="314" t="s">
        <v>510</v>
      </c>
      <c r="H272" s="314" t="s">
        <v>511</v>
      </c>
      <c r="I272" s="314" t="s">
        <v>510</v>
      </c>
      <c r="J272" s="406">
        <v>0</v>
      </c>
      <c r="K272" s="29">
        <f t="shared" si="34"/>
        <v>0</v>
      </c>
      <c r="L272" s="314" t="s">
        <v>504</v>
      </c>
      <c r="M272" s="314"/>
      <c r="N272" s="314"/>
      <c r="O272" s="314"/>
      <c r="P272" s="314"/>
      <c r="Q272" s="314"/>
      <c r="R272" s="314"/>
      <c r="S272" s="314"/>
      <c r="T272" s="314"/>
      <c r="U272" s="314"/>
      <c r="V272" s="350"/>
      <c r="W272" s="350"/>
      <c r="X272" s="350"/>
      <c r="Y272" s="350"/>
      <c r="Z272" s="307"/>
      <c r="AA272" s="350">
        <f t="shared" si="35"/>
        <v>0</v>
      </c>
      <c r="AB272" s="307"/>
      <c r="AC272" s="307"/>
      <c r="AD272" s="303"/>
      <c r="AE272" s="303"/>
      <c r="AF272" s="303"/>
      <c r="AG272" s="303"/>
      <c r="AH272" s="314"/>
      <c r="AI272" s="297">
        <f t="shared" si="36"/>
        <v>0</v>
      </c>
      <c r="AJ272" s="303"/>
      <c r="AK272" s="303"/>
      <c r="AL272" s="303"/>
      <c r="AM272" s="303"/>
      <c r="AN272" s="303"/>
      <c r="AO272" s="303"/>
      <c r="AP272" s="303"/>
      <c r="AQ272" s="289">
        <f t="shared" si="37"/>
        <v>0</v>
      </c>
      <c r="AR272" s="303"/>
      <c r="AS272" s="303"/>
      <c r="AT272" s="329"/>
      <c r="AU272" s="329"/>
      <c r="AV272" s="329"/>
      <c r="AW272" s="329"/>
      <c r="AX272" s="329"/>
      <c r="AY272" s="139">
        <f t="shared" si="38"/>
        <v>0</v>
      </c>
      <c r="AZ272" s="303"/>
      <c r="BA272" s="303"/>
      <c r="BB272" s="303"/>
      <c r="BC272" s="303"/>
      <c r="BD272" s="303"/>
      <c r="BE272" s="303"/>
      <c r="BF272" s="303"/>
      <c r="BG272" s="353">
        <f t="shared" si="39"/>
        <v>0</v>
      </c>
      <c r="BH272" s="303"/>
      <c r="BI272" s="303"/>
      <c r="BJ272" s="354">
        <f t="shared" si="33"/>
        <v>1</v>
      </c>
      <c r="BK272" s="316" t="str">
        <f t="shared" si="32"/>
        <v>Habilitado</v>
      </c>
    </row>
    <row r="273" spans="1:63" ht="38.25" x14ac:dyDescent="0.25">
      <c r="A273" s="324">
        <v>271</v>
      </c>
      <c r="B273" s="345" t="s">
        <v>2306</v>
      </c>
      <c r="C273" s="335" t="s">
        <v>2307</v>
      </c>
      <c r="D273" s="360" t="s">
        <v>1572</v>
      </c>
      <c r="E273" s="347">
        <v>1</v>
      </c>
      <c r="F273" s="314"/>
      <c r="G273" s="314"/>
      <c r="H273" s="314"/>
      <c r="I273" s="314"/>
      <c r="J273" s="314"/>
      <c r="K273" s="29">
        <f t="shared" si="34"/>
        <v>0</v>
      </c>
      <c r="L273" s="314"/>
      <c r="M273" s="314"/>
      <c r="N273" s="314"/>
      <c r="O273" s="314"/>
      <c r="P273" s="314"/>
      <c r="Q273" s="314"/>
      <c r="R273" s="314"/>
      <c r="S273" s="314"/>
      <c r="T273" s="314"/>
      <c r="U273" s="314"/>
      <c r="V273" s="350"/>
      <c r="W273" s="350"/>
      <c r="X273" s="350"/>
      <c r="Y273" s="350"/>
      <c r="Z273" s="307"/>
      <c r="AA273" s="350">
        <f t="shared" si="35"/>
        <v>0</v>
      </c>
      <c r="AB273" s="307"/>
      <c r="AC273" s="307"/>
      <c r="AD273" s="303"/>
      <c r="AE273" s="303"/>
      <c r="AF273" s="303"/>
      <c r="AG273" s="303"/>
      <c r="AH273" s="314"/>
      <c r="AI273" s="297">
        <f t="shared" si="36"/>
        <v>0</v>
      </c>
      <c r="AJ273" s="303"/>
      <c r="AK273" s="303"/>
      <c r="AL273" s="303"/>
      <c r="AM273" s="303"/>
      <c r="AN273" s="303"/>
      <c r="AO273" s="303"/>
      <c r="AP273" s="303"/>
      <c r="AQ273" s="289">
        <f t="shared" si="37"/>
        <v>0</v>
      </c>
      <c r="AR273" s="303"/>
      <c r="AS273" s="303"/>
      <c r="AT273" s="329"/>
      <c r="AU273" s="329"/>
      <c r="AV273" s="329"/>
      <c r="AW273" s="329"/>
      <c r="AX273" s="329"/>
      <c r="AY273" s="139">
        <f t="shared" si="38"/>
        <v>0</v>
      </c>
      <c r="AZ273" s="303"/>
      <c r="BA273" s="303"/>
      <c r="BB273" s="303"/>
      <c r="BC273" s="303"/>
      <c r="BD273" s="303"/>
      <c r="BE273" s="303"/>
      <c r="BF273" s="303"/>
      <c r="BG273" s="353">
        <f t="shared" si="39"/>
        <v>0</v>
      </c>
      <c r="BH273" s="303"/>
      <c r="BI273" s="303"/>
      <c r="BJ273" s="354">
        <f t="shared" si="33"/>
        <v>0</v>
      </c>
      <c r="BK273" s="316" t="str">
        <f t="shared" si="32"/>
        <v>Desierto</v>
      </c>
    </row>
    <row r="274" spans="1:63" ht="38.25" x14ac:dyDescent="0.25">
      <c r="A274" s="324">
        <v>272</v>
      </c>
      <c r="B274" s="345" t="s">
        <v>2308</v>
      </c>
      <c r="C274" s="335" t="s">
        <v>518</v>
      </c>
      <c r="D274" s="357" t="s">
        <v>1629</v>
      </c>
      <c r="E274" s="347">
        <v>1</v>
      </c>
      <c r="F274" s="314"/>
      <c r="G274" s="314"/>
      <c r="H274" s="314"/>
      <c r="I274" s="314"/>
      <c r="J274" s="314"/>
      <c r="K274" s="29">
        <f t="shared" si="34"/>
        <v>0</v>
      </c>
      <c r="L274" s="314"/>
      <c r="M274" s="314"/>
      <c r="N274" s="314"/>
      <c r="O274" s="314"/>
      <c r="P274" s="314"/>
      <c r="Q274" s="314"/>
      <c r="R274" s="314"/>
      <c r="S274" s="314"/>
      <c r="T274" s="314"/>
      <c r="U274" s="314"/>
      <c r="V274" s="350"/>
      <c r="W274" s="350"/>
      <c r="X274" s="350"/>
      <c r="Y274" s="350"/>
      <c r="Z274" s="307"/>
      <c r="AA274" s="350">
        <f t="shared" si="35"/>
        <v>0</v>
      </c>
      <c r="AB274" s="307"/>
      <c r="AC274" s="307"/>
      <c r="AD274" s="303"/>
      <c r="AE274" s="303"/>
      <c r="AF274" s="303"/>
      <c r="AG274" s="303"/>
      <c r="AH274" s="314"/>
      <c r="AI274" s="297">
        <f t="shared" si="36"/>
        <v>0</v>
      </c>
      <c r="AJ274" s="303"/>
      <c r="AK274" s="303"/>
      <c r="AL274" s="303"/>
      <c r="AM274" s="303"/>
      <c r="AN274" s="303"/>
      <c r="AO274" s="303"/>
      <c r="AP274" s="303"/>
      <c r="AQ274" s="289">
        <f t="shared" si="37"/>
        <v>0</v>
      </c>
      <c r="AR274" s="303"/>
      <c r="AS274" s="303"/>
      <c r="AT274" s="303" t="s">
        <v>510</v>
      </c>
      <c r="AU274" s="303" t="s">
        <v>510</v>
      </c>
      <c r="AV274" s="303" t="s">
        <v>511</v>
      </c>
      <c r="AW274" s="303" t="s">
        <v>510</v>
      </c>
      <c r="AX274" s="303">
        <v>40</v>
      </c>
      <c r="AY274" s="139">
        <f t="shared" si="38"/>
        <v>40</v>
      </c>
      <c r="AZ274" s="303" t="s">
        <v>504</v>
      </c>
      <c r="BA274" s="303"/>
      <c r="BB274" s="303"/>
      <c r="BC274" s="303"/>
      <c r="BD274" s="303"/>
      <c r="BE274" s="303"/>
      <c r="BF274" s="303"/>
      <c r="BG274" s="353">
        <f t="shared" si="39"/>
        <v>0</v>
      </c>
      <c r="BH274" s="303"/>
      <c r="BI274" s="303"/>
      <c r="BJ274" s="354">
        <f t="shared" si="33"/>
        <v>1</v>
      </c>
      <c r="BK274" s="316" t="str">
        <f t="shared" si="32"/>
        <v>Habilitado</v>
      </c>
    </row>
    <row r="275" spans="1:63" ht="38.25" x14ac:dyDescent="0.25">
      <c r="A275" s="324">
        <v>273</v>
      </c>
      <c r="B275" s="345" t="s">
        <v>2309</v>
      </c>
      <c r="C275" s="335" t="s">
        <v>2145</v>
      </c>
      <c r="D275" s="360" t="s">
        <v>140</v>
      </c>
      <c r="E275" s="347">
        <v>1</v>
      </c>
      <c r="F275" s="314" t="s">
        <v>510</v>
      </c>
      <c r="G275" s="314" t="s">
        <v>510</v>
      </c>
      <c r="H275" s="314" t="s">
        <v>511</v>
      </c>
      <c r="I275" s="314" t="s">
        <v>510</v>
      </c>
      <c r="J275" s="314">
        <v>40</v>
      </c>
      <c r="K275" s="29">
        <f t="shared" si="34"/>
        <v>40</v>
      </c>
      <c r="L275" s="314" t="s">
        <v>504</v>
      </c>
      <c r="M275" s="314"/>
      <c r="N275" s="314"/>
      <c r="O275" s="314"/>
      <c r="P275" s="314"/>
      <c r="Q275" s="314"/>
      <c r="R275" s="314"/>
      <c r="S275" s="314"/>
      <c r="T275" s="314"/>
      <c r="U275" s="314"/>
      <c r="V275" s="350"/>
      <c r="W275" s="350"/>
      <c r="X275" s="350"/>
      <c r="Y275" s="350"/>
      <c r="Z275" s="307"/>
      <c r="AA275" s="350">
        <f t="shared" si="35"/>
        <v>0</v>
      </c>
      <c r="AB275" s="307"/>
      <c r="AC275" s="307"/>
      <c r="AD275" s="303"/>
      <c r="AE275" s="303"/>
      <c r="AF275" s="303"/>
      <c r="AG275" s="303"/>
      <c r="AH275" s="314"/>
      <c r="AI275" s="297">
        <f t="shared" si="36"/>
        <v>0</v>
      </c>
      <c r="AJ275" s="303"/>
      <c r="AK275" s="303"/>
      <c r="AL275" s="303"/>
      <c r="AM275" s="303"/>
      <c r="AN275" s="303"/>
      <c r="AO275" s="303"/>
      <c r="AP275" s="303"/>
      <c r="AQ275" s="289">
        <f t="shared" si="37"/>
        <v>0</v>
      </c>
      <c r="AR275" s="303"/>
      <c r="AS275" s="303"/>
      <c r="AT275" s="329"/>
      <c r="AU275" s="329"/>
      <c r="AV275" s="329"/>
      <c r="AW275" s="329"/>
      <c r="AX275" s="329"/>
      <c r="AY275" s="139">
        <f t="shared" si="38"/>
        <v>0</v>
      </c>
      <c r="AZ275" s="303"/>
      <c r="BA275" s="303"/>
      <c r="BB275" s="303"/>
      <c r="BC275" s="303"/>
      <c r="BD275" s="303"/>
      <c r="BE275" s="303"/>
      <c r="BF275" s="303"/>
      <c r="BG275" s="353">
        <f t="shared" si="39"/>
        <v>0</v>
      </c>
      <c r="BH275" s="303"/>
      <c r="BI275" s="303"/>
      <c r="BJ275" s="354">
        <f t="shared" si="33"/>
        <v>1</v>
      </c>
      <c r="BK275" s="316" t="str">
        <f t="shared" si="32"/>
        <v>Habilitado</v>
      </c>
    </row>
    <row r="276" spans="1:63" ht="51" x14ac:dyDescent="0.25">
      <c r="A276" s="324">
        <v>274</v>
      </c>
      <c r="B276" s="345" t="s">
        <v>2310</v>
      </c>
      <c r="C276" s="335" t="s">
        <v>2311</v>
      </c>
      <c r="D276" s="360" t="s">
        <v>1525</v>
      </c>
      <c r="E276" s="347">
        <v>1</v>
      </c>
      <c r="F276" s="314" t="s">
        <v>519</v>
      </c>
      <c r="G276" s="314" t="s">
        <v>519</v>
      </c>
      <c r="H276" s="314" t="s">
        <v>511</v>
      </c>
      <c r="I276" s="314" t="s">
        <v>510</v>
      </c>
      <c r="J276" s="406">
        <v>0</v>
      </c>
      <c r="K276" s="29">
        <f t="shared" si="34"/>
        <v>0</v>
      </c>
      <c r="L276" s="314" t="s">
        <v>520</v>
      </c>
      <c r="M276" s="407" t="s">
        <v>2270</v>
      </c>
      <c r="N276" s="407" t="s">
        <v>510</v>
      </c>
      <c r="O276" s="407" t="s">
        <v>510</v>
      </c>
      <c r="P276" s="407" t="s">
        <v>1876</v>
      </c>
      <c r="Q276" s="407" t="s">
        <v>1873</v>
      </c>
      <c r="R276" s="407">
        <v>0</v>
      </c>
      <c r="S276" s="407">
        <f>+R276</f>
        <v>0</v>
      </c>
      <c r="T276" s="407" t="s">
        <v>593</v>
      </c>
      <c r="U276" s="407"/>
      <c r="V276" s="350"/>
      <c r="W276" s="350"/>
      <c r="X276" s="350"/>
      <c r="Y276" s="350"/>
      <c r="Z276" s="307"/>
      <c r="AA276" s="350">
        <f t="shared" si="35"/>
        <v>0</v>
      </c>
      <c r="AB276" s="307"/>
      <c r="AC276" s="307"/>
      <c r="AD276" s="303"/>
      <c r="AE276" s="303"/>
      <c r="AF276" s="303"/>
      <c r="AG276" s="303"/>
      <c r="AH276" s="314"/>
      <c r="AI276" s="297">
        <f t="shared" si="36"/>
        <v>0</v>
      </c>
      <c r="AJ276" s="303"/>
      <c r="AK276" s="361"/>
      <c r="AL276" s="303"/>
      <c r="AM276" s="303"/>
      <c r="AN276" s="303"/>
      <c r="AO276" s="303"/>
      <c r="AP276" s="303"/>
      <c r="AQ276" s="289">
        <f t="shared" si="37"/>
        <v>0</v>
      </c>
      <c r="AR276" s="314"/>
      <c r="AS276" s="314"/>
      <c r="AT276" s="329"/>
      <c r="AU276" s="329"/>
      <c r="AV276" s="329"/>
      <c r="AW276" s="329"/>
      <c r="AX276" s="329"/>
      <c r="AY276" s="139">
        <f t="shared" si="38"/>
        <v>0</v>
      </c>
      <c r="AZ276" s="375"/>
      <c r="BA276" s="375"/>
      <c r="BB276" s="303"/>
      <c r="BC276" s="303"/>
      <c r="BD276" s="303"/>
      <c r="BE276" s="303"/>
      <c r="BF276" s="303"/>
      <c r="BG276" s="353">
        <f t="shared" si="39"/>
        <v>0</v>
      </c>
      <c r="BH276" s="303"/>
      <c r="BI276" s="303"/>
      <c r="BJ276" s="354">
        <f t="shared" si="33"/>
        <v>0</v>
      </c>
      <c r="BK276" s="316" t="str">
        <f t="shared" si="32"/>
        <v>Desierto</v>
      </c>
    </row>
    <row r="277" spans="1:63" ht="25.5" x14ac:dyDescent="0.25">
      <c r="A277" s="324">
        <v>275</v>
      </c>
      <c r="B277" s="345" t="s">
        <v>2312</v>
      </c>
      <c r="C277" s="357" t="s">
        <v>518</v>
      </c>
      <c r="D277" s="357" t="s">
        <v>1741</v>
      </c>
      <c r="E277" s="347">
        <v>1</v>
      </c>
      <c r="F277" s="314"/>
      <c r="G277" s="314"/>
      <c r="H277" s="314"/>
      <c r="I277" s="314"/>
      <c r="J277" s="314"/>
      <c r="K277" s="29">
        <f t="shared" si="34"/>
        <v>0</v>
      </c>
      <c r="L277" s="314"/>
      <c r="M277" s="314"/>
      <c r="N277" s="314"/>
      <c r="O277" s="314"/>
      <c r="P277" s="314"/>
      <c r="Q277" s="314"/>
      <c r="R277" s="314"/>
      <c r="S277" s="314"/>
      <c r="T277" s="314"/>
      <c r="U277" s="314"/>
      <c r="V277" s="350"/>
      <c r="W277" s="350"/>
      <c r="X277" s="350"/>
      <c r="Y277" s="350"/>
      <c r="Z277" s="307"/>
      <c r="AA277" s="350">
        <f t="shared" si="35"/>
        <v>0</v>
      </c>
      <c r="AB277" s="307"/>
      <c r="AC277" s="307"/>
      <c r="AD277" s="303"/>
      <c r="AE277" s="303"/>
      <c r="AF277" s="303"/>
      <c r="AG277" s="303"/>
      <c r="AH277" s="314"/>
      <c r="AI277" s="297">
        <f t="shared" si="36"/>
        <v>0</v>
      </c>
      <c r="AJ277" s="303"/>
      <c r="AK277" s="303"/>
      <c r="AL277" s="303"/>
      <c r="AM277" s="303"/>
      <c r="AN277" s="303"/>
      <c r="AO277" s="303"/>
      <c r="AP277" s="303"/>
      <c r="AQ277" s="289">
        <f t="shared" si="37"/>
        <v>0</v>
      </c>
      <c r="AR277" s="303"/>
      <c r="AS277" s="303"/>
      <c r="AT277" s="303" t="s">
        <v>510</v>
      </c>
      <c r="AU277" s="303" t="s">
        <v>510</v>
      </c>
      <c r="AV277" s="303" t="s">
        <v>510</v>
      </c>
      <c r="AW277" s="303" t="s">
        <v>510</v>
      </c>
      <c r="AX277" s="303">
        <v>40</v>
      </c>
      <c r="AY277" s="139">
        <f t="shared" si="38"/>
        <v>40</v>
      </c>
      <c r="AZ277" s="301" t="s">
        <v>504</v>
      </c>
      <c r="BA277" s="301"/>
      <c r="BB277" s="303"/>
      <c r="BC277" s="303"/>
      <c r="BD277" s="303"/>
      <c r="BE277" s="303"/>
      <c r="BF277" s="303"/>
      <c r="BG277" s="353">
        <f t="shared" si="39"/>
        <v>0</v>
      </c>
      <c r="BH277" s="303"/>
      <c r="BI277" s="303"/>
      <c r="BJ277" s="354">
        <f t="shared" si="33"/>
        <v>1</v>
      </c>
      <c r="BK277" s="316" t="str">
        <f t="shared" si="32"/>
        <v>Habilitado</v>
      </c>
    </row>
    <row r="278" spans="1:63" ht="25.5" x14ac:dyDescent="0.25">
      <c r="A278" s="324">
        <v>276</v>
      </c>
      <c r="B278" s="345" t="s">
        <v>2313</v>
      </c>
      <c r="C278" s="335" t="s">
        <v>518</v>
      </c>
      <c r="D278" s="360" t="s">
        <v>1572</v>
      </c>
      <c r="E278" s="347">
        <v>1</v>
      </c>
      <c r="F278" s="314"/>
      <c r="G278" s="314"/>
      <c r="H278" s="314"/>
      <c r="I278" s="314"/>
      <c r="J278" s="314"/>
      <c r="K278" s="29">
        <f t="shared" si="34"/>
        <v>0</v>
      </c>
      <c r="L278" s="314"/>
      <c r="M278" s="314"/>
      <c r="N278" s="314"/>
      <c r="O278" s="314"/>
      <c r="P278" s="314"/>
      <c r="Q278" s="314"/>
      <c r="R278" s="314"/>
      <c r="S278" s="314"/>
      <c r="T278" s="314"/>
      <c r="U278" s="314"/>
      <c r="V278" s="350"/>
      <c r="W278" s="350"/>
      <c r="X278" s="350"/>
      <c r="Y278" s="350"/>
      <c r="Z278" s="307"/>
      <c r="AA278" s="350">
        <f t="shared" si="35"/>
        <v>0</v>
      </c>
      <c r="AB278" s="307"/>
      <c r="AC278" s="307"/>
      <c r="AD278" s="303"/>
      <c r="AE278" s="303"/>
      <c r="AF278" s="303"/>
      <c r="AG278" s="303"/>
      <c r="AH278" s="314"/>
      <c r="AI278" s="297">
        <f t="shared" si="36"/>
        <v>0</v>
      </c>
      <c r="AJ278" s="303"/>
      <c r="AK278" s="303"/>
      <c r="AL278" s="303"/>
      <c r="AM278" s="303"/>
      <c r="AN278" s="303"/>
      <c r="AO278" s="303"/>
      <c r="AP278" s="303"/>
      <c r="AQ278" s="289">
        <f t="shared" si="37"/>
        <v>0</v>
      </c>
      <c r="AR278" s="303"/>
      <c r="AS278" s="303"/>
      <c r="AT278" s="329"/>
      <c r="AU278" s="329"/>
      <c r="AV278" s="329"/>
      <c r="AW278" s="329"/>
      <c r="AX278" s="329"/>
      <c r="AY278" s="139">
        <f t="shared" si="38"/>
        <v>0</v>
      </c>
      <c r="AZ278" s="303"/>
      <c r="BA278" s="303"/>
      <c r="BB278" s="303"/>
      <c r="BC278" s="303"/>
      <c r="BD278" s="303"/>
      <c r="BE278" s="303"/>
      <c r="BF278" s="303"/>
      <c r="BG278" s="353">
        <f t="shared" si="39"/>
        <v>0</v>
      </c>
      <c r="BH278" s="303"/>
      <c r="BI278" s="303"/>
      <c r="BJ278" s="354">
        <f t="shared" si="33"/>
        <v>0</v>
      </c>
      <c r="BK278" s="316" t="str">
        <f t="shared" si="32"/>
        <v>Desierto</v>
      </c>
    </row>
    <row r="279" spans="1:63" ht="25.5" x14ac:dyDescent="0.25">
      <c r="A279" s="324">
        <v>277</v>
      </c>
      <c r="B279" s="345" t="s">
        <v>2314</v>
      </c>
      <c r="C279" s="335" t="s">
        <v>338</v>
      </c>
      <c r="D279" s="360" t="s">
        <v>1635</v>
      </c>
      <c r="E279" s="347">
        <v>1</v>
      </c>
      <c r="F279" s="314"/>
      <c r="G279" s="314"/>
      <c r="H279" s="314"/>
      <c r="I279" s="314"/>
      <c r="J279" s="314"/>
      <c r="K279" s="29">
        <f t="shared" si="34"/>
        <v>0</v>
      </c>
      <c r="L279" s="314"/>
      <c r="M279" s="314"/>
      <c r="N279" s="314"/>
      <c r="O279" s="314"/>
      <c r="P279" s="314"/>
      <c r="Q279" s="314"/>
      <c r="R279" s="314"/>
      <c r="S279" s="314"/>
      <c r="T279" s="314"/>
      <c r="U279" s="314"/>
      <c r="V279" s="350"/>
      <c r="W279" s="350"/>
      <c r="X279" s="350"/>
      <c r="Y279" s="350"/>
      <c r="Z279" s="307"/>
      <c r="AA279" s="350">
        <f t="shared" si="35"/>
        <v>0</v>
      </c>
      <c r="AB279" s="307"/>
      <c r="AC279" s="307"/>
      <c r="AD279" s="303"/>
      <c r="AE279" s="303"/>
      <c r="AF279" s="303"/>
      <c r="AG279" s="303"/>
      <c r="AH279" s="314"/>
      <c r="AI279" s="297">
        <f t="shared" si="36"/>
        <v>0</v>
      </c>
      <c r="AJ279" s="303"/>
      <c r="AK279" s="303"/>
      <c r="AL279" s="303"/>
      <c r="AM279" s="303"/>
      <c r="AN279" s="303"/>
      <c r="AO279" s="303"/>
      <c r="AP279" s="303"/>
      <c r="AQ279" s="289">
        <f t="shared" si="37"/>
        <v>0</v>
      </c>
      <c r="AR279" s="303"/>
      <c r="AS279" s="303"/>
      <c r="AT279" s="329"/>
      <c r="AU279" s="329"/>
      <c r="AV279" s="329"/>
      <c r="AW279" s="329"/>
      <c r="AX279" s="329"/>
      <c r="AY279" s="139">
        <f t="shared" si="38"/>
        <v>0</v>
      </c>
      <c r="AZ279" s="303"/>
      <c r="BA279" s="303"/>
      <c r="BB279" s="303"/>
      <c r="BC279" s="303"/>
      <c r="BD279" s="303"/>
      <c r="BE279" s="303"/>
      <c r="BF279" s="303"/>
      <c r="BG279" s="353">
        <f t="shared" si="39"/>
        <v>0</v>
      </c>
      <c r="BH279" s="303"/>
      <c r="BI279" s="303"/>
      <c r="BJ279" s="354">
        <f t="shared" si="33"/>
        <v>0</v>
      </c>
      <c r="BK279" s="316" t="str">
        <f t="shared" si="32"/>
        <v>Desierto</v>
      </c>
    </row>
    <row r="280" spans="1:63" ht="38.25" x14ac:dyDescent="0.25">
      <c r="A280" s="324">
        <v>278</v>
      </c>
      <c r="B280" s="345" t="s">
        <v>2315</v>
      </c>
      <c r="C280" s="357" t="s">
        <v>518</v>
      </c>
      <c r="D280" s="357" t="s">
        <v>1572</v>
      </c>
      <c r="E280" s="347">
        <v>1</v>
      </c>
      <c r="F280" s="314" t="s">
        <v>510</v>
      </c>
      <c r="G280" s="314" t="s">
        <v>510</v>
      </c>
      <c r="H280" s="314" t="s">
        <v>510</v>
      </c>
      <c r="I280" s="314" t="s">
        <v>510</v>
      </c>
      <c r="J280" s="314">
        <v>40</v>
      </c>
      <c r="K280" s="29">
        <f t="shared" si="34"/>
        <v>40</v>
      </c>
      <c r="L280" s="314" t="s">
        <v>504</v>
      </c>
      <c r="M280" s="314"/>
      <c r="N280" s="314"/>
      <c r="O280" s="314"/>
      <c r="P280" s="314"/>
      <c r="Q280" s="314"/>
      <c r="R280" s="314"/>
      <c r="S280" s="314"/>
      <c r="T280" s="314"/>
      <c r="U280" s="314"/>
      <c r="V280" s="350"/>
      <c r="W280" s="350"/>
      <c r="X280" s="350"/>
      <c r="Y280" s="350"/>
      <c r="Z280" s="307"/>
      <c r="AA280" s="350">
        <f t="shared" si="35"/>
        <v>0</v>
      </c>
      <c r="AB280" s="307"/>
      <c r="AC280" s="307"/>
      <c r="AD280" s="303"/>
      <c r="AE280" s="303"/>
      <c r="AF280" s="303"/>
      <c r="AG280" s="303"/>
      <c r="AH280" s="314"/>
      <c r="AI280" s="297">
        <f t="shared" si="36"/>
        <v>0</v>
      </c>
      <c r="AJ280" s="303"/>
      <c r="AK280" s="303"/>
      <c r="AL280" s="303"/>
      <c r="AM280" s="303"/>
      <c r="AN280" s="303"/>
      <c r="AO280" s="303"/>
      <c r="AP280" s="303"/>
      <c r="AQ280" s="289">
        <f t="shared" si="37"/>
        <v>0</v>
      </c>
      <c r="AR280" s="303"/>
      <c r="AS280" s="303"/>
      <c r="AT280" s="329"/>
      <c r="AU280" s="329"/>
      <c r="AV280" s="329"/>
      <c r="AW280" s="329"/>
      <c r="AX280" s="329"/>
      <c r="AY280" s="139">
        <f t="shared" si="38"/>
        <v>0</v>
      </c>
      <c r="AZ280" s="303"/>
      <c r="BA280" s="303"/>
      <c r="BB280" s="303"/>
      <c r="BC280" s="303"/>
      <c r="BD280" s="303"/>
      <c r="BE280" s="303"/>
      <c r="BF280" s="303"/>
      <c r="BG280" s="353">
        <f t="shared" si="39"/>
        <v>0</v>
      </c>
      <c r="BH280" s="303"/>
      <c r="BI280" s="303"/>
      <c r="BJ280" s="354">
        <f t="shared" si="33"/>
        <v>1</v>
      </c>
      <c r="BK280" s="316" t="str">
        <f t="shared" si="32"/>
        <v>Habilitado</v>
      </c>
    </row>
    <row r="281" spans="1:63" x14ac:dyDescent="0.25">
      <c r="A281" s="324">
        <v>279</v>
      </c>
      <c r="B281" s="345" t="s">
        <v>2316</v>
      </c>
      <c r="C281" s="335" t="s">
        <v>518</v>
      </c>
      <c r="D281" s="360" t="s">
        <v>2317</v>
      </c>
      <c r="E281" s="347">
        <v>1</v>
      </c>
      <c r="F281" s="314" t="s">
        <v>510</v>
      </c>
      <c r="G281" s="314" t="s">
        <v>510</v>
      </c>
      <c r="H281" s="314" t="s">
        <v>511</v>
      </c>
      <c r="I281" s="314" t="s">
        <v>510</v>
      </c>
      <c r="J281" s="314">
        <v>40</v>
      </c>
      <c r="K281" s="29">
        <f t="shared" si="34"/>
        <v>40</v>
      </c>
      <c r="L281" s="314" t="s">
        <v>504</v>
      </c>
      <c r="M281" s="314"/>
      <c r="N281" s="314"/>
      <c r="O281" s="314"/>
      <c r="P281" s="314"/>
      <c r="Q281" s="314"/>
      <c r="R281" s="314"/>
      <c r="S281" s="314"/>
      <c r="T281" s="314"/>
      <c r="U281" s="314"/>
      <c r="V281" s="350"/>
      <c r="W281" s="350"/>
      <c r="X281" s="350"/>
      <c r="Y281" s="350"/>
      <c r="Z281" s="307"/>
      <c r="AA281" s="350">
        <f t="shared" si="35"/>
        <v>0</v>
      </c>
      <c r="AB281" s="307"/>
      <c r="AC281" s="307"/>
      <c r="AD281" s="303" t="s">
        <v>510</v>
      </c>
      <c r="AE281" s="303" t="s">
        <v>510</v>
      </c>
      <c r="AF281" s="303" t="s">
        <v>511</v>
      </c>
      <c r="AG281" s="322" t="s">
        <v>510</v>
      </c>
      <c r="AH281" s="314">
        <v>0</v>
      </c>
      <c r="AI281" s="297">
        <f t="shared" si="36"/>
        <v>0</v>
      </c>
      <c r="AJ281" s="303" t="s">
        <v>504</v>
      </c>
      <c r="AK281" s="303"/>
      <c r="AL281" s="303"/>
      <c r="AM281" s="303"/>
      <c r="AN281" s="303"/>
      <c r="AO281" s="303"/>
      <c r="AP281" s="303"/>
      <c r="AQ281" s="289">
        <f t="shared" si="37"/>
        <v>0</v>
      </c>
      <c r="AR281" s="303"/>
      <c r="AS281" s="303"/>
      <c r="AT281" s="329"/>
      <c r="AU281" s="329"/>
      <c r="AV281" s="329"/>
      <c r="AW281" s="329"/>
      <c r="AX281" s="329"/>
      <c r="AY281" s="139">
        <f t="shared" si="38"/>
        <v>0</v>
      </c>
      <c r="AZ281" s="303"/>
      <c r="BA281" s="303"/>
      <c r="BB281" s="356" t="s">
        <v>519</v>
      </c>
      <c r="BC281" s="356" t="s">
        <v>519</v>
      </c>
      <c r="BD281" s="356" t="s">
        <v>511</v>
      </c>
      <c r="BE281" s="303" t="s">
        <v>510</v>
      </c>
      <c r="BF281" s="352">
        <v>0</v>
      </c>
      <c r="BG281" s="353">
        <f t="shared" si="39"/>
        <v>0</v>
      </c>
      <c r="BH281" s="303" t="s">
        <v>520</v>
      </c>
      <c r="BI281" s="303" t="s">
        <v>1877</v>
      </c>
      <c r="BJ281" s="354">
        <f t="shared" si="33"/>
        <v>2</v>
      </c>
      <c r="BK281" s="316" t="str">
        <f t="shared" si="32"/>
        <v>Habilitado</v>
      </c>
    </row>
    <row r="282" spans="1:63" x14ac:dyDescent="0.25">
      <c r="A282" s="324">
        <v>280</v>
      </c>
      <c r="B282" s="345" t="s">
        <v>2318</v>
      </c>
      <c r="C282" s="335" t="s">
        <v>518</v>
      </c>
      <c r="D282" s="360" t="s">
        <v>2319</v>
      </c>
      <c r="E282" s="347">
        <v>1</v>
      </c>
      <c r="F282" s="314" t="s">
        <v>510</v>
      </c>
      <c r="G282" s="314" t="s">
        <v>510</v>
      </c>
      <c r="H282" s="314" t="s">
        <v>511</v>
      </c>
      <c r="I282" s="314" t="s">
        <v>510</v>
      </c>
      <c r="J282" s="314">
        <v>40</v>
      </c>
      <c r="K282" s="29">
        <f t="shared" si="34"/>
        <v>40</v>
      </c>
      <c r="L282" s="314" t="s">
        <v>504</v>
      </c>
      <c r="M282" s="314"/>
      <c r="N282" s="314"/>
      <c r="O282" s="314"/>
      <c r="P282" s="314"/>
      <c r="Q282" s="314"/>
      <c r="R282" s="314"/>
      <c r="S282" s="314"/>
      <c r="T282" s="314"/>
      <c r="U282" s="314"/>
      <c r="V282" s="350"/>
      <c r="W282" s="350"/>
      <c r="X282" s="350"/>
      <c r="Y282" s="350"/>
      <c r="Z282" s="307"/>
      <c r="AA282" s="350">
        <f t="shared" si="35"/>
        <v>0</v>
      </c>
      <c r="AB282" s="307"/>
      <c r="AC282" s="307"/>
      <c r="AD282" s="303" t="s">
        <v>510</v>
      </c>
      <c r="AE282" s="303" t="s">
        <v>510</v>
      </c>
      <c r="AF282" s="303" t="s">
        <v>511</v>
      </c>
      <c r="AG282" s="322" t="s">
        <v>510</v>
      </c>
      <c r="AH282" s="314">
        <v>0</v>
      </c>
      <c r="AI282" s="297">
        <f t="shared" si="36"/>
        <v>0</v>
      </c>
      <c r="AJ282" s="303" t="s">
        <v>504</v>
      </c>
      <c r="AK282" s="303"/>
      <c r="AL282" s="303"/>
      <c r="AM282" s="303"/>
      <c r="AN282" s="303"/>
      <c r="AO282" s="303"/>
      <c r="AP282" s="303"/>
      <c r="AQ282" s="289">
        <f t="shared" si="37"/>
        <v>0</v>
      </c>
      <c r="AR282" s="303"/>
      <c r="AS282" s="303"/>
      <c r="AT282" s="329"/>
      <c r="AU282" s="329"/>
      <c r="AV282" s="329"/>
      <c r="AW282" s="329"/>
      <c r="AX282" s="329"/>
      <c r="AY282" s="139">
        <f t="shared" si="38"/>
        <v>0</v>
      </c>
      <c r="AZ282" s="303"/>
      <c r="BA282" s="303"/>
      <c r="BB282" s="356" t="s">
        <v>519</v>
      </c>
      <c r="BC282" s="356" t="s">
        <v>519</v>
      </c>
      <c r="BD282" s="356" t="s">
        <v>511</v>
      </c>
      <c r="BE282" s="303" t="s">
        <v>510</v>
      </c>
      <c r="BF282" s="352">
        <v>0</v>
      </c>
      <c r="BG282" s="353">
        <f t="shared" si="39"/>
        <v>0</v>
      </c>
      <c r="BH282" s="303" t="s">
        <v>520</v>
      </c>
      <c r="BI282" s="303" t="s">
        <v>1877</v>
      </c>
      <c r="BJ282" s="354">
        <f t="shared" si="33"/>
        <v>2</v>
      </c>
      <c r="BK282" s="316" t="str">
        <f t="shared" si="32"/>
        <v>Habilitado</v>
      </c>
    </row>
    <row r="283" spans="1:63" x14ac:dyDescent="0.25">
      <c r="A283" s="324">
        <v>281</v>
      </c>
      <c r="B283" s="345" t="s">
        <v>2320</v>
      </c>
      <c r="C283" s="335" t="s">
        <v>518</v>
      </c>
      <c r="D283" s="360" t="s">
        <v>140</v>
      </c>
      <c r="E283" s="347">
        <v>1</v>
      </c>
      <c r="F283" s="314" t="s">
        <v>510</v>
      </c>
      <c r="G283" s="314" t="s">
        <v>510</v>
      </c>
      <c r="H283" s="314" t="s">
        <v>510</v>
      </c>
      <c r="I283" s="314" t="s">
        <v>510</v>
      </c>
      <c r="J283" s="314">
        <v>40</v>
      </c>
      <c r="K283" s="29">
        <f t="shared" si="34"/>
        <v>40</v>
      </c>
      <c r="L283" s="314" t="s">
        <v>504</v>
      </c>
      <c r="M283" s="314"/>
      <c r="N283" s="314"/>
      <c r="O283" s="314"/>
      <c r="P283" s="314"/>
      <c r="Q283" s="314"/>
      <c r="R283" s="314"/>
      <c r="S283" s="314"/>
      <c r="T283" s="314"/>
      <c r="U283" s="314"/>
      <c r="V283" s="350"/>
      <c r="W283" s="350"/>
      <c r="X283" s="350"/>
      <c r="Y283" s="350"/>
      <c r="Z283" s="307"/>
      <c r="AA283" s="350">
        <f t="shared" si="35"/>
        <v>0</v>
      </c>
      <c r="AB283" s="307"/>
      <c r="AC283" s="307"/>
      <c r="AD283" s="303"/>
      <c r="AE283" s="303"/>
      <c r="AF283" s="303"/>
      <c r="AG283" s="303"/>
      <c r="AH283" s="314"/>
      <c r="AI283" s="297">
        <f t="shared" si="36"/>
        <v>0</v>
      </c>
      <c r="AJ283" s="303"/>
      <c r="AK283" s="303"/>
      <c r="AL283" s="303"/>
      <c r="AM283" s="303"/>
      <c r="AN283" s="303"/>
      <c r="AO283" s="303"/>
      <c r="AP283" s="303"/>
      <c r="AQ283" s="289">
        <f t="shared" si="37"/>
        <v>0</v>
      </c>
      <c r="AR283" s="303"/>
      <c r="AS283" s="303"/>
      <c r="AT283" s="329"/>
      <c r="AU283" s="329"/>
      <c r="AV283" s="329"/>
      <c r="AW283" s="329"/>
      <c r="AX283" s="329"/>
      <c r="AY283" s="139">
        <f t="shared" si="38"/>
        <v>0</v>
      </c>
      <c r="AZ283" s="303"/>
      <c r="BA283" s="303"/>
      <c r="BB283" s="303" t="s">
        <v>519</v>
      </c>
      <c r="BC283" s="303" t="s">
        <v>519</v>
      </c>
      <c r="BD283" s="303" t="s">
        <v>519</v>
      </c>
      <c r="BE283" s="303" t="s">
        <v>510</v>
      </c>
      <c r="BF283" s="352">
        <v>0</v>
      </c>
      <c r="BG283" s="353">
        <f t="shared" si="39"/>
        <v>0</v>
      </c>
      <c r="BH283" s="303" t="s">
        <v>520</v>
      </c>
      <c r="BI283" s="303" t="s">
        <v>1877</v>
      </c>
      <c r="BJ283" s="354">
        <f t="shared" si="33"/>
        <v>1</v>
      </c>
      <c r="BK283" s="316" t="str">
        <f t="shared" si="32"/>
        <v>Habilitado</v>
      </c>
    </row>
    <row r="284" spans="1:63" ht="38.25" x14ac:dyDescent="0.25">
      <c r="A284" s="324">
        <v>282</v>
      </c>
      <c r="B284" s="345" t="s">
        <v>2321</v>
      </c>
      <c r="C284" s="335" t="s">
        <v>1846</v>
      </c>
      <c r="D284" s="360" t="s">
        <v>1848</v>
      </c>
      <c r="E284" s="347">
        <v>1</v>
      </c>
      <c r="F284" s="347"/>
      <c r="G284" s="347"/>
      <c r="H284" s="347"/>
      <c r="I284" s="347"/>
      <c r="J284" s="347"/>
      <c r="K284" s="29">
        <f t="shared" si="34"/>
        <v>0</v>
      </c>
      <c r="L284" s="347"/>
      <c r="M284" s="390"/>
      <c r="N284" s="390"/>
      <c r="O284" s="390"/>
      <c r="P284" s="390"/>
      <c r="Q284" s="390"/>
      <c r="R284" s="390"/>
      <c r="S284" s="390"/>
      <c r="T284" s="390"/>
      <c r="U284" s="390"/>
      <c r="V284" s="350"/>
      <c r="W284" s="350"/>
      <c r="X284" s="350"/>
      <c r="Y284" s="350"/>
      <c r="Z284" s="307"/>
      <c r="AA284" s="350">
        <f t="shared" si="35"/>
        <v>0</v>
      </c>
      <c r="AB284" s="307"/>
      <c r="AC284" s="307"/>
      <c r="AD284" s="303" t="s">
        <v>510</v>
      </c>
      <c r="AE284" s="303" t="s">
        <v>510</v>
      </c>
      <c r="AF284" s="303" t="s">
        <v>519</v>
      </c>
      <c r="AG284" s="322" t="s">
        <v>510</v>
      </c>
      <c r="AH284" s="314">
        <v>0</v>
      </c>
      <c r="AI284" s="297">
        <f t="shared" si="36"/>
        <v>0</v>
      </c>
      <c r="AJ284" s="303" t="s">
        <v>520</v>
      </c>
      <c r="AK284" s="301" t="s">
        <v>2322</v>
      </c>
      <c r="AL284" s="303"/>
      <c r="AM284" s="303"/>
      <c r="AN284" s="303"/>
      <c r="AO284" s="303"/>
      <c r="AP284" s="303"/>
      <c r="AQ284" s="289">
        <f t="shared" si="37"/>
        <v>0</v>
      </c>
      <c r="AR284" s="314"/>
      <c r="AS284" s="314"/>
      <c r="AT284" s="329"/>
      <c r="AU284" s="329"/>
      <c r="AV284" s="329"/>
      <c r="AW284" s="329"/>
      <c r="AX284" s="329"/>
      <c r="AY284" s="139">
        <f t="shared" si="38"/>
        <v>0</v>
      </c>
      <c r="AZ284" s="375"/>
      <c r="BA284" s="375"/>
      <c r="BB284" s="356" t="s">
        <v>519</v>
      </c>
      <c r="BC284" s="356" t="s">
        <v>519</v>
      </c>
      <c r="BD284" s="356" t="s">
        <v>519</v>
      </c>
      <c r="BE284" s="303" t="s">
        <v>510</v>
      </c>
      <c r="BF284" s="352">
        <v>0</v>
      </c>
      <c r="BG284" s="353">
        <f t="shared" si="39"/>
        <v>0</v>
      </c>
      <c r="BH284" s="303" t="s">
        <v>520</v>
      </c>
      <c r="BI284" s="303" t="s">
        <v>1877</v>
      </c>
      <c r="BJ284" s="354">
        <f t="shared" si="33"/>
        <v>0</v>
      </c>
      <c r="BK284" s="316" t="str">
        <f t="shared" si="32"/>
        <v>Desierto</v>
      </c>
    </row>
    <row r="285" spans="1:63" ht="43.5" customHeight="1" x14ac:dyDescent="0.25">
      <c r="A285" s="324">
        <v>283</v>
      </c>
      <c r="B285" s="345" t="s">
        <v>2323</v>
      </c>
      <c r="C285" s="357" t="s">
        <v>2324</v>
      </c>
      <c r="D285" s="360" t="s">
        <v>1848</v>
      </c>
      <c r="E285" s="347">
        <v>1</v>
      </c>
      <c r="F285" s="314" t="s">
        <v>510</v>
      </c>
      <c r="G285" s="314" t="s">
        <v>519</v>
      </c>
      <c r="H285" s="314" t="s">
        <v>510</v>
      </c>
      <c r="I285" s="314" t="s">
        <v>510</v>
      </c>
      <c r="J285" s="406">
        <v>0</v>
      </c>
      <c r="K285" s="29">
        <f t="shared" si="34"/>
        <v>0</v>
      </c>
      <c r="L285" s="314" t="s">
        <v>520</v>
      </c>
      <c r="M285" s="407" t="s">
        <v>2325</v>
      </c>
      <c r="N285" s="407"/>
      <c r="O285" s="407"/>
      <c r="P285" s="407"/>
      <c r="Q285" s="407"/>
      <c r="R285" s="407"/>
      <c r="S285" s="407"/>
      <c r="T285" s="407"/>
      <c r="U285" s="407"/>
      <c r="V285" s="350"/>
      <c r="W285" s="350"/>
      <c r="X285" s="350"/>
      <c r="Y285" s="350"/>
      <c r="Z285" s="307"/>
      <c r="AA285" s="350">
        <f t="shared" si="35"/>
        <v>0</v>
      </c>
      <c r="AB285" s="307"/>
      <c r="AC285" s="307"/>
      <c r="AD285" s="303" t="s">
        <v>510</v>
      </c>
      <c r="AE285" s="303" t="s">
        <v>510</v>
      </c>
      <c r="AF285" s="303" t="s">
        <v>519</v>
      </c>
      <c r="AG285" s="322" t="s">
        <v>510</v>
      </c>
      <c r="AH285" s="314">
        <v>0</v>
      </c>
      <c r="AI285" s="297">
        <f t="shared" si="36"/>
        <v>0</v>
      </c>
      <c r="AJ285" s="303" t="s">
        <v>520</v>
      </c>
      <c r="AK285" s="301" t="s">
        <v>2322</v>
      </c>
      <c r="AL285" s="303"/>
      <c r="AM285" s="303"/>
      <c r="AN285" s="303"/>
      <c r="AO285" s="303"/>
      <c r="AP285" s="303"/>
      <c r="AQ285" s="289">
        <f t="shared" si="37"/>
        <v>0</v>
      </c>
      <c r="AR285" s="314"/>
      <c r="AS285" s="314"/>
      <c r="AT285" s="329"/>
      <c r="AU285" s="329"/>
      <c r="AV285" s="329"/>
      <c r="AW285" s="329"/>
      <c r="AX285" s="329"/>
      <c r="AY285" s="139">
        <f t="shared" si="38"/>
        <v>0</v>
      </c>
      <c r="AZ285" s="375"/>
      <c r="BA285" s="375"/>
      <c r="BB285" s="356" t="s">
        <v>519</v>
      </c>
      <c r="BC285" s="356" t="s">
        <v>519</v>
      </c>
      <c r="BD285" s="356" t="s">
        <v>519</v>
      </c>
      <c r="BE285" s="303" t="s">
        <v>510</v>
      </c>
      <c r="BF285" s="352">
        <v>0</v>
      </c>
      <c r="BG285" s="353">
        <f t="shared" si="39"/>
        <v>0</v>
      </c>
      <c r="BH285" s="303" t="s">
        <v>520</v>
      </c>
      <c r="BI285" s="303" t="s">
        <v>1877</v>
      </c>
      <c r="BJ285" s="354">
        <f t="shared" si="33"/>
        <v>0</v>
      </c>
      <c r="BK285" s="316" t="str">
        <f t="shared" si="32"/>
        <v>Desierto</v>
      </c>
    </row>
    <row r="286" spans="1:63" ht="25.5" x14ac:dyDescent="0.25">
      <c r="A286" s="324">
        <v>284</v>
      </c>
      <c r="B286" s="345" t="s">
        <v>2326</v>
      </c>
      <c r="C286" s="335" t="s">
        <v>2327</v>
      </c>
      <c r="D286" s="360" t="s">
        <v>1848</v>
      </c>
      <c r="E286" s="347">
        <v>1</v>
      </c>
      <c r="F286" s="314" t="s">
        <v>510</v>
      </c>
      <c r="G286" s="314" t="s">
        <v>510</v>
      </c>
      <c r="H286" s="314" t="s">
        <v>510</v>
      </c>
      <c r="I286" s="314" t="s">
        <v>510</v>
      </c>
      <c r="J286" s="314">
        <v>40</v>
      </c>
      <c r="K286" s="29">
        <f t="shared" si="34"/>
        <v>40</v>
      </c>
      <c r="L286" s="314" t="s">
        <v>504</v>
      </c>
      <c r="M286" s="314"/>
      <c r="N286" s="314"/>
      <c r="O286" s="314"/>
      <c r="P286" s="314"/>
      <c r="Q286" s="314"/>
      <c r="R286" s="314"/>
      <c r="S286" s="314"/>
      <c r="T286" s="314"/>
      <c r="U286" s="314"/>
      <c r="V286" s="350"/>
      <c r="W286" s="350"/>
      <c r="X286" s="350"/>
      <c r="Y286" s="350"/>
      <c r="Z286" s="307"/>
      <c r="AA286" s="350">
        <f t="shared" si="35"/>
        <v>0</v>
      </c>
      <c r="AB286" s="307"/>
      <c r="AC286" s="307"/>
      <c r="AD286" s="303" t="s">
        <v>510</v>
      </c>
      <c r="AE286" s="303" t="s">
        <v>510</v>
      </c>
      <c r="AF286" s="303" t="s">
        <v>519</v>
      </c>
      <c r="AG286" s="322" t="s">
        <v>510</v>
      </c>
      <c r="AH286" s="314">
        <v>0</v>
      </c>
      <c r="AI286" s="297">
        <f t="shared" si="36"/>
        <v>0</v>
      </c>
      <c r="AJ286" s="303" t="s">
        <v>520</v>
      </c>
      <c r="AK286" s="301" t="s">
        <v>2322</v>
      </c>
      <c r="AL286" s="303"/>
      <c r="AM286" s="303"/>
      <c r="AN286" s="303"/>
      <c r="AO286" s="303"/>
      <c r="AP286" s="303"/>
      <c r="AQ286" s="289">
        <f t="shared" si="37"/>
        <v>0</v>
      </c>
      <c r="AR286" s="303"/>
      <c r="AS286" s="303"/>
      <c r="AT286" s="329"/>
      <c r="AU286" s="329"/>
      <c r="AV286" s="329"/>
      <c r="AW286" s="329"/>
      <c r="AX286" s="329"/>
      <c r="AY286" s="139">
        <f t="shared" si="38"/>
        <v>0</v>
      </c>
      <c r="AZ286" s="303"/>
      <c r="BA286" s="303"/>
      <c r="BB286" s="356" t="s">
        <v>510</v>
      </c>
      <c r="BC286" s="356" t="s">
        <v>510</v>
      </c>
      <c r="BD286" s="356" t="s">
        <v>519</v>
      </c>
      <c r="BE286" s="303" t="s">
        <v>510</v>
      </c>
      <c r="BF286" s="352">
        <v>0</v>
      </c>
      <c r="BG286" s="353">
        <f t="shared" si="39"/>
        <v>0</v>
      </c>
      <c r="BH286" s="303" t="s">
        <v>520</v>
      </c>
      <c r="BI286" s="303" t="s">
        <v>2328</v>
      </c>
      <c r="BJ286" s="354">
        <f t="shared" si="33"/>
        <v>1</v>
      </c>
      <c r="BK286" s="316" t="str">
        <f t="shared" si="32"/>
        <v>Habilitado</v>
      </c>
    </row>
    <row r="287" spans="1:63" ht="76.5" x14ac:dyDescent="0.25">
      <c r="A287" s="324">
        <v>285</v>
      </c>
      <c r="B287" s="345" t="s">
        <v>2329</v>
      </c>
      <c r="C287" s="335" t="s">
        <v>1846</v>
      </c>
      <c r="D287" s="360" t="s">
        <v>1061</v>
      </c>
      <c r="E287" s="347">
        <v>1</v>
      </c>
      <c r="F287" s="314"/>
      <c r="G287" s="314"/>
      <c r="H287" s="314"/>
      <c r="I287" s="314"/>
      <c r="J287" s="314"/>
      <c r="K287" s="29">
        <f t="shared" si="34"/>
        <v>0</v>
      </c>
      <c r="L287" s="314"/>
      <c r="M287" s="314"/>
      <c r="N287" s="314"/>
      <c r="O287" s="314"/>
      <c r="P287" s="314"/>
      <c r="Q287" s="314"/>
      <c r="R287" s="314"/>
      <c r="S287" s="314"/>
      <c r="T287" s="314"/>
      <c r="U287" s="314"/>
      <c r="V287" s="350"/>
      <c r="W287" s="350"/>
      <c r="X287" s="350"/>
      <c r="Y287" s="350"/>
      <c r="Z287" s="307"/>
      <c r="AA287" s="350">
        <f t="shared" si="35"/>
        <v>0</v>
      </c>
      <c r="AB287" s="307"/>
      <c r="AC287" s="307"/>
      <c r="AD287" s="303" t="s">
        <v>510</v>
      </c>
      <c r="AE287" s="303" t="s">
        <v>510</v>
      </c>
      <c r="AF287" s="303" t="s">
        <v>519</v>
      </c>
      <c r="AG287" s="322" t="s">
        <v>510</v>
      </c>
      <c r="AH287" s="314">
        <v>0</v>
      </c>
      <c r="AI287" s="297">
        <f t="shared" si="36"/>
        <v>0</v>
      </c>
      <c r="AJ287" s="303" t="s">
        <v>520</v>
      </c>
      <c r="AK287" s="389" t="s">
        <v>2330</v>
      </c>
      <c r="AL287" s="303"/>
      <c r="AM287" s="303"/>
      <c r="AN287" s="303"/>
      <c r="AO287" s="303"/>
      <c r="AP287" s="303"/>
      <c r="AQ287" s="289">
        <f t="shared" si="37"/>
        <v>0</v>
      </c>
      <c r="AR287" s="303"/>
      <c r="AS287" s="303"/>
      <c r="AT287" s="329"/>
      <c r="AU287" s="329"/>
      <c r="AV287" s="329"/>
      <c r="AW287" s="329"/>
      <c r="AX287" s="329"/>
      <c r="AY287" s="139">
        <f t="shared" si="38"/>
        <v>0</v>
      </c>
      <c r="AZ287" s="303"/>
      <c r="BA287" s="303"/>
      <c r="BB287" s="369" t="s">
        <v>510</v>
      </c>
      <c r="BC287" s="369" t="s">
        <v>510</v>
      </c>
      <c r="BD287" s="356" t="s">
        <v>519</v>
      </c>
      <c r="BE287" s="303" t="s">
        <v>510</v>
      </c>
      <c r="BF287" s="352">
        <v>0</v>
      </c>
      <c r="BG287" s="353">
        <f t="shared" si="39"/>
        <v>0</v>
      </c>
      <c r="BH287" s="303" t="s">
        <v>520</v>
      </c>
      <c r="BI287" s="322" t="s">
        <v>2328</v>
      </c>
      <c r="BJ287" s="354">
        <f t="shared" si="33"/>
        <v>0</v>
      </c>
      <c r="BK287" s="316" t="str">
        <f t="shared" si="32"/>
        <v>Desierto</v>
      </c>
    </row>
    <row r="288" spans="1:63" ht="25.5" x14ac:dyDescent="0.25">
      <c r="A288" s="324">
        <v>286</v>
      </c>
      <c r="B288" s="345" t="s">
        <v>2331</v>
      </c>
      <c r="C288" s="335" t="s">
        <v>1846</v>
      </c>
      <c r="D288" s="360" t="s">
        <v>1061</v>
      </c>
      <c r="E288" s="347">
        <v>1</v>
      </c>
      <c r="F288" s="314" t="s">
        <v>510</v>
      </c>
      <c r="G288" s="314" t="s">
        <v>510</v>
      </c>
      <c r="H288" s="314" t="s">
        <v>510</v>
      </c>
      <c r="I288" s="314" t="s">
        <v>510</v>
      </c>
      <c r="J288" s="314">
        <v>40</v>
      </c>
      <c r="K288" s="29">
        <f t="shared" si="34"/>
        <v>40</v>
      </c>
      <c r="L288" s="314" t="s">
        <v>504</v>
      </c>
      <c r="M288" s="314"/>
      <c r="N288" s="314"/>
      <c r="O288" s="314"/>
      <c r="P288" s="314"/>
      <c r="Q288" s="314"/>
      <c r="R288" s="314"/>
      <c r="S288" s="314"/>
      <c r="T288" s="314"/>
      <c r="U288" s="314"/>
      <c r="V288" s="350"/>
      <c r="W288" s="350"/>
      <c r="X288" s="350"/>
      <c r="Y288" s="350"/>
      <c r="Z288" s="307"/>
      <c r="AA288" s="350">
        <f t="shared" si="35"/>
        <v>0</v>
      </c>
      <c r="AB288" s="307"/>
      <c r="AC288" s="307"/>
      <c r="AD288" s="303" t="s">
        <v>510</v>
      </c>
      <c r="AE288" s="303" t="s">
        <v>510</v>
      </c>
      <c r="AF288" s="303" t="s">
        <v>519</v>
      </c>
      <c r="AG288" s="322" t="s">
        <v>510</v>
      </c>
      <c r="AH288" s="314">
        <v>0</v>
      </c>
      <c r="AI288" s="297">
        <f t="shared" si="36"/>
        <v>0</v>
      </c>
      <c r="AJ288" s="303" t="s">
        <v>520</v>
      </c>
      <c r="AK288" s="301" t="s">
        <v>2322</v>
      </c>
      <c r="AL288" s="303"/>
      <c r="AM288" s="303"/>
      <c r="AN288" s="303"/>
      <c r="AO288" s="303"/>
      <c r="AP288" s="303"/>
      <c r="AQ288" s="289">
        <f t="shared" si="37"/>
        <v>0</v>
      </c>
      <c r="AR288" s="303"/>
      <c r="AS288" s="303"/>
      <c r="AT288" s="329"/>
      <c r="AU288" s="329"/>
      <c r="AV288" s="329"/>
      <c r="AW288" s="329"/>
      <c r="AX288" s="329"/>
      <c r="AY288" s="139">
        <f t="shared" si="38"/>
        <v>0</v>
      </c>
      <c r="AZ288" s="303"/>
      <c r="BA288" s="303"/>
      <c r="BB288" s="356" t="s">
        <v>519</v>
      </c>
      <c r="BC288" s="356" t="s">
        <v>519</v>
      </c>
      <c r="BD288" s="356" t="s">
        <v>519</v>
      </c>
      <c r="BE288" s="303" t="s">
        <v>510</v>
      </c>
      <c r="BF288" s="352">
        <v>0</v>
      </c>
      <c r="BG288" s="353">
        <f t="shared" si="39"/>
        <v>0</v>
      </c>
      <c r="BH288" s="303" t="s">
        <v>520</v>
      </c>
      <c r="BI288" s="303" t="s">
        <v>1877</v>
      </c>
      <c r="BJ288" s="354">
        <f t="shared" si="33"/>
        <v>1</v>
      </c>
      <c r="BK288" s="316" t="str">
        <f t="shared" ref="BK288:BK351" si="40">IF(BJ288&gt;=1,"Habilitado","Desierto")</f>
        <v>Habilitado</v>
      </c>
    </row>
    <row r="289" spans="1:63" ht="45.75" customHeight="1" x14ac:dyDescent="0.25">
      <c r="A289" s="324">
        <v>287</v>
      </c>
      <c r="B289" s="345" t="s">
        <v>2332</v>
      </c>
      <c r="C289" s="357" t="s">
        <v>1846</v>
      </c>
      <c r="D289" s="360" t="s">
        <v>1848</v>
      </c>
      <c r="E289" s="347">
        <v>1</v>
      </c>
      <c r="F289" s="314" t="s">
        <v>510</v>
      </c>
      <c r="G289" s="314" t="s">
        <v>510</v>
      </c>
      <c r="H289" s="314" t="s">
        <v>510</v>
      </c>
      <c r="I289" s="314" t="s">
        <v>510</v>
      </c>
      <c r="J289" s="314">
        <v>40</v>
      </c>
      <c r="K289" s="29">
        <f t="shared" si="34"/>
        <v>40</v>
      </c>
      <c r="L289" s="314" t="s">
        <v>504</v>
      </c>
      <c r="M289" s="390"/>
      <c r="N289" s="314"/>
      <c r="O289" s="314"/>
      <c r="P289" s="314"/>
      <c r="Q289" s="314"/>
      <c r="R289" s="314"/>
      <c r="S289" s="314"/>
      <c r="T289" s="314"/>
      <c r="U289" s="314"/>
      <c r="V289" s="406"/>
      <c r="W289" s="406"/>
      <c r="X289" s="406"/>
      <c r="Y289" s="406"/>
      <c r="Z289" s="304"/>
      <c r="AA289" s="350">
        <f t="shared" si="35"/>
        <v>0</v>
      </c>
      <c r="AB289" s="304"/>
      <c r="AC289" s="304"/>
      <c r="AD289" s="303" t="s">
        <v>510</v>
      </c>
      <c r="AE289" s="303" t="s">
        <v>519</v>
      </c>
      <c r="AF289" s="303" t="s">
        <v>510</v>
      </c>
      <c r="AG289" s="322" t="s">
        <v>510</v>
      </c>
      <c r="AH289" s="314">
        <v>0</v>
      </c>
      <c r="AI289" s="297">
        <f t="shared" si="36"/>
        <v>0</v>
      </c>
      <c r="AJ289" s="303" t="s">
        <v>520</v>
      </c>
      <c r="AK289" s="301" t="s">
        <v>2333</v>
      </c>
      <c r="AL289" s="303"/>
      <c r="AM289" s="303"/>
      <c r="AN289" s="303"/>
      <c r="AO289" s="303"/>
      <c r="AP289" s="303"/>
      <c r="AQ289" s="289">
        <f t="shared" si="37"/>
        <v>0</v>
      </c>
      <c r="AR289" s="303"/>
      <c r="AS289" s="303"/>
      <c r="AT289" s="329"/>
      <c r="AU289" s="329"/>
      <c r="AV289" s="329"/>
      <c r="AW289" s="329"/>
      <c r="AX289" s="329"/>
      <c r="AY289" s="139">
        <f t="shared" si="38"/>
        <v>0</v>
      </c>
      <c r="AZ289" s="303"/>
      <c r="BA289" s="303"/>
      <c r="BB289" s="356" t="s">
        <v>510</v>
      </c>
      <c r="BC289" s="356" t="s">
        <v>519</v>
      </c>
      <c r="BD289" s="356" t="s">
        <v>519</v>
      </c>
      <c r="BE289" s="303" t="s">
        <v>510</v>
      </c>
      <c r="BF289" s="352">
        <v>0</v>
      </c>
      <c r="BG289" s="353">
        <f t="shared" si="39"/>
        <v>0</v>
      </c>
      <c r="BH289" s="303" t="s">
        <v>520</v>
      </c>
      <c r="BI289" s="301" t="s">
        <v>2334</v>
      </c>
      <c r="BJ289" s="354">
        <f t="shared" si="33"/>
        <v>1</v>
      </c>
      <c r="BK289" s="316" t="str">
        <f t="shared" si="40"/>
        <v>Habilitado</v>
      </c>
    </row>
    <row r="290" spans="1:63" x14ac:dyDescent="0.25">
      <c r="A290" s="324">
        <v>288</v>
      </c>
      <c r="B290" s="345" t="s">
        <v>2335</v>
      </c>
      <c r="C290" s="335" t="s">
        <v>1846</v>
      </c>
      <c r="D290" s="360" t="s">
        <v>2336</v>
      </c>
      <c r="E290" s="347">
        <v>1</v>
      </c>
      <c r="F290" s="314" t="s">
        <v>510</v>
      </c>
      <c r="G290" s="314" t="s">
        <v>510</v>
      </c>
      <c r="H290" s="314" t="s">
        <v>510</v>
      </c>
      <c r="I290" s="314" t="s">
        <v>510</v>
      </c>
      <c r="J290" s="314">
        <v>40</v>
      </c>
      <c r="K290" s="29">
        <f t="shared" si="34"/>
        <v>40</v>
      </c>
      <c r="L290" s="314" t="s">
        <v>504</v>
      </c>
      <c r="M290" s="314"/>
      <c r="N290" s="314"/>
      <c r="O290" s="314"/>
      <c r="P290" s="314"/>
      <c r="Q290" s="314"/>
      <c r="R290" s="314"/>
      <c r="S290" s="314"/>
      <c r="T290" s="314"/>
      <c r="U290" s="314"/>
      <c r="V290" s="350"/>
      <c r="W290" s="350"/>
      <c r="X290" s="350"/>
      <c r="Y290" s="350"/>
      <c r="Z290" s="307"/>
      <c r="AA290" s="350">
        <f t="shared" si="35"/>
        <v>0</v>
      </c>
      <c r="AB290" s="307"/>
      <c r="AC290" s="307"/>
      <c r="AD290" s="303"/>
      <c r="AE290" s="303"/>
      <c r="AF290" s="303"/>
      <c r="AG290" s="303"/>
      <c r="AH290" s="314"/>
      <c r="AI290" s="297">
        <f t="shared" si="36"/>
        <v>0</v>
      </c>
      <c r="AJ290" s="303"/>
      <c r="AK290" s="303"/>
      <c r="AL290" s="303"/>
      <c r="AM290" s="303"/>
      <c r="AN290" s="303"/>
      <c r="AO290" s="303"/>
      <c r="AP290" s="303"/>
      <c r="AQ290" s="289">
        <f t="shared" si="37"/>
        <v>0</v>
      </c>
      <c r="AR290" s="303"/>
      <c r="AS290" s="303"/>
      <c r="AT290" s="329"/>
      <c r="AU290" s="329"/>
      <c r="AV290" s="329"/>
      <c r="AW290" s="329"/>
      <c r="AX290" s="329"/>
      <c r="AY290" s="139">
        <f t="shared" si="38"/>
        <v>0</v>
      </c>
      <c r="AZ290" s="303"/>
      <c r="BA290" s="303"/>
      <c r="BB290" s="303"/>
      <c r="BC290" s="303"/>
      <c r="BD290" s="303"/>
      <c r="BE290" s="303"/>
      <c r="BF290" s="303"/>
      <c r="BG290" s="353">
        <f t="shared" si="39"/>
        <v>0</v>
      </c>
      <c r="BH290" s="303"/>
      <c r="BI290" s="303"/>
      <c r="BJ290" s="354">
        <f t="shared" si="33"/>
        <v>1</v>
      </c>
      <c r="BK290" s="316" t="str">
        <f t="shared" si="40"/>
        <v>Habilitado</v>
      </c>
    </row>
    <row r="291" spans="1:63" ht="25.5" x14ac:dyDescent="0.25">
      <c r="A291" s="324">
        <v>289</v>
      </c>
      <c r="B291" s="345" t="s">
        <v>2337</v>
      </c>
      <c r="C291" s="335" t="s">
        <v>518</v>
      </c>
      <c r="D291" s="357" t="s">
        <v>2338</v>
      </c>
      <c r="E291" s="347">
        <v>1</v>
      </c>
      <c r="F291" s="314" t="s">
        <v>510</v>
      </c>
      <c r="G291" s="314" t="s">
        <v>510</v>
      </c>
      <c r="H291" s="314" t="s">
        <v>510</v>
      </c>
      <c r="I291" s="314" t="s">
        <v>510</v>
      </c>
      <c r="J291" s="314">
        <v>40</v>
      </c>
      <c r="K291" s="29">
        <f t="shared" si="34"/>
        <v>40</v>
      </c>
      <c r="L291" s="314" t="s">
        <v>504</v>
      </c>
      <c r="M291" s="314"/>
      <c r="N291" s="314"/>
      <c r="O291" s="314"/>
      <c r="P291" s="314"/>
      <c r="Q291" s="314"/>
      <c r="R291" s="314"/>
      <c r="S291" s="314"/>
      <c r="T291" s="314"/>
      <c r="U291" s="314"/>
      <c r="V291" s="350"/>
      <c r="W291" s="350"/>
      <c r="X291" s="350"/>
      <c r="Y291" s="350"/>
      <c r="Z291" s="307"/>
      <c r="AA291" s="350">
        <f t="shared" si="35"/>
        <v>0</v>
      </c>
      <c r="AB291" s="307"/>
      <c r="AC291" s="307"/>
      <c r="AD291" s="303"/>
      <c r="AE291" s="303"/>
      <c r="AF291" s="303"/>
      <c r="AG291" s="303"/>
      <c r="AH291" s="314"/>
      <c r="AI291" s="297">
        <f t="shared" si="36"/>
        <v>0</v>
      </c>
      <c r="AJ291" s="303"/>
      <c r="AK291" s="303"/>
      <c r="AL291" s="303"/>
      <c r="AM291" s="303"/>
      <c r="AN291" s="303"/>
      <c r="AO291" s="303"/>
      <c r="AP291" s="303"/>
      <c r="AQ291" s="289">
        <f t="shared" si="37"/>
        <v>0</v>
      </c>
      <c r="AR291" s="303"/>
      <c r="AS291" s="303"/>
      <c r="AT291" s="329"/>
      <c r="AU291" s="329"/>
      <c r="AV291" s="329"/>
      <c r="AW291" s="329"/>
      <c r="AX291" s="329"/>
      <c r="AY291" s="139">
        <f t="shared" si="38"/>
        <v>0</v>
      </c>
      <c r="AZ291" s="303"/>
      <c r="BA291" s="303"/>
      <c r="BB291" s="303"/>
      <c r="BC291" s="303"/>
      <c r="BD291" s="303"/>
      <c r="BE291" s="303"/>
      <c r="BF291" s="303"/>
      <c r="BG291" s="353">
        <f t="shared" si="39"/>
        <v>0</v>
      </c>
      <c r="BH291" s="303"/>
      <c r="BI291" s="301"/>
      <c r="BJ291" s="354">
        <f t="shared" si="33"/>
        <v>1</v>
      </c>
      <c r="BK291" s="316" t="str">
        <f t="shared" si="40"/>
        <v>Habilitado</v>
      </c>
    </row>
    <row r="292" spans="1:63" ht="51" x14ac:dyDescent="0.25">
      <c r="A292" s="324">
        <v>290</v>
      </c>
      <c r="B292" s="345" t="s">
        <v>2339</v>
      </c>
      <c r="C292" s="391" t="s">
        <v>518</v>
      </c>
      <c r="D292" s="360" t="s">
        <v>2338</v>
      </c>
      <c r="E292" s="347">
        <v>1</v>
      </c>
      <c r="F292" s="314"/>
      <c r="G292" s="314"/>
      <c r="H292" s="314"/>
      <c r="I292" s="314"/>
      <c r="J292" s="314"/>
      <c r="K292" s="29">
        <f t="shared" si="34"/>
        <v>0</v>
      </c>
      <c r="L292" s="314"/>
      <c r="M292" s="314"/>
      <c r="N292" s="314"/>
      <c r="O292" s="314"/>
      <c r="P292" s="314"/>
      <c r="Q292" s="314"/>
      <c r="R292" s="314"/>
      <c r="S292" s="314"/>
      <c r="T292" s="314"/>
      <c r="U292" s="314"/>
      <c r="V292" s="350"/>
      <c r="W292" s="350"/>
      <c r="X292" s="350"/>
      <c r="Y292" s="350"/>
      <c r="Z292" s="307"/>
      <c r="AA292" s="350">
        <f t="shared" si="35"/>
        <v>0</v>
      </c>
      <c r="AB292" s="307"/>
      <c r="AC292" s="307"/>
      <c r="AD292" s="303"/>
      <c r="AE292" s="303"/>
      <c r="AF292" s="303"/>
      <c r="AG292" s="303"/>
      <c r="AH292" s="314"/>
      <c r="AI292" s="297">
        <f t="shared" si="36"/>
        <v>0</v>
      </c>
      <c r="AJ292" s="303"/>
      <c r="AK292" s="303"/>
      <c r="AL292" s="303"/>
      <c r="AM292" s="303"/>
      <c r="AN292" s="303"/>
      <c r="AO292" s="303"/>
      <c r="AP292" s="303"/>
      <c r="AQ292" s="289">
        <f t="shared" si="37"/>
        <v>0</v>
      </c>
      <c r="AR292" s="303"/>
      <c r="AS292" s="303"/>
      <c r="AT292" s="329"/>
      <c r="AU292" s="329"/>
      <c r="AV292" s="329"/>
      <c r="AW292" s="329"/>
      <c r="AX292" s="329"/>
      <c r="AY292" s="139">
        <f t="shared" si="38"/>
        <v>0</v>
      </c>
      <c r="AZ292" s="303"/>
      <c r="BA292" s="303"/>
      <c r="BB292" s="303"/>
      <c r="BC292" s="303"/>
      <c r="BD292" s="303"/>
      <c r="BE292" s="303"/>
      <c r="BF292" s="303"/>
      <c r="BG292" s="353">
        <f t="shared" si="39"/>
        <v>0</v>
      </c>
      <c r="BH292" s="303"/>
      <c r="BI292" s="301"/>
      <c r="BJ292" s="354">
        <f t="shared" si="33"/>
        <v>0</v>
      </c>
      <c r="BK292" s="316" t="str">
        <f t="shared" si="40"/>
        <v>Desierto</v>
      </c>
    </row>
    <row r="293" spans="1:63" ht="49.5" customHeight="1" x14ac:dyDescent="0.25">
      <c r="A293" s="324">
        <v>291</v>
      </c>
      <c r="B293" s="345" t="s">
        <v>2340</v>
      </c>
      <c r="C293" s="391" t="s">
        <v>518</v>
      </c>
      <c r="D293" s="360" t="s">
        <v>2341</v>
      </c>
      <c r="E293" s="347">
        <v>1</v>
      </c>
      <c r="F293" s="314" t="s">
        <v>510</v>
      </c>
      <c r="G293" s="314" t="s">
        <v>510</v>
      </c>
      <c r="H293" s="314" t="s">
        <v>510</v>
      </c>
      <c r="I293" s="314" t="s">
        <v>510</v>
      </c>
      <c r="J293" s="314">
        <v>40</v>
      </c>
      <c r="K293" s="29">
        <f t="shared" si="34"/>
        <v>40</v>
      </c>
      <c r="L293" s="314" t="s">
        <v>504</v>
      </c>
      <c r="M293" s="314"/>
      <c r="N293" s="314"/>
      <c r="O293" s="314"/>
      <c r="P293" s="314"/>
      <c r="Q293" s="314"/>
      <c r="R293" s="314"/>
      <c r="S293" s="314"/>
      <c r="T293" s="314"/>
      <c r="U293" s="314"/>
      <c r="V293" s="350"/>
      <c r="W293" s="350"/>
      <c r="X293" s="350"/>
      <c r="Y293" s="350"/>
      <c r="Z293" s="307"/>
      <c r="AA293" s="350">
        <f t="shared" si="35"/>
        <v>0</v>
      </c>
      <c r="AB293" s="307"/>
      <c r="AC293" s="306"/>
      <c r="AD293" s="303" t="s">
        <v>510</v>
      </c>
      <c r="AE293" s="303" t="s">
        <v>519</v>
      </c>
      <c r="AF293" s="303" t="s">
        <v>510</v>
      </c>
      <c r="AG293" s="303" t="s">
        <v>510</v>
      </c>
      <c r="AH293" s="314">
        <v>0</v>
      </c>
      <c r="AI293" s="297">
        <f t="shared" si="36"/>
        <v>0</v>
      </c>
      <c r="AJ293" s="303" t="s">
        <v>520</v>
      </c>
      <c r="AK293" s="301" t="s">
        <v>2342</v>
      </c>
      <c r="AL293" s="303"/>
      <c r="AM293" s="303"/>
      <c r="AN293" s="303"/>
      <c r="AO293" s="303"/>
      <c r="AP293" s="303"/>
      <c r="AQ293" s="289">
        <f t="shared" si="37"/>
        <v>0</v>
      </c>
      <c r="AR293" s="303"/>
      <c r="AS293" s="301"/>
      <c r="AT293" s="329"/>
      <c r="AU293" s="329"/>
      <c r="AV293" s="329"/>
      <c r="AW293" s="329"/>
      <c r="AX293" s="329"/>
      <c r="AY293" s="139">
        <f t="shared" si="38"/>
        <v>0</v>
      </c>
      <c r="AZ293" s="303"/>
      <c r="BA293" s="303"/>
      <c r="BB293" s="356" t="s">
        <v>510</v>
      </c>
      <c r="BC293" s="356" t="s">
        <v>510</v>
      </c>
      <c r="BD293" s="356" t="s">
        <v>510</v>
      </c>
      <c r="BE293" s="303" t="s">
        <v>510</v>
      </c>
      <c r="BF293" s="352">
        <v>0</v>
      </c>
      <c r="BG293" s="353">
        <f t="shared" si="39"/>
        <v>0</v>
      </c>
      <c r="BH293" s="303" t="s">
        <v>504</v>
      </c>
      <c r="BI293" s="301"/>
      <c r="BJ293" s="354">
        <f t="shared" si="33"/>
        <v>2</v>
      </c>
      <c r="BK293" s="316" t="str">
        <f t="shared" si="40"/>
        <v>Habilitado</v>
      </c>
    </row>
    <row r="294" spans="1:63" ht="120" customHeight="1" x14ac:dyDescent="0.25">
      <c r="A294" s="324">
        <v>292</v>
      </c>
      <c r="B294" s="345" t="s">
        <v>2343</v>
      </c>
      <c r="C294" s="391" t="s">
        <v>518</v>
      </c>
      <c r="D294" s="357" t="s">
        <v>140</v>
      </c>
      <c r="E294" s="347">
        <v>1</v>
      </c>
      <c r="F294" s="314"/>
      <c r="G294" s="314"/>
      <c r="H294" s="314"/>
      <c r="I294" s="314"/>
      <c r="J294" s="314"/>
      <c r="K294" s="29">
        <f t="shared" si="34"/>
        <v>0</v>
      </c>
      <c r="L294" s="314"/>
      <c r="M294" s="314"/>
      <c r="N294" s="314"/>
      <c r="O294" s="314"/>
      <c r="P294" s="314"/>
      <c r="Q294" s="314"/>
      <c r="R294" s="314"/>
      <c r="S294" s="314"/>
      <c r="T294" s="314"/>
      <c r="U294" s="314"/>
      <c r="V294" s="350"/>
      <c r="W294" s="350"/>
      <c r="X294" s="350"/>
      <c r="Y294" s="350"/>
      <c r="Z294" s="307"/>
      <c r="AA294" s="350">
        <f t="shared" si="35"/>
        <v>0</v>
      </c>
      <c r="AB294" s="307"/>
      <c r="AC294" s="307"/>
      <c r="AD294" s="303"/>
      <c r="AE294" s="303"/>
      <c r="AF294" s="303"/>
      <c r="AG294" s="303"/>
      <c r="AH294" s="314"/>
      <c r="AI294" s="297">
        <f t="shared" si="36"/>
        <v>0</v>
      </c>
      <c r="AJ294" s="361"/>
      <c r="AK294" s="303"/>
      <c r="AL294" s="303"/>
      <c r="AM294" s="303"/>
      <c r="AN294" s="303"/>
      <c r="AO294" s="303"/>
      <c r="AP294" s="303"/>
      <c r="AQ294" s="289">
        <f t="shared" si="37"/>
        <v>0</v>
      </c>
      <c r="AR294" s="314"/>
      <c r="AS294" s="314"/>
      <c r="AT294" s="329"/>
      <c r="AU294" s="329"/>
      <c r="AV294" s="329"/>
      <c r="AW294" s="329"/>
      <c r="AX294" s="329"/>
      <c r="AY294" s="139">
        <f t="shared" si="38"/>
        <v>0</v>
      </c>
      <c r="AZ294" s="375"/>
      <c r="BA294" s="375"/>
      <c r="BB294" s="303"/>
      <c r="BC294" s="303"/>
      <c r="BD294" s="303"/>
      <c r="BE294" s="303"/>
      <c r="BF294" s="303"/>
      <c r="BG294" s="353">
        <f t="shared" si="39"/>
        <v>0</v>
      </c>
      <c r="BH294" s="303"/>
      <c r="BI294" s="303"/>
      <c r="BJ294" s="354">
        <f t="shared" si="33"/>
        <v>0</v>
      </c>
      <c r="BK294" s="316" t="str">
        <f t="shared" si="40"/>
        <v>Desierto</v>
      </c>
    </row>
    <row r="295" spans="1:63" ht="178.5" x14ac:dyDescent="0.25">
      <c r="A295" s="324">
        <v>293</v>
      </c>
      <c r="B295" s="345" t="s">
        <v>2344</v>
      </c>
      <c r="C295" s="391" t="s">
        <v>518</v>
      </c>
      <c r="D295" s="357" t="s">
        <v>140</v>
      </c>
      <c r="E295" s="347">
        <v>1</v>
      </c>
      <c r="F295" s="314"/>
      <c r="G295" s="314"/>
      <c r="H295" s="314"/>
      <c r="I295" s="314"/>
      <c r="J295" s="314"/>
      <c r="K295" s="29">
        <f t="shared" si="34"/>
        <v>0</v>
      </c>
      <c r="L295" s="314"/>
      <c r="M295" s="314"/>
      <c r="N295" s="314"/>
      <c r="O295" s="314"/>
      <c r="P295" s="314"/>
      <c r="Q295" s="314"/>
      <c r="R295" s="314"/>
      <c r="S295" s="314"/>
      <c r="T295" s="314"/>
      <c r="U295" s="314"/>
      <c r="V295" s="350"/>
      <c r="W295" s="350"/>
      <c r="X295" s="350"/>
      <c r="Y295" s="350"/>
      <c r="Z295" s="307"/>
      <c r="AA295" s="350">
        <f t="shared" si="35"/>
        <v>0</v>
      </c>
      <c r="AB295" s="307"/>
      <c r="AC295" s="307"/>
      <c r="AD295" s="303"/>
      <c r="AE295" s="303"/>
      <c r="AF295" s="303"/>
      <c r="AG295" s="303"/>
      <c r="AH295" s="314"/>
      <c r="AI295" s="297">
        <f t="shared" si="36"/>
        <v>0</v>
      </c>
      <c r="AJ295" s="361"/>
      <c r="AK295" s="303"/>
      <c r="AL295" s="303"/>
      <c r="AM295" s="303"/>
      <c r="AN295" s="303"/>
      <c r="AO295" s="303"/>
      <c r="AP295" s="303"/>
      <c r="AQ295" s="289">
        <f t="shared" si="37"/>
        <v>0</v>
      </c>
      <c r="AR295" s="314"/>
      <c r="AS295" s="314"/>
      <c r="AT295" s="329"/>
      <c r="AU295" s="329"/>
      <c r="AV295" s="329"/>
      <c r="AW295" s="329"/>
      <c r="AX295" s="329"/>
      <c r="AY295" s="139">
        <f t="shared" si="38"/>
        <v>0</v>
      </c>
      <c r="AZ295" s="375"/>
      <c r="BA295" s="375"/>
      <c r="BB295" s="303"/>
      <c r="BC295" s="303"/>
      <c r="BD295" s="303"/>
      <c r="BE295" s="303"/>
      <c r="BF295" s="303"/>
      <c r="BG295" s="353">
        <f t="shared" si="39"/>
        <v>0</v>
      </c>
      <c r="BH295" s="303"/>
      <c r="BI295" s="303"/>
      <c r="BJ295" s="354">
        <f t="shared" si="33"/>
        <v>0</v>
      </c>
      <c r="BK295" s="316" t="str">
        <f t="shared" si="40"/>
        <v>Desierto</v>
      </c>
    </row>
    <row r="296" spans="1:63" ht="178.5" x14ac:dyDescent="0.25">
      <c r="A296" s="324">
        <v>294</v>
      </c>
      <c r="B296" s="345" t="s">
        <v>2345</v>
      </c>
      <c r="C296" s="391" t="s">
        <v>518</v>
      </c>
      <c r="D296" s="357" t="s">
        <v>140</v>
      </c>
      <c r="E296" s="347">
        <v>1</v>
      </c>
      <c r="F296" s="314"/>
      <c r="G296" s="314"/>
      <c r="H296" s="314"/>
      <c r="I296" s="314"/>
      <c r="J296" s="314"/>
      <c r="K296" s="29">
        <f t="shared" si="34"/>
        <v>0</v>
      </c>
      <c r="L296" s="314"/>
      <c r="M296" s="314"/>
      <c r="N296" s="314"/>
      <c r="O296" s="314"/>
      <c r="P296" s="314"/>
      <c r="Q296" s="314"/>
      <c r="R296" s="314"/>
      <c r="S296" s="314"/>
      <c r="T296" s="314"/>
      <c r="U296" s="314"/>
      <c r="V296" s="350"/>
      <c r="W296" s="350"/>
      <c r="X296" s="350"/>
      <c r="Y296" s="350"/>
      <c r="Z296" s="307"/>
      <c r="AA296" s="350">
        <f t="shared" si="35"/>
        <v>0</v>
      </c>
      <c r="AB296" s="307"/>
      <c r="AC296" s="307"/>
      <c r="AD296" s="303"/>
      <c r="AE296" s="303"/>
      <c r="AF296" s="303"/>
      <c r="AG296" s="303"/>
      <c r="AH296" s="314"/>
      <c r="AI296" s="297">
        <f t="shared" si="36"/>
        <v>0</v>
      </c>
      <c r="AJ296" s="361"/>
      <c r="AK296" s="303"/>
      <c r="AL296" s="303"/>
      <c r="AM296" s="303"/>
      <c r="AN296" s="303"/>
      <c r="AO296" s="303"/>
      <c r="AP296" s="303"/>
      <c r="AQ296" s="289">
        <f t="shared" si="37"/>
        <v>0</v>
      </c>
      <c r="AR296" s="314"/>
      <c r="AS296" s="314"/>
      <c r="AT296" s="329"/>
      <c r="AU296" s="329"/>
      <c r="AV296" s="329"/>
      <c r="AW296" s="329"/>
      <c r="AX296" s="329"/>
      <c r="AY296" s="139">
        <f t="shared" si="38"/>
        <v>0</v>
      </c>
      <c r="AZ296" s="375"/>
      <c r="BA296" s="375"/>
      <c r="BB296" s="303"/>
      <c r="BC296" s="303"/>
      <c r="BD296" s="303"/>
      <c r="BE296" s="303"/>
      <c r="BF296" s="303"/>
      <c r="BG296" s="353">
        <f t="shared" si="39"/>
        <v>0</v>
      </c>
      <c r="BH296" s="303"/>
      <c r="BI296" s="301"/>
      <c r="BJ296" s="354">
        <f t="shared" si="33"/>
        <v>0</v>
      </c>
      <c r="BK296" s="316" t="str">
        <f t="shared" si="40"/>
        <v>Desierto</v>
      </c>
    </row>
    <row r="297" spans="1:63" ht="191.25" x14ac:dyDescent="0.25">
      <c r="A297" s="324">
        <v>295</v>
      </c>
      <c r="B297" s="345" t="s">
        <v>2346</v>
      </c>
      <c r="C297" s="391" t="s">
        <v>518</v>
      </c>
      <c r="D297" s="357" t="s">
        <v>443</v>
      </c>
      <c r="E297" s="347">
        <v>1</v>
      </c>
      <c r="F297" s="314"/>
      <c r="G297" s="314"/>
      <c r="H297" s="314"/>
      <c r="I297" s="314"/>
      <c r="J297" s="314"/>
      <c r="K297" s="29">
        <f t="shared" si="34"/>
        <v>0</v>
      </c>
      <c r="L297" s="314"/>
      <c r="M297" s="314"/>
      <c r="N297" s="314"/>
      <c r="O297" s="314"/>
      <c r="P297" s="314"/>
      <c r="Q297" s="314"/>
      <c r="R297" s="314"/>
      <c r="S297" s="314"/>
      <c r="T297" s="314"/>
      <c r="U297" s="314"/>
      <c r="V297" s="350"/>
      <c r="W297" s="350"/>
      <c r="X297" s="350"/>
      <c r="Y297" s="350"/>
      <c r="Z297" s="307"/>
      <c r="AA297" s="350">
        <f t="shared" si="35"/>
        <v>0</v>
      </c>
      <c r="AB297" s="307"/>
      <c r="AC297" s="307"/>
      <c r="AD297" s="303"/>
      <c r="AE297" s="303"/>
      <c r="AF297" s="303"/>
      <c r="AG297" s="303"/>
      <c r="AH297" s="314"/>
      <c r="AI297" s="297">
        <f t="shared" si="36"/>
        <v>0</v>
      </c>
      <c r="AJ297" s="303"/>
      <c r="AK297" s="303"/>
      <c r="AL297" s="303"/>
      <c r="AM297" s="303"/>
      <c r="AN297" s="303"/>
      <c r="AO297" s="303"/>
      <c r="AP297" s="303"/>
      <c r="AQ297" s="289">
        <f t="shared" si="37"/>
        <v>0</v>
      </c>
      <c r="AR297" s="303"/>
      <c r="AS297" s="303"/>
      <c r="AT297" s="329"/>
      <c r="AU297" s="329"/>
      <c r="AV297" s="329"/>
      <c r="AW297" s="329"/>
      <c r="AX297" s="329"/>
      <c r="AY297" s="139">
        <f t="shared" si="38"/>
        <v>0</v>
      </c>
      <c r="AZ297" s="303"/>
      <c r="BA297" s="303"/>
      <c r="BB297" s="303"/>
      <c r="BC297" s="303"/>
      <c r="BD297" s="303"/>
      <c r="BE297" s="303"/>
      <c r="BF297" s="303"/>
      <c r="BG297" s="353">
        <f t="shared" si="39"/>
        <v>0</v>
      </c>
      <c r="BH297" s="303"/>
      <c r="BI297" s="303"/>
      <c r="BJ297" s="354">
        <f t="shared" si="33"/>
        <v>0</v>
      </c>
      <c r="BK297" s="316" t="str">
        <f t="shared" si="40"/>
        <v>Desierto</v>
      </c>
    </row>
    <row r="298" spans="1:63" ht="129" customHeight="1" x14ac:dyDescent="0.25">
      <c r="A298" s="324">
        <v>296</v>
      </c>
      <c r="B298" s="345" t="s">
        <v>2347</v>
      </c>
      <c r="C298" s="391" t="s">
        <v>518</v>
      </c>
      <c r="D298" s="357" t="s">
        <v>140</v>
      </c>
      <c r="E298" s="347">
        <v>1</v>
      </c>
      <c r="F298" s="314"/>
      <c r="G298" s="314"/>
      <c r="H298" s="314"/>
      <c r="I298" s="314"/>
      <c r="J298" s="314"/>
      <c r="K298" s="29">
        <f t="shared" si="34"/>
        <v>0</v>
      </c>
      <c r="L298" s="314"/>
      <c r="M298" s="314"/>
      <c r="N298" s="314"/>
      <c r="O298" s="314"/>
      <c r="P298" s="314"/>
      <c r="Q298" s="314"/>
      <c r="R298" s="314"/>
      <c r="S298" s="314"/>
      <c r="T298" s="314"/>
      <c r="U298" s="314"/>
      <c r="V298" s="350"/>
      <c r="W298" s="350"/>
      <c r="X298" s="350"/>
      <c r="Y298" s="350"/>
      <c r="Z298" s="307"/>
      <c r="AA298" s="350">
        <f t="shared" si="35"/>
        <v>0</v>
      </c>
      <c r="AB298" s="307"/>
      <c r="AC298" s="307"/>
      <c r="AD298" s="303" t="s">
        <v>510</v>
      </c>
      <c r="AE298" s="303" t="s">
        <v>510</v>
      </c>
      <c r="AF298" s="303" t="s">
        <v>511</v>
      </c>
      <c r="AG298" s="322" t="s">
        <v>510</v>
      </c>
      <c r="AH298" s="314">
        <v>0</v>
      </c>
      <c r="AI298" s="297">
        <f t="shared" si="36"/>
        <v>0</v>
      </c>
      <c r="AJ298" s="303" t="s">
        <v>504</v>
      </c>
      <c r="AK298" s="361"/>
      <c r="AL298" s="303"/>
      <c r="AM298" s="303"/>
      <c r="AN298" s="303"/>
      <c r="AO298" s="303"/>
      <c r="AP298" s="303"/>
      <c r="AQ298" s="289">
        <f t="shared" si="37"/>
        <v>0</v>
      </c>
      <c r="AR298" s="314"/>
      <c r="AS298" s="314"/>
      <c r="AT298" s="329"/>
      <c r="AU298" s="329"/>
      <c r="AV298" s="329"/>
      <c r="AW298" s="329"/>
      <c r="AX298" s="329"/>
      <c r="AY298" s="139">
        <f t="shared" si="38"/>
        <v>0</v>
      </c>
      <c r="AZ298" s="375"/>
      <c r="BA298" s="375"/>
      <c r="BB298" s="356" t="s">
        <v>510</v>
      </c>
      <c r="BC298" s="356" t="s">
        <v>510</v>
      </c>
      <c r="BD298" s="356" t="s">
        <v>511</v>
      </c>
      <c r="BE298" s="303" t="s">
        <v>510</v>
      </c>
      <c r="BF298" s="352">
        <v>0</v>
      </c>
      <c r="BG298" s="353">
        <f t="shared" si="39"/>
        <v>0</v>
      </c>
      <c r="BH298" s="303" t="s">
        <v>504</v>
      </c>
      <c r="BI298" s="303"/>
      <c r="BJ298" s="354">
        <f t="shared" si="33"/>
        <v>2</v>
      </c>
      <c r="BK298" s="316" t="str">
        <f t="shared" si="40"/>
        <v>Habilitado</v>
      </c>
    </row>
    <row r="299" spans="1:63" ht="51" x14ac:dyDescent="0.25">
      <c r="A299" s="324">
        <v>297</v>
      </c>
      <c r="B299" s="345" t="s">
        <v>2348</v>
      </c>
      <c r="C299" s="335" t="s">
        <v>2349</v>
      </c>
      <c r="D299" s="360" t="s">
        <v>2350</v>
      </c>
      <c r="E299" s="347">
        <v>1</v>
      </c>
      <c r="F299" s="314" t="s">
        <v>510</v>
      </c>
      <c r="G299" s="314" t="s">
        <v>510</v>
      </c>
      <c r="H299" s="314" t="s">
        <v>510</v>
      </c>
      <c r="I299" s="314" t="s">
        <v>510</v>
      </c>
      <c r="J299" s="314">
        <v>40</v>
      </c>
      <c r="K299" s="29">
        <f t="shared" si="34"/>
        <v>40</v>
      </c>
      <c r="L299" s="314" t="s">
        <v>504</v>
      </c>
      <c r="M299" s="314"/>
      <c r="N299" s="314"/>
      <c r="O299" s="314"/>
      <c r="P299" s="314"/>
      <c r="Q299" s="314"/>
      <c r="R299" s="314"/>
      <c r="S299" s="314"/>
      <c r="T299" s="314"/>
      <c r="U299" s="314"/>
      <c r="V299" s="350"/>
      <c r="W299" s="350"/>
      <c r="X299" s="350"/>
      <c r="Y299" s="350"/>
      <c r="Z299" s="307"/>
      <c r="AA299" s="350">
        <f t="shared" si="35"/>
        <v>0</v>
      </c>
      <c r="AB299" s="307"/>
      <c r="AC299" s="307"/>
      <c r="AD299" s="303" t="s">
        <v>510</v>
      </c>
      <c r="AE299" s="303" t="s">
        <v>510</v>
      </c>
      <c r="AF299" s="303" t="s">
        <v>510</v>
      </c>
      <c r="AG299" s="322" t="s">
        <v>510</v>
      </c>
      <c r="AH299" s="314">
        <v>0</v>
      </c>
      <c r="AI299" s="297">
        <f t="shared" si="36"/>
        <v>0</v>
      </c>
      <c r="AJ299" s="303" t="s">
        <v>504</v>
      </c>
      <c r="AK299" s="303"/>
      <c r="AL299" s="303"/>
      <c r="AM299" s="303"/>
      <c r="AN299" s="303"/>
      <c r="AO299" s="303"/>
      <c r="AP299" s="303"/>
      <c r="AQ299" s="289">
        <f t="shared" si="37"/>
        <v>0</v>
      </c>
      <c r="AR299" s="303"/>
      <c r="AS299" s="303"/>
      <c r="AT299" s="329"/>
      <c r="AU299" s="329"/>
      <c r="AV299" s="329"/>
      <c r="AW299" s="329"/>
      <c r="AX299" s="329"/>
      <c r="AY299" s="139">
        <f t="shared" si="38"/>
        <v>0</v>
      </c>
      <c r="AZ299" s="303"/>
      <c r="BA299" s="303"/>
      <c r="BB299" s="356" t="s">
        <v>519</v>
      </c>
      <c r="BC299" s="356" t="s">
        <v>519</v>
      </c>
      <c r="BD299" s="356" t="s">
        <v>519</v>
      </c>
      <c r="BE299" s="303" t="s">
        <v>510</v>
      </c>
      <c r="BF299" s="352">
        <v>0</v>
      </c>
      <c r="BG299" s="353">
        <f t="shared" si="39"/>
        <v>0</v>
      </c>
      <c r="BH299" s="303" t="s">
        <v>520</v>
      </c>
      <c r="BI299" s="303" t="s">
        <v>1877</v>
      </c>
      <c r="BJ299" s="354">
        <f t="shared" si="33"/>
        <v>2</v>
      </c>
      <c r="BK299" s="316" t="str">
        <f t="shared" si="40"/>
        <v>Habilitado</v>
      </c>
    </row>
    <row r="300" spans="1:63" ht="25.5" x14ac:dyDescent="0.25">
      <c r="A300" s="324">
        <v>298</v>
      </c>
      <c r="B300" s="345" t="s">
        <v>2351</v>
      </c>
      <c r="C300" s="335" t="s">
        <v>518</v>
      </c>
      <c r="D300" s="360" t="s">
        <v>1635</v>
      </c>
      <c r="E300" s="347">
        <v>1</v>
      </c>
      <c r="F300" s="314" t="s">
        <v>510</v>
      </c>
      <c r="G300" s="314" t="s">
        <v>510</v>
      </c>
      <c r="H300" s="314" t="s">
        <v>511</v>
      </c>
      <c r="I300" s="314" t="s">
        <v>510</v>
      </c>
      <c r="J300" s="314">
        <v>40</v>
      </c>
      <c r="K300" s="29">
        <f t="shared" si="34"/>
        <v>40</v>
      </c>
      <c r="L300" s="314" t="s">
        <v>504</v>
      </c>
      <c r="M300" s="314"/>
      <c r="N300" s="314"/>
      <c r="O300" s="314"/>
      <c r="P300" s="314"/>
      <c r="Q300" s="314"/>
      <c r="R300" s="314"/>
      <c r="S300" s="314"/>
      <c r="T300" s="314"/>
      <c r="U300" s="314"/>
      <c r="V300" s="350" t="s">
        <v>510</v>
      </c>
      <c r="W300" s="350" t="s">
        <v>510</v>
      </c>
      <c r="X300" s="350" t="s">
        <v>510</v>
      </c>
      <c r="Y300" s="350" t="s">
        <v>510</v>
      </c>
      <c r="Z300" s="304">
        <v>20</v>
      </c>
      <c r="AA300" s="350">
        <f t="shared" si="35"/>
        <v>20</v>
      </c>
      <c r="AB300" s="307" t="s">
        <v>504</v>
      </c>
      <c r="AC300" s="307"/>
      <c r="AD300" s="303" t="s">
        <v>510</v>
      </c>
      <c r="AE300" s="303" t="s">
        <v>510</v>
      </c>
      <c r="AF300" s="303" t="s">
        <v>511</v>
      </c>
      <c r="AG300" s="322" t="s">
        <v>510</v>
      </c>
      <c r="AH300" s="314">
        <v>0</v>
      </c>
      <c r="AI300" s="297">
        <f t="shared" si="36"/>
        <v>0</v>
      </c>
      <c r="AJ300" s="303" t="s">
        <v>504</v>
      </c>
      <c r="AK300" s="303"/>
      <c r="AL300" s="303"/>
      <c r="AM300" s="303"/>
      <c r="AN300" s="303"/>
      <c r="AO300" s="303"/>
      <c r="AP300" s="303"/>
      <c r="AQ300" s="289">
        <f t="shared" si="37"/>
        <v>0</v>
      </c>
      <c r="AR300" s="303"/>
      <c r="AS300" s="303"/>
      <c r="AT300" s="329"/>
      <c r="AU300" s="329"/>
      <c r="AV300" s="329"/>
      <c r="AW300" s="329"/>
      <c r="AX300" s="329"/>
      <c r="AY300" s="139">
        <f t="shared" si="38"/>
        <v>0</v>
      </c>
      <c r="AZ300" s="303"/>
      <c r="BA300" s="301"/>
      <c r="BB300" s="356" t="s">
        <v>519</v>
      </c>
      <c r="BC300" s="356" t="s">
        <v>519</v>
      </c>
      <c r="BD300" s="356" t="s">
        <v>511</v>
      </c>
      <c r="BE300" s="303" t="s">
        <v>510</v>
      </c>
      <c r="BF300" s="352">
        <v>0</v>
      </c>
      <c r="BG300" s="353">
        <f t="shared" si="39"/>
        <v>0</v>
      </c>
      <c r="BH300" s="303" t="s">
        <v>520</v>
      </c>
      <c r="BI300" s="303" t="s">
        <v>1877</v>
      </c>
      <c r="BJ300" s="354">
        <f t="shared" si="33"/>
        <v>3</v>
      </c>
      <c r="BK300" s="316" t="str">
        <f t="shared" si="40"/>
        <v>Habilitado</v>
      </c>
    </row>
    <row r="301" spans="1:63" ht="25.5" x14ac:dyDescent="0.25">
      <c r="A301" s="324">
        <v>299</v>
      </c>
      <c r="B301" s="345" t="s">
        <v>2352</v>
      </c>
      <c r="C301" s="335" t="s">
        <v>518</v>
      </c>
      <c r="D301" s="360" t="s">
        <v>638</v>
      </c>
      <c r="E301" s="347">
        <v>1</v>
      </c>
      <c r="F301" s="314"/>
      <c r="G301" s="314"/>
      <c r="H301" s="314"/>
      <c r="I301" s="314"/>
      <c r="J301" s="314"/>
      <c r="K301" s="29">
        <f t="shared" si="34"/>
        <v>0</v>
      </c>
      <c r="L301" s="314"/>
      <c r="M301" s="314"/>
      <c r="N301" s="314"/>
      <c r="O301" s="314"/>
      <c r="P301" s="314"/>
      <c r="Q301" s="314"/>
      <c r="R301" s="314"/>
      <c r="S301" s="314"/>
      <c r="T301" s="314"/>
      <c r="U301" s="314"/>
      <c r="V301" s="350"/>
      <c r="W301" s="350"/>
      <c r="X301" s="350"/>
      <c r="Y301" s="350"/>
      <c r="Z301" s="307"/>
      <c r="AA301" s="350">
        <f t="shared" si="35"/>
        <v>0</v>
      </c>
      <c r="AB301" s="307"/>
      <c r="AC301" s="307"/>
      <c r="AD301" s="303" t="s">
        <v>510</v>
      </c>
      <c r="AE301" s="303" t="s">
        <v>510</v>
      </c>
      <c r="AF301" s="303" t="s">
        <v>511</v>
      </c>
      <c r="AG301" s="322" t="s">
        <v>510</v>
      </c>
      <c r="AH301" s="314">
        <v>0</v>
      </c>
      <c r="AI301" s="297">
        <f t="shared" si="36"/>
        <v>0</v>
      </c>
      <c r="AJ301" s="303" t="s">
        <v>504</v>
      </c>
      <c r="AK301" s="303"/>
      <c r="AL301" s="303"/>
      <c r="AM301" s="303"/>
      <c r="AN301" s="303"/>
      <c r="AO301" s="303"/>
      <c r="AP301" s="303"/>
      <c r="AQ301" s="289">
        <f t="shared" si="37"/>
        <v>0</v>
      </c>
      <c r="AR301" s="303"/>
      <c r="AS301" s="303"/>
      <c r="AT301" s="329"/>
      <c r="AU301" s="329"/>
      <c r="AV301" s="329"/>
      <c r="AW301" s="329"/>
      <c r="AX301" s="329"/>
      <c r="AY301" s="139">
        <f t="shared" si="38"/>
        <v>0</v>
      </c>
      <c r="AZ301" s="303"/>
      <c r="BA301" s="303"/>
      <c r="BB301" s="356" t="s">
        <v>519</v>
      </c>
      <c r="BC301" s="356" t="s">
        <v>519</v>
      </c>
      <c r="BD301" s="356" t="s">
        <v>511</v>
      </c>
      <c r="BE301" s="303" t="s">
        <v>510</v>
      </c>
      <c r="BF301" s="352">
        <v>0</v>
      </c>
      <c r="BG301" s="353">
        <f t="shared" si="39"/>
        <v>0</v>
      </c>
      <c r="BH301" s="303" t="s">
        <v>520</v>
      </c>
      <c r="BI301" s="303" t="s">
        <v>1877</v>
      </c>
      <c r="BJ301" s="354">
        <f t="shared" si="33"/>
        <v>1</v>
      </c>
      <c r="BK301" s="316" t="str">
        <f t="shared" si="40"/>
        <v>Habilitado</v>
      </c>
    </row>
    <row r="302" spans="1:63" x14ac:dyDescent="0.25">
      <c r="A302" s="324">
        <v>300</v>
      </c>
      <c r="B302" s="345" t="s">
        <v>2353</v>
      </c>
      <c r="C302" s="335" t="s">
        <v>518</v>
      </c>
      <c r="D302" s="360" t="s">
        <v>1061</v>
      </c>
      <c r="E302" s="347">
        <v>1</v>
      </c>
      <c r="F302" s="314"/>
      <c r="G302" s="314"/>
      <c r="H302" s="314"/>
      <c r="I302" s="314"/>
      <c r="J302" s="314"/>
      <c r="K302" s="29">
        <f t="shared" si="34"/>
        <v>0</v>
      </c>
      <c r="L302" s="314"/>
      <c r="M302" s="314"/>
      <c r="N302" s="314"/>
      <c r="O302" s="314"/>
      <c r="P302" s="314"/>
      <c r="Q302" s="314"/>
      <c r="R302" s="314"/>
      <c r="S302" s="314"/>
      <c r="T302" s="314"/>
      <c r="U302" s="314"/>
      <c r="V302" s="350"/>
      <c r="W302" s="350"/>
      <c r="X302" s="350"/>
      <c r="Y302" s="350"/>
      <c r="Z302" s="307"/>
      <c r="AA302" s="350">
        <f t="shared" si="35"/>
        <v>0</v>
      </c>
      <c r="AB302" s="307"/>
      <c r="AC302" s="307"/>
      <c r="AD302" s="303" t="s">
        <v>510</v>
      </c>
      <c r="AE302" s="303" t="s">
        <v>510</v>
      </c>
      <c r="AF302" s="303" t="s">
        <v>511</v>
      </c>
      <c r="AG302" s="322" t="s">
        <v>510</v>
      </c>
      <c r="AH302" s="314">
        <v>0</v>
      </c>
      <c r="AI302" s="297">
        <f t="shared" si="36"/>
        <v>0</v>
      </c>
      <c r="AJ302" s="303" t="s">
        <v>504</v>
      </c>
      <c r="AK302" s="303"/>
      <c r="AL302" s="303"/>
      <c r="AM302" s="303"/>
      <c r="AN302" s="303"/>
      <c r="AO302" s="303"/>
      <c r="AP302" s="303"/>
      <c r="AQ302" s="289">
        <f t="shared" si="37"/>
        <v>0</v>
      </c>
      <c r="AR302" s="303"/>
      <c r="AS302" s="303"/>
      <c r="AT302" s="329"/>
      <c r="AU302" s="329"/>
      <c r="AV302" s="329"/>
      <c r="AW302" s="329"/>
      <c r="AX302" s="329"/>
      <c r="AY302" s="139">
        <f t="shared" si="38"/>
        <v>0</v>
      </c>
      <c r="AZ302" s="303"/>
      <c r="BA302" s="303"/>
      <c r="BB302" s="356" t="s">
        <v>519</v>
      </c>
      <c r="BC302" s="356" t="s">
        <v>519</v>
      </c>
      <c r="BD302" s="356" t="s">
        <v>511</v>
      </c>
      <c r="BE302" s="303" t="s">
        <v>510</v>
      </c>
      <c r="BF302" s="352">
        <v>0</v>
      </c>
      <c r="BG302" s="353">
        <f t="shared" si="39"/>
        <v>0</v>
      </c>
      <c r="BH302" s="303" t="s">
        <v>520</v>
      </c>
      <c r="BI302" s="303" t="s">
        <v>1877</v>
      </c>
      <c r="BJ302" s="354">
        <f t="shared" si="33"/>
        <v>1</v>
      </c>
      <c r="BK302" s="316" t="str">
        <f t="shared" si="40"/>
        <v>Habilitado</v>
      </c>
    </row>
    <row r="303" spans="1:63" x14ac:dyDescent="0.25">
      <c r="A303" s="324">
        <v>301</v>
      </c>
      <c r="B303" s="345" t="s">
        <v>2354</v>
      </c>
      <c r="C303" s="335" t="s">
        <v>518</v>
      </c>
      <c r="D303" s="360" t="s">
        <v>1848</v>
      </c>
      <c r="E303" s="347">
        <v>1</v>
      </c>
      <c r="F303" s="314" t="s">
        <v>510</v>
      </c>
      <c r="G303" s="314" t="s">
        <v>510</v>
      </c>
      <c r="H303" s="314" t="s">
        <v>511</v>
      </c>
      <c r="I303" s="314" t="s">
        <v>510</v>
      </c>
      <c r="J303" s="314">
        <v>40</v>
      </c>
      <c r="K303" s="29">
        <f t="shared" si="34"/>
        <v>40</v>
      </c>
      <c r="L303" s="314" t="s">
        <v>504</v>
      </c>
      <c r="M303" s="314"/>
      <c r="N303" s="314"/>
      <c r="O303" s="314"/>
      <c r="P303" s="314"/>
      <c r="Q303" s="314"/>
      <c r="R303" s="314"/>
      <c r="S303" s="314"/>
      <c r="T303" s="314"/>
      <c r="U303" s="314"/>
      <c r="V303" s="350" t="s">
        <v>510</v>
      </c>
      <c r="W303" s="350" t="s">
        <v>510</v>
      </c>
      <c r="X303" s="350" t="s">
        <v>511</v>
      </c>
      <c r="Y303" s="350" t="s">
        <v>510</v>
      </c>
      <c r="Z303" s="304">
        <v>20</v>
      </c>
      <c r="AA303" s="350">
        <f t="shared" si="35"/>
        <v>20</v>
      </c>
      <c r="AB303" s="307" t="s">
        <v>504</v>
      </c>
      <c r="AC303" s="306"/>
      <c r="AD303" s="303" t="s">
        <v>510</v>
      </c>
      <c r="AE303" s="303" t="s">
        <v>510</v>
      </c>
      <c r="AF303" s="303" t="s">
        <v>511</v>
      </c>
      <c r="AG303" s="322" t="s">
        <v>510</v>
      </c>
      <c r="AH303" s="314">
        <v>0</v>
      </c>
      <c r="AI303" s="297">
        <f t="shared" si="36"/>
        <v>0</v>
      </c>
      <c r="AJ303" s="303" t="s">
        <v>504</v>
      </c>
      <c r="AK303" s="303"/>
      <c r="AL303" s="303"/>
      <c r="AM303" s="303"/>
      <c r="AN303" s="303"/>
      <c r="AO303" s="303"/>
      <c r="AP303" s="303"/>
      <c r="AQ303" s="289">
        <f t="shared" si="37"/>
        <v>0</v>
      </c>
      <c r="AR303" s="303"/>
      <c r="AS303" s="301"/>
      <c r="AT303" s="303" t="s">
        <v>510</v>
      </c>
      <c r="AU303" s="303" t="s">
        <v>510</v>
      </c>
      <c r="AV303" s="303" t="s">
        <v>511</v>
      </c>
      <c r="AW303" s="303" t="s">
        <v>510</v>
      </c>
      <c r="AX303" s="314">
        <v>40</v>
      </c>
      <c r="AY303" s="139">
        <f t="shared" si="38"/>
        <v>40</v>
      </c>
      <c r="AZ303" s="303" t="s">
        <v>504</v>
      </c>
      <c r="BA303" s="303"/>
      <c r="BB303" s="356" t="s">
        <v>519</v>
      </c>
      <c r="BC303" s="356" t="s">
        <v>519</v>
      </c>
      <c r="BD303" s="356" t="s">
        <v>511</v>
      </c>
      <c r="BE303" s="303" t="s">
        <v>510</v>
      </c>
      <c r="BF303" s="352">
        <v>0</v>
      </c>
      <c r="BG303" s="353">
        <f t="shared" si="39"/>
        <v>0</v>
      </c>
      <c r="BH303" s="303" t="s">
        <v>520</v>
      </c>
      <c r="BI303" s="303" t="s">
        <v>1877</v>
      </c>
      <c r="BJ303" s="354">
        <f t="shared" si="33"/>
        <v>4</v>
      </c>
      <c r="BK303" s="316" t="str">
        <f t="shared" si="40"/>
        <v>Habilitado</v>
      </c>
    </row>
    <row r="304" spans="1:63" ht="38.25" x14ac:dyDescent="0.25">
      <c r="A304" s="324">
        <v>302</v>
      </c>
      <c r="B304" s="345" t="s">
        <v>2355</v>
      </c>
      <c r="C304" s="357" t="s">
        <v>518</v>
      </c>
      <c r="D304" s="360" t="s">
        <v>1848</v>
      </c>
      <c r="E304" s="347">
        <v>1</v>
      </c>
      <c r="F304" s="314" t="s">
        <v>519</v>
      </c>
      <c r="G304" s="314" t="s">
        <v>519</v>
      </c>
      <c r="H304" s="314" t="s">
        <v>511</v>
      </c>
      <c r="I304" s="314" t="s">
        <v>510</v>
      </c>
      <c r="J304" s="314">
        <v>0</v>
      </c>
      <c r="K304" s="29">
        <f t="shared" si="34"/>
        <v>0</v>
      </c>
      <c r="L304" s="314" t="s">
        <v>520</v>
      </c>
      <c r="M304" s="314"/>
      <c r="N304" s="314"/>
      <c r="O304" s="314"/>
      <c r="P304" s="314"/>
      <c r="Q304" s="314"/>
      <c r="R304" s="314"/>
      <c r="S304" s="314"/>
      <c r="T304" s="314"/>
      <c r="U304" s="314"/>
      <c r="V304" s="350"/>
      <c r="W304" s="350"/>
      <c r="X304" s="350"/>
      <c r="Y304" s="350"/>
      <c r="Z304" s="307"/>
      <c r="AA304" s="350">
        <f t="shared" si="35"/>
        <v>0</v>
      </c>
      <c r="AB304" s="307"/>
      <c r="AC304" s="307"/>
      <c r="AD304" s="303" t="s">
        <v>510</v>
      </c>
      <c r="AE304" s="303" t="s">
        <v>510</v>
      </c>
      <c r="AF304" s="303" t="s">
        <v>511</v>
      </c>
      <c r="AG304" s="322" t="s">
        <v>510</v>
      </c>
      <c r="AH304" s="314">
        <v>0</v>
      </c>
      <c r="AI304" s="297">
        <f t="shared" si="36"/>
        <v>0</v>
      </c>
      <c r="AJ304" s="303" t="s">
        <v>504</v>
      </c>
      <c r="AK304" s="301" t="s">
        <v>2356</v>
      </c>
      <c r="AL304" s="303"/>
      <c r="AM304" s="303"/>
      <c r="AN304" s="303"/>
      <c r="AO304" s="303"/>
      <c r="AP304" s="303"/>
      <c r="AQ304" s="289">
        <f t="shared" si="37"/>
        <v>0</v>
      </c>
      <c r="AR304" s="303"/>
      <c r="AS304" s="303"/>
      <c r="AT304" s="329"/>
      <c r="AU304" s="329"/>
      <c r="AV304" s="329"/>
      <c r="AW304" s="329"/>
      <c r="AX304" s="329"/>
      <c r="AY304" s="139">
        <f t="shared" si="38"/>
        <v>0</v>
      </c>
      <c r="AZ304" s="303"/>
      <c r="BA304" s="303"/>
      <c r="BB304" s="356" t="s">
        <v>519</v>
      </c>
      <c r="BC304" s="356" t="s">
        <v>519</v>
      </c>
      <c r="BD304" s="356" t="s">
        <v>511</v>
      </c>
      <c r="BE304" s="303" t="s">
        <v>510</v>
      </c>
      <c r="BF304" s="352">
        <v>0</v>
      </c>
      <c r="BG304" s="353">
        <f t="shared" si="39"/>
        <v>0</v>
      </c>
      <c r="BH304" s="303" t="s">
        <v>520</v>
      </c>
      <c r="BI304" s="303" t="s">
        <v>1877</v>
      </c>
      <c r="BJ304" s="354">
        <f t="shared" si="33"/>
        <v>1</v>
      </c>
      <c r="BK304" s="316" t="str">
        <f t="shared" si="40"/>
        <v>Habilitado</v>
      </c>
    </row>
    <row r="305" spans="1:63" ht="25.5" x14ac:dyDescent="0.25">
      <c r="A305" s="324">
        <v>303</v>
      </c>
      <c r="B305" s="345" t="s">
        <v>2357</v>
      </c>
      <c r="C305" s="357" t="s">
        <v>2358</v>
      </c>
      <c r="D305" s="360" t="s">
        <v>2359</v>
      </c>
      <c r="E305" s="347">
        <v>1</v>
      </c>
      <c r="F305" s="314"/>
      <c r="G305" s="314"/>
      <c r="H305" s="314"/>
      <c r="I305" s="314"/>
      <c r="J305" s="314"/>
      <c r="K305" s="29">
        <f t="shared" si="34"/>
        <v>0</v>
      </c>
      <c r="L305" s="314"/>
      <c r="M305" s="314"/>
      <c r="N305" s="314"/>
      <c r="O305" s="314"/>
      <c r="P305" s="314"/>
      <c r="Q305" s="314"/>
      <c r="R305" s="314"/>
      <c r="S305" s="314"/>
      <c r="T305" s="314"/>
      <c r="U305" s="314"/>
      <c r="V305" s="350"/>
      <c r="W305" s="350"/>
      <c r="X305" s="350"/>
      <c r="Y305" s="350"/>
      <c r="Z305" s="307"/>
      <c r="AA305" s="350">
        <f t="shared" si="35"/>
        <v>0</v>
      </c>
      <c r="AB305" s="307"/>
      <c r="AC305" s="307"/>
      <c r="AD305" s="303"/>
      <c r="AE305" s="303"/>
      <c r="AF305" s="303"/>
      <c r="AG305" s="303"/>
      <c r="AH305" s="314"/>
      <c r="AI305" s="297">
        <f t="shared" si="36"/>
        <v>0</v>
      </c>
      <c r="AJ305" s="303"/>
      <c r="AK305" s="303"/>
      <c r="AL305" s="303"/>
      <c r="AM305" s="303"/>
      <c r="AN305" s="303"/>
      <c r="AO305" s="303"/>
      <c r="AP305" s="303"/>
      <c r="AQ305" s="289">
        <f t="shared" si="37"/>
        <v>0</v>
      </c>
      <c r="AR305" s="303"/>
      <c r="AS305" s="303"/>
      <c r="AT305" s="303" t="s">
        <v>510</v>
      </c>
      <c r="AU305" s="303" t="s">
        <v>510</v>
      </c>
      <c r="AV305" s="303" t="s">
        <v>511</v>
      </c>
      <c r="AW305" s="303" t="s">
        <v>510</v>
      </c>
      <c r="AX305" s="314">
        <v>40</v>
      </c>
      <c r="AY305" s="139">
        <f t="shared" si="38"/>
        <v>40</v>
      </c>
      <c r="AZ305" s="303" t="s">
        <v>504</v>
      </c>
      <c r="BA305" s="303"/>
      <c r="BB305" s="303"/>
      <c r="BC305" s="303"/>
      <c r="BD305" s="303"/>
      <c r="BE305" s="303"/>
      <c r="BF305" s="303"/>
      <c r="BG305" s="353">
        <f t="shared" si="39"/>
        <v>0</v>
      </c>
      <c r="BH305" s="303"/>
      <c r="BI305" s="303"/>
      <c r="BJ305" s="354">
        <f t="shared" si="33"/>
        <v>1</v>
      </c>
      <c r="BK305" s="316" t="str">
        <f t="shared" si="40"/>
        <v>Habilitado</v>
      </c>
    </row>
    <row r="306" spans="1:63" ht="51" x14ac:dyDescent="0.25">
      <c r="A306" s="324">
        <v>304</v>
      </c>
      <c r="B306" s="345" t="s">
        <v>2360</v>
      </c>
      <c r="C306" s="335" t="s">
        <v>2361</v>
      </c>
      <c r="D306" s="360" t="s">
        <v>140</v>
      </c>
      <c r="E306" s="347">
        <v>1</v>
      </c>
      <c r="F306" s="314"/>
      <c r="G306" s="314"/>
      <c r="H306" s="314"/>
      <c r="I306" s="314"/>
      <c r="J306" s="314"/>
      <c r="K306" s="29">
        <f t="shared" si="34"/>
        <v>0</v>
      </c>
      <c r="L306" s="314"/>
      <c r="M306" s="314"/>
      <c r="N306" s="314"/>
      <c r="O306" s="314"/>
      <c r="P306" s="314"/>
      <c r="Q306" s="314"/>
      <c r="R306" s="314"/>
      <c r="S306" s="314"/>
      <c r="T306" s="314"/>
      <c r="U306" s="314"/>
      <c r="V306" s="350"/>
      <c r="W306" s="350"/>
      <c r="X306" s="350"/>
      <c r="Y306" s="350"/>
      <c r="Z306" s="307"/>
      <c r="AA306" s="350">
        <f t="shared" si="35"/>
        <v>0</v>
      </c>
      <c r="AB306" s="307"/>
      <c r="AC306" s="307"/>
      <c r="AD306" s="303"/>
      <c r="AE306" s="303"/>
      <c r="AF306" s="303"/>
      <c r="AG306" s="303"/>
      <c r="AH306" s="314"/>
      <c r="AI306" s="297">
        <f t="shared" si="36"/>
        <v>0</v>
      </c>
      <c r="AJ306" s="303"/>
      <c r="AK306" s="303"/>
      <c r="AL306" s="303"/>
      <c r="AM306" s="303"/>
      <c r="AN306" s="303"/>
      <c r="AO306" s="303"/>
      <c r="AP306" s="303"/>
      <c r="AQ306" s="289">
        <f t="shared" si="37"/>
        <v>0</v>
      </c>
      <c r="AR306" s="303"/>
      <c r="AS306" s="303"/>
      <c r="AT306" s="329"/>
      <c r="AU306" s="329"/>
      <c r="AV306" s="329"/>
      <c r="AW306" s="329"/>
      <c r="AX306" s="329"/>
      <c r="AY306" s="139">
        <f t="shared" si="38"/>
        <v>0</v>
      </c>
      <c r="AZ306" s="303"/>
      <c r="BA306" s="303"/>
      <c r="BB306" s="303"/>
      <c r="BC306" s="303"/>
      <c r="BD306" s="303"/>
      <c r="BE306" s="303"/>
      <c r="BF306" s="303"/>
      <c r="BG306" s="353">
        <f t="shared" si="39"/>
        <v>0</v>
      </c>
      <c r="BH306" s="303"/>
      <c r="BI306" s="303"/>
      <c r="BJ306" s="354">
        <f t="shared" si="33"/>
        <v>0</v>
      </c>
      <c r="BK306" s="316" t="str">
        <f t="shared" si="40"/>
        <v>Desierto</v>
      </c>
    </row>
    <row r="307" spans="1:63" ht="25.5" x14ac:dyDescent="0.25">
      <c r="A307" s="324">
        <v>305</v>
      </c>
      <c r="B307" s="325" t="s">
        <v>2362</v>
      </c>
      <c r="C307" s="325" t="s">
        <v>2363</v>
      </c>
      <c r="D307" s="325" t="s">
        <v>2364</v>
      </c>
      <c r="E307" s="362">
        <v>1</v>
      </c>
      <c r="F307" s="406"/>
      <c r="G307" s="406"/>
      <c r="H307" s="406"/>
      <c r="I307" s="406"/>
      <c r="J307" s="406"/>
      <c r="K307" s="29">
        <f t="shared" si="34"/>
        <v>0</v>
      </c>
      <c r="L307" s="406"/>
      <c r="M307" s="406"/>
      <c r="N307" s="406"/>
      <c r="O307" s="406"/>
      <c r="P307" s="406"/>
      <c r="Q307" s="406"/>
      <c r="R307" s="406"/>
      <c r="S307" s="406"/>
      <c r="T307" s="406"/>
      <c r="U307" s="406"/>
      <c r="V307" s="350"/>
      <c r="W307" s="350"/>
      <c r="X307" s="350"/>
      <c r="Y307" s="350"/>
      <c r="Z307" s="307"/>
      <c r="AA307" s="350">
        <f t="shared" si="35"/>
        <v>0</v>
      </c>
      <c r="AB307" s="307"/>
      <c r="AC307" s="307"/>
      <c r="AD307" s="304"/>
      <c r="AE307" s="304"/>
      <c r="AF307" s="304"/>
      <c r="AG307" s="304"/>
      <c r="AH307" s="326"/>
      <c r="AI307" s="297">
        <f t="shared" si="36"/>
        <v>0</v>
      </c>
      <c r="AJ307" s="304"/>
      <c r="AK307" s="304"/>
      <c r="AL307" s="304"/>
      <c r="AM307" s="304"/>
      <c r="AN307" s="304"/>
      <c r="AO307" s="304"/>
      <c r="AP307" s="304"/>
      <c r="AQ307" s="289">
        <f t="shared" si="37"/>
        <v>0</v>
      </c>
      <c r="AR307" s="304"/>
      <c r="AS307" s="304"/>
      <c r="AT307" s="325"/>
      <c r="AU307" s="325"/>
      <c r="AV307" s="325"/>
      <c r="AW307" s="325"/>
      <c r="AX307" s="325"/>
      <c r="AY307" s="139">
        <f t="shared" si="38"/>
        <v>0</v>
      </c>
      <c r="AZ307" s="304"/>
      <c r="BA307" s="304"/>
      <c r="BB307" s="303"/>
      <c r="BC307" s="303"/>
      <c r="BD307" s="303"/>
      <c r="BE307" s="303"/>
      <c r="BF307" s="303"/>
      <c r="BG307" s="353">
        <f t="shared" si="39"/>
        <v>0</v>
      </c>
      <c r="BH307" s="303"/>
      <c r="BI307" s="303"/>
      <c r="BJ307" s="354">
        <f t="shared" si="33"/>
        <v>0</v>
      </c>
      <c r="BK307" s="316" t="str">
        <f t="shared" si="40"/>
        <v>Desierto</v>
      </c>
    </row>
    <row r="308" spans="1:63" ht="25.5" x14ac:dyDescent="0.25">
      <c r="A308" s="324">
        <v>306</v>
      </c>
      <c r="B308" s="345" t="s">
        <v>2365</v>
      </c>
      <c r="C308" s="335" t="s">
        <v>518</v>
      </c>
      <c r="D308" s="360" t="s">
        <v>140</v>
      </c>
      <c r="E308" s="347">
        <v>1</v>
      </c>
      <c r="F308" s="314" t="s">
        <v>510</v>
      </c>
      <c r="G308" s="314" t="s">
        <v>510</v>
      </c>
      <c r="H308" s="314" t="s">
        <v>511</v>
      </c>
      <c r="I308" s="314" t="s">
        <v>510</v>
      </c>
      <c r="J308" s="314">
        <v>40</v>
      </c>
      <c r="K308" s="29">
        <f t="shared" si="34"/>
        <v>40</v>
      </c>
      <c r="L308" s="314" t="s">
        <v>504</v>
      </c>
      <c r="M308" s="314"/>
      <c r="N308" s="314"/>
      <c r="O308" s="314"/>
      <c r="P308" s="314"/>
      <c r="Q308" s="314"/>
      <c r="R308" s="314"/>
      <c r="S308" s="314"/>
      <c r="T308" s="314"/>
      <c r="U308" s="314"/>
      <c r="V308" s="350"/>
      <c r="W308" s="350"/>
      <c r="X308" s="350"/>
      <c r="Y308" s="350"/>
      <c r="Z308" s="307"/>
      <c r="AA308" s="350">
        <f t="shared" si="35"/>
        <v>0</v>
      </c>
      <c r="AB308" s="307"/>
      <c r="AC308" s="307"/>
      <c r="AD308" s="303"/>
      <c r="AE308" s="303"/>
      <c r="AF308" s="303"/>
      <c r="AG308" s="303"/>
      <c r="AH308" s="314"/>
      <c r="AI308" s="297">
        <f t="shared" si="36"/>
        <v>0</v>
      </c>
      <c r="AJ308" s="303"/>
      <c r="AK308" s="361"/>
      <c r="AL308" s="303"/>
      <c r="AM308" s="303"/>
      <c r="AN308" s="303"/>
      <c r="AO308" s="303"/>
      <c r="AP308" s="303"/>
      <c r="AQ308" s="289">
        <f t="shared" si="37"/>
        <v>0</v>
      </c>
      <c r="AR308" s="314"/>
      <c r="AS308" s="314"/>
      <c r="AT308" s="329"/>
      <c r="AU308" s="329"/>
      <c r="AV308" s="329"/>
      <c r="AW308" s="329"/>
      <c r="AX308" s="329"/>
      <c r="AY308" s="139">
        <f t="shared" si="38"/>
        <v>0</v>
      </c>
      <c r="AZ308" s="375"/>
      <c r="BA308" s="375"/>
      <c r="BB308" s="303"/>
      <c r="BC308" s="303"/>
      <c r="BD308" s="303"/>
      <c r="BE308" s="303"/>
      <c r="BF308" s="303"/>
      <c r="BG308" s="353">
        <f t="shared" si="39"/>
        <v>0</v>
      </c>
      <c r="BH308" s="303"/>
      <c r="BI308" s="303"/>
      <c r="BJ308" s="354">
        <f t="shared" si="33"/>
        <v>1</v>
      </c>
      <c r="BK308" s="316" t="str">
        <f t="shared" si="40"/>
        <v>Habilitado</v>
      </c>
    </row>
    <row r="309" spans="1:63" ht="25.5" x14ac:dyDescent="0.25">
      <c r="A309" s="324">
        <v>307</v>
      </c>
      <c r="B309" s="345" t="s">
        <v>2366</v>
      </c>
      <c r="C309" s="335" t="s">
        <v>2367</v>
      </c>
      <c r="D309" s="335" t="s">
        <v>2368</v>
      </c>
      <c r="E309" s="347">
        <v>1</v>
      </c>
      <c r="F309" s="406" t="s">
        <v>510</v>
      </c>
      <c r="G309" s="406" t="s">
        <v>510</v>
      </c>
      <c r="H309" s="406" t="s">
        <v>510</v>
      </c>
      <c r="I309" s="406" t="s">
        <v>510</v>
      </c>
      <c r="J309" s="406">
        <v>40</v>
      </c>
      <c r="K309" s="29">
        <f t="shared" si="34"/>
        <v>40</v>
      </c>
      <c r="L309" s="314" t="s">
        <v>504</v>
      </c>
      <c r="M309" s="314"/>
      <c r="N309" s="314"/>
      <c r="O309" s="314"/>
      <c r="P309" s="314"/>
      <c r="Q309" s="314"/>
      <c r="R309" s="314"/>
      <c r="S309" s="314"/>
      <c r="T309" s="314"/>
      <c r="U309" s="314"/>
      <c r="V309" s="350"/>
      <c r="W309" s="350"/>
      <c r="X309" s="350"/>
      <c r="Y309" s="350"/>
      <c r="Z309" s="307"/>
      <c r="AA309" s="350">
        <f t="shared" si="35"/>
        <v>0</v>
      </c>
      <c r="AB309" s="307"/>
      <c r="AC309" s="307"/>
      <c r="AD309" s="303" t="s">
        <v>510</v>
      </c>
      <c r="AE309" s="303" t="s">
        <v>510</v>
      </c>
      <c r="AF309" s="303" t="s">
        <v>510</v>
      </c>
      <c r="AG309" s="322" t="s">
        <v>510</v>
      </c>
      <c r="AH309" s="314">
        <v>0</v>
      </c>
      <c r="AI309" s="297">
        <f t="shared" si="36"/>
        <v>0</v>
      </c>
      <c r="AJ309" s="303" t="s">
        <v>504</v>
      </c>
      <c r="AK309" s="303"/>
      <c r="AL309" s="303"/>
      <c r="AM309" s="303"/>
      <c r="AN309" s="303"/>
      <c r="AO309" s="303"/>
      <c r="AP309" s="303"/>
      <c r="AQ309" s="289">
        <f t="shared" si="37"/>
        <v>0</v>
      </c>
      <c r="AR309" s="303"/>
      <c r="AS309" s="303"/>
      <c r="AT309" s="329"/>
      <c r="AU309" s="329"/>
      <c r="AV309" s="329"/>
      <c r="AW309" s="329"/>
      <c r="AX309" s="329"/>
      <c r="AY309" s="139">
        <f t="shared" si="38"/>
        <v>0</v>
      </c>
      <c r="AZ309" s="303"/>
      <c r="BA309" s="303"/>
      <c r="BB309" s="356" t="s">
        <v>519</v>
      </c>
      <c r="BC309" s="356" t="s">
        <v>519</v>
      </c>
      <c r="BD309" s="356" t="s">
        <v>519</v>
      </c>
      <c r="BE309" s="303" t="s">
        <v>510</v>
      </c>
      <c r="BF309" s="352">
        <v>0</v>
      </c>
      <c r="BG309" s="353">
        <f t="shared" si="39"/>
        <v>0</v>
      </c>
      <c r="BH309" s="303" t="s">
        <v>520</v>
      </c>
      <c r="BI309" s="303" t="s">
        <v>1877</v>
      </c>
      <c r="BJ309" s="354">
        <f t="shared" si="33"/>
        <v>2</v>
      </c>
      <c r="BK309" s="316" t="str">
        <f t="shared" si="40"/>
        <v>Habilitado</v>
      </c>
    </row>
    <row r="310" spans="1:63" ht="25.5" x14ac:dyDescent="0.25">
      <c r="A310" s="324">
        <v>308</v>
      </c>
      <c r="B310" s="345" t="s">
        <v>2369</v>
      </c>
      <c r="C310" s="335" t="s">
        <v>2370</v>
      </c>
      <c r="D310" s="335" t="s">
        <v>1491</v>
      </c>
      <c r="E310" s="347">
        <v>1</v>
      </c>
      <c r="F310" s="406" t="s">
        <v>510</v>
      </c>
      <c r="G310" s="406" t="s">
        <v>510</v>
      </c>
      <c r="H310" s="406" t="s">
        <v>510</v>
      </c>
      <c r="I310" s="406" t="s">
        <v>510</v>
      </c>
      <c r="J310" s="406">
        <v>40</v>
      </c>
      <c r="K310" s="29">
        <f t="shared" si="34"/>
        <v>40</v>
      </c>
      <c r="L310" s="314" t="s">
        <v>504</v>
      </c>
      <c r="M310" s="314"/>
      <c r="N310" s="314"/>
      <c r="O310" s="314"/>
      <c r="P310" s="314"/>
      <c r="Q310" s="314"/>
      <c r="R310" s="314"/>
      <c r="S310" s="314"/>
      <c r="T310" s="314"/>
      <c r="U310" s="314"/>
      <c r="V310" s="350"/>
      <c r="W310" s="350"/>
      <c r="X310" s="350"/>
      <c r="Y310" s="350"/>
      <c r="Z310" s="307"/>
      <c r="AA310" s="350">
        <f t="shared" si="35"/>
        <v>0</v>
      </c>
      <c r="AB310" s="307"/>
      <c r="AC310" s="307"/>
      <c r="AD310" s="303" t="s">
        <v>510</v>
      </c>
      <c r="AE310" s="303" t="s">
        <v>510</v>
      </c>
      <c r="AF310" s="303" t="s">
        <v>510</v>
      </c>
      <c r="AG310" s="322" t="s">
        <v>510</v>
      </c>
      <c r="AH310" s="314">
        <v>0</v>
      </c>
      <c r="AI310" s="297">
        <f t="shared" si="36"/>
        <v>0</v>
      </c>
      <c r="AJ310" s="303" t="s">
        <v>504</v>
      </c>
      <c r="AK310" s="303"/>
      <c r="AL310" s="303"/>
      <c r="AM310" s="303"/>
      <c r="AN310" s="303"/>
      <c r="AO310" s="303"/>
      <c r="AP310" s="303"/>
      <c r="AQ310" s="289">
        <f t="shared" si="37"/>
        <v>0</v>
      </c>
      <c r="AR310" s="303"/>
      <c r="AS310" s="303"/>
      <c r="AT310" s="329"/>
      <c r="AU310" s="329"/>
      <c r="AV310" s="329"/>
      <c r="AW310" s="329"/>
      <c r="AX310" s="329"/>
      <c r="AY310" s="139">
        <f t="shared" si="38"/>
        <v>0</v>
      </c>
      <c r="AZ310" s="303"/>
      <c r="BA310" s="303"/>
      <c r="BB310" s="356" t="s">
        <v>519</v>
      </c>
      <c r="BC310" s="356" t="s">
        <v>519</v>
      </c>
      <c r="BD310" s="356" t="s">
        <v>519</v>
      </c>
      <c r="BE310" s="303" t="s">
        <v>510</v>
      </c>
      <c r="BF310" s="352">
        <v>0</v>
      </c>
      <c r="BG310" s="353">
        <f t="shared" si="39"/>
        <v>0</v>
      </c>
      <c r="BH310" s="303" t="s">
        <v>520</v>
      </c>
      <c r="BI310" s="303" t="s">
        <v>1877</v>
      </c>
      <c r="BJ310" s="354">
        <f t="shared" si="33"/>
        <v>2</v>
      </c>
      <c r="BK310" s="316" t="str">
        <f t="shared" si="40"/>
        <v>Habilitado</v>
      </c>
    </row>
    <row r="311" spans="1:63" x14ac:dyDescent="0.25">
      <c r="A311" s="324">
        <v>309</v>
      </c>
      <c r="B311" s="345" t="s">
        <v>2371</v>
      </c>
      <c r="C311" s="335" t="s">
        <v>2372</v>
      </c>
      <c r="D311" s="360" t="s">
        <v>2249</v>
      </c>
      <c r="E311" s="347">
        <v>1</v>
      </c>
      <c r="F311" s="314"/>
      <c r="G311" s="314"/>
      <c r="H311" s="314"/>
      <c r="I311" s="314"/>
      <c r="J311" s="314"/>
      <c r="K311" s="29">
        <f t="shared" si="34"/>
        <v>0</v>
      </c>
      <c r="L311" s="314"/>
      <c r="M311" s="314"/>
      <c r="N311" s="314"/>
      <c r="O311" s="314"/>
      <c r="P311" s="314"/>
      <c r="Q311" s="314"/>
      <c r="R311" s="314"/>
      <c r="S311" s="314"/>
      <c r="T311" s="314"/>
      <c r="U311" s="314"/>
      <c r="V311" s="350"/>
      <c r="W311" s="350"/>
      <c r="X311" s="350"/>
      <c r="Y311" s="350"/>
      <c r="Z311" s="307"/>
      <c r="AA311" s="350">
        <f t="shared" si="35"/>
        <v>0</v>
      </c>
      <c r="AB311" s="307"/>
      <c r="AC311" s="307"/>
      <c r="AD311" s="303" t="s">
        <v>510</v>
      </c>
      <c r="AE311" s="303" t="s">
        <v>510</v>
      </c>
      <c r="AF311" s="303" t="s">
        <v>511</v>
      </c>
      <c r="AG311" s="322" t="s">
        <v>510</v>
      </c>
      <c r="AH311" s="314">
        <v>0</v>
      </c>
      <c r="AI311" s="297">
        <f t="shared" si="36"/>
        <v>0</v>
      </c>
      <c r="AJ311" s="303" t="s">
        <v>504</v>
      </c>
      <c r="AK311" s="303"/>
      <c r="AL311" s="303"/>
      <c r="AM311" s="303"/>
      <c r="AN311" s="303"/>
      <c r="AO311" s="303"/>
      <c r="AP311" s="303"/>
      <c r="AQ311" s="289">
        <f t="shared" si="37"/>
        <v>0</v>
      </c>
      <c r="AR311" s="303"/>
      <c r="AS311" s="303"/>
      <c r="AT311" s="329"/>
      <c r="AU311" s="329"/>
      <c r="AV311" s="329"/>
      <c r="AW311" s="329"/>
      <c r="AX311" s="329"/>
      <c r="AY311" s="139">
        <f t="shared" si="38"/>
        <v>0</v>
      </c>
      <c r="AZ311" s="303"/>
      <c r="BA311" s="303"/>
      <c r="BB311" s="356" t="s">
        <v>519</v>
      </c>
      <c r="BC311" s="356" t="s">
        <v>519</v>
      </c>
      <c r="BD311" s="356" t="s">
        <v>511</v>
      </c>
      <c r="BE311" s="303" t="s">
        <v>510</v>
      </c>
      <c r="BF311" s="352">
        <v>0</v>
      </c>
      <c r="BG311" s="353">
        <f t="shared" si="39"/>
        <v>0</v>
      </c>
      <c r="BH311" s="303" t="s">
        <v>520</v>
      </c>
      <c r="BI311" s="303" t="s">
        <v>1877</v>
      </c>
      <c r="BJ311" s="354">
        <f t="shared" si="33"/>
        <v>1</v>
      </c>
      <c r="BK311" s="316" t="str">
        <f t="shared" si="40"/>
        <v>Habilitado</v>
      </c>
    </row>
    <row r="312" spans="1:63" ht="25.5" x14ac:dyDescent="0.25">
      <c r="A312" s="324">
        <v>310</v>
      </c>
      <c r="B312" s="325" t="s">
        <v>2373</v>
      </c>
      <c r="C312" s="325" t="s">
        <v>2374</v>
      </c>
      <c r="D312" s="325" t="s">
        <v>140</v>
      </c>
      <c r="E312" s="362">
        <v>1</v>
      </c>
      <c r="F312" s="406" t="s">
        <v>510</v>
      </c>
      <c r="G312" s="406" t="s">
        <v>510</v>
      </c>
      <c r="H312" s="406" t="s">
        <v>511</v>
      </c>
      <c r="I312" s="406" t="s">
        <v>510</v>
      </c>
      <c r="J312" s="406">
        <v>40</v>
      </c>
      <c r="K312" s="29">
        <f t="shared" si="34"/>
        <v>40</v>
      </c>
      <c r="L312" s="314" t="s">
        <v>504</v>
      </c>
      <c r="M312" s="406" t="s">
        <v>551</v>
      </c>
      <c r="N312" s="406"/>
      <c r="O312" s="406"/>
      <c r="P312" s="406"/>
      <c r="Q312" s="406"/>
      <c r="R312" s="406"/>
      <c r="S312" s="406"/>
      <c r="T312" s="406"/>
      <c r="U312" s="406"/>
      <c r="V312" s="350"/>
      <c r="W312" s="350"/>
      <c r="X312" s="350"/>
      <c r="Y312" s="350"/>
      <c r="Z312" s="307"/>
      <c r="AA312" s="350">
        <f t="shared" si="35"/>
        <v>0</v>
      </c>
      <c r="AB312" s="307"/>
      <c r="AC312" s="307"/>
      <c r="AD312" s="304"/>
      <c r="AE312" s="304"/>
      <c r="AF312" s="304"/>
      <c r="AG312" s="304"/>
      <c r="AH312" s="326"/>
      <c r="AI312" s="297">
        <f t="shared" si="36"/>
        <v>0</v>
      </c>
      <c r="AJ312" s="304"/>
      <c r="AK312" s="304"/>
      <c r="AL312" s="304"/>
      <c r="AM312" s="304"/>
      <c r="AN312" s="304"/>
      <c r="AO312" s="304"/>
      <c r="AP312" s="304"/>
      <c r="AQ312" s="289">
        <f t="shared" si="37"/>
        <v>0</v>
      </c>
      <c r="AR312" s="304"/>
      <c r="AS312" s="304"/>
      <c r="AT312" s="325"/>
      <c r="AU312" s="325"/>
      <c r="AV312" s="325"/>
      <c r="AW312" s="325"/>
      <c r="AX312" s="325"/>
      <c r="AY312" s="139">
        <f t="shared" si="38"/>
        <v>0</v>
      </c>
      <c r="AZ312" s="304"/>
      <c r="BA312" s="304"/>
      <c r="BB312" s="303"/>
      <c r="BC312" s="303"/>
      <c r="BD312" s="303"/>
      <c r="BE312" s="303"/>
      <c r="BF312" s="303"/>
      <c r="BG312" s="353">
        <f t="shared" si="39"/>
        <v>0</v>
      </c>
      <c r="BH312" s="303"/>
      <c r="BI312" s="303"/>
      <c r="BJ312" s="354">
        <f t="shared" si="33"/>
        <v>1</v>
      </c>
      <c r="BK312" s="316" t="str">
        <f t="shared" si="40"/>
        <v>Habilitado</v>
      </c>
    </row>
    <row r="313" spans="1:63" ht="25.5" x14ac:dyDescent="0.25">
      <c r="A313" s="324">
        <v>311</v>
      </c>
      <c r="B313" s="345" t="s">
        <v>2375</v>
      </c>
      <c r="C313" s="335" t="s">
        <v>2374</v>
      </c>
      <c r="D313" s="360" t="s">
        <v>140</v>
      </c>
      <c r="E313" s="347">
        <v>1</v>
      </c>
      <c r="F313" s="314" t="s">
        <v>510</v>
      </c>
      <c r="G313" s="314" t="s">
        <v>510</v>
      </c>
      <c r="H313" s="314" t="s">
        <v>511</v>
      </c>
      <c r="I313" s="314" t="s">
        <v>510</v>
      </c>
      <c r="J313" s="314">
        <v>40</v>
      </c>
      <c r="K313" s="29">
        <f t="shared" si="34"/>
        <v>40</v>
      </c>
      <c r="L313" s="314" t="s">
        <v>504</v>
      </c>
      <c r="M313" s="314"/>
      <c r="N313" s="314"/>
      <c r="O313" s="314"/>
      <c r="P313" s="314"/>
      <c r="Q313" s="314"/>
      <c r="R313" s="314"/>
      <c r="S313" s="314"/>
      <c r="T313" s="314"/>
      <c r="U313" s="314"/>
      <c r="V313" s="350"/>
      <c r="W313" s="350"/>
      <c r="X313" s="350"/>
      <c r="Y313" s="350"/>
      <c r="Z313" s="307"/>
      <c r="AA313" s="350">
        <f t="shared" si="35"/>
        <v>0</v>
      </c>
      <c r="AB313" s="307"/>
      <c r="AC313" s="307"/>
      <c r="AD313" s="303" t="s">
        <v>510</v>
      </c>
      <c r="AE313" s="303" t="s">
        <v>510</v>
      </c>
      <c r="AF313" s="303" t="s">
        <v>511</v>
      </c>
      <c r="AG313" s="322" t="s">
        <v>510</v>
      </c>
      <c r="AH313" s="314">
        <v>0</v>
      </c>
      <c r="AI313" s="297">
        <f t="shared" si="36"/>
        <v>0</v>
      </c>
      <c r="AJ313" s="303" t="s">
        <v>504</v>
      </c>
      <c r="AK313" s="361"/>
      <c r="AL313" s="303"/>
      <c r="AM313" s="303"/>
      <c r="AN313" s="303"/>
      <c r="AO313" s="303"/>
      <c r="AP313" s="303"/>
      <c r="AQ313" s="289">
        <f t="shared" si="37"/>
        <v>0</v>
      </c>
      <c r="AR313" s="314"/>
      <c r="AS313" s="314"/>
      <c r="AT313" s="329"/>
      <c r="AU313" s="329"/>
      <c r="AV313" s="329"/>
      <c r="AW313" s="329"/>
      <c r="AX313" s="329"/>
      <c r="AY313" s="139">
        <f t="shared" si="38"/>
        <v>0</v>
      </c>
      <c r="AZ313" s="375"/>
      <c r="BA313" s="375"/>
      <c r="BB313" s="356" t="s">
        <v>519</v>
      </c>
      <c r="BC313" s="356" t="s">
        <v>519</v>
      </c>
      <c r="BD313" s="356" t="s">
        <v>511</v>
      </c>
      <c r="BE313" s="303" t="s">
        <v>510</v>
      </c>
      <c r="BF313" s="352">
        <v>0</v>
      </c>
      <c r="BG313" s="353">
        <f t="shared" si="39"/>
        <v>0</v>
      </c>
      <c r="BH313" s="303" t="s">
        <v>520</v>
      </c>
      <c r="BI313" s="303" t="s">
        <v>1877</v>
      </c>
      <c r="BJ313" s="354">
        <f t="shared" si="33"/>
        <v>2</v>
      </c>
      <c r="BK313" s="316" t="str">
        <f t="shared" si="40"/>
        <v>Habilitado</v>
      </c>
    </row>
    <row r="314" spans="1:63" ht="25.5" x14ac:dyDescent="0.25">
      <c r="A314" s="324">
        <v>312</v>
      </c>
      <c r="B314" s="345" t="s">
        <v>2376</v>
      </c>
      <c r="C314" s="335" t="s">
        <v>518</v>
      </c>
      <c r="D314" s="357" t="s">
        <v>1643</v>
      </c>
      <c r="E314" s="347">
        <v>1</v>
      </c>
      <c r="F314" s="314"/>
      <c r="G314" s="314"/>
      <c r="H314" s="314"/>
      <c r="I314" s="314"/>
      <c r="J314" s="314"/>
      <c r="K314" s="29">
        <f t="shared" si="34"/>
        <v>0</v>
      </c>
      <c r="L314" s="314"/>
      <c r="M314" s="314"/>
      <c r="N314" s="314"/>
      <c r="O314" s="314"/>
      <c r="P314" s="314"/>
      <c r="Q314" s="314"/>
      <c r="R314" s="314"/>
      <c r="S314" s="314"/>
      <c r="T314" s="314"/>
      <c r="U314" s="314"/>
      <c r="V314" s="350"/>
      <c r="W314" s="350"/>
      <c r="X314" s="350"/>
      <c r="Y314" s="350"/>
      <c r="Z314" s="307"/>
      <c r="AA314" s="350">
        <f t="shared" si="35"/>
        <v>0</v>
      </c>
      <c r="AB314" s="307"/>
      <c r="AC314" s="307"/>
      <c r="AD314" s="303" t="s">
        <v>510</v>
      </c>
      <c r="AE314" s="303" t="s">
        <v>510</v>
      </c>
      <c r="AF314" s="303" t="s">
        <v>510</v>
      </c>
      <c r="AG314" s="322" t="s">
        <v>510</v>
      </c>
      <c r="AH314" s="314">
        <v>0</v>
      </c>
      <c r="AI314" s="297">
        <f t="shared" si="36"/>
        <v>0</v>
      </c>
      <c r="AJ314" s="303" t="s">
        <v>504</v>
      </c>
      <c r="AK314" s="303"/>
      <c r="AL314" s="303"/>
      <c r="AM314" s="303"/>
      <c r="AN314" s="303"/>
      <c r="AO314" s="303"/>
      <c r="AP314" s="303"/>
      <c r="AQ314" s="289">
        <f t="shared" si="37"/>
        <v>0</v>
      </c>
      <c r="AR314" s="303"/>
      <c r="AS314" s="303"/>
      <c r="AT314" s="329"/>
      <c r="AU314" s="329"/>
      <c r="AV314" s="329"/>
      <c r="AW314" s="329"/>
      <c r="AX314" s="329"/>
      <c r="AY314" s="139">
        <f t="shared" si="38"/>
        <v>0</v>
      </c>
      <c r="AZ314" s="303"/>
      <c r="BA314" s="303"/>
      <c r="BB314" s="356" t="s">
        <v>519</v>
      </c>
      <c r="BC314" s="356" t="s">
        <v>519</v>
      </c>
      <c r="BD314" s="356" t="s">
        <v>519</v>
      </c>
      <c r="BE314" s="303" t="s">
        <v>510</v>
      </c>
      <c r="BF314" s="352">
        <v>0</v>
      </c>
      <c r="BG314" s="353">
        <f t="shared" si="39"/>
        <v>0</v>
      </c>
      <c r="BH314" s="303" t="s">
        <v>520</v>
      </c>
      <c r="BI314" s="303" t="s">
        <v>1877</v>
      </c>
      <c r="BJ314" s="354">
        <f t="shared" si="33"/>
        <v>1</v>
      </c>
      <c r="BK314" s="316" t="str">
        <f t="shared" si="40"/>
        <v>Habilitado</v>
      </c>
    </row>
    <row r="315" spans="1:63" ht="38.25" x14ac:dyDescent="0.25">
      <c r="A315" s="324">
        <v>313</v>
      </c>
      <c r="B315" s="345" t="s">
        <v>2377</v>
      </c>
      <c r="C315" s="335" t="s">
        <v>518</v>
      </c>
      <c r="D315" s="360" t="s">
        <v>140</v>
      </c>
      <c r="E315" s="347">
        <v>1</v>
      </c>
      <c r="F315" s="314" t="s">
        <v>510</v>
      </c>
      <c r="G315" s="314" t="s">
        <v>510</v>
      </c>
      <c r="H315" s="314" t="s">
        <v>511</v>
      </c>
      <c r="I315" s="314" t="s">
        <v>510</v>
      </c>
      <c r="J315" s="314">
        <v>40</v>
      </c>
      <c r="K315" s="29">
        <f t="shared" si="34"/>
        <v>40</v>
      </c>
      <c r="L315" s="314" t="s">
        <v>504</v>
      </c>
      <c r="M315" s="314"/>
      <c r="N315" s="314"/>
      <c r="O315" s="314"/>
      <c r="P315" s="314"/>
      <c r="Q315" s="314"/>
      <c r="R315" s="314"/>
      <c r="S315" s="314"/>
      <c r="T315" s="314"/>
      <c r="U315" s="314"/>
      <c r="V315" s="350"/>
      <c r="W315" s="350"/>
      <c r="X315" s="350"/>
      <c r="Y315" s="350"/>
      <c r="Z315" s="307"/>
      <c r="AA315" s="350">
        <f t="shared" si="35"/>
        <v>0</v>
      </c>
      <c r="AB315" s="307"/>
      <c r="AC315" s="307"/>
      <c r="AD315" s="303"/>
      <c r="AE315" s="303"/>
      <c r="AF315" s="303"/>
      <c r="AG315" s="303"/>
      <c r="AH315" s="314"/>
      <c r="AI315" s="297">
        <f t="shared" si="36"/>
        <v>0</v>
      </c>
      <c r="AJ315" s="303"/>
      <c r="AK315" s="303"/>
      <c r="AL315" s="303"/>
      <c r="AM315" s="303"/>
      <c r="AN315" s="303"/>
      <c r="AO315" s="303"/>
      <c r="AP315" s="303"/>
      <c r="AQ315" s="289">
        <f t="shared" si="37"/>
        <v>0</v>
      </c>
      <c r="AR315" s="303"/>
      <c r="AS315" s="303"/>
      <c r="AT315" s="329"/>
      <c r="AU315" s="329"/>
      <c r="AV315" s="329"/>
      <c r="AW315" s="329"/>
      <c r="AX315" s="329"/>
      <c r="AY315" s="139">
        <f t="shared" si="38"/>
        <v>0</v>
      </c>
      <c r="AZ315" s="303"/>
      <c r="BA315" s="303"/>
      <c r="BB315" s="303"/>
      <c r="BC315" s="303"/>
      <c r="BD315" s="303"/>
      <c r="BE315" s="303"/>
      <c r="BF315" s="303"/>
      <c r="BG315" s="353">
        <f t="shared" si="39"/>
        <v>0</v>
      </c>
      <c r="BH315" s="303"/>
      <c r="BI315" s="303"/>
      <c r="BJ315" s="354">
        <f t="shared" si="33"/>
        <v>1</v>
      </c>
      <c r="BK315" s="316" t="str">
        <f t="shared" si="40"/>
        <v>Habilitado</v>
      </c>
    </row>
    <row r="316" spans="1:63" ht="38.25" x14ac:dyDescent="0.25">
      <c r="A316" s="324">
        <v>314</v>
      </c>
      <c r="B316" s="345" t="s">
        <v>2378</v>
      </c>
      <c r="C316" s="335" t="s">
        <v>518</v>
      </c>
      <c r="D316" s="360" t="s">
        <v>140</v>
      </c>
      <c r="E316" s="347">
        <v>1</v>
      </c>
      <c r="F316" s="314" t="s">
        <v>510</v>
      </c>
      <c r="G316" s="314" t="s">
        <v>510</v>
      </c>
      <c r="H316" s="314" t="s">
        <v>511</v>
      </c>
      <c r="I316" s="314" t="s">
        <v>510</v>
      </c>
      <c r="J316" s="314">
        <v>40</v>
      </c>
      <c r="K316" s="29">
        <f t="shared" si="34"/>
        <v>40</v>
      </c>
      <c r="L316" s="314" t="s">
        <v>504</v>
      </c>
      <c r="M316" s="314"/>
      <c r="N316" s="314"/>
      <c r="O316" s="314"/>
      <c r="P316" s="314"/>
      <c r="Q316" s="314"/>
      <c r="R316" s="314"/>
      <c r="S316" s="314"/>
      <c r="T316" s="314"/>
      <c r="U316" s="314"/>
      <c r="V316" s="350"/>
      <c r="W316" s="350"/>
      <c r="X316" s="350"/>
      <c r="Y316" s="350"/>
      <c r="Z316" s="307"/>
      <c r="AA316" s="350">
        <f t="shared" si="35"/>
        <v>0</v>
      </c>
      <c r="AB316" s="307"/>
      <c r="AC316" s="307"/>
      <c r="AD316" s="303"/>
      <c r="AE316" s="303"/>
      <c r="AF316" s="303"/>
      <c r="AG316" s="303"/>
      <c r="AH316" s="314"/>
      <c r="AI316" s="297">
        <f t="shared" si="36"/>
        <v>0</v>
      </c>
      <c r="AJ316" s="303"/>
      <c r="AK316" s="303"/>
      <c r="AL316" s="303"/>
      <c r="AM316" s="303"/>
      <c r="AN316" s="303"/>
      <c r="AO316" s="303"/>
      <c r="AP316" s="303"/>
      <c r="AQ316" s="289">
        <f t="shared" si="37"/>
        <v>0</v>
      </c>
      <c r="AR316" s="303"/>
      <c r="AS316" s="303"/>
      <c r="AT316" s="329"/>
      <c r="AU316" s="329"/>
      <c r="AV316" s="329"/>
      <c r="AW316" s="329"/>
      <c r="AX316" s="329"/>
      <c r="AY316" s="139">
        <f t="shared" si="38"/>
        <v>0</v>
      </c>
      <c r="AZ316" s="303"/>
      <c r="BA316" s="303"/>
      <c r="BB316" s="303"/>
      <c r="BC316" s="303"/>
      <c r="BD316" s="303"/>
      <c r="BE316" s="303"/>
      <c r="BF316" s="303"/>
      <c r="BG316" s="353">
        <f t="shared" si="39"/>
        <v>0</v>
      </c>
      <c r="BH316" s="303"/>
      <c r="BI316" s="303"/>
      <c r="BJ316" s="354">
        <f t="shared" si="33"/>
        <v>1</v>
      </c>
      <c r="BK316" s="316" t="str">
        <f t="shared" si="40"/>
        <v>Habilitado</v>
      </c>
    </row>
    <row r="317" spans="1:63" x14ac:dyDescent="0.25">
      <c r="A317" s="324">
        <v>315</v>
      </c>
      <c r="B317" s="345" t="s">
        <v>2379</v>
      </c>
      <c r="C317" s="335" t="s">
        <v>2036</v>
      </c>
      <c r="D317" s="360" t="s">
        <v>140</v>
      </c>
      <c r="E317" s="347">
        <v>1</v>
      </c>
      <c r="F317" s="314"/>
      <c r="G317" s="314"/>
      <c r="H317" s="314"/>
      <c r="I317" s="314"/>
      <c r="J317" s="314"/>
      <c r="K317" s="29">
        <f t="shared" si="34"/>
        <v>0</v>
      </c>
      <c r="L317" s="314"/>
      <c r="M317" s="314"/>
      <c r="N317" s="314"/>
      <c r="O317" s="314"/>
      <c r="P317" s="314"/>
      <c r="Q317" s="314"/>
      <c r="R317" s="314"/>
      <c r="S317" s="314"/>
      <c r="T317" s="314"/>
      <c r="U317" s="314"/>
      <c r="V317" s="350"/>
      <c r="W317" s="350"/>
      <c r="X317" s="350"/>
      <c r="Y317" s="350"/>
      <c r="Z317" s="307"/>
      <c r="AA317" s="350">
        <f t="shared" si="35"/>
        <v>0</v>
      </c>
      <c r="AB317" s="307"/>
      <c r="AC317" s="307"/>
      <c r="AD317" s="303" t="s">
        <v>510</v>
      </c>
      <c r="AE317" s="303" t="s">
        <v>510</v>
      </c>
      <c r="AF317" s="303" t="s">
        <v>511</v>
      </c>
      <c r="AG317" s="322" t="s">
        <v>510</v>
      </c>
      <c r="AH317" s="314">
        <v>0</v>
      </c>
      <c r="AI317" s="297">
        <f t="shared" si="36"/>
        <v>0</v>
      </c>
      <c r="AJ317" s="303" t="s">
        <v>504</v>
      </c>
      <c r="AK317" s="303"/>
      <c r="AL317" s="303"/>
      <c r="AM317" s="303"/>
      <c r="AN317" s="303"/>
      <c r="AO317" s="303"/>
      <c r="AP317" s="303"/>
      <c r="AQ317" s="289">
        <f t="shared" si="37"/>
        <v>0</v>
      </c>
      <c r="AR317" s="303"/>
      <c r="AS317" s="303"/>
      <c r="AT317" s="329"/>
      <c r="AU317" s="329"/>
      <c r="AV317" s="329"/>
      <c r="AW317" s="329"/>
      <c r="AX317" s="329"/>
      <c r="AY317" s="139">
        <f t="shared" si="38"/>
        <v>0</v>
      </c>
      <c r="AZ317" s="303"/>
      <c r="BA317" s="303"/>
      <c r="BB317" s="356" t="s">
        <v>519</v>
      </c>
      <c r="BC317" s="356" t="s">
        <v>519</v>
      </c>
      <c r="BD317" s="356" t="s">
        <v>511</v>
      </c>
      <c r="BE317" s="303" t="s">
        <v>510</v>
      </c>
      <c r="BF317" s="352">
        <v>0</v>
      </c>
      <c r="BG317" s="353">
        <f t="shared" si="39"/>
        <v>0</v>
      </c>
      <c r="BH317" s="303" t="s">
        <v>520</v>
      </c>
      <c r="BI317" s="303" t="s">
        <v>1877</v>
      </c>
      <c r="BJ317" s="354">
        <f t="shared" si="33"/>
        <v>1</v>
      </c>
      <c r="BK317" s="316" t="str">
        <f t="shared" si="40"/>
        <v>Habilitado</v>
      </c>
    </row>
    <row r="318" spans="1:63" x14ac:dyDescent="0.25">
      <c r="A318" s="324">
        <v>316</v>
      </c>
      <c r="B318" s="345" t="s">
        <v>2380</v>
      </c>
      <c r="C318" s="335" t="s">
        <v>2381</v>
      </c>
      <c r="D318" s="360" t="s">
        <v>140</v>
      </c>
      <c r="E318" s="347">
        <v>1</v>
      </c>
      <c r="F318" s="314"/>
      <c r="G318" s="314"/>
      <c r="H318" s="314"/>
      <c r="I318" s="314"/>
      <c r="J318" s="314"/>
      <c r="K318" s="29">
        <f t="shared" si="34"/>
        <v>0</v>
      </c>
      <c r="L318" s="314"/>
      <c r="M318" s="314"/>
      <c r="N318" s="314"/>
      <c r="O318" s="314"/>
      <c r="P318" s="314"/>
      <c r="Q318" s="314"/>
      <c r="R318" s="314"/>
      <c r="S318" s="314"/>
      <c r="T318" s="314"/>
      <c r="U318" s="314"/>
      <c r="V318" s="350"/>
      <c r="W318" s="350"/>
      <c r="X318" s="350"/>
      <c r="Y318" s="350"/>
      <c r="Z318" s="307"/>
      <c r="AA318" s="350">
        <f t="shared" si="35"/>
        <v>0</v>
      </c>
      <c r="AB318" s="307"/>
      <c r="AC318" s="307"/>
      <c r="AD318" s="303" t="s">
        <v>510</v>
      </c>
      <c r="AE318" s="303" t="s">
        <v>510</v>
      </c>
      <c r="AF318" s="303" t="s">
        <v>511</v>
      </c>
      <c r="AG318" s="322" t="s">
        <v>510</v>
      </c>
      <c r="AH318" s="314">
        <v>0</v>
      </c>
      <c r="AI318" s="297">
        <f t="shared" si="36"/>
        <v>0</v>
      </c>
      <c r="AJ318" s="303" t="s">
        <v>504</v>
      </c>
      <c r="AK318" s="303"/>
      <c r="AL318" s="303"/>
      <c r="AM318" s="303"/>
      <c r="AN318" s="303"/>
      <c r="AO318" s="303"/>
      <c r="AP318" s="303"/>
      <c r="AQ318" s="289">
        <f t="shared" si="37"/>
        <v>0</v>
      </c>
      <c r="AR318" s="303"/>
      <c r="AS318" s="303"/>
      <c r="AT318" s="329"/>
      <c r="AU318" s="329"/>
      <c r="AV318" s="329"/>
      <c r="AW318" s="329"/>
      <c r="AX318" s="329"/>
      <c r="AY318" s="139">
        <f t="shared" si="38"/>
        <v>0</v>
      </c>
      <c r="AZ318" s="303"/>
      <c r="BA318" s="303"/>
      <c r="BB318" s="356" t="s">
        <v>519</v>
      </c>
      <c r="BC318" s="356" t="s">
        <v>519</v>
      </c>
      <c r="BD318" s="356" t="s">
        <v>511</v>
      </c>
      <c r="BE318" s="303" t="s">
        <v>510</v>
      </c>
      <c r="BF318" s="352">
        <v>0</v>
      </c>
      <c r="BG318" s="353">
        <f t="shared" si="39"/>
        <v>0</v>
      </c>
      <c r="BH318" s="303" t="s">
        <v>520</v>
      </c>
      <c r="BI318" s="303" t="s">
        <v>1877</v>
      </c>
      <c r="BJ318" s="354">
        <f t="shared" si="33"/>
        <v>1</v>
      </c>
      <c r="BK318" s="316" t="str">
        <f t="shared" si="40"/>
        <v>Habilitado</v>
      </c>
    </row>
    <row r="319" spans="1:63" ht="204" x14ac:dyDescent="0.25">
      <c r="A319" s="324">
        <v>317</v>
      </c>
      <c r="B319" s="345" t="s">
        <v>2382</v>
      </c>
      <c r="C319" s="335" t="s">
        <v>2383</v>
      </c>
      <c r="D319" s="357" t="s">
        <v>140</v>
      </c>
      <c r="E319" s="347">
        <v>1</v>
      </c>
      <c r="F319" s="314"/>
      <c r="G319" s="314"/>
      <c r="H319" s="314"/>
      <c r="I319" s="314"/>
      <c r="J319" s="314"/>
      <c r="K319" s="29">
        <f t="shared" si="34"/>
        <v>0</v>
      </c>
      <c r="L319" s="314"/>
      <c r="M319" s="314"/>
      <c r="N319" s="314"/>
      <c r="O319" s="314"/>
      <c r="P319" s="314"/>
      <c r="Q319" s="314"/>
      <c r="R319" s="314"/>
      <c r="S319" s="314"/>
      <c r="T319" s="314"/>
      <c r="U319" s="314"/>
      <c r="V319" s="350"/>
      <c r="W319" s="350"/>
      <c r="X319" s="350"/>
      <c r="Y319" s="350"/>
      <c r="Z319" s="307"/>
      <c r="AA319" s="350">
        <f t="shared" si="35"/>
        <v>0</v>
      </c>
      <c r="AB319" s="307"/>
      <c r="AC319" s="307"/>
      <c r="AD319" s="303"/>
      <c r="AE319" s="303"/>
      <c r="AF319" s="303"/>
      <c r="AG319" s="303"/>
      <c r="AH319" s="314"/>
      <c r="AI319" s="297">
        <f t="shared" si="36"/>
        <v>0</v>
      </c>
      <c r="AJ319" s="303"/>
      <c r="AK319" s="303"/>
      <c r="AL319" s="303"/>
      <c r="AM319" s="303"/>
      <c r="AN319" s="303"/>
      <c r="AO319" s="303"/>
      <c r="AP319" s="303"/>
      <c r="AQ319" s="289">
        <f t="shared" si="37"/>
        <v>0</v>
      </c>
      <c r="AR319" s="303"/>
      <c r="AS319" s="303"/>
      <c r="AT319" s="329"/>
      <c r="AU319" s="329"/>
      <c r="AV319" s="329"/>
      <c r="AW319" s="329"/>
      <c r="AX319" s="329"/>
      <c r="AY319" s="139">
        <f t="shared" si="38"/>
        <v>0</v>
      </c>
      <c r="AZ319" s="303"/>
      <c r="BA319" s="303"/>
      <c r="BB319" s="303"/>
      <c r="BC319" s="303"/>
      <c r="BD319" s="303"/>
      <c r="BE319" s="303"/>
      <c r="BF319" s="303"/>
      <c r="BG319" s="353">
        <f t="shared" si="39"/>
        <v>0</v>
      </c>
      <c r="BH319" s="303"/>
      <c r="BI319" s="303"/>
      <c r="BJ319" s="354">
        <f t="shared" si="33"/>
        <v>0</v>
      </c>
      <c r="BK319" s="316" t="str">
        <f t="shared" si="40"/>
        <v>Desierto</v>
      </c>
    </row>
    <row r="320" spans="1:63" ht="25.5" x14ac:dyDescent="0.25">
      <c r="A320" s="324">
        <v>318</v>
      </c>
      <c r="B320" s="345" t="s">
        <v>2384</v>
      </c>
      <c r="C320" s="335" t="s">
        <v>338</v>
      </c>
      <c r="D320" s="360" t="s">
        <v>1061</v>
      </c>
      <c r="E320" s="347">
        <v>1</v>
      </c>
      <c r="F320" s="314"/>
      <c r="G320" s="314"/>
      <c r="H320" s="314"/>
      <c r="I320" s="314"/>
      <c r="J320" s="314"/>
      <c r="K320" s="29">
        <f t="shared" si="34"/>
        <v>0</v>
      </c>
      <c r="L320" s="314"/>
      <c r="M320" s="314"/>
      <c r="N320" s="314"/>
      <c r="O320" s="314"/>
      <c r="P320" s="314"/>
      <c r="Q320" s="314"/>
      <c r="R320" s="314"/>
      <c r="S320" s="314"/>
      <c r="T320" s="314"/>
      <c r="U320" s="314"/>
      <c r="V320" s="350"/>
      <c r="W320" s="350"/>
      <c r="X320" s="350"/>
      <c r="Y320" s="350"/>
      <c r="Z320" s="307"/>
      <c r="AA320" s="350">
        <f t="shared" si="35"/>
        <v>0</v>
      </c>
      <c r="AB320" s="307"/>
      <c r="AC320" s="307"/>
      <c r="AD320" s="303"/>
      <c r="AE320" s="303"/>
      <c r="AF320" s="303"/>
      <c r="AG320" s="303"/>
      <c r="AH320" s="314"/>
      <c r="AI320" s="297">
        <f t="shared" si="36"/>
        <v>0</v>
      </c>
      <c r="AJ320" s="303"/>
      <c r="AK320" s="303"/>
      <c r="AL320" s="303"/>
      <c r="AM320" s="303"/>
      <c r="AN320" s="303"/>
      <c r="AO320" s="303"/>
      <c r="AP320" s="303"/>
      <c r="AQ320" s="289">
        <f t="shared" si="37"/>
        <v>0</v>
      </c>
      <c r="AR320" s="303"/>
      <c r="AS320" s="303"/>
      <c r="AT320" s="329"/>
      <c r="AU320" s="329"/>
      <c r="AV320" s="329"/>
      <c r="AW320" s="329"/>
      <c r="AX320" s="329"/>
      <c r="AY320" s="139">
        <f t="shared" si="38"/>
        <v>0</v>
      </c>
      <c r="AZ320" s="303"/>
      <c r="BA320" s="303"/>
      <c r="BB320" s="304"/>
      <c r="BC320" s="304"/>
      <c r="BD320" s="304"/>
      <c r="BE320" s="304"/>
      <c r="BF320" s="304"/>
      <c r="BG320" s="353">
        <f t="shared" si="39"/>
        <v>0</v>
      </c>
      <c r="BH320" s="304"/>
      <c r="BI320" s="304"/>
      <c r="BJ320" s="354">
        <f t="shared" si="33"/>
        <v>0</v>
      </c>
      <c r="BK320" s="316" t="str">
        <f t="shared" si="40"/>
        <v>Desierto</v>
      </c>
    </row>
    <row r="321" spans="1:63" ht="30.75" customHeight="1" x14ac:dyDescent="0.25">
      <c r="A321" s="324">
        <v>319</v>
      </c>
      <c r="B321" s="345" t="s">
        <v>2385</v>
      </c>
      <c r="C321" s="335" t="s">
        <v>2386</v>
      </c>
      <c r="D321" s="357" t="s">
        <v>702</v>
      </c>
      <c r="E321" s="347">
        <v>1</v>
      </c>
      <c r="F321" s="314" t="s">
        <v>510</v>
      </c>
      <c r="G321" s="314" t="s">
        <v>510</v>
      </c>
      <c r="H321" s="314" t="s">
        <v>511</v>
      </c>
      <c r="I321" s="314" t="s">
        <v>510</v>
      </c>
      <c r="J321" s="406">
        <v>0</v>
      </c>
      <c r="K321" s="29">
        <f t="shared" si="34"/>
        <v>0</v>
      </c>
      <c r="L321" s="314" t="s">
        <v>504</v>
      </c>
      <c r="M321" s="407" t="s">
        <v>2387</v>
      </c>
      <c r="N321" s="407"/>
      <c r="O321" s="407"/>
      <c r="P321" s="407"/>
      <c r="Q321" s="407"/>
      <c r="R321" s="407"/>
      <c r="S321" s="407"/>
      <c r="T321" s="407"/>
      <c r="U321" s="407"/>
      <c r="V321" s="350"/>
      <c r="W321" s="350"/>
      <c r="X321" s="350"/>
      <c r="Y321" s="350"/>
      <c r="Z321" s="307"/>
      <c r="AA321" s="350">
        <f t="shared" si="35"/>
        <v>0</v>
      </c>
      <c r="AB321" s="307"/>
      <c r="AC321" s="307"/>
      <c r="AD321" s="303"/>
      <c r="AE321" s="303"/>
      <c r="AF321" s="303"/>
      <c r="AG321" s="303"/>
      <c r="AH321" s="314"/>
      <c r="AI321" s="297">
        <f t="shared" si="36"/>
        <v>0</v>
      </c>
      <c r="AJ321" s="303"/>
      <c r="AK321" s="303"/>
      <c r="AL321" s="303"/>
      <c r="AM321" s="303"/>
      <c r="AN321" s="303"/>
      <c r="AO321" s="303"/>
      <c r="AP321" s="303"/>
      <c r="AQ321" s="289">
        <f t="shared" si="37"/>
        <v>0</v>
      </c>
      <c r="AR321" s="303"/>
      <c r="AS321" s="303"/>
      <c r="AT321" s="329"/>
      <c r="AU321" s="329"/>
      <c r="AV321" s="329"/>
      <c r="AW321" s="329"/>
      <c r="AX321" s="329"/>
      <c r="AY321" s="139">
        <f t="shared" si="38"/>
        <v>0</v>
      </c>
      <c r="AZ321" s="303"/>
      <c r="BA321" s="303"/>
      <c r="BB321" s="303"/>
      <c r="BC321" s="303"/>
      <c r="BD321" s="303"/>
      <c r="BE321" s="303"/>
      <c r="BF321" s="303"/>
      <c r="BG321" s="353">
        <f t="shared" si="39"/>
        <v>0</v>
      </c>
      <c r="BH321" s="303"/>
      <c r="BI321" s="303"/>
      <c r="BJ321" s="354">
        <f t="shared" si="33"/>
        <v>1</v>
      </c>
      <c r="BK321" s="316" t="str">
        <f t="shared" si="40"/>
        <v>Habilitado</v>
      </c>
    </row>
    <row r="322" spans="1:63" ht="38.25" x14ac:dyDescent="0.25">
      <c r="A322" s="324">
        <v>320</v>
      </c>
      <c r="B322" s="345" t="s">
        <v>2388</v>
      </c>
      <c r="C322" s="335" t="s">
        <v>2386</v>
      </c>
      <c r="D322" s="357" t="s">
        <v>140</v>
      </c>
      <c r="E322" s="347">
        <v>1</v>
      </c>
      <c r="F322" s="314"/>
      <c r="G322" s="314"/>
      <c r="H322" s="314"/>
      <c r="I322" s="314"/>
      <c r="J322" s="314"/>
      <c r="K322" s="29">
        <f t="shared" si="34"/>
        <v>0</v>
      </c>
      <c r="L322" s="314"/>
      <c r="M322" s="314"/>
      <c r="N322" s="314"/>
      <c r="O322" s="314"/>
      <c r="P322" s="314"/>
      <c r="Q322" s="314"/>
      <c r="R322" s="314"/>
      <c r="S322" s="314"/>
      <c r="T322" s="314"/>
      <c r="U322" s="314"/>
      <c r="V322" s="350"/>
      <c r="W322" s="350"/>
      <c r="X322" s="350"/>
      <c r="Y322" s="350"/>
      <c r="Z322" s="307"/>
      <c r="AA322" s="350">
        <f t="shared" si="35"/>
        <v>0</v>
      </c>
      <c r="AB322" s="307"/>
      <c r="AC322" s="307"/>
      <c r="AD322" s="303"/>
      <c r="AE322" s="303"/>
      <c r="AF322" s="303"/>
      <c r="AG322" s="303"/>
      <c r="AH322" s="314"/>
      <c r="AI322" s="297">
        <f t="shared" si="36"/>
        <v>0</v>
      </c>
      <c r="AJ322" s="303"/>
      <c r="AK322" s="303"/>
      <c r="AL322" s="303"/>
      <c r="AM322" s="303"/>
      <c r="AN322" s="303"/>
      <c r="AO322" s="303"/>
      <c r="AP322" s="303"/>
      <c r="AQ322" s="289">
        <f t="shared" si="37"/>
        <v>0</v>
      </c>
      <c r="AR322" s="303"/>
      <c r="AS322" s="303"/>
      <c r="AT322" s="329"/>
      <c r="AU322" s="329"/>
      <c r="AV322" s="329"/>
      <c r="AW322" s="329"/>
      <c r="AX322" s="329"/>
      <c r="AY322" s="139">
        <f t="shared" si="38"/>
        <v>0</v>
      </c>
      <c r="AZ322" s="303"/>
      <c r="BA322" s="303"/>
      <c r="BB322" s="303"/>
      <c r="BC322" s="303"/>
      <c r="BD322" s="303"/>
      <c r="BE322" s="303"/>
      <c r="BF322" s="303"/>
      <c r="BG322" s="353">
        <f t="shared" si="39"/>
        <v>0</v>
      </c>
      <c r="BH322" s="303"/>
      <c r="BI322" s="303"/>
      <c r="BJ322" s="354">
        <f t="shared" si="33"/>
        <v>0</v>
      </c>
      <c r="BK322" s="316" t="str">
        <f t="shared" si="40"/>
        <v>Desierto</v>
      </c>
    </row>
    <row r="323" spans="1:63" x14ac:dyDescent="0.25">
      <c r="A323" s="324">
        <v>321</v>
      </c>
      <c r="B323" s="345" t="s">
        <v>2389</v>
      </c>
      <c r="C323" s="335" t="s">
        <v>518</v>
      </c>
      <c r="D323" s="360" t="s">
        <v>2390</v>
      </c>
      <c r="E323" s="347">
        <v>1</v>
      </c>
      <c r="F323" s="314" t="s">
        <v>510</v>
      </c>
      <c r="G323" s="314" t="s">
        <v>510</v>
      </c>
      <c r="H323" s="314" t="s">
        <v>511</v>
      </c>
      <c r="I323" s="314" t="s">
        <v>510</v>
      </c>
      <c r="J323" s="314">
        <v>40</v>
      </c>
      <c r="K323" s="29">
        <f t="shared" si="34"/>
        <v>40</v>
      </c>
      <c r="L323" s="314" t="s">
        <v>504</v>
      </c>
      <c r="M323" s="314"/>
      <c r="N323" s="314"/>
      <c r="O323" s="314"/>
      <c r="P323" s="314"/>
      <c r="Q323" s="314"/>
      <c r="R323" s="314"/>
      <c r="S323" s="314"/>
      <c r="T323" s="314"/>
      <c r="U323" s="314"/>
      <c r="V323" s="350" t="s">
        <v>510</v>
      </c>
      <c r="W323" s="350" t="s">
        <v>510</v>
      </c>
      <c r="X323" s="350" t="s">
        <v>511</v>
      </c>
      <c r="Y323" s="350" t="s">
        <v>510</v>
      </c>
      <c r="Z323" s="304">
        <v>20</v>
      </c>
      <c r="AA323" s="350">
        <f t="shared" si="35"/>
        <v>20</v>
      </c>
      <c r="AB323" s="307" t="s">
        <v>504</v>
      </c>
      <c r="AC323" s="307"/>
      <c r="AD323" s="303" t="s">
        <v>510</v>
      </c>
      <c r="AE323" s="303" t="s">
        <v>510</v>
      </c>
      <c r="AF323" s="303" t="s">
        <v>511</v>
      </c>
      <c r="AG323" s="322" t="s">
        <v>510</v>
      </c>
      <c r="AH323" s="314">
        <v>0</v>
      </c>
      <c r="AI323" s="297">
        <f t="shared" si="36"/>
        <v>0</v>
      </c>
      <c r="AJ323" s="303" t="s">
        <v>504</v>
      </c>
      <c r="AK323" s="361"/>
      <c r="AL323" s="303"/>
      <c r="AM323" s="303"/>
      <c r="AN323" s="303"/>
      <c r="AO323" s="303"/>
      <c r="AP323" s="303"/>
      <c r="AQ323" s="289">
        <f t="shared" si="37"/>
        <v>0</v>
      </c>
      <c r="AR323" s="314"/>
      <c r="AS323" s="314"/>
      <c r="AT323" s="303" t="s">
        <v>510</v>
      </c>
      <c r="AU323" s="303" t="s">
        <v>510</v>
      </c>
      <c r="AV323" s="303" t="s">
        <v>511</v>
      </c>
      <c r="AW323" s="303" t="s">
        <v>510</v>
      </c>
      <c r="AX323" s="314">
        <v>40</v>
      </c>
      <c r="AY323" s="139">
        <f t="shared" si="38"/>
        <v>40</v>
      </c>
      <c r="AZ323" s="303" t="s">
        <v>504</v>
      </c>
      <c r="BA323" s="361"/>
      <c r="BB323" s="356" t="s">
        <v>519</v>
      </c>
      <c r="BC323" s="356" t="s">
        <v>519</v>
      </c>
      <c r="BD323" s="356" t="s">
        <v>511</v>
      </c>
      <c r="BE323" s="303" t="s">
        <v>510</v>
      </c>
      <c r="BF323" s="352">
        <v>0</v>
      </c>
      <c r="BG323" s="353">
        <f t="shared" si="39"/>
        <v>0</v>
      </c>
      <c r="BH323" s="303" t="s">
        <v>520</v>
      </c>
      <c r="BI323" s="303" t="s">
        <v>1877</v>
      </c>
      <c r="BJ323" s="354">
        <f t="shared" ref="BJ323:BJ386" si="41">COUNTIF(L323,"Habilitado")+COUNTIF(T323,"Habilitado")+COUNTIF(AB323,"Habilitado")+COUNTIF(AJ323,"Habilitado")+COUNTIF(AR323,"Habilitado")+COUNTIF(AZ323,"Habilitado")+COUNTIF(BH323,"Habilitado")</f>
        <v>4</v>
      </c>
      <c r="BK323" s="316" t="str">
        <f t="shared" si="40"/>
        <v>Habilitado</v>
      </c>
    </row>
    <row r="324" spans="1:63" ht="45.75" customHeight="1" x14ac:dyDescent="0.25">
      <c r="A324" s="324">
        <v>322</v>
      </c>
      <c r="B324" s="345" t="s">
        <v>2391</v>
      </c>
      <c r="C324" s="357" t="s">
        <v>518</v>
      </c>
      <c r="D324" s="360" t="s">
        <v>1572</v>
      </c>
      <c r="E324" s="347">
        <v>1</v>
      </c>
      <c r="F324" s="314" t="s">
        <v>510</v>
      </c>
      <c r="G324" s="314" t="s">
        <v>510</v>
      </c>
      <c r="H324" s="314" t="s">
        <v>510</v>
      </c>
      <c r="I324" s="314" t="s">
        <v>510</v>
      </c>
      <c r="J324" s="406">
        <v>40</v>
      </c>
      <c r="K324" s="29">
        <f t="shared" ref="K324:K387" si="42">+J324</f>
        <v>40</v>
      </c>
      <c r="L324" s="314" t="s">
        <v>504</v>
      </c>
      <c r="M324" s="407" t="s">
        <v>2392</v>
      </c>
      <c r="N324" s="407"/>
      <c r="O324" s="407"/>
      <c r="P324" s="407"/>
      <c r="Q324" s="407"/>
      <c r="R324" s="407"/>
      <c r="S324" s="407"/>
      <c r="T324" s="407"/>
      <c r="U324" s="407"/>
      <c r="V324" s="350"/>
      <c r="W324" s="350"/>
      <c r="X324" s="350"/>
      <c r="Y324" s="350"/>
      <c r="Z324" s="307"/>
      <c r="AA324" s="350">
        <f t="shared" ref="AA324:AA387" si="43">(Z324)</f>
        <v>0</v>
      </c>
      <c r="AB324" s="307"/>
      <c r="AC324" s="306"/>
      <c r="AD324" s="303" t="s">
        <v>510</v>
      </c>
      <c r="AE324" s="303" t="s">
        <v>510</v>
      </c>
      <c r="AF324" s="303" t="s">
        <v>510</v>
      </c>
      <c r="AG324" s="322" t="s">
        <v>510</v>
      </c>
      <c r="AH324" s="314">
        <v>0</v>
      </c>
      <c r="AI324" s="297">
        <f t="shared" ref="AI324:AI387" si="44">+AH324</f>
        <v>0</v>
      </c>
      <c r="AJ324" s="303" t="s">
        <v>504</v>
      </c>
      <c r="AK324" s="301" t="s">
        <v>2393</v>
      </c>
      <c r="AL324" s="303"/>
      <c r="AM324" s="303"/>
      <c r="AN324" s="303"/>
      <c r="AO324" s="303"/>
      <c r="AP324" s="303"/>
      <c r="AQ324" s="289">
        <f t="shared" ref="AQ324:AQ387" si="45">+AP324</f>
        <v>0</v>
      </c>
      <c r="AR324" s="303"/>
      <c r="AS324" s="301"/>
      <c r="AT324" s="303" t="s">
        <v>510</v>
      </c>
      <c r="AU324" s="303" t="s">
        <v>510</v>
      </c>
      <c r="AV324" s="303" t="s">
        <v>510</v>
      </c>
      <c r="AW324" s="303" t="s">
        <v>510</v>
      </c>
      <c r="AX324" s="303">
        <v>40</v>
      </c>
      <c r="AY324" s="139">
        <f t="shared" ref="AY324:AY387" si="46">+AX324</f>
        <v>40</v>
      </c>
      <c r="AZ324" s="301" t="s">
        <v>504</v>
      </c>
      <c r="BA324" s="301"/>
      <c r="BB324" s="356" t="s">
        <v>519</v>
      </c>
      <c r="BC324" s="356" t="s">
        <v>519</v>
      </c>
      <c r="BD324" s="356" t="s">
        <v>519</v>
      </c>
      <c r="BE324" s="303" t="s">
        <v>510</v>
      </c>
      <c r="BF324" s="352">
        <v>0</v>
      </c>
      <c r="BG324" s="353">
        <f t="shared" ref="BG324:BG387" si="47">+BF324</f>
        <v>0</v>
      </c>
      <c r="BH324" s="303" t="s">
        <v>520</v>
      </c>
      <c r="BI324" s="303" t="s">
        <v>1877</v>
      </c>
      <c r="BJ324" s="354">
        <f t="shared" si="41"/>
        <v>3</v>
      </c>
      <c r="BK324" s="316" t="str">
        <f t="shared" si="40"/>
        <v>Habilitado</v>
      </c>
    </row>
    <row r="325" spans="1:63" ht="50.25" customHeight="1" x14ac:dyDescent="0.25">
      <c r="A325" s="324">
        <v>323</v>
      </c>
      <c r="B325" s="345" t="s">
        <v>2394</v>
      </c>
      <c r="C325" s="357" t="s">
        <v>2395</v>
      </c>
      <c r="D325" s="335" t="s">
        <v>1712</v>
      </c>
      <c r="E325" s="347">
        <v>1</v>
      </c>
      <c r="F325" s="314" t="s">
        <v>510</v>
      </c>
      <c r="G325" s="314" t="s">
        <v>510</v>
      </c>
      <c r="H325" s="314" t="s">
        <v>510</v>
      </c>
      <c r="I325" s="314" t="s">
        <v>510</v>
      </c>
      <c r="J325" s="314">
        <v>40</v>
      </c>
      <c r="K325" s="29">
        <f t="shared" si="42"/>
        <v>40</v>
      </c>
      <c r="L325" s="314" t="s">
        <v>504</v>
      </c>
      <c r="M325" s="314"/>
      <c r="N325" s="314"/>
      <c r="O325" s="314"/>
      <c r="P325" s="314"/>
      <c r="Q325" s="314"/>
      <c r="R325" s="314"/>
      <c r="S325" s="314"/>
      <c r="T325" s="314"/>
      <c r="U325" s="314"/>
      <c r="V325" s="350" t="s">
        <v>510</v>
      </c>
      <c r="W325" s="350" t="s">
        <v>510</v>
      </c>
      <c r="X325" s="350" t="s">
        <v>510</v>
      </c>
      <c r="Y325" s="350" t="s">
        <v>510</v>
      </c>
      <c r="Z325" s="304">
        <v>20</v>
      </c>
      <c r="AA325" s="350">
        <f t="shared" si="43"/>
        <v>20</v>
      </c>
      <c r="AB325" s="307" t="s">
        <v>504</v>
      </c>
      <c r="AC325" s="307"/>
      <c r="AD325" s="303" t="s">
        <v>510</v>
      </c>
      <c r="AE325" s="303" t="s">
        <v>510</v>
      </c>
      <c r="AF325" s="303" t="s">
        <v>510</v>
      </c>
      <c r="AG325" s="322" t="s">
        <v>510</v>
      </c>
      <c r="AH325" s="314">
        <v>0</v>
      </c>
      <c r="AI325" s="297">
        <f t="shared" si="44"/>
        <v>0</v>
      </c>
      <c r="AJ325" s="303" t="s">
        <v>504</v>
      </c>
      <c r="AK325" s="381" t="s">
        <v>2396</v>
      </c>
      <c r="AL325" s="303"/>
      <c r="AM325" s="303"/>
      <c r="AN325" s="303"/>
      <c r="AO325" s="303"/>
      <c r="AP325" s="303"/>
      <c r="AQ325" s="289">
        <f t="shared" si="45"/>
        <v>0</v>
      </c>
      <c r="AR325" s="303"/>
      <c r="AS325" s="303"/>
      <c r="AT325" s="329"/>
      <c r="AU325" s="329"/>
      <c r="AV325" s="329"/>
      <c r="AW325" s="329"/>
      <c r="AX325" s="329"/>
      <c r="AY325" s="139">
        <f t="shared" si="46"/>
        <v>0</v>
      </c>
      <c r="AZ325" s="303"/>
      <c r="BA325" s="303"/>
      <c r="BB325" s="356" t="s">
        <v>519</v>
      </c>
      <c r="BC325" s="356" t="s">
        <v>519</v>
      </c>
      <c r="BD325" s="356" t="s">
        <v>519</v>
      </c>
      <c r="BE325" s="303" t="s">
        <v>510</v>
      </c>
      <c r="BF325" s="352">
        <v>0</v>
      </c>
      <c r="BG325" s="353">
        <f t="shared" si="47"/>
        <v>0</v>
      </c>
      <c r="BH325" s="303" t="s">
        <v>520</v>
      </c>
      <c r="BI325" s="303" t="s">
        <v>1877</v>
      </c>
      <c r="BJ325" s="354">
        <f t="shared" si="41"/>
        <v>3</v>
      </c>
      <c r="BK325" s="316" t="str">
        <f t="shared" si="40"/>
        <v>Habilitado</v>
      </c>
    </row>
    <row r="326" spans="1:63" x14ac:dyDescent="0.25">
      <c r="A326" s="324">
        <v>324</v>
      </c>
      <c r="B326" s="345" t="s">
        <v>2397</v>
      </c>
      <c r="C326" s="357" t="s">
        <v>2398</v>
      </c>
      <c r="D326" s="360" t="s">
        <v>140</v>
      </c>
      <c r="E326" s="347">
        <v>1</v>
      </c>
      <c r="F326" s="314"/>
      <c r="G326" s="314"/>
      <c r="H326" s="314"/>
      <c r="I326" s="314"/>
      <c r="J326" s="314"/>
      <c r="K326" s="29">
        <f t="shared" si="42"/>
        <v>0</v>
      </c>
      <c r="L326" s="314"/>
      <c r="M326" s="314"/>
      <c r="N326" s="314"/>
      <c r="O326" s="314"/>
      <c r="P326" s="314"/>
      <c r="Q326" s="314"/>
      <c r="R326" s="314"/>
      <c r="S326" s="314"/>
      <c r="T326" s="314"/>
      <c r="U326" s="314"/>
      <c r="V326" s="350"/>
      <c r="W326" s="350"/>
      <c r="X326" s="350"/>
      <c r="Y326" s="350"/>
      <c r="Z326" s="307"/>
      <c r="AA326" s="350">
        <f t="shared" si="43"/>
        <v>0</v>
      </c>
      <c r="AB326" s="307"/>
      <c r="AC326" s="393"/>
      <c r="AD326" s="303" t="s">
        <v>510</v>
      </c>
      <c r="AE326" s="303" t="s">
        <v>510</v>
      </c>
      <c r="AF326" s="303" t="s">
        <v>511</v>
      </c>
      <c r="AG326" s="322" t="s">
        <v>510</v>
      </c>
      <c r="AH326" s="314">
        <v>0</v>
      </c>
      <c r="AI326" s="297">
        <f t="shared" si="44"/>
        <v>0</v>
      </c>
      <c r="AJ326" s="303" t="s">
        <v>504</v>
      </c>
      <c r="AK326" s="303"/>
      <c r="AL326" s="303"/>
      <c r="AM326" s="303"/>
      <c r="AN326" s="303"/>
      <c r="AO326" s="303"/>
      <c r="AP326" s="303"/>
      <c r="AQ326" s="289">
        <f t="shared" si="45"/>
        <v>0</v>
      </c>
      <c r="AR326" s="303"/>
      <c r="AS326" s="303"/>
      <c r="AT326" s="329"/>
      <c r="AU326" s="329"/>
      <c r="AV326" s="329"/>
      <c r="AW326" s="329"/>
      <c r="AX326" s="329"/>
      <c r="AY326" s="139">
        <f t="shared" si="46"/>
        <v>0</v>
      </c>
      <c r="AZ326" s="303"/>
      <c r="BA326" s="303"/>
      <c r="BB326" s="356" t="s">
        <v>519</v>
      </c>
      <c r="BC326" s="356" t="s">
        <v>519</v>
      </c>
      <c r="BD326" s="356" t="s">
        <v>511</v>
      </c>
      <c r="BE326" s="303" t="s">
        <v>510</v>
      </c>
      <c r="BF326" s="352">
        <v>0</v>
      </c>
      <c r="BG326" s="353">
        <f t="shared" si="47"/>
        <v>0</v>
      </c>
      <c r="BH326" s="303" t="s">
        <v>520</v>
      </c>
      <c r="BI326" s="303" t="s">
        <v>1877</v>
      </c>
      <c r="BJ326" s="354">
        <f t="shared" si="41"/>
        <v>1</v>
      </c>
      <c r="BK326" s="316" t="str">
        <f t="shared" si="40"/>
        <v>Habilitado</v>
      </c>
    </row>
    <row r="327" spans="1:63" ht="51" x14ac:dyDescent="0.25">
      <c r="A327" s="324">
        <v>325</v>
      </c>
      <c r="B327" s="345" t="s">
        <v>2399</v>
      </c>
      <c r="C327" s="357" t="s">
        <v>2400</v>
      </c>
      <c r="D327" s="357" t="s">
        <v>140</v>
      </c>
      <c r="E327" s="347">
        <v>1</v>
      </c>
      <c r="F327" s="314" t="s">
        <v>510</v>
      </c>
      <c r="G327" s="314" t="s">
        <v>510</v>
      </c>
      <c r="H327" s="314" t="s">
        <v>510</v>
      </c>
      <c r="I327" s="314" t="s">
        <v>510</v>
      </c>
      <c r="J327" s="314">
        <v>40</v>
      </c>
      <c r="K327" s="29">
        <f t="shared" si="42"/>
        <v>40</v>
      </c>
      <c r="L327" s="314" t="s">
        <v>504</v>
      </c>
      <c r="M327" s="407"/>
      <c r="N327" s="407"/>
      <c r="O327" s="407"/>
      <c r="P327" s="407"/>
      <c r="Q327" s="407"/>
      <c r="R327" s="407"/>
      <c r="S327" s="407"/>
      <c r="T327" s="407"/>
      <c r="U327" s="407"/>
      <c r="V327" s="350"/>
      <c r="W327" s="350"/>
      <c r="X327" s="350"/>
      <c r="Y327" s="350"/>
      <c r="Z327" s="307"/>
      <c r="AA327" s="350">
        <f t="shared" si="43"/>
        <v>0</v>
      </c>
      <c r="AB327" s="394"/>
      <c r="AC327" s="395"/>
      <c r="AD327" s="338"/>
      <c r="AE327" s="303"/>
      <c r="AF327" s="303"/>
      <c r="AG327" s="303"/>
      <c r="AH327" s="314"/>
      <c r="AI327" s="297">
        <f t="shared" si="44"/>
        <v>0</v>
      </c>
      <c r="AJ327" s="303"/>
      <c r="AK327" s="392"/>
      <c r="AL327" s="303"/>
      <c r="AM327" s="303"/>
      <c r="AN327" s="303"/>
      <c r="AO327" s="303"/>
      <c r="AP327" s="303"/>
      <c r="AQ327" s="289">
        <f t="shared" si="45"/>
        <v>0</v>
      </c>
      <c r="AR327" s="303"/>
      <c r="AS327" s="303"/>
      <c r="AT327" s="329"/>
      <c r="AU327" s="329"/>
      <c r="AV327" s="329"/>
      <c r="AW327" s="329"/>
      <c r="AX327" s="329"/>
      <c r="AY327" s="139">
        <f t="shared" si="46"/>
        <v>0</v>
      </c>
      <c r="AZ327" s="303"/>
      <c r="BA327" s="303"/>
      <c r="BB327" s="303"/>
      <c r="BC327" s="303"/>
      <c r="BD327" s="303"/>
      <c r="BE327" s="303"/>
      <c r="BF327" s="303"/>
      <c r="BG327" s="353">
        <f t="shared" si="47"/>
        <v>0</v>
      </c>
      <c r="BH327" s="303"/>
      <c r="BI327" s="303"/>
      <c r="BJ327" s="354">
        <f t="shared" si="41"/>
        <v>1</v>
      </c>
      <c r="BK327" s="316" t="str">
        <f t="shared" si="40"/>
        <v>Habilitado</v>
      </c>
    </row>
    <row r="328" spans="1:63" ht="51" x14ac:dyDescent="0.25">
      <c r="A328" s="324">
        <v>326</v>
      </c>
      <c r="B328" s="345" t="s">
        <v>2401</v>
      </c>
      <c r="C328" s="357" t="s">
        <v>2402</v>
      </c>
      <c r="D328" s="357" t="s">
        <v>140</v>
      </c>
      <c r="E328" s="347">
        <v>1</v>
      </c>
      <c r="F328" s="314" t="s">
        <v>519</v>
      </c>
      <c r="G328" s="314" t="s">
        <v>519</v>
      </c>
      <c r="H328" s="314" t="s">
        <v>510</v>
      </c>
      <c r="I328" s="314" t="s">
        <v>510</v>
      </c>
      <c r="J328" s="406">
        <v>0</v>
      </c>
      <c r="K328" s="29">
        <f t="shared" si="42"/>
        <v>0</v>
      </c>
      <c r="L328" s="314" t="s">
        <v>520</v>
      </c>
      <c r="M328" s="407" t="s">
        <v>1455</v>
      </c>
      <c r="N328" s="407"/>
      <c r="O328" s="407"/>
      <c r="P328" s="407"/>
      <c r="Q328" s="407"/>
      <c r="R328" s="407"/>
      <c r="S328" s="407"/>
      <c r="T328" s="407"/>
      <c r="U328" s="407"/>
      <c r="V328" s="350"/>
      <c r="W328" s="350"/>
      <c r="X328" s="350"/>
      <c r="Y328" s="350"/>
      <c r="Z328" s="307"/>
      <c r="AA328" s="350">
        <f t="shared" si="43"/>
        <v>0</v>
      </c>
      <c r="AB328" s="394"/>
      <c r="AC328" s="356"/>
      <c r="AD328" s="338"/>
      <c r="AE328" s="303"/>
      <c r="AF328" s="303"/>
      <c r="AG328" s="303"/>
      <c r="AH328" s="314"/>
      <c r="AI328" s="297">
        <f t="shared" si="44"/>
        <v>0</v>
      </c>
      <c r="AJ328" s="303"/>
      <c r="AK328" s="392"/>
      <c r="AL328" s="303" t="s">
        <v>510</v>
      </c>
      <c r="AM328" s="303" t="s">
        <v>510</v>
      </c>
      <c r="AN328" s="303" t="s">
        <v>519</v>
      </c>
      <c r="AO328" s="303" t="s">
        <v>510</v>
      </c>
      <c r="AP328" s="303">
        <v>40</v>
      </c>
      <c r="AQ328" s="289">
        <f t="shared" si="45"/>
        <v>40</v>
      </c>
      <c r="AR328" s="303" t="s">
        <v>520</v>
      </c>
      <c r="AS328" s="301" t="s">
        <v>2403</v>
      </c>
      <c r="AT328" s="329"/>
      <c r="AU328" s="329"/>
      <c r="AV328" s="329"/>
      <c r="AW328" s="329"/>
      <c r="AX328" s="329"/>
      <c r="AY328" s="139">
        <f t="shared" si="46"/>
        <v>0</v>
      </c>
      <c r="AZ328" s="303"/>
      <c r="BA328" s="303"/>
      <c r="BB328" s="303"/>
      <c r="BC328" s="303"/>
      <c r="BD328" s="303"/>
      <c r="BE328" s="303"/>
      <c r="BF328" s="303"/>
      <c r="BG328" s="353">
        <f t="shared" si="47"/>
        <v>0</v>
      </c>
      <c r="BH328" s="303"/>
      <c r="BI328" s="303"/>
      <c r="BJ328" s="354">
        <f t="shared" si="41"/>
        <v>0</v>
      </c>
      <c r="BK328" s="316" t="str">
        <f t="shared" si="40"/>
        <v>Desierto</v>
      </c>
    </row>
    <row r="329" spans="1:63" ht="51" x14ac:dyDescent="0.25">
      <c r="A329" s="324">
        <v>327</v>
      </c>
      <c r="B329" s="345" t="s">
        <v>2404</v>
      </c>
      <c r="C329" s="335" t="s">
        <v>2405</v>
      </c>
      <c r="D329" s="360" t="s">
        <v>140</v>
      </c>
      <c r="E329" s="347">
        <v>1</v>
      </c>
      <c r="F329" s="314" t="s">
        <v>519</v>
      </c>
      <c r="G329" s="314" t="s">
        <v>519</v>
      </c>
      <c r="H329" s="314" t="s">
        <v>510</v>
      </c>
      <c r="I329" s="314" t="s">
        <v>510</v>
      </c>
      <c r="J329" s="406">
        <v>0</v>
      </c>
      <c r="K329" s="29">
        <f t="shared" si="42"/>
        <v>0</v>
      </c>
      <c r="L329" s="314" t="s">
        <v>520</v>
      </c>
      <c r="M329" s="407" t="s">
        <v>1455</v>
      </c>
      <c r="N329" s="407"/>
      <c r="O329" s="407"/>
      <c r="P329" s="407"/>
      <c r="Q329" s="407"/>
      <c r="R329" s="407"/>
      <c r="S329" s="407"/>
      <c r="T329" s="407"/>
      <c r="U329" s="407"/>
      <c r="V329" s="350"/>
      <c r="W329" s="350"/>
      <c r="X329" s="350"/>
      <c r="Y329" s="350"/>
      <c r="Z329" s="307"/>
      <c r="AA329" s="350">
        <f t="shared" si="43"/>
        <v>0</v>
      </c>
      <c r="AB329" s="307"/>
      <c r="AC329" s="356"/>
      <c r="AD329" s="303" t="s">
        <v>510</v>
      </c>
      <c r="AE329" s="303" t="s">
        <v>510</v>
      </c>
      <c r="AF329" s="303" t="s">
        <v>510</v>
      </c>
      <c r="AG329" s="322" t="s">
        <v>510</v>
      </c>
      <c r="AH329" s="314">
        <v>0</v>
      </c>
      <c r="AI329" s="297">
        <f t="shared" si="44"/>
        <v>0</v>
      </c>
      <c r="AJ329" s="303" t="s">
        <v>504</v>
      </c>
      <c r="AK329" s="301"/>
      <c r="AL329" s="303" t="s">
        <v>510</v>
      </c>
      <c r="AM329" s="303" t="s">
        <v>510</v>
      </c>
      <c r="AN329" s="303" t="s">
        <v>519</v>
      </c>
      <c r="AO329" s="303" t="s">
        <v>510</v>
      </c>
      <c r="AP329" s="303">
        <v>40</v>
      </c>
      <c r="AQ329" s="289">
        <f t="shared" si="45"/>
        <v>40</v>
      </c>
      <c r="AR329" s="303" t="s">
        <v>520</v>
      </c>
      <c r="AS329" s="301" t="s">
        <v>2403</v>
      </c>
      <c r="AT329" s="329"/>
      <c r="AU329" s="329"/>
      <c r="AV329" s="329"/>
      <c r="AW329" s="329"/>
      <c r="AX329" s="329"/>
      <c r="AY329" s="139">
        <f t="shared" si="46"/>
        <v>0</v>
      </c>
      <c r="AZ329" s="303"/>
      <c r="BA329" s="303"/>
      <c r="BB329" s="356" t="s">
        <v>519</v>
      </c>
      <c r="BC329" s="356" t="s">
        <v>519</v>
      </c>
      <c r="BD329" s="356" t="s">
        <v>519</v>
      </c>
      <c r="BE329" s="303" t="s">
        <v>510</v>
      </c>
      <c r="BF329" s="352">
        <v>0</v>
      </c>
      <c r="BG329" s="353">
        <f t="shared" si="47"/>
        <v>0</v>
      </c>
      <c r="BH329" s="303" t="s">
        <v>520</v>
      </c>
      <c r="BI329" s="303" t="s">
        <v>1877</v>
      </c>
      <c r="BJ329" s="354">
        <f t="shared" si="41"/>
        <v>1</v>
      </c>
      <c r="BK329" s="316" t="str">
        <f t="shared" si="40"/>
        <v>Habilitado</v>
      </c>
    </row>
    <row r="330" spans="1:63" ht="51" x14ac:dyDescent="0.25">
      <c r="A330" s="324">
        <v>328</v>
      </c>
      <c r="B330" s="345" t="s">
        <v>2406</v>
      </c>
      <c r="C330" s="335" t="s">
        <v>2405</v>
      </c>
      <c r="D330" s="360" t="s">
        <v>140</v>
      </c>
      <c r="E330" s="347">
        <v>1</v>
      </c>
      <c r="F330" s="314"/>
      <c r="G330" s="314"/>
      <c r="H330" s="314"/>
      <c r="I330" s="314"/>
      <c r="J330" s="314"/>
      <c r="K330" s="29">
        <f t="shared" si="42"/>
        <v>0</v>
      </c>
      <c r="L330" s="314"/>
      <c r="M330" s="407"/>
      <c r="N330" s="407"/>
      <c r="O330" s="407"/>
      <c r="P330" s="407"/>
      <c r="Q330" s="407"/>
      <c r="R330" s="407"/>
      <c r="S330" s="407"/>
      <c r="T330" s="407"/>
      <c r="U330" s="407"/>
      <c r="V330" s="350"/>
      <c r="W330" s="350"/>
      <c r="X330" s="350"/>
      <c r="Y330" s="350"/>
      <c r="Z330" s="307"/>
      <c r="AA330" s="350">
        <f t="shared" si="43"/>
        <v>0</v>
      </c>
      <c r="AB330" s="307"/>
      <c r="AC330" s="356"/>
      <c r="AD330" s="303" t="s">
        <v>510</v>
      </c>
      <c r="AE330" s="303" t="s">
        <v>510</v>
      </c>
      <c r="AF330" s="303" t="s">
        <v>510</v>
      </c>
      <c r="AG330" s="322" t="s">
        <v>510</v>
      </c>
      <c r="AH330" s="314">
        <v>0</v>
      </c>
      <c r="AI330" s="297">
        <f t="shared" si="44"/>
        <v>0</v>
      </c>
      <c r="AJ330" s="303" t="s">
        <v>504</v>
      </c>
      <c r="AK330" s="301"/>
      <c r="AL330" s="303"/>
      <c r="AM330" s="303"/>
      <c r="AN330" s="303"/>
      <c r="AO330" s="303"/>
      <c r="AP330" s="303"/>
      <c r="AQ330" s="289">
        <f t="shared" si="45"/>
        <v>0</v>
      </c>
      <c r="AR330" s="303"/>
      <c r="AS330" s="303"/>
      <c r="AT330" s="329"/>
      <c r="AU330" s="329"/>
      <c r="AV330" s="329"/>
      <c r="AW330" s="329"/>
      <c r="AX330" s="329"/>
      <c r="AY330" s="139">
        <f t="shared" si="46"/>
        <v>0</v>
      </c>
      <c r="AZ330" s="303"/>
      <c r="BA330" s="303"/>
      <c r="BB330" s="356" t="s">
        <v>519</v>
      </c>
      <c r="BC330" s="356" t="s">
        <v>519</v>
      </c>
      <c r="BD330" s="356" t="s">
        <v>519</v>
      </c>
      <c r="BE330" s="303" t="s">
        <v>510</v>
      </c>
      <c r="BF330" s="352">
        <v>0</v>
      </c>
      <c r="BG330" s="353">
        <f t="shared" si="47"/>
        <v>0</v>
      </c>
      <c r="BH330" s="303" t="s">
        <v>520</v>
      </c>
      <c r="BI330" s="303" t="s">
        <v>1877</v>
      </c>
      <c r="BJ330" s="354">
        <f t="shared" si="41"/>
        <v>1</v>
      </c>
      <c r="BK330" s="316" t="str">
        <f t="shared" si="40"/>
        <v>Habilitado</v>
      </c>
    </row>
    <row r="331" spans="1:63" ht="51" x14ac:dyDescent="0.25">
      <c r="A331" s="324">
        <v>329</v>
      </c>
      <c r="B331" s="345" t="s">
        <v>2407</v>
      </c>
      <c r="C331" s="335" t="s">
        <v>2408</v>
      </c>
      <c r="D331" s="360" t="s">
        <v>140</v>
      </c>
      <c r="E331" s="347">
        <v>1</v>
      </c>
      <c r="F331" s="314" t="s">
        <v>519</v>
      </c>
      <c r="G331" s="314" t="s">
        <v>519</v>
      </c>
      <c r="H331" s="314" t="s">
        <v>510</v>
      </c>
      <c r="I331" s="314" t="s">
        <v>510</v>
      </c>
      <c r="J331" s="406">
        <v>0</v>
      </c>
      <c r="K331" s="29">
        <f t="shared" si="42"/>
        <v>0</v>
      </c>
      <c r="L331" s="314" t="s">
        <v>520</v>
      </c>
      <c r="M331" s="407" t="s">
        <v>1455</v>
      </c>
      <c r="N331" s="407"/>
      <c r="O331" s="407"/>
      <c r="P331" s="407"/>
      <c r="Q331" s="407"/>
      <c r="R331" s="407"/>
      <c r="S331" s="407"/>
      <c r="T331" s="407"/>
      <c r="U331" s="407"/>
      <c r="V331" s="350"/>
      <c r="W331" s="350"/>
      <c r="X331" s="350"/>
      <c r="Y331" s="350"/>
      <c r="Z331" s="307"/>
      <c r="AA331" s="350">
        <f t="shared" si="43"/>
        <v>0</v>
      </c>
      <c r="AB331" s="307"/>
      <c r="AC331" s="356"/>
      <c r="AD331" s="303" t="s">
        <v>510</v>
      </c>
      <c r="AE331" s="303" t="s">
        <v>510</v>
      </c>
      <c r="AF331" s="303" t="s">
        <v>510</v>
      </c>
      <c r="AG331" s="322" t="s">
        <v>510</v>
      </c>
      <c r="AH331" s="314">
        <v>0</v>
      </c>
      <c r="AI331" s="297">
        <f t="shared" si="44"/>
        <v>0</v>
      </c>
      <c r="AJ331" s="303" t="s">
        <v>504</v>
      </c>
      <c r="AK331" s="301"/>
      <c r="AL331" s="303" t="s">
        <v>510</v>
      </c>
      <c r="AM331" s="303" t="s">
        <v>510</v>
      </c>
      <c r="AN331" s="303" t="s">
        <v>519</v>
      </c>
      <c r="AO331" s="303" t="s">
        <v>510</v>
      </c>
      <c r="AP331" s="303">
        <v>40</v>
      </c>
      <c r="AQ331" s="289">
        <f t="shared" si="45"/>
        <v>40</v>
      </c>
      <c r="AR331" s="303" t="s">
        <v>520</v>
      </c>
      <c r="AS331" s="301" t="s">
        <v>2403</v>
      </c>
      <c r="AT331" s="329"/>
      <c r="AU331" s="329"/>
      <c r="AV331" s="329"/>
      <c r="AW331" s="329"/>
      <c r="AX331" s="329"/>
      <c r="AY331" s="139">
        <f t="shared" si="46"/>
        <v>0</v>
      </c>
      <c r="AZ331" s="303"/>
      <c r="BA331" s="303"/>
      <c r="BB331" s="356" t="s">
        <v>519</v>
      </c>
      <c r="BC331" s="356" t="s">
        <v>519</v>
      </c>
      <c r="BD331" s="356" t="s">
        <v>519</v>
      </c>
      <c r="BE331" s="303" t="s">
        <v>510</v>
      </c>
      <c r="BF331" s="352">
        <v>0</v>
      </c>
      <c r="BG331" s="353">
        <f t="shared" si="47"/>
        <v>0</v>
      </c>
      <c r="BH331" s="303" t="s">
        <v>520</v>
      </c>
      <c r="BI331" s="303" t="s">
        <v>1877</v>
      </c>
      <c r="BJ331" s="354">
        <f t="shared" si="41"/>
        <v>1</v>
      </c>
      <c r="BK331" s="316" t="str">
        <f t="shared" si="40"/>
        <v>Habilitado</v>
      </c>
    </row>
    <row r="332" spans="1:63" ht="51" x14ac:dyDescent="0.25">
      <c r="A332" s="324">
        <v>330</v>
      </c>
      <c r="B332" s="345" t="s">
        <v>2409</v>
      </c>
      <c r="C332" s="335" t="s">
        <v>2405</v>
      </c>
      <c r="D332" s="360" t="s">
        <v>140</v>
      </c>
      <c r="E332" s="347">
        <v>1</v>
      </c>
      <c r="F332" s="314" t="s">
        <v>519</v>
      </c>
      <c r="G332" s="314" t="s">
        <v>519</v>
      </c>
      <c r="H332" s="314" t="s">
        <v>510</v>
      </c>
      <c r="I332" s="314" t="s">
        <v>510</v>
      </c>
      <c r="J332" s="406">
        <v>0</v>
      </c>
      <c r="K332" s="29">
        <f t="shared" si="42"/>
        <v>0</v>
      </c>
      <c r="L332" s="314" t="s">
        <v>520</v>
      </c>
      <c r="M332" s="407" t="s">
        <v>1455</v>
      </c>
      <c r="N332" s="407"/>
      <c r="O332" s="407"/>
      <c r="P332" s="407"/>
      <c r="Q332" s="407"/>
      <c r="R332" s="407"/>
      <c r="S332" s="407"/>
      <c r="T332" s="407"/>
      <c r="U332" s="407"/>
      <c r="V332" s="350"/>
      <c r="W332" s="350"/>
      <c r="X332" s="350"/>
      <c r="Y332" s="350"/>
      <c r="Z332" s="307"/>
      <c r="AA332" s="350">
        <f t="shared" si="43"/>
        <v>0</v>
      </c>
      <c r="AB332" s="307"/>
      <c r="AC332" s="356"/>
      <c r="AD332" s="303" t="s">
        <v>510</v>
      </c>
      <c r="AE332" s="303" t="s">
        <v>510</v>
      </c>
      <c r="AF332" s="303" t="s">
        <v>510</v>
      </c>
      <c r="AG332" s="322" t="s">
        <v>510</v>
      </c>
      <c r="AH332" s="314">
        <v>0</v>
      </c>
      <c r="AI332" s="297">
        <f t="shared" si="44"/>
        <v>0</v>
      </c>
      <c r="AJ332" s="303" t="s">
        <v>504</v>
      </c>
      <c r="AK332" s="301"/>
      <c r="AL332" s="303" t="s">
        <v>510</v>
      </c>
      <c r="AM332" s="303" t="s">
        <v>510</v>
      </c>
      <c r="AN332" s="303" t="s">
        <v>519</v>
      </c>
      <c r="AO332" s="303" t="s">
        <v>510</v>
      </c>
      <c r="AP332" s="303">
        <v>40</v>
      </c>
      <c r="AQ332" s="289">
        <f t="shared" si="45"/>
        <v>40</v>
      </c>
      <c r="AR332" s="303" t="s">
        <v>520</v>
      </c>
      <c r="AS332" s="301" t="s">
        <v>2403</v>
      </c>
      <c r="AT332" s="329"/>
      <c r="AU332" s="329"/>
      <c r="AV332" s="329"/>
      <c r="AW332" s="329"/>
      <c r="AX332" s="329"/>
      <c r="AY332" s="139">
        <f t="shared" si="46"/>
        <v>0</v>
      </c>
      <c r="AZ332" s="303"/>
      <c r="BA332" s="303"/>
      <c r="BB332" s="356" t="s">
        <v>519</v>
      </c>
      <c r="BC332" s="356" t="s">
        <v>519</v>
      </c>
      <c r="BD332" s="356" t="s">
        <v>519</v>
      </c>
      <c r="BE332" s="303" t="s">
        <v>510</v>
      </c>
      <c r="BF332" s="352">
        <v>0</v>
      </c>
      <c r="BG332" s="353">
        <f t="shared" si="47"/>
        <v>0</v>
      </c>
      <c r="BH332" s="303" t="s">
        <v>520</v>
      </c>
      <c r="BI332" s="303" t="s">
        <v>1877</v>
      </c>
      <c r="BJ332" s="354">
        <f t="shared" si="41"/>
        <v>1</v>
      </c>
      <c r="BK332" s="316" t="str">
        <f t="shared" si="40"/>
        <v>Habilitado</v>
      </c>
    </row>
    <row r="333" spans="1:63" ht="51" x14ac:dyDescent="0.25">
      <c r="A333" s="324">
        <v>331</v>
      </c>
      <c r="B333" s="345" t="s">
        <v>2410</v>
      </c>
      <c r="C333" s="335" t="s">
        <v>2411</v>
      </c>
      <c r="D333" s="360" t="s">
        <v>140</v>
      </c>
      <c r="E333" s="347">
        <v>1</v>
      </c>
      <c r="F333" s="314" t="s">
        <v>519</v>
      </c>
      <c r="G333" s="314" t="s">
        <v>519</v>
      </c>
      <c r="H333" s="314" t="s">
        <v>510</v>
      </c>
      <c r="I333" s="314" t="s">
        <v>510</v>
      </c>
      <c r="J333" s="406">
        <v>0</v>
      </c>
      <c r="K333" s="29">
        <f t="shared" si="42"/>
        <v>0</v>
      </c>
      <c r="L333" s="314" t="s">
        <v>520</v>
      </c>
      <c r="M333" s="407" t="s">
        <v>1455</v>
      </c>
      <c r="N333" s="407"/>
      <c r="O333" s="407"/>
      <c r="P333" s="407"/>
      <c r="Q333" s="407"/>
      <c r="R333" s="407"/>
      <c r="S333" s="407"/>
      <c r="T333" s="407"/>
      <c r="U333" s="407"/>
      <c r="V333" s="350"/>
      <c r="W333" s="350"/>
      <c r="X333" s="350"/>
      <c r="Y333" s="350"/>
      <c r="Z333" s="307"/>
      <c r="AA333" s="350">
        <f t="shared" si="43"/>
        <v>0</v>
      </c>
      <c r="AB333" s="307"/>
      <c r="AC333" s="356"/>
      <c r="AD333" s="303" t="s">
        <v>510</v>
      </c>
      <c r="AE333" s="303" t="s">
        <v>510</v>
      </c>
      <c r="AF333" s="303" t="s">
        <v>510</v>
      </c>
      <c r="AG333" s="322" t="s">
        <v>510</v>
      </c>
      <c r="AH333" s="314">
        <v>0</v>
      </c>
      <c r="AI333" s="297">
        <f t="shared" si="44"/>
        <v>0</v>
      </c>
      <c r="AJ333" s="303" t="s">
        <v>504</v>
      </c>
      <c r="AK333" s="301"/>
      <c r="AL333" s="303" t="s">
        <v>510</v>
      </c>
      <c r="AM333" s="303" t="s">
        <v>510</v>
      </c>
      <c r="AN333" s="303" t="s">
        <v>519</v>
      </c>
      <c r="AO333" s="303" t="s">
        <v>510</v>
      </c>
      <c r="AP333" s="303">
        <v>40</v>
      </c>
      <c r="AQ333" s="289">
        <f t="shared" si="45"/>
        <v>40</v>
      </c>
      <c r="AR333" s="303" t="s">
        <v>520</v>
      </c>
      <c r="AS333" s="301" t="s">
        <v>2403</v>
      </c>
      <c r="AT333" s="329"/>
      <c r="AU333" s="329"/>
      <c r="AV333" s="329"/>
      <c r="AW333" s="329"/>
      <c r="AX333" s="329"/>
      <c r="AY333" s="139">
        <f t="shared" si="46"/>
        <v>0</v>
      </c>
      <c r="AZ333" s="303"/>
      <c r="BA333" s="303"/>
      <c r="BB333" s="356" t="s">
        <v>519</v>
      </c>
      <c r="BC333" s="356" t="s">
        <v>519</v>
      </c>
      <c r="BD333" s="356" t="s">
        <v>519</v>
      </c>
      <c r="BE333" s="303" t="s">
        <v>510</v>
      </c>
      <c r="BF333" s="352">
        <v>0</v>
      </c>
      <c r="BG333" s="353">
        <f t="shared" si="47"/>
        <v>0</v>
      </c>
      <c r="BH333" s="303" t="s">
        <v>520</v>
      </c>
      <c r="BI333" s="303" t="s">
        <v>1877</v>
      </c>
      <c r="BJ333" s="354">
        <f t="shared" si="41"/>
        <v>1</v>
      </c>
      <c r="BK333" s="316" t="str">
        <f t="shared" si="40"/>
        <v>Habilitado</v>
      </c>
    </row>
    <row r="334" spans="1:63" ht="137.25" customHeight="1" x14ac:dyDescent="0.25">
      <c r="A334" s="324">
        <v>332</v>
      </c>
      <c r="B334" s="345" t="s">
        <v>2412</v>
      </c>
      <c r="C334" s="335" t="s">
        <v>2413</v>
      </c>
      <c r="D334" s="360" t="s">
        <v>140</v>
      </c>
      <c r="E334" s="347">
        <v>1</v>
      </c>
      <c r="F334" s="314" t="s">
        <v>510</v>
      </c>
      <c r="G334" s="314" t="s">
        <v>510</v>
      </c>
      <c r="H334" s="314" t="s">
        <v>510</v>
      </c>
      <c r="I334" s="314" t="s">
        <v>510</v>
      </c>
      <c r="J334" s="314">
        <v>40</v>
      </c>
      <c r="K334" s="29">
        <f t="shared" si="42"/>
        <v>40</v>
      </c>
      <c r="L334" s="314" t="s">
        <v>504</v>
      </c>
      <c r="M334" s="314"/>
      <c r="N334" s="314"/>
      <c r="O334" s="314"/>
      <c r="P334" s="314"/>
      <c r="Q334" s="314"/>
      <c r="R334" s="314"/>
      <c r="S334" s="314"/>
      <c r="T334" s="314"/>
      <c r="U334" s="314"/>
      <c r="V334" s="350"/>
      <c r="W334" s="350"/>
      <c r="X334" s="350"/>
      <c r="Y334" s="350"/>
      <c r="Z334" s="307"/>
      <c r="AA334" s="350">
        <f t="shared" si="43"/>
        <v>0</v>
      </c>
      <c r="AB334" s="307"/>
      <c r="AC334" s="307"/>
      <c r="AD334" s="303" t="s">
        <v>510</v>
      </c>
      <c r="AE334" s="303" t="s">
        <v>519</v>
      </c>
      <c r="AF334" s="303" t="s">
        <v>519</v>
      </c>
      <c r="AG334" s="322" t="s">
        <v>510</v>
      </c>
      <c r="AH334" s="314">
        <v>0</v>
      </c>
      <c r="AI334" s="297">
        <f t="shared" si="44"/>
        <v>0</v>
      </c>
      <c r="AJ334" s="303" t="s">
        <v>520</v>
      </c>
      <c r="AK334" s="381" t="s">
        <v>2414</v>
      </c>
      <c r="AL334" s="303"/>
      <c r="AM334" s="303"/>
      <c r="AN334" s="303"/>
      <c r="AO334" s="303"/>
      <c r="AP334" s="303"/>
      <c r="AQ334" s="289">
        <f t="shared" si="45"/>
        <v>0</v>
      </c>
      <c r="AR334" s="303"/>
      <c r="AS334" s="303"/>
      <c r="AT334" s="375" t="s">
        <v>510</v>
      </c>
      <c r="AU334" s="375" t="s">
        <v>519</v>
      </c>
      <c r="AV334" s="375" t="s">
        <v>510</v>
      </c>
      <c r="AW334" s="375" t="s">
        <v>510</v>
      </c>
      <c r="AX334" s="375">
        <v>0</v>
      </c>
      <c r="AY334" s="139">
        <f t="shared" si="46"/>
        <v>0</v>
      </c>
      <c r="AZ334" s="375" t="s">
        <v>520</v>
      </c>
      <c r="BA334" s="381" t="s">
        <v>2415</v>
      </c>
      <c r="BB334" s="356" t="s">
        <v>510</v>
      </c>
      <c r="BC334" s="356" t="s">
        <v>519</v>
      </c>
      <c r="BD334" s="356" t="s">
        <v>519</v>
      </c>
      <c r="BE334" s="303" t="s">
        <v>510</v>
      </c>
      <c r="BF334" s="352">
        <v>0</v>
      </c>
      <c r="BG334" s="353">
        <f t="shared" si="47"/>
        <v>0</v>
      </c>
      <c r="BH334" s="303" t="s">
        <v>520</v>
      </c>
      <c r="BI334" s="381" t="s">
        <v>2416</v>
      </c>
      <c r="BJ334" s="354">
        <f t="shared" si="41"/>
        <v>1</v>
      </c>
      <c r="BK334" s="316" t="str">
        <f t="shared" si="40"/>
        <v>Habilitado</v>
      </c>
    </row>
    <row r="335" spans="1:63" ht="140.25" x14ac:dyDescent="0.25">
      <c r="A335" s="324">
        <v>333</v>
      </c>
      <c r="B335" s="345" t="s">
        <v>2417</v>
      </c>
      <c r="C335" s="335" t="s">
        <v>2418</v>
      </c>
      <c r="D335" s="360" t="s">
        <v>140</v>
      </c>
      <c r="E335" s="347">
        <v>1</v>
      </c>
      <c r="F335" s="314" t="s">
        <v>510</v>
      </c>
      <c r="G335" s="314" t="s">
        <v>510</v>
      </c>
      <c r="H335" s="314" t="s">
        <v>510</v>
      </c>
      <c r="I335" s="314" t="s">
        <v>510</v>
      </c>
      <c r="J335" s="314">
        <v>40</v>
      </c>
      <c r="K335" s="29">
        <f t="shared" si="42"/>
        <v>40</v>
      </c>
      <c r="L335" s="314" t="s">
        <v>504</v>
      </c>
      <c r="M335" s="314"/>
      <c r="N335" s="314"/>
      <c r="O335" s="314"/>
      <c r="P335" s="314"/>
      <c r="Q335" s="314"/>
      <c r="R335" s="314"/>
      <c r="S335" s="314"/>
      <c r="T335" s="314"/>
      <c r="U335" s="314"/>
      <c r="V335" s="350"/>
      <c r="W335" s="350"/>
      <c r="X335" s="350"/>
      <c r="Y335" s="350"/>
      <c r="Z335" s="307"/>
      <c r="AA335" s="350">
        <f t="shared" si="43"/>
        <v>0</v>
      </c>
      <c r="AB335" s="307"/>
      <c r="AC335" s="307"/>
      <c r="AD335" s="303" t="s">
        <v>510</v>
      </c>
      <c r="AE335" s="303" t="s">
        <v>519</v>
      </c>
      <c r="AF335" s="303" t="s">
        <v>519</v>
      </c>
      <c r="AG335" s="322" t="s">
        <v>510</v>
      </c>
      <c r="AH335" s="314">
        <v>0</v>
      </c>
      <c r="AI335" s="297">
        <f t="shared" si="44"/>
        <v>0</v>
      </c>
      <c r="AJ335" s="303" t="s">
        <v>520</v>
      </c>
      <c r="AK335" s="381" t="s">
        <v>2419</v>
      </c>
      <c r="AL335" s="303"/>
      <c r="AM335" s="303"/>
      <c r="AN335" s="303"/>
      <c r="AO335" s="303"/>
      <c r="AP335" s="303"/>
      <c r="AQ335" s="289">
        <f t="shared" si="45"/>
        <v>0</v>
      </c>
      <c r="AR335" s="303"/>
      <c r="AS335" s="303"/>
      <c r="AT335" s="329"/>
      <c r="AU335" s="329"/>
      <c r="AV335" s="329"/>
      <c r="AW335" s="329"/>
      <c r="AX335" s="329"/>
      <c r="AY335" s="139">
        <f t="shared" si="46"/>
        <v>0</v>
      </c>
      <c r="AZ335" s="303"/>
      <c r="BA335" s="303"/>
      <c r="BB335" s="356" t="s">
        <v>510</v>
      </c>
      <c r="BC335" s="356" t="s">
        <v>510</v>
      </c>
      <c r="BD335" s="356" t="s">
        <v>519</v>
      </c>
      <c r="BE335" s="303" t="s">
        <v>510</v>
      </c>
      <c r="BF335" s="352">
        <v>0</v>
      </c>
      <c r="BG335" s="353">
        <f t="shared" si="47"/>
        <v>0</v>
      </c>
      <c r="BH335" s="303" t="s">
        <v>520</v>
      </c>
      <c r="BI335" s="396" t="s">
        <v>2420</v>
      </c>
      <c r="BJ335" s="354">
        <f t="shared" si="41"/>
        <v>1</v>
      </c>
      <c r="BK335" s="316" t="str">
        <f t="shared" si="40"/>
        <v>Habilitado</v>
      </c>
    </row>
    <row r="336" spans="1:63" ht="25.5" x14ac:dyDescent="0.25">
      <c r="A336" s="324">
        <v>334</v>
      </c>
      <c r="B336" s="345" t="s">
        <v>2421</v>
      </c>
      <c r="C336" s="376" t="s">
        <v>2422</v>
      </c>
      <c r="D336" s="397" t="s">
        <v>1666</v>
      </c>
      <c r="E336" s="347">
        <v>1</v>
      </c>
      <c r="F336" s="314" t="s">
        <v>510</v>
      </c>
      <c r="G336" s="314" t="s">
        <v>510</v>
      </c>
      <c r="H336" s="314" t="s">
        <v>510</v>
      </c>
      <c r="I336" s="314" t="s">
        <v>510</v>
      </c>
      <c r="J336" s="314">
        <v>40</v>
      </c>
      <c r="K336" s="29">
        <f t="shared" si="42"/>
        <v>40</v>
      </c>
      <c r="L336" s="314" t="s">
        <v>504</v>
      </c>
      <c r="M336" s="314"/>
      <c r="N336" s="314"/>
      <c r="O336" s="314"/>
      <c r="P336" s="314"/>
      <c r="Q336" s="314"/>
      <c r="R336" s="314"/>
      <c r="S336" s="314"/>
      <c r="T336" s="314"/>
      <c r="U336" s="314"/>
      <c r="V336" s="350"/>
      <c r="W336" s="350"/>
      <c r="X336" s="350"/>
      <c r="Y336" s="350"/>
      <c r="Z336" s="307"/>
      <c r="AA336" s="350">
        <f t="shared" si="43"/>
        <v>0</v>
      </c>
      <c r="AB336" s="307"/>
      <c r="AC336" s="307"/>
      <c r="AD336" s="303" t="s">
        <v>510</v>
      </c>
      <c r="AE336" s="303" t="s">
        <v>510</v>
      </c>
      <c r="AF336" s="303" t="s">
        <v>510</v>
      </c>
      <c r="AG336" s="322" t="s">
        <v>510</v>
      </c>
      <c r="AH336" s="314">
        <v>0</v>
      </c>
      <c r="AI336" s="297">
        <f t="shared" si="44"/>
        <v>0</v>
      </c>
      <c r="AJ336" s="303" t="s">
        <v>504</v>
      </c>
      <c r="AK336" s="301"/>
      <c r="AL336" s="303"/>
      <c r="AM336" s="303"/>
      <c r="AN336" s="303"/>
      <c r="AO336" s="303"/>
      <c r="AP336" s="303"/>
      <c r="AQ336" s="289">
        <f t="shared" si="45"/>
        <v>0</v>
      </c>
      <c r="AR336" s="303"/>
      <c r="AS336" s="303"/>
      <c r="AT336" s="329"/>
      <c r="AU336" s="329"/>
      <c r="AV336" s="329"/>
      <c r="AW336" s="329"/>
      <c r="AX336" s="329"/>
      <c r="AY336" s="139">
        <f t="shared" si="46"/>
        <v>0</v>
      </c>
      <c r="AZ336" s="303"/>
      <c r="BA336" s="303"/>
      <c r="BB336" s="356" t="s">
        <v>510</v>
      </c>
      <c r="BC336" s="356" t="s">
        <v>510</v>
      </c>
      <c r="BD336" s="356" t="s">
        <v>510</v>
      </c>
      <c r="BE336" s="303" t="s">
        <v>510</v>
      </c>
      <c r="BF336" s="352">
        <v>0</v>
      </c>
      <c r="BG336" s="353">
        <f t="shared" si="47"/>
        <v>0</v>
      </c>
      <c r="BH336" s="303" t="s">
        <v>504</v>
      </c>
      <c r="BI336" s="303"/>
      <c r="BJ336" s="354">
        <f t="shared" si="41"/>
        <v>3</v>
      </c>
      <c r="BK336" s="316" t="str">
        <f t="shared" si="40"/>
        <v>Habilitado</v>
      </c>
    </row>
    <row r="337" spans="1:63" ht="33" customHeight="1" x14ac:dyDescent="0.25">
      <c r="A337" s="324">
        <v>335</v>
      </c>
      <c r="B337" s="345" t="s">
        <v>2423</v>
      </c>
      <c r="C337" s="335" t="s">
        <v>1883</v>
      </c>
      <c r="D337" s="335" t="s">
        <v>1061</v>
      </c>
      <c r="E337" s="347">
        <v>1</v>
      </c>
      <c r="F337" s="314" t="s">
        <v>510</v>
      </c>
      <c r="G337" s="314" t="s">
        <v>510</v>
      </c>
      <c r="H337" s="314" t="s">
        <v>510</v>
      </c>
      <c r="I337" s="314" t="s">
        <v>510</v>
      </c>
      <c r="J337" s="314">
        <v>40</v>
      </c>
      <c r="K337" s="29">
        <f t="shared" si="42"/>
        <v>40</v>
      </c>
      <c r="L337" s="314" t="s">
        <v>504</v>
      </c>
      <c r="M337" s="314"/>
      <c r="N337" s="314"/>
      <c r="O337" s="314"/>
      <c r="P337" s="314"/>
      <c r="Q337" s="314"/>
      <c r="R337" s="314"/>
      <c r="S337" s="314"/>
      <c r="T337" s="314"/>
      <c r="U337" s="314"/>
      <c r="V337" s="350"/>
      <c r="W337" s="350"/>
      <c r="X337" s="350"/>
      <c r="Y337" s="350"/>
      <c r="Z337" s="307"/>
      <c r="AA337" s="350">
        <f t="shared" si="43"/>
        <v>0</v>
      </c>
      <c r="AB337" s="307"/>
      <c r="AC337" s="307"/>
      <c r="AD337" s="303" t="s">
        <v>510</v>
      </c>
      <c r="AE337" s="303" t="s">
        <v>510</v>
      </c>
      <c r="AF337" s="303" t="s">
        <v>510</v>
      </c>
      <c r="AG337" s="322" t="s">
        <v>510</v>
      </c>
      <c r="AH337" s="314">
        <v>0</v>
      </c>
      <c r="AI337" s="297">
        <f t="shared" si="44"/>
        <v>0</v>
      </c>
      <c r="AJ337" s="303" t="s">
        <v>504</v>
      </c>
      <c r="AK337" s="303"/>
      <c r="AL337" s="303"/>
      <c r="AM337" s="303"/>
      <c r="AN337" s="303"/>
      <c r="AO337" s="303"/>
      <c r="AP337" s="303"/>
      <c r="AQ337" s="289">
        <f t="shared" si="45"/>
        <v>0</v>
      </c>
      <c r="AR337" s="303"/>
      <c r="AS337" s="303"/>
      <c r="AT337" s="303" t="s">
        <v>510</v>
      </c>
      <c r="AU337" s="303" t="s">
        <v>510</v>
      </c>
      <c r="AV337" s="303" t="s">
        <v>519</v>
      </c>
      <c r="AW337" s="303" t="s">
        <v>510</v>
      </c>
      <c r="AX337" s="303">
        <v>40</v>
      </c>
      <c r="AY337" s="139">
        <f t="shared" si="46"/>
        <v>40</v>
      </c>
      <c r="AZ337" s="303" t="s">
        <v>520</v>
      </c>
      <c r="BA337" s="398" t="s">
        <v>2238</v>
      </c>
      <c r="BB337" s="356" t="s">
        <v>510</v>
      </c>
      <c r="BC337" s="356" t="s">
        <v>510</v>
      </c>
      <c r="BD337" s="356" t="s">
        <v>510</v>
      </c>
      <c r="BE337" s="303" t="s">
        <v>510</v>
      </c>
      <c r="BF337" s="352">
        <v>0</v>
      </c>
      <c r="BG337" s="353">
        <f t="shared" si="47"/>
        <v>0</v>
      </c>
      <c r="BH337" s="303" t="s">
        <v>504</v>
      </c>
      <c r="BI337" s="303"/>
      <c r="BJ337" s="354">
        <f t="shared" si="41"/>
        <v>3</v>
      </c>
      <c r="BK337" s="316" t="str">
        <f t="shared" si="40"/>
        <v>Habilitado</v>
      </c>
    </row>
    <row r="338" spans="1:63" ht="59.25" customHeight="1" x14ac:dyDescent="0.25">
      <c r="A338" s="324">
        <v>336</v>
      </c>
      <c r="B338" s="345" t="s">
        <v>2424</v>
      </c>
      <c r="C338" s="376" t="s">
        <v>2422</v>
      </c>
      <c r="D338" s="360" t="s">
        <v>2425</v>
      </c>
      <c r="E338" s="347">
        <v>1</v>
      </c>
      <c r="F338" s="314" t="s">
        <v>510</v>
      </c>
      <c r="G338" s="314" t="s">
        <v>510</v>
      </c>
      <c r="H338" s="314" t="s">
        <v>510</v>
      </c>
      <c r="I338" s="314" t="s">
        <v>510</v>
      </c>
      <c r="J338" s="314">
        <v>40</v>
      </c>
      <c r="K338" s="29">
        <f t="shared" si="42"/>
        <v>40</v>
      </c>
      <c r="L338" s="314" t="s">
        <v>504</v>
      </c>
      <c r="M338" s="314"/>
      <c r="N338" s="314"/>
      <c r="O338" s="314"/>
      <c r="P338" s="314"/>
      <c r="Q338" s="314"/>
      <c r="R338" s="314"/>
      <c r="S338" s="314"/>
      <c r="T338" s="314"/>
      <c r="U338" s="314"/>
      <c r="V338" s="350"/>
      <c r="W338" s="350"/>
      <c r="X338" s="350"/>
      <c r="Y338" s="350"/>
      <c r="Z338" s="307"/>
      <c r="AA338" s="350">
        <f t="shared" si="43"/>
        <v>0</v>
      </c>
      <c r="AB338" s="307"/>
      <c r="AC338" s="307"/>
      <c r="AD338" s="303" t="s">
        <v>510</v>
      </c>
      <c r="AE338" s="303" t="s">
        <v>510</v>
      </c>
      <c r="AF338" s="303" t="s">
        <v>510</v>
      </c>
      <c r="AG338" s="322" t="s">
        <v>510</v>
      </c>
      <c r="AH338" s="314">
        <v>0</v>
      </c>
      <c r="AI338" s="297">
        <f t="shared" si="44"/>
        <v>0</v>
      </c>
      <c r="AJ338" s="303" t="s">
        <v>504</v>
      </c>
      <c r="AK338" s="301"/>
      <c r="AL338" s="303"/>
      <c r="AM338" s="303"/>
      <c r="AN338" s="303"/>
      <c r="AO338" s="303"/>
      <c r="AP338" s="303"/>
      <c r="AQ338" s="289">
        <f t="shared" si="45"/>
        <v>0</v>
      </c>
      <c r="AR338" s="303"/>
      <c r="AS338" s="303"/>
      <c r="AT338" s="303" t="s">
        <v>510</v>
      </c>
      <c r="AU338" s="303" t="s">
        <v>519</v>
      </c>
      <c r="AV338" s="303" t="s">
        <v>519</v>
      </c>
      <c r="AW338" s="303" t="s">
        <v>510</v>
      </c>
      <c r="AX338" s="303">
        <v>0</v>
      </c>
      <c r="AY338" s="139">
        <f t="shared" si="46"/>
        <v>0</v>
      </c>
      <c r="AZ338" s="303" t="s">
        <v>520</v>
      </c>
      <c r="BA338" s="398" t="s">
        <v>2426</v>
      </c>
      <c r="BB338" s="356" t="s">
        <v>510</v>
      </c>
      <c r="BC338" s="356" t="s">
        <v>510</v>
      </c>
      <c r="BD338" s="356" t="s">
        <v>510</v>
      </c>
      <c r="BE338" s="303" t="s">
        <v>510</v>
      </c>
      <c r="BF338" s="352">
        <v>0</v>
      </c>
      <c r="BG338" s="353">
        <f t="shared" si="47"/>
        <v>0</v>
      </c>
      <c r="BH338" s="303" t="s">
        <v>504</v>
      </c>
      <c r="BI338" s="303"/>
      <c r="BJ338" s="354">
        <f t="shared" si="41"/>
        <v>3</v>
      </c>
      <c r="BK338" s="316" t="str">
        <f t="shared" si="40"/>
        <v>Habilitado</v>
      </c>
    </row>
    <row r="339" spans="1:63" ht="51" x14ac:dyDescent="0.25">
      <c r="A339" s="324">
        <v>337</v>
      </c>
      <c r="B339" s="345" t="s">
        <v>2427</v>
      </c>
      <c r="C339" s="335" t="s">
        <v>2428</v>
      </c>
      <c r="D339" s="360" t="s">
        <v>1848</v>
      </c>
      <c r="E339" s="347">
        <v>1</v>
      </c>
      <c r="F339" s="314" t="s">
        <v>510</v>
      </c>
      <c r="G339" s="314" t="s">
        <v>510</v>
      </c>
      <c r="H339" s="314" t="s">
        <v>510</v>
      </c>
      <c r="I339" s="314" t="s">
        <v>510</v>
      </c>
      <c r="J339" s="314">
        <v>40</v>
      </c>
      <c r="K339" s="29">
        <f t="shared" si="42"/>
        <v>40</v>
      </c>
      <c r="L339" s="314" t="s">
        <v>504</v>
      </c>
      <c r="M339" s="314"/>
      <c r="N339" s="314"/>
      <c r="O339" s="314"/>
      <c r="P339" s="314"/>
      <c r="Q339" s="314"/>
      <c r="R339" s="314"/>
      <c r="S339" s="314"/>
      <c r="T339" s="314"/>
      <c r="U339" s="314"/>
      <c r="V339" s="350"/>
      <c r="W339" s="350"/>
      <c r="X339" s="350"/>
      <c r="Y339" s="350"/>
      <c r="Z339" s="307"/>
      <c r="AA339" s="350">
        <f t="shared" si="43"/>
        <v>0</v>
      </c>
      <c r="AB339" s="307"/>
      <c r="AC339" s="307"/>
      <c r="AD339" s="303"/>
      <c r="AE339" s="303"/>
      <c r="AF339" s="303"/>
      <c r="AG339" s="322"/>
      <c r="AH339" s="314"/>
      <c r="AI339" s="297">
        <f t="shared" si="44"/>
        <v>0</v>
      </c>
      <c r="AJ339" s="303"/>
      <c r="AK339" s="301"/>
      <c r="AL339" s="303"/>
      <c r="AM339" s="303"/>
      <c r="AN339" s="303"/>
      <c r="AO339" s="303"/>
      <c r="AP339" s="303"/>
      <c r="AQ339" s="289">
        <f t="shared" si="45"/>
        <v>0</v>
      </c>
      <c r="AR339" s="303"/>
      <c r="AS339" s="303"/>
      <c r="AT339" s="303" t="s">
        <v>510</v>
      </c>
      <c r="AU339" s="303" t="s">
        <v>510</v>
      </c>
      <c r="AV339" s="303" t="s">
        <v>519</v>
      </c>
      <c r="AW339" s="303" t="s">
        <v>510</v>
      </c>
      <c r="AX339" s="303">
        <v>40</v>
      </c>
      <c r="AY339" s="139">
        <f t="shared" si="46"/>
        <v>40</v>
      </c>
      <c r="AZ339" s="303" t="s">
        <v>520</v>
      </c>
      <c r="BA339" s="399" t="s">
        <v>2426</v>
      </c>
      <c r="BB339" s="356" t="s">
        <v>510</v>
      </c>
      <c r="BC339" s="356" t="s">
        <v>510</v>
      </c>
      <c r="BD339" s="356" t="s">
        <v>510</v>
      </c>
      <c r="BE339" s="303" t="s">
        <v>510</v>
      </c>
      <c r="BF339" s="352">
        <v>0</v>
      </c>
      <c r="BG339" s="353">
        <f t="shared" si="47"/>
        <v>0</v>
      </c>
      <c r="BH339" s="303" t="s">
        <v>504</v>
      </c>
      <c r="BI339" s="303"/>
      <c r="BJ339" s="354">
        <f t="shared" si="41"/>
        <v>2</v>
      </c>
      <c r="BK339" s="316" t="str">
        <f t="shared" si="40"/>
        <v>Habilitado</v>
      </c>
    </row>
    <row r="340" spans="1:63" ht="38.25" x14ac:dyDescent="0.25">
      <c r="A340" s="324">
        <v>338</v>
      </c>
      <c r="B340" s="345" t="s">
        <v>2429</v>
      </c>
      <c r="C340" s="335" t="s">
        <v>2430</v>
      </c>
      <c r="D340" s="360" t="s">
        <v>1635</v>
      </c>
      <c r="E340" s="347">
        <v>1</v>
      </c>
      <c r="F340" s="314"/>
      <c r="G340" s="314"/>
      <c r="H340" s="314"/>
      <c r="I340" s="314"/>
      <c r="J340" s="314"/>
      <c r="K340" s="29">
        <f t="shared" si="42"/>
        <v>0</v>
      </c>
      <c r="L340" s="314"/>
      <c r="M340" s="314"/>
      <c r="N340" s="314"/>
      <c r="O340" s="314"/>
      <c r="P340" s="314"/>
      <c r="Q340" s="314"/>
      <c r="R340" s="314"/>
      <c r="S340" s="314"/>
      <c r="T340" s="314"/>
      <c r="U340" s="314"/>
      <c r="V340" s="350"/>
      <c r="W340" s="350"/>
      <c r="X340" s="350"/>
      <c r="Y340" s="350"/>
      <c r="Z340" s="307"/>
      <c r="AA340" s="350">
        <f t="shared" si="43"/>
        <v>0</v>
      </c>
      <c r="AB340" s="307"/>
      <c r="AC340" s="307"/>
      <c r="AD340" s="303" t="s">
        <v>510</v>
      </c>
      <c r="AE340" s="303" t="s">
        <v>510</v>
      </c>
      <c r="AF340" s="303" t="s">
        <v>510</v>
      </c>
      <c r="AG340" s="322" t="s">
        <v>510</v>
      </c>
      <c r="AH340" s="314">
        <v>0</v>
      </c>
      <c r="AI340" s="297">
        <f t="shared" si="44"/>
        <v>0</v>
      </c>
      <c r="AJ340" s="303" t="s">
        <v>504</v>
      </c>
      <c r="AK340" s="303"/>
      <c r="AL340" s="303"/>
      <c r="AM340" s="303"/>
      <c r="AN340" s="303"/>
      <c r="AO340" s="303"/>
      <c r="AP340" s="303"/>
      <c r="AQ340" s="289">
        <f t="shared" si="45"/>
        <v>0</v>
      </c>
      <c r="AR340" s="303"/>
      <c r="AS340" s="303"/>
      <c r="AT340" s="329"/>
      <c r="AU340" s="329"/>
      <c r="AV340" s="329"/>
      <c r="AW340" s="329"/>
      <c r="AX340" s="329"/>
      <c r="AY340" s="139">
        <f t="shared" si="46"/>
        <v>0</v>
      </c>
      <c r="AZ340" s="303"/>
      <c r="BA340" s="303"/>
      <c r="BB340" s="356" t="s">
        <v>510</v>
      </c>
      <c r="BC340" s="356" t="s">
        <v>510</v>
      </c>
      <c r="BD340" s="356" t="s">
        <v>510</v>
      </c>
      <c r="BE340" s="303" t="s">
        <v>510</v>
      </c>
      <c r="BF340" s="352">
        <v>0</v>
      </c>
      <c r="BG340" s="353">
        <f t="shared" si="47"/>
        <v>0</v>
      </c>
      <c r="BH340" s="303" t="s">
        <v>504</v>
      </c>
      <c r="BI340" s="303"/>
      <c r="BJ340" s="354">
        <f t="shared" si="41"/>
        <v>2</v>
      </c>
      <c r="BK340" s="316" t="str">
        <f t="shared" si="40"/>
        <v>Habilitado</v>
      </c>
    </row>
    <row r="341" spans="1:63" ht="25.5" x14ac:dyDescent="0.25">
      <c r="A341" s="324">
        <v>339</v>
      </c>
      <c r="B341" s="345" t="s">
        <v>2431</v>
      </c>
      <c r="C341" s="335" t="s">
        <v>2432</v>
      </c>
      <c r="D341" s="360" t="s">
        <v>2433</v>
      </c>
      <c r="E341" s="347">
        <v>1</v>
      </c>
      <c r="F341" s="314" t="s">
        <v>510</v>
      </c>
      <c r="G341" s="314" t="s">
        <v>510</v>
      </c>
      <c r="H341" s="314" t="s">
        <v>510</v>
      </c>
      <c r="I341" s="314" t="s">
        <v>510</v>
      </c>
      <c r="J341" s="314">
        <v>40</v>
      </c>
      <c r="K341" s="29">
        <f t="shared" si="42"/>
        <v>40</v>
      </c>
      <c r="L341" s="314" t="s">
        <v>504</v>
      </c>
      <c r="M341" s="314"/>
      <c r="N341" s="314"/>
      <c r="O341" s="314"/>
      <c r="P341" s="314"/>
      <c r="Q341" s="314"/>
      <c r="R341" s="314"/>
      <c r="S341" s="314"/>
      <c r="T341" s="314"/>
      <c r="U341" s="314"/>
      <c r="V341" s="350"/>
      <c r="W341" s="350"/>
      <c r="X341" s="350"/>
      <c r="Y341" s="350"/>
      <c r="Z341" s="307"/>
      <c r="AA341" s="350">
        <f t="shared" si="43"/>
        <v>0</v>
      </c>
      <c r="AB341" s="307"/>
      <c r="AC341" s="305"/>
      <c r="AD341" s="307" t="s">
        <v>510</v>
      </c>
      <c r="AE341" s="303" t="s">
        <v>510</v>
      </c>
      <c r="AF341" s="303" t="s">
        <v>510</v>
      </c>
      <c r="AG341" s="322" t="s">
        <v>510</v>
      </c>
      <c r="AH341" s="314">
        <v>0</v>
      </c>
      <c r="AI341" s="297">
        <f t="shared" si="44"/>
        <v>0</v>
      </c>
      <c r="AJ341" s="303" t="s">
        <v>504</v>
      </c>
      <c r="AK341" s="303"/>
      <c r="AL341" s="303"/>
      <c r="AM341" s="303"/>
      <c r="AN341" s="303"/>
      <c r="AO341" s="303"/>
      <c r="AP341" s="303"/>
      <c r="AQ341" s="289">
        <f t="shared" si="45"/>
        <v>0</v>
      </c>
      <c r="AR341" s="303"/>
      <c r="AS341" s="303"/>
      <c r="AT341" s="329"/>
      <c r="AU341" s="329"/>
      <c r="AV341" s="329"/>
      <c r="AW341" s="329"/>
      <c r="AX341" s="329"/>
      <c r="AY341" s="139">
        <f t="shared" si="46"/>
        <v>0</v>
      </c>
      <c r="AZ341" s="303"/>
      <c r="BA341" s="303"/>
      <c r="BB341" s="369" t="s">
        <v>510</v>
      </c>
      <c r="BC341" s="369" t="s">
        <v>510</v>
      </c>
      <c r="BD341" s="369" t="s">
        <v>510</v>
      </c>
      <c r="BE341" s="303" t="s">
        <v>510</v>
      </c>
      <c r="BF341" s="366">
        <v>0</v>
      </c>
      <c r="BG341" s="353">
        <f t="shared" si="47"/>
        <v>0</v>
      </c>
      <c r="BH341" s="322" t="s">
        <v>504</v>
      </c>
      <c r="BI341" s="322"/>
      <c r="BJ341" s="354">
        <f t="shared" si="41"/>
        <v>3</v>
      </c>
      <c r="BK341" s="316" t="str">
        <f t="shared" si="40"/>
        <v>Habilitado</v>
      </c>
    </row>
    <row r="342" spans="1:63" ht="51" x14ac:dyDescent="0.25">
      <c r="A342" s="324">
        <v>340</v>
      </c>
      <c r="B342" s="345" t="s">
        <v>2434</v>
      </c>
      <c r="C342" s="335" t="s">
        <v>2435</v>
      </c>
      <c r="D342" s="360" t="s">
        <v>2436</v>
      </c>
      <c r="E342" s="347">
        <v>1</v>
      </c>
      <c r="F342" s="314" t="s">
        <v>510</v>
      </c>
      <c r="G342" s="314" t="s">
        <v>510</v>
      </c>
      <c r="H342" s="314" t="s">
        <v>510</v>
      </c>
      <c r="I342" s="314" t="s">
        <v>510</v>
      </c>
      <c r="J342" s="314">
        <v>40</v>
      </c>
      <c r="K342" s="29">
        <f t="shared" si="42"/>
        <v>40</v>
      </c>
      <c r="L342" s="314" t="s">
        <v>504</v>
      </c>
      <c r="M342" s="314"/>
      <c r="N342" s="314"/>
      <c r="O342" s="314"/>
      <c r="P342" s="314"/>
      <c r="Q342" s="314"/>
      <c r="R342" s="314"/>
      <c r="S342" s="314"/>
      <c r="T342" s="314"/>
      <c r="U342" s="314"/>
      <c r="V342" s="350"/>
      <c r="W342" s="350"/>
      <c r="X342" s="350"/>
      <c r="Y342" s="350"/>
      <c r="Z342" s="307"/>
      <c r="AA342" s="350">
        <f t="shared" si="43"/>
        <v>0</v>
      </c>
      <c r="AB342" s="307"/>
      <c r="AC342" s="307"/>
      <c r="AD342" s="303" t="s">
        <v>510</v>
      </c>
      <c r="AE342" s="303" t="s">
        <v>510</v>
      </c>
      <c r="AF342" s="303" t="s">
        <v>510</v>
      </c>
      <c r="AG342" s="322" t="s">
        <v>510</v>
      </c>
      <c r="AH342" s="314">
        <v>0</v>
      </c>
      <c r="AI342" s="297">
        <f t="shared" si="44"/>
        <v>0</v>
      </c>
      <c r="AJ342" s="303" t="s">
        <v>504</v>
      </c>
      <c r="AK342" s="303"/>
      <c r="AL342" s="303"/>
      <c r="AM342" s="303"/>
      <c r="AN342" s="303"/>
      <c r="AO342" s="303"/>
      <c r="AP342" s="303"/>
      <c r="AQ342" s="289">
        <f t="shared" si="45"/>
        <v>0</v>
      </c>
      <c r="AR342" s="303"/>
      <c r="AS342" s="303"/>
      <c r="AT342" s="329"/>
      <c r="AU342" s="329"/>
      <c r="AV342" s="329"/>
      <c r="AW342" s="329"/>
      <c r="AX342" s="329"/>
      <c r="AY342" s="139">
        <f t="shared" si="46"/>
        <v>0</v>
      </c>
      <c r="AZ342" s="303"/>
      <c r="BA342" s="303"/>
      <c r="BB342" s="369" t="s">
        <v>510</v>
      </c>
      <c r="BC342" s="369" t="s">
        <v>510</v>
      </c>
      <c r="BD342" s="369" t="s">
        <v>510</v>
      </c>
      <c r="BE342" s="303" t="s">
        <v>510</v>
      </c>
      <c r="BF342" s="366">
        <v>0</v>
      </c>
      <c r="BG342" s="353">
        <f t="shared" si="47"/>
        <v>0</v>
      </c>
      <c r="BH342" s="322" t="s">
        <v>504</v>
      </c>
      <c r="BI342" s="322"/>
      <c r="BJ342" s="354">
        <f t="shared" si="41"/>
        <v>3</v>
      </c>
      <c r="BK342" s="316" t="str">
        <f t="shared" si="40"/>
        <v>Habilitado</v>
      </c>
    </row>
    <row r="343" spans="1:63" ht="25.5" x14ac:dyDescent="0.25">
      <c r="A343" s="324">
        <v>341</v>
      </c>
      <c r="B343" s="325" t="s">
        <v>2437</v>
      </c>
      <c r="C343" s="325" t="s">
        <v>2363</v>
      </c>
      <c r="D343" s="325" t="s">
        <v>2390</v>
      </c>
      <c r="E343" s="362">
        <v>1</v>
      </c>
      <c r="F343" s="406" t="s">
        <v>510</v>
      </c>
      <c r="G343" s="406" t="s">
        <v>510</v>
      </c>
      <c r="H343" s="406" t="s">
        <v>510</v>
      </c>
      <c r="I343" s="406" t="s">
        <v>510</v>
      </c>
      <c r="J343" s="406">
        <v>40</v>
      </c>
      <c r="K343" s="29">
        <f t="shared" si="42"/>
        <v>40</v>
      </c>
      <c r="L343" s="314" t="s">
        <v>504</v>
      </c>
      <c r="M343" s="406"/>
      <c r="N343" s="406"/>
      <c r="O343" s="406"/>
      <c r="P343" s="406"/>
      <c r="Q343" s="406"/>
      <c r="R343" s="406"/>
      <c r="S343" s="406"/>
      <c r="T343" s="406"/>
      <c r="U343" s="406"/>
      <c r="V343" s="350"/>
      <c r="W343" s="350"/>
      <c r="X343" s="350"/>
      <c r="Y343" s="350"/>
      <c r="Z343" s="307"/>
      <c r="AA343" s="350">
        <f t="shared" si="43"/>
        <v>0</v>
      </c>
      <c r="AB343" s="307"/>
      <c r="AC343" s="307"/>
      <c r="AD343" s="304"/>
      <c r="AE343" s="304"/>
      <c r="AF343" s="304"/>
      <c r="AG343" s="304"/>
      <c r="AH343" s="326"/>
      <c r="AI343" s="297">
        <f t="shared" si="44"/>
        <v>0</v>
      </c>
      <c r="AJ343" s="304"/>
      <c r="AK343" s="304"/>
      <c r="AL343" s="304"/>
      <c r="AM343" s="304"/>
      <c r="AN343" s="304"/>
      <c r="AO343" s="304"/>
      <c r="AP343" s="304"/>
      <c r="AQ343" s="289">
        <f t="shared" si="45"/>
        <v>0</v>
      </c>
      <c r="AR343" s="304"/>
      <c r="AS343" s="304"/>
      <c r="AT343" s="325"/>
      <c r="AU343" s="325"/>
      <c r="AV343" s="325"/>
      <c r="AW343" s="325"/>
      <c r="AX343" s="325"/>
      <c r="AY343" s="139">
        <f t="shared" si="46"/>
        <v>0</v>
      </c>
      <c r="AZ343" s="304"/>
      <c r="BA343" s="304"/>
      <c r="BB343" s="303"/>
      <c r="BC343" s="303"/>
      <c r="BD343" s="303"/>
      <c r="BE343" s="303"/>
      <c r="BF343" s="303"/>
      <c r="BG343" s="353">
        <f t="shared" si="47"/>
        <v>0</v>
      </c>
      <c r="BH343" s="303"/>
      <c r="BI343" s="303"/>
      <c r="BJ343" s="354">
        <f t="shared" si="41"/>
        <v>1</v>
      </c>
      <c r="BK343" s="316" t="str">
        <f t="shared" si="40"/>
        <v>Habilitado</v>
      </c>
    </row>
    <row r="344" spans="1:63" ht="25.5" x14ac:dyDescent="0.25">
      <c r="A344" s="324">
        <v>342</v>
      </c>
      <c r="B344" s="325" t="s">
        <v>2438</v>
      </c>
      <c r="C344" s="325" t="s">
        <v>518</v>
      </c>
      <c r="D344" s="325" t="s">
        <v>1525</v>
      </c>
      <c r="E344" s="362">
        <v>1</v>
      </c>
      <c r="F344" s="406" t="s">
        <v>510</v>
      </c>
      <c r="G344" s="406" t="s">
        <v>510</v>
      </c>
      <c r="H344" s="406" t="s">
        <v>510</v>
      </c>
      <c r="I344" s="406" t="s">
        <v>510</v>
      </c>
      <c r="J344" s="406">
        <v>40</v>
      </c>
      <c r="K344" s="29">
        <f t="shared" si="42"/>
        <v>40</v>
      </c>
      <c r="L344" s="314" t="s">
        <v>504</v>
      </c>
      <c r="M344" s="406" t="s">
        <v>551</v>
      </c>
      <c r="N344" s="406"/>
      <c r="O344" s="406"/>
      <c r="P344" s="406"/>
      <c r="Q344" s="406"/>
      <c r="R344" s="406"/>
      <c r="S344" s="406"/>
      <c r="T344" s="406"/>
      <c r="U344" s="406"/>
      <c r="V344" s="350"/>
      <c r="W344" s="350"/>
      <c r="X344" s="350"/>
      <c r="Y344" s="350"/>
      <c r="Z344" s="307"/>
      <c r="AA344" s="350">
        <f t="shared" si="43"/>
        <v>0</v>
      </c>
      <c r="AB344" s="307"/>
      <c r="AC344" s="307"/>
      <c r="AD344" s="304"/>
      <c r="AE344" s="304"/>
      <c r="AF344" s="304"/>
      <c r="AG344" s="304"/>
      <c r="AH344" s="326"/>
      <c r="AI344" s="297">
        <f t="shared" si="44"/>
        <v>0</v>
      </c>
      <c r="AJ344" s="304"/>
      <c r="AK344" s="304"/>
      <c r="AL344" s="304"/>
      <c r="AM344" s="304"/>
      <c r="AN344" s="304"/>
      <c r="AO344" s="304"/>
      <c r="AP344" s="304"/>
      <c r="AQ344" s="289">
        <f t="shared" si="45"/>
        <v>0</v>
      </c>
      <c r="AR344" s="304"/>
      <c r="AS344" s="304"/>
      <c r="AT344" s="325"/>
      <c r="AU344" s="325"/>
      <c r="AV344" s="325"/>
      <c r="AW344" s="325"/>
      <c r="AX344" s="325"/>
      <c r="AY344" s="139">
        <f t="shared" si="46"/>
        <v>0</v>
      </c>
      <c r="AZ344" s="304"/>
      <c r="BA344" s="304"/>
      <c r="BB344" s="303"/>
      <c r="BC344" s="303"/>
      <c r="BD344" s="303"/>
      <c r="BE344" s="303"/>
      <c r="BF344" s="303"/>
      <c r="BG344" s="353">
        <f t="shared" si="47"/>
        <v>0</v>
      </c>
      <c r="BH344" s="303"/>
      <c r="BI344" s="303"/>
      <c r="BJ344" s="354">
        <f t="shared" si="41"/>
        <v>1</v>
      </c>
      <c r="BK344" s="316" t="str">
        <f t="shared" si="40"/>
        <v>Habilitado</v>
      </c>
    </row>
    <row r="345" spans="1:63" ht="41.25" customHeight="1" x14ac:dyDescent="0.25">
      <c r="A345" s="324">
        <v>343</v>
      </c>
      <c r="B345" s="345" t="s">
        <v>2439</v>
      </c>
      <c r="C345" s="335" t="s">
        <v>518</v>
      </c>
      <c r="D345" s="360" t="s">
        <v>140</v>
      </c>
      <c r="E345" s="347">
        <v>1</v>
      </c>
      <c r="F345" s="314" t="s">
        <v>510</v>
      </c>
      <c r="G345" s="314" t="s">
        <v>510</v>
      </c>
      <c r="H345" s="314" t="s">
        <v>511</v>
      </c>
      <c r="I345" s="314" t="s">
        <v>510</v>
      </c>
      <c r="J345" s="314">
        <v>40</v>
      </c>
      <c r="K345" s="29">
        <f t="shared" si="42"/>
        <v>40</v>
      </c>
      <c r="L345" s="314" t="s">
        <v>504</v>
      </c>
      <c r="M345" s="314"/>
      <c r="N345" s="314"/>
      <c r="O345" s="314"/>
      <c r="P345" s="314"/>
      <c r="Q345" s="314"/>
      <c r="R345" s="314"/>
      <c r="S345" s="314"/>
      <c r="T345" s="314"/>
      <c r="U345" s="314"/>
      <c r="V345" s="350" t="s">
        <v>510</v>
      </c>
      <c r="W345" s="350" t="s">
        <v>510</v>
      </c>
      <c r="X345" s="350" t="s">
        <v>511</v>
      </c>
      <c r="Y345" s="350" t="s">
        <v>510</v>
      </c>
      <c r="Z345" s="304">
        <v>20</v>
      </c>
      <c r="AA345" s="350">
        <f t="shared" si="43"/>
        <v>20</v>
      </c>
      <c r="AB345" s="307" t="s">
        <v>504</v>
      </c>
      <c r="AC345" s="306"/>
      <c r="AD345" s="303"/>
      <c r="AE345" s="303"/>
      <c r="AF345" s="303"/>
      <c r="AG345" s="303"/>
      <c r="AH345" s="314"/>
      <c r="AI345" s="297">
        <f t="shared" si="44"/>
        <v>0</v>
      </c>
      <c r="AJ345" s="303"/>
      <c r="AK345" s="303"/>
      <c r="AL345" s="303"/>
      <c r="AM345" s="303"/>
      <c r="AN345" s="303"/>
      <c r="AO345" s="303"/>
      <c r="AP345" s="303"/>
      <c r="AQ345" s="289">
        <f t="shared" si="45"/>
        <v>0</v>
      </c>
      <c r="AR345" s="303"/>
      <c r="AS345" s="301"/>
      <c r="AT345" s="303" t="s">
        <v>510</v>
      </c>
      <c r="AU345" s="303" t="s">
        <v>519</v>
      </c>
      <c r="AV345" s="303" t="s">
        <v>511</v>
      </c>
      <c r="AW345" s="303" t="s">
        <v>510</v>
      </c>
      <c r="AX345" s="303">
        <v>0</v>
      </c>
      <c r="AY345" s="139">
        <f t="shared" si="46"/>
        <v>0</v>
      </c>
      <c r="AZ345" s="303" t="s">
        <v>520</v>
      </c>
      <c r="BA345" s="301"/>
      <c r="BB345" s="303"/>
      <c r="BC345" s="303"/>
      <c r="BD345" s="303"/>
      <c r="BE345" s="303"/>
      <c r="BF345" s="303"/>
      <c r="BG345" s="353">
        <f t="shared" si="47"/>
        <v>0</v>
      </c>
      <c r="BH345" s="303"/>
      <c r="BI345" s="301"/>
      <c r="BJ345" s="354">
        <f t="shared" si="41"/>
        <v>2</v>
      </c>
      <c r="BK345" s="316" t="str">
        <f t="shared" si="40"/>
        <v>Habilitado</v>
      </c>
    </row>
    <row r="346" spans="1:63" ht="25.5" x14ac:dyDescent="0.25">
      <c r="A346" s="324">
        <v>344</v>
      </c>
      <c r="B346" s="345" t="s">
        <v>2440</v>
      </c>
      <c r="C346" s="380" t="s">
        <v>2441</v>
      </c>
      <c r="D346" s="329" t="s">
        <v>140</v>
      </c>
      <c r="E346" s="347">
        <v>1</v>
      </c>
      <c r="F346" s="314"/>
      <c r="G346" s="314"/>
      <c r="H346" s="314"/>
      <c r="I346" s="314"/>
      <c r="J346" s="314"/>
      <c r="K346" s="29">
        <f t="shared" si="42"/>
        <v>0</v>
      </c>
      <c r="L346" s="314"/>
      <c r="M346" s="314"/>
      <c r="N346" s="314"/>
      <c r="O346" s="314"/>
      <c r="P346" s="314"/>
      <c r="Q346" s="314"/>
      <c r="R346" s="314"/>
      <c r="S346" s="314"/>
      <c r="T346" s="314"/>
      <c r="U346" s="314"/>
      <c r="V346" s="350" t="s">
        <v>510</v>
      </c>
      <c r="W346" s="350" t="s">
        <v>510</v>
      </c>
      <c r="X346" s="350" t="s">
        <v>511</v>
      </c>
      <c r="Y346" s="350" t="s">
        <v>510</v>
      </c>
      <c r="Z346" s="304">
        <v>20</v>
      </c>
      <c r="AA346" s="350">
        <f t="shared" si="43"/>
        <v>20</v>
      </c>
      <c r="AB346" s="307" t="s">
        <v>504</v>
      </c>
      <c r="AC346" s="306"/>
      <c r="AD346" s="303"/>
      <c r="AE346" s="303"/>
      <c r="AF346" s="303"/>
      <c r="AG346" s="303"/>
      <c r="AH346" s="314"/>
      <c r="AI346" s="297">
        <f t="shared" si="44"/>
        <v>0</v>
      </c>
      <c r="AJ346" s="303"/>
      <c r="AK346" s="303"/>
      <c r="AL346" s="303"/>
      <c r="AM346" s="303"/>
      <c r="AN346" s="303"/>
      <c r="AO346" s="303"/>
      <c r="AP346" s="303"/>
      <c r="AQ346" s="289">
        <f t="shared" si="45"/>
        <v>0</v>
      </c>
      <c r="AR346" s="303"/>
      <c r="AS346" s="303"/>
      <c r="AT346" s="303" t="s">
        <v>510</v>
      </c>
      <c r="AU346" s="303" t="s">
        <v>510</v>
      </c>
      <c r="AV346" s="303" t="s">
        <v>511</v>
      </c>
      <c r="AW346" s="303" t="s">
        <v>510</v>
      </c>
      <c r="AX346" s="314">
        <v>40</v>
      </c>
      <c r="AY346" s="139">
        <f t="shared" si="46"/>
        <v>40</v>
      </c>
      <c r="AZ346" s="303" t="s">
        <v>504</v>
      </c>
      <c r="BA346" s="303"/>
      <c r="BB346" s="303"/>
      <c r="BC346" s="303"/>
      <c r="BD346" s="303"/>
      <c r="BE346" s="303"/>
      <c r="BF346" s="303"/>
      <c r="BG346" s="353">
        <f t="shared" si="47"/>
        <v>0</v>
      </c>
      <c r="BH346" s="303"/>
      <c r="BI346" s="303"/>
      <c r="BJ346" s="354">
        <f t="shared" si="41"/>
        <v>2</v>
      </c>
      <c r="BK346" s="316" t="str">
        <f t="shared" si="40"/>
        <v>Habilitado</v>
      </c>
    </row>
    <row r="347" spans="1:63" ht="25.5" x14ac:dyDescent="0.25">
      <c r="A347" s="324">
        <v>345</v>
      </c>
      <c r="B347" s="345" t="s">
        <v>2442</v>
      </c>
      <c r="C347" s="400" t="s">
        <v>2363</v>
      </c>
      <c r="D347" s="329" t="s">
        <v>3</v>
      </c>
      <c r="E347" s="347">
        <v>1</v>
      </c>
      <c r="F347" s="314" t="s">
        <v>510</v>
      </c>
      <c r="G347" s="314" t="s">
        <v>510</v>
      </c>
      <c r="H347" s="314" t="s">
        <v>510</v>
      </c>
      <c r="I347" s="314" t="s">
        <v>510</v>
      </c>
      <c r="J347" s="314">
        <v>40</v>
      </c>
      <c r="K347" s="29">
        <f t="shared" si="42"/>
        <v>40</v>
      </c>
      <c r="L347" s="314" t="s">
        <v>504</v>
      </c>
      <c r="M347" s="314"/>
      <c r="N347" s="314"/>
      <c r="O347" s="314"/>
      <c r="P347" s="314"/>
      <c r="Q347" s="314"/>
      <c r="R347" s="314"/>
      <c r="S347" s="314"/>
      <c r="T347" s="314"/>
      <c r="U347" s="314"/>
      <c r="V347" s="350"/>
      <c r="W347" s="350"/>
      <c r="X347" s="350"/>
      <c r="Y347" s="350"/>
      <c r="Z347" s="307"/>
      <c r="AA347" s="350">
        <f t="shared" si="43"/>
        <v>0</v>
      </c>
      <c r="AB347" s="307"/>
      <c r="AC347" s="307"/>
      <c r="AD347" s="303"/>
      <c r="AE347" s="303"/>
      <c r="AF347" s="303"/>
      <c r="AG347" s="303"/>
      <c r="AH347" s="314"/>
      <c r="AI347" s="297">
        <f t="shared" si="44"/>
        <v>0</v>
      </c>
      <c r="AJ347" s="303"/>
      <c r="AK347" s="303"/>
      <c r="AL347" s="303"/>
      <c r="AM347" s="303"/>
      <c r="AN347" s="303"/>
      <c r="AO347" s="303"/>
      <c r="AP347" s="303"/>
      <c r="AQ347" s="289">
        <f t="shared" si="45"/>
        <v>0</v>
      </c>
      <c r="AR347" s="303"/>
      <c r="AS347" s="303"/>
      <c r="AT347" s="329"/>
      <c r="AU347" s="329"/>
      <c r="AV347" s="329"/>
      <c r="AW347" s="329"/>
      <c r="AX347" s="329"/>
      <c r="AY347" s="139">
        <f t="shared" si="46"/>
        <v>0</v>
      </c>
      <c r="AZ347" s="303"/>
      <c r="BA347" s="303"/>
      <c r="BB347" s="303"/>
      <c r="BC347" s="303"/>
      <c r="BD347" s="303"/>
      <c r="BE347" s="303"/>
      <c r="BF347" s="303"/>
      <c r="BG347" s="353">
        <f t="shared" si="47"/>
        <v>0</v>
      </c>
      <c r="BH347" s="303"/>
      <c r="BI347" s="303"/>
      <c r="BJ347" s="354">
        <f t="shared" si="41"/>
        <v>1</v>
      </c>
      <c r="BK347" s="316" t="str">
        <f t="shared" si="40"/>
        <v>Habilitado</v>
      </c>
    </row>
    <row r="348" spans="1:63" ht="25.5" x14ac:dyDescent="0.25">
      <c r="A348" s="324">
        <v>346</v>
      </c>
      <c r="B348" s="345" t="s">
        <v>2443</v>
      </c>
      <c r="C348" s="335" t="s">
        <v>518</v>
      </c>
      <c r="D348" s="360" t="s">
        <v>140</v>
      </c>
      <c r="E348" s="347">
        <v>1</v>
      </c>
      <c r="F348" s="314" t="s">
        <v>510</v>
      </c>
      <c r="G348" s="314" t="s">
        <v>510</v>
      </c>
      <c r="H348" s="314" t="s">
        <v>511</v>
      </c>
      <c r="I348" s="314" t="s">
        <v>510</v>
      </c>
      <c r="J348" s="314">
        <v>40</v>
      </c>
      <c r="K348" s="29">
        <f t="shared" si="42"/>
        <v>40</v>
      </c>
      <c r="L348" s="314" t="s">
        <v>504</v>
      </c>
      <c r="M348" s="314"/>
      <c r="N348" s="314"/>
      <c r="O348" s="314"/>
      <c r="P348" s="314"/>
      <c r="Q348" s="314"/>
      <c r="R348" s="314"/>
      <c r="S348" s="314"/>
      <c r="T348" s="314"/>
      <c r="U348" s="314"/>
      <c r="V348" s="350"/>
      <c r="W348" s="350"/>
      <c r="X348" s="350"/>
      <c r="Y348" s="350"/>
      <c r="Z348" s="307"/>
      <c r="AA348" s="350">
        <f t="shared" si="43"/>
        <v>0</v>
      </c>
      <c r="AB348" s="307"/>
      <c r="AC348" s="307"/>
      <c r="AD348" s="303"/>
      <c r="AE348" s="303"/>
      <c r="AF348" s="303"/>
      <c r="AG348" s="303"/>
      <c r="AH348" s="314"/>
      <c r="AI348" s="297">
        <f t="shared" si="44"/>
        <v>0</v>
      </c>
      <c r="AJ348" s="303"/>
      <c r="AK348" s="303"/>
      <c r="AL348" s="303"/>
      <c r="AM348" s="303"/>
      <c r="AN348" s="303"/>
      <c r="AO348" s="303"/>
      <c r="AP348" s="303"/>
      <c r="AQ348" s="289">
        <f t="shared" si="45"/>
        <v>0</v>
      </c>
      <c r="AR348" s="303"/>
      <c r="AS348" s="303"/>
      <c r="AT348" s="329"/>
      <c r="AU348" s="329"/>
      <c r="AV348" s="329"/>
      <c r="AW348" s="329"/>
      <c r="AX348" s="329"/>
      <c r="AY348" s="139">
        <f t="shared" si="46"/>
        <v>0</v>
      </c>
      <c r="AZ348" s="303"/>
      <c r="BA348" s="303"/>
      <c r="BB348" s="303"/>
      <c r="BC348" s="303"/>
      <c r="BD348" s="303"/>
      <c r="BE348" s="303"/>
      <c r="BF348" s="303"/>
      <c r="BG348" s="353">
        <f t="shared" si="47"/>
        <v>0</v>
      </c>
      <c r="BH348" s="303"/>
      <c r="BI348" s="303"/>
      <c r="BJ348" s="354">
        <f t="shared" si="41"/>
        <v>1</v>
      </c>
      <c r="BK348" s="316" t="str">
        <f t="shared" si="40"/>
        <v>Habilitado</v>
      </c>
    </row>
    <row r="349" spans="1:63" x14ac:dyDescent="0.25">
      <c r="A349" s="324">
        <v>347</v>
      </c>
      <c r="B349" s="345" t="s">
        <v>2444</v>
      </c>
      <c r="C349" s="357" t="s">
        <v>2445</v>
      </c>
      <c r="D349" s="360" t="s">
        <v>140</v>
      </c>
      <c r="E349" s="347">
        <v>1</v>
      </c>
      <c r="F349" s="314"/>
      <c r="G349" s="314"/>
      <c r="H349" s="314"/>
      <c r="I349" s="314"/>
      <c r="J349" s="314"/>
      <c r="K349" s="29">
        <f t="shared" si="42"/>
        <v>0</v>
      </c>
      <c r="L349" s="314"/>
      <c r="M349" s="314"/>
      <c r="N349" s="314"/>
      <c r="O349" s="314"/>
      <c r="P349" s="314"/>
      <c r="Q349" s="314"/>
      <c r="R349" s="314"/>
      <c r="S349" s="314"/>
      <c r="T349" s="314"/>
      <c r="U349" s="314"/>
      <c r="V349" s="350"/>
      <c r="W349" s="350"/>
      <c r="X349" s="350"/>
      <c r="Y349" s="350"/>
      <c r="Z349" s="307"/>
      <c r="AA349" s="350">
        <f t="shared" si="43"/>
        <v>0</v>
      </c>
      <c r="AB349" s="307"/>
      <c r="AC349" s="307"/>
      <c r="AD349" s="303"/>
      <c r="AE349" s="303"/>
      <c r="AF349" s="303"/>
      <c r="AG349" s="303"/>
      <c r="AH349" s="314"/>
      <c r="AI349" s="297">
        <f t="shared" si="44"/>
        <v>0</v>
      </c>
      <c r="AJ349" s="303"/>
      <c r="AK349" s="303"/>
      <c r="AL349" s="303"/>
      <c r="AM349" s="303"/>
      <c r="AN349" s="303"/>
      <c r="AO349" s="303"/>
      <c r="AP349" s="303"/>
      <c r="AQ349" s="289">
        <f t="shared" si="45"/>
        <v>0</v>
      </c>
      <c r="AR349" s="303"/>
      <c r="AS349" s="303"/>
      <c r="AT349" s="329"/>
      <c r="AU349" s="329"/>
      <c r="AV349" s="329"/>
      <c r="AW349" s="329"/>
      <c r="AX349" s="329"/>
      <c r="AY349" s="139">
        <f t="shared" si="46"/>
        <v>0</v>
      </c>
      <c r="AZ349" s="303"/>
      <c r="BA349" s="303"/>
      <c r="BB349" s="303"/>
      <c r="BC349" s="303"/>
      <c r="BD349" s="303"/>
      <c r="BE349" s="303"/>
      <c r="BF349" s="303"/>
      <c r="BG349" s="353">
        <f t="shared" si="47"/>
        <v>0</v>
      </c>
      <c r="BH349" s="303"/>
      <c r="BI349" s="303"/>
      <c r="BJ349" s="354">
        <f t="shared" si="41"/>
        <v>0</v>
      </c>
      <c r="BK349" s="316" t="str">
        <f t="shared" si="40"/>
        <v>Desierto</v>
      </c>
    </row>
    <row r="350" spans="1:63" x14ac:dyDescent="0.25">
      <c r="A350" s="324">
        <v>348</v>
      </c>
      <c r="B350" s="345" t="s">
        <v>2446</v>
      </c>
      <c r="C350" s="335" t="s">
        <v>518</v>
      </c>
      <c r="D350" s="360" t="s">
        <v>2447</v>
      </c>
      <c r="E350" s="347">
        <v>1</v>
      </c>
      <c r="F350" s="314" t="s">
        <v>510</v>
      </c>
      <c r="G350" s="314" t="s">
        <v>510</v>
      </c>
      <c r="H350" s="314" t="s">
        <v>511</v>
      </c>
      <c r="I350" s="314" t="s">
        <v>510</v>
      </c>
      <c r="J350" s="314">
        <v>40</v>
      </c>
      <c r="K350" s="29">
        <f t="shared" si="42"/>
        <v>40</v>
      </c>
      <c r="L350" s="314" t="s">
        <v>504</v>
      </c>
      <c r="M350" s="314"/>
      <c r="N350" s="314"/>
      <c r="O350" s="314"/>
      <c r="P350" s="314"/>
      <c r="Q350" s="314"/>
      <c r="R350" s="314"/>
      <c r="S350" s="314"/>
      <c r="T350" s="314"/>
      <c r="U350" s="314"/>
      <c r="V350" s="350"/>
      <c r="W350" s="350"/>
      <c r="X350" s="350"/>
      <c r="Y350" s="350"/>
      <c r="Z350" s="307"/>
      <c r="AA350" s="350">
        <f t="shared" si="43"/>
        <v>0</v>
      </c>
      <c r="AB350" s="307"/>
      <c r="AC350" s="307"/>
      <c r="AD350" s="303"/>
      <c r="AE350" s="303"/>
      <c r="AF350" s="303"/>
      <c r="AG350" s="303"/>
      <c r="AH350" s="314"/>
      <c r="AI350" s="297">
        <f t="shared" si="44"/>
        <v>0</v>
      </c>
      <c r="AJ350" s="303"/>
      <c r="AK350" s="303"/>
      <c r="AL350" s="303"/>
      <c r="AM350" s="303"/>
      <c r="AN350" s="303"/>
      <c r="AO350" s="303"/>
      <c r="AP350" s="303"/>
      <c r="AQ350" s="289">
        <f t="shared" si="45"/>
        <v>0</v>
      </c>
      <c r="AR350" s="303"/>
      <c r="AS350" s="303"/>
      <c r="AT350" s="329"/>
      <c r="AU350" s="329"/>
      <c r="AV350" s="329"/>
      <c r="AW350" s="329"/>
      <c r="AX350" s="329"/>
      <c r="AY350" s="139">
        <f t="shared" si="46"/>
        <v>0</v>
      </c>
      <c r="AZ350" s="303"/>
      <c r="BA350" s="303"/>
      <c r="BB350" s="304"/>
      <c r="BC350" s="304"/>
      <c r="BD350" s="304"/>
      <c r="BE350" s="304"/>
      <c r="BF350" s="304"/>
      <c r="BG350" s="353">
        <f t="shared" si="47"/>
        <v>0</v>
      </c>
      <c r="BH350" s="304"/>
      <c r="BI350" s="304"/>
      <c r="BJ350" s="354">
        <f t="shared" si="41"/>
        <v>1</v>
      </c>
      <c r="BK350" s="316" t="str">
        <f t="shared" si="40"/>
        <v>Habilitado</v>
      </c>
    </row>
    <row r="351" spans="1:63" x14ac:dyDescent="0.25">
      <c r="A351" s="324">
        <v>349</v>
      </c>
      <c r="B351" s="345" t="s">
        <v>2448</v>
      </c>
      <c r="C351" s="335" t="s">
        <v>2449</v>
      </c>
      <c r="D351" s="360" t="s">
        <v>2450</v>
      </c>
      <c r="E351" s="347">
        <v>1</v>
      </c>
      <c r="F351" s="314" t="s">
        <v>510</v>
      </c>
      <c r="G351" s="314" t="s">
        <v>510</v>
      </c>
      <c r="H351" s="314" t="s">
        <v>510</v>
      </c>
      <c r="I351" s="314" t="s">
        <v>510</v>
      </c>
      <c r="J351" s="314">
        <v>40</v>
      </c>
      <c r="K351" s="29">
        <f t="shared" si="42"/>
        <v>40</v>
      </c>
      <c r="L351" s="314" t="s">
        <v>504</v>
      </c>
      <c r="M351" s="314"/>
      <c r="N351" s="314"/>
      <c r="O351" s="314"/>
      <c r="P351" s="314"/>
      <c r="Q351" s="314"/>
      <c r="R351" s="314"/>
      <c r="S351" s="314"/>
      <c r="T351" s="314"/>
      <c r="U351" s="314"/>
      <c r="V351" s="350"/>
      <c r="W351" s="350"/>
      <c r="X351" s="350"/>
      <c r="Y351" s="350"/>
      <c r="Z351" s="307"/>
      <c r="AA351" s="350">
        <f t="shared" si="43"/>
        <v>0</v>
      </c>
      <c r="AB351" s="307"/>
      <c r="AC351" s="307"/>
      <c r="AD351" s="303" t="s">
        <v>510</v>
      </c>
      <c r="AE351" s="303" t="s">
        <v>510</v>
      </c>
      <c r="AF351" s="303" t="s">
        <v>510</v>
      </c>
      <c r="AG351" s="303" t="s">
        <v>510</v>
      </c>
      <c r="AH351" s="314">
        <v>0</v>
      </c>
      <c r="AI351" s="297">
        <f t="shared" si="44"/>
        <v>0</v>
      </c>
      <c r="AJ351" s="303" t="s">
        <v>504</v>
      </c>
      <c r="AK351" s="303"/>
      <c r="AL351" s="303"/>
      <c r="AM351" s="303"/>
      <c r="AN351" s="303"/>
      <c r="AO351" s="303"/>
      <c r="AP351" s="303"/>
      <c r="AQ351" s="289">
        <f t="shared" si="45"/>
        <v>0</v>
      </c>
      <c r="AR351" s="303"/>
      <c r="AS351" s="303"/>
      <c r="AT351" s="329"/>
      <c r="AU351" s="329"/>
      <c r="AV351" s="329"/>
      <c r="AW351" s="329"/>
      <c r="AX351" s="329"/>
      <c r="AY351" s="139">
        <f t="shared" si="46"/>
        <v>0</v>
      </c>
      <c r="AZ351" s="303"/>
      <c r="BA351" s="303"/>
      <c r="BB351" s="356" t="s">
        <v>510</v>
      </c>
      <c r="BC351" s="356" t="s">
        <v>510</v>
      </c>
      <c r="BD351" s="356" t="s">
        <v>510</v>
      </c>
      <c r="BE351" s="303" t="s">
        <v>510</v>
      </c>
      <c r="BF351" s="352">
        <v>0</v>
      </c>
      <c r="BG351" s="353">
        <f t="shared" si="47"/>
        <v>0</v>
      </c>
      <c r="BH351" s="303" t="s">
        <v>504</v>
      </c>
      <c r="BI351" s="303"/>
      <c r="BJ351" s="354">
        <f t="shared" si="41"/>
        <v>3</v>
      </c>
      <c r="BK351" s="316" t="str">
        <f t="shared" si="40"/>
        <v>Habilitado</v>
      </c>
    </row>
    <row r="352" spans="1:63" ht="63.75" x14ac:dyDescent="0.25">
      <c r="A352" s="324">
        <v>350</v>
      </c>
      <c r="B352" s="345" t="s">
        <v>2451</v>
      </c>
      <c r="C352" s="335" t="s">
        <v>2452</v>
      </c>
      <c r="D352" s="360" t="s">
        <v>2453</v>
      </c>
      <c r="E352" s="347">
        <v>1</v>
      </c>
      <c r="F352" s="314" t="s">
        <v>510</v>
      </c>
      <c r="G352" s="314" t="s">
        <v>510</v>
      </c>
      <c r="H352" s="314" t="s">
        <v>510</v>
      </c>
      <c r="I352" s="314" t="s">
        <v>510</v>
      </c>
      <c r="J352" s="314">
        <v>40</v>
      </c>
      <c r="K352" s="29">
        <f t="shared" si="42"/>
        <v>40</v>
      </c>
      <c r="L352" s="314" t="s">
        <v>504</v>
      </c>
      <c r="M352" s="407"/>
      <c r="N352" s="407"/>
      <c r="O352" s="407"/>
      <c r="P352" s="407"/>
      <c r="Q352" s="407"/>
      <c r="R352" s="407"/>
      <c r="S352" s="407"/>
      <c r="T352" s="407"/>
      <c r="U352" s="407"/>
      <c r="V352" s="350"/>
      <c r="W352" s="350"/>
      <c r="X352" s="350"/>
      <c r="Y352" s="350"/>
      <c r="Z352" s="307"/>
      <c r="AA352" s="350">
        <f t="shared" si="43"/>
        <v>0</v>
      </c>
      <c r="AB352" s="307"/>
      <c r="AC352" s="306"/>
      <c r="AD352" s="303" t="s">
        <v>510</v>
      </c>
      <c r="AE352" s="303" t="s">
        <v>510</v>
      </c>
      <c r="AF352" s="303" t="s">
        <v>510</v>
      </c>
      <c r="AG352" s="303" t="s">
        <v>510</v>
      </c>
      <c r="AH352" s="314">
        <v>0</v>
      </c>
      <c r="AI352" s="297">
        <f t="shared" si="44"/>
        <v>0</v>
      </c>
      <c r="AJ352" s="303" t="s">
        <v>504</v>
      </c>
      <c r="AK352" s="301"/>
      <c r="AL352" s="303"/>
      <c r="AM352" s="303"/>
      <c r="AN352" s="303"/>
      <c r="AO352" s="303"/>
      <c r="AP352" s="303"/>
      <c r="AQ352" s="289">
        <f t="shared" si="45"/>
        <v>0</v>
      </c>
      <c r="AR352" s="303"/>
      <c r="AS352" s="301"/>
      <c r="AT352" s="329"/>
      <c r="AU352" s="329"/>
      <c r="AV352" s="329"/>
      <c r="AW352" s="329"/>
      <c r="AX352" s="329"/>
      <c r="AY352" s="139">
        <f t="shared" si="46"/>
        <v>0</v>
      </c>
      <c r="AZ352" s="303"/>
      <c r="BA352" s="303"/>
      <c r="BB352" s="356" t="s">
        <v>510</v>
      </c>
      <c r="BC352" s="356" t="s">
        <v>510</v>
      </c>
      <c r="BD352" s="356" t="s">
        <v>510</v>
      </c>
      <c r="BE352" s="303" t="s">
        <v>510</v>
      </c>
      <c r="BF352" s="352">
        <v>0</v>
      </c>
      <c r="BG352" s="353">
        <f t="shared" si="47"/>
        <v>0</v>
      </c>
      <c r="BH352" s="303" t="s">
        <v>504</v>
      </c>
      <c r="BI352" s="301"/>
      <c r="BJ352" s="354">
        <f t="shared" si="41"/>
        <v>3</v>
      </c>
      <c r="BK352" s="316" t="str">
        <f t="shared" ref="BK352:BK415" si="48">IF(BJ352&gt;=1,"Habilitado","Desierto")</f>
        <v>Habilitado</v>
      </c>
    </row>
    <row r="353" spans="1:63" ht="25.5" x14ac:dyDescent="0.25">
      <c r="A353" s="324">
        <v>351</v>
      </c>
      <c r="B353" s="345" t="s">
        <v>2454</v>
      </c>
      <c r="C353" s="335" t="s">
        <v>2455</v>
      </c>
      <c r="D353" s="357" t="s">
        <v>2456</v>
      </c>
      <c r="E353" s="347">
        <v>1</v>
      </c>
      <c r="F353" s="314" t="s">
        <v>510</v>
      </c>
      <c r="G353" s="314" t="s">
        <v>510</v>
      </c>
      <c r="H353" s="314" t="s">
        <v>511</v>
      </c>
      <c r="I353" s="314" t="s">
        <v>510</v>
      </c>
      <c r="J353" s="314">
        <v>40</v>
      </c>
      <c r="K353" s="29">
        <f t="shared" si="42"/>
        <v>40</v>
      </c>
      <c r="L353" s="314" t="s">
        <v>504</v>
      </c>
      <c r="M353" s="314"/>
      <c r="N353" s="314"/>
      <c r="O353" s="314"/>
      <c r="P353" s="314"/>
      <c r="Q353" s="314"/>
      <c r="R353" s="314"/>
      <c r="S353" s="314"/>
      <c r="T353" s="314"/>
      <c r="U353" s="314"/>
      <c r="V353" s="350"/>
      <c r="W353" s="350"/>
      <c r="X353" s="350"/>
      <c r="Y353" s="350"/>
      <c r="Z353" s="307"/>
      <c r="AA353" s="350">
        <f t="shared" si="43"/>
        <v>0</v>
      </c>
      <c r="AB353" s="307"/>
      <c r="AC353" s="306"/>
      <c r="AD353" s="303" t="s">
        <v>510</v>
      </c>
      <c r="AE353" s="303" t="s">
        <v>510</v>
      </c>
      <c r="AF353" s="303" t="s">
        <v>510</v>
      </c>
      <c r="AG353" s="303" t="s">
        <v>510</v>
      </c>
      <c r="AH353" s="314">
        <v>0</v>
      </c>
      <c r="AI353" s="297">
        <f t="shared" si="44"/>
        <v>0</v>
      </c>
      <c r="AJ353" s="303" t="s">
        <v>504</v>
      </c>
      <c r="AK353" s="303"/>
      <c r="AL353" s="303"/>
      <c r="AM353" s="303"/>
      <c r="AN353" s="303"/>
      <c r="AO353" s="303"/>
      <c r="AP353" s="303"/>
      <c r="AQ353" s="289">
        <f t="shared" si="45"/>
        <v>0</v>
      </c>
      <c r="AR353" s="303"/>
      <c r="AS353" s="301"/>
      <c r="AT353" s="329"/>
      <c r="AU353" s="329"/>
      <c r="AV353" s="329"/>
      <c r="AW353" s="329"/>
      <c r="AX353" s="329"/>
      <c r="AY353" s="139">
        <f t="shared" si="46"/>
        <v>0</v>
      </c>
      <c r="AZ353" s="303"/>
      <c r="BA353" s="303"/>
      <c r="BB353" s="356" t="s">
        <v>510</v>
      </c>
      <c r="BC353" s="356" t="s">
        <v>510</v>
      </c>
      <c r="BD353" s="356" t="s">
        <v>511</v>
      </c>
      <c r="BE353" s="303" t="s">
        <v>510</v>
      </c>
      <c r="BF353" s="352">
        <v>0</v>
      </c>
      <c r="BG353" s="353">
        <f t="shared" si="47"/>
        <v>0</v>
      </c>
      <c r="BH353" s="303" t="s">
        <v>504</v>
      </c>
      <c r="BI353" s="301"/>
      <c r="BJ353" s="354">
        <f t="shared" si="41"/>
        <v>3</v>
      </c>
      <c r="BK353" s="316" t="str">
        <f t="shared" si="48"/>
        <v>Habilitado</v>
      </c>
    </row>
    <row r="354" spans="1:63" x14ac:dyDescent="0.25">
      <c r="A354" s="324">
        <v>352</v>
      </c>
      <c r="B354" s="325" t="s">
        <v>2457</v>
      </c>
      <c r="C354" s="325">
        <v>3021</v>
      </c>
      <c r="D354" s="325" t="s">
        <v>2458</v>
      </c>
      <c r="E354" s="362">
        <v>1</v>
      </c>
      <c r="F354" s="406"/>
      <c r="G354" s="406"/>
      <c r="H354" s="406"/>
      <c r="I354" s="406"/>
      <c r="J354" s="406"/>
      <c r="K354" s="29">
        <f t="shared" si="42"/>
        <v>0</v>
      </c>
      <c r="L354" s="406"/>
      <c r="M354" s="406" t="s">
        <v>551</v>
      </c>
      <c r="N354" s="406"/>
      <c r="O354" s="406"/>
      <c r="P354" s="406"/>
      <c r="Q354" s="406"/>
      <c r="R354" s="406"/>
      <c r="S354" s="406"/>
      <c r="T354" s="406"/>
      <c r="U354" s="406"/>
      <c r="V354" s="350"/>
      <c r="W354" s="350"/>
      <c r="X354" s="350"/>
      <c r="Y354" s="350"/>
      <c r="Z354" s="307"/>
      <c r="AA354" s="350">
        <f t="shared" si="43"/>
        <v>0</v>
      </c>
      <c r="AB354" s="307"/>
      <c r="AC354" s="307"/>
      <c r="AD354" s="304"/>
      <c r="AE354" s="304"/>
      <c r="AF354" s="304"/>
      <c r="AG354" s="304"/>
      <c r="AH354" s="326"/>
      <c r="AI354" s="297">
        <f t="shared" si="44"/>
        <v>0</v>
      </c>
      <c r="AJ354" s="304"/>
      <c r="AK354" s="304"/>
      <c r="AL354" s="304"/>
      <c r="AM354" s="304"/>
      <c r="AN354" s="304"/>
      <c r="AO354" s="304"/>
      <c r="AP354" s="304"/>
      <c r="AQ354" s="289">
        <f t="shared" si="45"/>
        <v>0</v>
      </c>
      <c r="AR354" s="304"/>
      <c r="AS354" s="304"/>
      <c r="AT354" s="325"/>
      <c r="AU354" s="325"/>
      <c r="AV354" s="325"/>
      <c r="AW354" s="325"/>
      <c r="AX354" s="325"/>
      <c r="AY354" s="139">
        <f t="shared" si="46"/>
        <v>0</v>
      </c>
      <c r="AZ354" s="304"/>
      <c r="BA354" s="304"/>
      <c r="BB354" s="303" t="s">
        <v>519</v>
      </c>
      <c r="BC354" s="303" t="s">
        <v>519</v>
      </c>
      <c r="BD354" s="303" t="s">
        <v>519</v>
      </c>
      <c r="BE354" s="303" t="s">
        <v>510</v>
      </c>
      <c r="BF354" s="352">
        <v>0</v>
      </c>
      <c r="BG354" s="353">
        <f t="shared" si="47"/>
        <v>0</v>
      </c>
      <c r="BH354" s="303" t="s">
        <v>520</v>
      </c>
      <c r="BI354" s="303" t="s">
        <v>1877</v>
      </c>
      <c r="BJ354" s="354">
        <f t="shared" si="41"/>
        <v>0</v>
      </c>
      <c r="BK354" s="316" t="str">
        <f t="shared" si="48"/>
        <v>Desierto</v>
      </c>
    </row>
    <row r="355" spans="1:63" x14ac:dyDescent="0.25">
      <c r="A355" s="324">
        <v>353</v>
      </c>
      <c r="B355" s="345" t="s">
        <v>2459</v>
      </c>
      <c r="C355" s="335" t="s">
        <v>518</v>
      </c>
      <c r="D355" s="360" t="s">
        <v>2460</v>
      </c>
      <c r="E355" s="347">
        <v>1</v>
      </c>
      <c r="F355" s="314" t="s">
        <v>510</v>
      </c>
      <c r="G355" s="314" t="s">
        <v>510</v>
      </c>
      <c r="H355" s="314" t="s">
        <v>511</v>
      </c>
      <c r="I355" s="314" t="s">
        <v>510</v>
      </c>
      <c r="J355" s="314">
        <v>40</v>
      </c>
      <c r="K355" s="29">
        <f t="shared" si="42"/>
        <v>40</v>
      </c>
      <c r="L355" s="314" t="s">
        <v>504</v>
      </c>
      <c r="M355" s="314"/>
      <c r="N355" s="314"/>
      <c r="O355" s="314"/>
      <c r="P355" s="314"/>
      <c r="Q355" s="314"/>
      <c r="R355" s="314"/>
      <c r="S355" s="314"/>
      <c r="T355" s="314"/>
      <c r="U355" s="314"/>
      <c r="V355" s="350"/>
      <c r="W355" s="350"/>
      <c r="X355" s="350"/>
      <c r="Y355" s="350"/>
      <c r="Z355" s="307"/>
      <c r="AA355" s="350">
        <f t="shared" si="43"/>
        <v>0</v>
      </c>
      <c r="AB355" s="307"/>
      <c r="AC355" s="307"/>
      <c r="AD355" s="303" t="s">
        <v>510</v>
      </c>
      <c r="AE355" s="303" t="s">
        <v>510</v>
      </c>
      <c r="AF355" s="303" t="s">
        <v>511</v>
      </c>
      <c r="AG355" s="303" t="s">
        <v>510</v>
      </c>
      <c r="AH355" s="314">
        <v>0</v>
      </c>
      <c r="AI355" s="297">
        <f t="shared" si="44"/>
        <v>0</v>
      </c>
      <c r="AJ355" s="303" t="s">
        <v>504</v>
      </c>
      <c r="AK355" s="303"/>
      <c r="AL355" s="303"/>
      <c r="AM355" s="303"/>
      <c r="AN355" s="303"/>
      <c r="AO355" s="303"/>
      <c r="AP355" s="303"/>
      <c r="AQ355" s="289">
        <f t="shared" si="45"/>
        <v>0</v>
      </c>
      <c r="AR355" s="303"/>
      <c r="AS355" s="303"/>
      <c r="AT355" s="329"/>
      <c r="AU355" s="329"/>
      <c r="AV355" s="329"/>
      <c r="AW355" s="329"/>
      <c r="AX355" s="329"/>
      <c r="AY355" s="139">
        <f t="shared" si="46"/>
        <v>0</v>
      </c>
      <c r="AZ355" s="303"/>
      <c r="BA355" s="303"/>
      <c r="BB355" s="356" t="s">
        <v>519</v>
      </c>
      <c r="BC355" s="356" t="s">
        <v>519</v>
      </c>
      <c r="BD355" s="356" t="s">
        <v>511</v>
      </c>
      <c r="BE355" s="303" t="s">
        <v>510</v>
      </c>
      <c r="BF355" s="352">
        <v>0</v>
      </c>
      <c r="BG355" s="353">
        <f t="shared" si="47"/>
        <v>0</v>
      </c>
      <c r="BH355" s="303" t="s">
        <v>520</v>
      </c>
      <c r="BI355" s="303" t="s">
        <v>1877</v>
      </c>
      <c r="BJ355" s="354">
        <f t="shared" si="41"/>
        <v>2</v>
      </c>
      <c r="BK355" s="316" t="str">
        <f t="shared" si="48"/>
        <v>Habilitado</v>
      </c>
    </row>
    <row r="356" spans="1:63" x14ac:dyDescent="0.25">
      <c r="A356" s="324">
        <v>354</v>
      </c>
      <c r="B356" s="345" t="s">
        <v>2461</v>
      </c>
      <c r="C356" s="335" t="s">
        <v>518</v>
      </c>
      <c r="D356" s="360" t="s">
        <v>2462</v>
      </c>
      <c r="E356" s="347">
        <v>1</v>
      </c>
      <c r="F356" s="314" t="s">
        <v>510</v>
      </c>
      <c r="G356" s="314" t="s">
        <v>510</v>
      </c>
      <c r="H356" s="314" t="s">
        <v>510</v>
      </c>
      <c r="I356" s="314" t="s">
        <v>510</v>
      </c>
      <c r="J356" s="314">
        <v>40</v>
      </c>
      <c r="K356" s="29">
        <f t="shared" si="42"/>
        <v>40</v>
      </c>
      <c r="L356" s="314" t="s">
        <v>504</v>
      </c>
      <c r="M356" s="314"/>
      <c r="N356" s="314"/>
      <c r="O356" s="314"/>
      <c r="P356" s="314"/>
      <c r="Q356" s="314"/>
      <c r="R356" s="314"/>
      <c r="S356" s="314"/>
      <c r="T356" s="314"/>
      <c r="U356" s="314"/>
      <c r="V356" s="350"/>
      <c r="W356" s="350"/>
      <c r="X356" s="350"/>
      <c r="Y356" s="350"/>
      <c r="Z356" s="307"/>
      <c r="AA356" s="350">
        <f t="shared" si="43"/>
        <v>0</v>
      </c>
      <c r="AB356" s="307"/>
      <c r="AC356" s="307"/>
      <c r="AD356" s="303" t="s">
        <v>510</v>
      </c>
      <c r="AE356" s="303" t="s">
        <v>510</v>
      </c>
      <c r="AF356" s="303" t="s">
        <v>510</v>
      </c>
      <c r="AG356" s="303" t="s">
        <v>510</v>
      </c>
      <c r="AH356" s="314">
        <v>0</v>
      </c>
      <c r="AI356" s="297">
        <f t="shared" si="44"/>
        <v>0</v>
      </c>
      <c r="AJ356" s="303" t="s">
        <v>504</v>
      </c>
      <c r="AK356" s="303"/>
      <c r="AL356" s="303"/>
      <c r="AM356" s="303"/>
      <c r="AN356" s="303"/>
      <c r="AO356" s="303"/>
      <c r="AP356" s="303"/>
      <c r="AQ356" s="289">
        <f t="shared" si="45"/>
        <v>0</v>
      </c>
      <c r="AR356" s="303"/>
      <c r="AS356" s="303"/>
      <c r="AT356" s="329"/>
      <c r="AU356" s="329"/>
      <c r="AV356" s="329"/>
      <c r="AW356" s="329"/>
      <c r="AX356" s="329"/>
      <c r="AY356" s="139">
        <f t="shared" si="46"/>
        <v>0</v>
      </c>
      <c r="AZ356" s="303"/>
      <c r="BA356" s="303"/>
      <c r="BB356" s="356" t="s">
        <v>519</v>
      </c>
      <c r="BC356" s="356" t="s">
        <v>519</v>
      </c>
      <c r="BD356" s="356" t="s">
        <v>519</v>
      </c>
      <c r="BE356" s="303" t="s">
        <v>510</v>
      </c>
      <c r="BF356" s="352">
        <v>0</v>
      </c>
      <c r="BG356" s="353">
        <f t="shared" si="47"/>
        <v>0</v>
      </c>
      <c r="BH356" s="303" t="s">
        <v>520</v>
      </c>
      <c r="BI356" s="303" t="s">
        <v>1877</v>
      </c>
      <c r="BJ356" s="354">
        <f t="shared" si="41"/>
        <v>2</v>
      </c>
      <c r="BK356" s="316" t="str">
        <f t="shared" si="48"/>
        <v>Habilitado</v>
      </c>
    </row>
    <row r="357" spans="1:63" ht="25.5" x14ac:dyDescent="0.25">
      <c r="A357" s="324">
        <v>355</v>
      </c>
      <c r="B357" s="345" t="s">
        <v>2463</v>
      </c>
      <c r="C357" s="335" t="s">
        <v>2464</v>
      </c>
      <c r="D357" s="357" t="s">
        <v>1683</v>
      </c>
      <c r="E357" s="347">
        <v>1</v>
      </c>
      <c r="F357" s="314" t="s">
        <v>510</v>
      </c>
      <c r="G357" s="314" t="s">
        <v>510</v>
      </c>
      <c r="H357" s="314" t="s">
        <v>510</v>
      </c>
      <c r="I357" s="314" t="s">
        <v>510</v>
      </c>
      <c r="J357" s="314">
        <v>40</v>
      </c>
      <c r="K357" s="29">
        <f t="shared" si="42"/>
        <v>40</v>
      </c>
      <c r="L357" s="314" t="s">
        <v>504</v>
      </c>
      <c r="M357" s="314"/>
      <c r="N357" s="314"/>
      <c r="O357" s="314"/>
      <c r="P357" s="314"/>
      <c r="Q357" s="314"/>
      <c r="R357" s="314"/>
      <c r="S357" s="314"/>
      <c r="T357" s="314"/>
      <c r="U357" s="314"/>
      <c r="V357" s="350"/>
      <c r="W357" s="350"/>
      <c r="X357" s="350"/>
      <c r="Y357" s="350"/>
      <c r="Z357" s="307"/>
      <c r="AA357" s="350">
        <f t="shared" si="43"/>
        <v>0</v>
      </c>
      <c r="AB357" s="307"/>
      <c r="AC357" s="307"/>
      <c r="AD357" s="303" t="s">
        <v>510</v>
      </c>
      <c r="AE357" s="303" t="s">
        <v>510</v>
      </c>
      <c r="AF357" s="303" t="s">
        <v>510</v>
      </c>
      <c r="AG357" s="303" t="s">
        <v>510</v>
      </c>
      <c r="AH357" s="314">
        <v>0</v>
      </c>
      <c r="AI357" s="297">
        <f t="shared" si="44"/>
        <v>0</v>
      </c>
      <c r="AJ357" s="303" t="s">
        <v>504</v>
      </c>
      <c r="AK357" s="301"/>
      <c r="AL357" s="303"/>
      <c r="AM357" s="303"/>
      <c r="AN357" s="303"/>
      <c r="AO357" s="303"/>
      <c r="AP357" s="303"/>
      <c r="AQ357" s="289">
        <f t="shared" si="45"/>
        <v>0</v>
      </c>
      <c r="AR357" s="303"/>
      <c r="AS357" s="303"/>
      <c r="AT357" s="303" t="s">
        <v>510</v>
      </c>
      <c r="AU357" s="303" t="s">
        <v>510</v>
      </c>
      <c r="AV357" s="303" t="s">
        <v>510</v>
      </c>
      <c r="AW357" s="303" t="s">
        <v>510</v>
      </c>
      <c r="AX357" s="303">
        <v>40</v>
      </c>
      <c r="AY357" s="139">
        <f t="shared" si="46"/>
        <v>40</v>
      </c>
      <c r="AZ357" s="303" t="s">
        <v>504</v>
      </c>
      <c r="BA357" s="303"/>
      <c r="BB357" s="356" t="s">
        <v>510</v>
      </c>
      <c r="BC357" s="356" t="s">
        <v>510</v>
      </c>
      <c r="BD357" s="356" t="s">
        <v>510</v>
      </c>
      <c r="BE357" s="303" t="s">
        <v>510</v>
      </c>
      <c r="BF357" s="352">
        <v>0</v>
      </c>
      <c r="BG357" s="353">
        <f t="shared" si="47"/>
        <v>0</v>
      </c>
      <c r="BH357" s="303" t="s">
        <v>504</v>
      </c>
      <c r="BI357" s="303"/>
      <c r="BJ357" s="354">
        <f t="shared" si="41"/>
        <v>4</v>
      </c>
      <c r="BK357" s="316" t="str">
        <f t="shared" si="48"/>
        <v>Habilitado</v>
      </c>
    </row>
    <row r="358" spans="1:63" x14ac:dyDescent="0.25">
      <c r="A358" s="324">
        <v>356</v>
      </c>
      <c r="B358" s="345" t="s">
        <v>2465</v>
      </c>
      <c r="C358" s="335" t="s">
        <v>2466</v>
      </c>
      <c r="D358" s="360" t="s">
        <v>1848</v>
      </c>
      <c r="E358" s="347">
        <v>1</v>
      </c>
      <c r="F358" s="314" t="s">
        <v>510</v>
      </c>
      <c r="G358" s="314" t="s">
        <v>510</v>
      </c>
      <c r="H358" s="314" t="s">
        <v>510</v>
      </c>
      <c r="I358" s="314" t="s">
        <v>510</v>
      </c>
      <c r="J358" s="314">
        <v>40</v>
      </c>
      <c r="K358" s="29">
        <f t="shared" si="42"/>
        <v>40</v>
      </c>
      <c r="L358" s="314" t="s">
        <v>504</v>
      </c>
      <c r="M358" s="314"/>
      <c r="N358" s="314"/>
      <c r="O358" s="314"/>
      <c r="P358" s="314"/>
      <c r="Q358" s="314"/>
      <c r="R358" s="314"/>
      <c r="S358" s="314"/>
      <c r="T358" s="314"/>
      <c r="U358" s="314"/>
      <c r="V358" s="350"/>
      <c r="W358" s="350"/>
      <c r="X358" s="350"/>
      <c r="Y358" s="350"/>
      <c r="Z358" s="307"/>
      <c r="AA358" s="350">
        <f t="shared" si="43"/>
        <v>0</v>
      </c>
      <c r="AB358" s="307"/>
      <c r="AC358" s="307"/>
      <c r="AD358" s="303"/>
      <c r="AE358" s="303"/>
      <c r="AF358" s="303"/>
      <c r="AG358" s="303"/>
      <c r="AH358" s="314"/>
      <c r="AI358" s="297">
        <f t="shared" si="44"/>
        <v>0</v>
      </c>
      <c r="AJ358" s="303"/>
      <c r="AK358" s="303"/>
      <c r="AL358" s="303"/>
      <c r="AM358" s="303"/>
      <c r="AN358" s="303"/>
      <c r="AO358" s="303"/>
      <c r="AP358" s="303"/>
      <c r="AQ358" s="289">
        <f t="shared" si="45"/>
        <v>0</v>
      </c>
      <c r="AR358" s="303"/>
      <c r="AS358" s="303"/>
      <c r="AT358" s="303" t="s">
        <v>510</v>
      </c>
      <c r="AU358" s="303" t="s">
        <v>510</v>
      </c>
      <c r="AV358" s="303" t="s">
        <v>510</v>
      </c>
      <c r="AW358" s="303" t="s">
        <v>510</v>
      </c>
      <c r="AX358" s="303">
        <v>40</v>
      </c>
      <c r="AY358" s="139">
        <f t="shared" si="46"/>
        <v>40</v>
      </c>
      <c r="AZ358" s="303" t="s">
        <v>504</v>
      </c>
      <c r="BA358" s="301"/>
      <c r="BB358" s="303"/>
      <c r="BC358" s="303"/>
      <c r="BD358" s="303"/>
      <c r="BE358" s="303"/>
      <c r="BF358" s="303"/>
      <c r="BG358" s="353">
        <f t="shared" si="47"/>
        <v>0</v>
      </c>
      <c r="BH358" s="303"/>
      <c r="BI358" s="303"/>
      <c r="BJ358" s="354">
        <f t="shared" si="41"/>
        <v>2</v>
      </c>
      <c r="BK358" s="316" t="str">
        <f t="shared" si="48"/>
        <v>Habilitado</v>
      </c>
    </row>
    <row r="359" spans="1:63" x14ac:dyDescent="0.25">
      <c r="A359" s="324">
        <v>357</v>
      </c>
      <c r="B359" s="345" t="s">
        <v>2467</v>
      </c>
      <c r="C359" s="335" t="s">
        <v>2468</v>
      </c>
      <c r="D359" s="360" t="s">
        <v>1061</v>
      </c>
      <c r="E359" s="347">
        <v>1</v>
      </c>
      <c r="F359" s="314" t="s">
        <v>510</v>
      </c>
      <c r="G359" s="314" t="s">
        <v>510</v>
      </c>
      <c r="H359" s="314" t="s">
        <v>510</v>
      </c>
      <c r="I359" s="314" t="s">
        <v>510</v>
      </c>
      <c r="J359" s="314">
        <v>40</v>
      </c>
      <c r="K359" s="29">
        <f t="shared" si="42"/>
        <v>40</v>
      </c>
      <c r="L359" s="314" t="s">
        <v>504</v>
      </c>
      <c r="M359" s="314"/>
      <c r="N359" s="314"/>
      <c r="O359" s="314"/>
      <c r="P359" s="314"/>
      <c r="Q359" s="314"/>
      <c r="R359" s="314"/>
      <c r="S359" s="314"/>
      <c r="T359" s="314"/>
      <c r="U359" s="314"/>
      <c r="V359" s="350"/>
      <c r="W359" s="350"/>
      <c r="X359" s="350"/>
      <c r="Y359" s="350"/>
      <c r="Z359" s="307"/>
      <c r="AA359" s="350">
        <f t="shared" si="43"/>
        <v>0</v>
      </c>
      <c r="AB359" s="307"/>
      <c r="AC359" s="307"/>
      <c r="AD359" s="303"/>
      <c r="AE359" s="303"/>
      <c r="AF359" s="303"/>
      <c r="AG359" s="303"/>
      <c r="AH359" s="314"/>
      <c r="AI359" s="297">
        <f t="shared" si="44"/>
        <v>0</v>
      </c>
      <c r="AJ359" s="303"/>
      <c r="AK359" s="303"/>
      <c r="AL359" s="303"/>
      <c r="AM359" s="303"/>
      <c r="AN359" s="303"/>
      <c r="AO359" s="303"/>
      <c r="AP359" s="303"/>
      <c r="AQ359" s="289">
        <f t="shared" si="45"/>
        <v>0</v>
      </c>
      <c r="AR359" s="303"/>
      <c r="AS359" s="303"/>
      <c r="AT359" s="303" t="s">
        <v>510</v>
      </c>
      <c r="AU359" s="303" t="s">
        <v>510</v>
      </c>
      <c r="AV359" s="303" t="s">
        <v>510</v>
      </c>
      <c r="AW359" s="303" t="s">
        <v>510</v>
      </c>
      <c r="AX359" s="303">
        <v>40</v>
      </c>
      <c r="AY359" s="139">
        <f t="shared" si="46"/>
        <v>40</v>
      </c>
      <c r="AZ359" s="303" t="s">
        <v>504</v>
      </c>
      <c r="BA359" s="301"/>
      <c r="BB359" s="303"/>
      <c r="BC359" s="303"/>
      <c r="BD359" s="303"/>
      <c r="BE359" s="303"/>
      <c r="BF359" s="303"/>
      <c r="BG359" s="353">
        <f t="shared" si="47"/>
        <v>0</v>
      </c>
      <c r="BH359" s="303"/>
      <c r="BI359" s="303"/>
      <c r="BJ359" s="354">
        <f t="shared" si="41"/>
        <v>2</v>
      </c>
      <c r="BK359" s="316" t="str">
        <f t="shared" si="48"/>
        <v>Habilitado</v>
      </c>
    </row>
    <row r="360" spans="1:63" x14ac:dyDescent="0.25">
      <c r="A360" s="324">
        <v>358</v>
      </c>
      <c r="B360" s="345" t="s">
        <v>2469</v>
      </c>
      <c r="C360" s="335" t="s">
        <v>2468</v>
      </c>
      <c r="D360" s="360" t="s">
        <v>1848</v>
      </c>
      <c r="E360" s="347">
        <v>1</v>
      </c>
      <c r="F360" s="314" t="s">
        <v>510</v>
      </c>
      <c r="G360" s="314" t="s">
        <v>510</v>
      </c>
      <c r="H360" s="314" t="s">
        <v>510</v>
      </c>
      <c r="I360" s="314" t="s">
        <v>510</v>
      </c>
      <c r="J360" s="314">
        <v>40</v>
      </c>
      <c r="K360" s="29">
        <f t="shared" si="42"/>
        <v>40</v>
      </c>
      <c r="L360" s="314" t="s">
        <v>504</v>
      </c>
      <c r="M360" s="314"/>
      <c r="N360" s="314"/>
      <c r="O360" s="314"/>
      <c r="P360" s="314"/>
      <c r="Q360" s="314"/>
      <c r="R360" s="314"/>
      <c r="S360" s="314"/>
      <c r="T360" s="314"/>
      <c r="U360" s="314"/>
      <c r="V360" s="350"/>
      <c r="W360" s="350"/>
      <c r="X360" s="350"/>
      <c r="Y360" s="350"/>
      <c r="Z360" s="307"/>
      <c r="AA360" s="350">
        <f t="shared" si="43"/>
        <v>0</v>
      </c>
      <c r="AB360" s="307"/>
      <c r="AC360" s="307"/>
      <c r="AD360" s="303"/>
      <c r="AE360" s="303"/>
      <c r="AF360" s="303"/>
      <c r="AG360" s="303"/>
      <c r="AH360" s="314"/>
      <c r="AI360" s="297">
        <f t="shared" si="44"/>
        <v>0</v>
      </c>
      <c r="AJ360" s="303"/>
      <c r="AK360" s="303"/>
      <c r="AL360" s="303"/>
      <c r="AM360" s="303"/>
      <c r="AN360" s="303"/>
      <c r="AO360" s="303"/>
      <c r="AP360" s="303"/>
      <c r="AQ360" s="289">
        <f t="shared" si="45"/>
        <v>0</v>
      </c>
      <c r="AR360" s="303"/>
      <c r="AS360" s="303"/>
      <c r="AT360" s="303" t="s">
        <v>510</v>
      </c>
      <c r="AU360" s="303" t="s">
        <v>510</v>
      </c>
      <c r="AV360" s="303" t="s">
        <v>510</v>
      </c>
      <c r="AW360" s="303" t="s">
        <v>510</v>
      </c>
      <c r="AX360" s="303">
        <v>40</v>
      </c>
      <c r="AY360" s="139">
        <f t="shared" si="46"/>
        <v>40</v>
      </c>
      <c r="AZ360" s="303" t="s">
        <v>504</v>
      </c>
      <c r="BA360" s="301"/>
      <c r="BB360" s="304"/>
      <c r="BC360" s="304"/>
      <c r="BD360" s="304"/>
      <c r="BE360" s="304"/>
      <c r="BF360" s="304"/>
      <c r="BG360" s="353">
        <f t="shared" si="47"/>
        <v>0</v>
      </c>
      <c r="BH360" s="304"/>
      <c r="BI360" s="304"/>
      <c r="BJ360" s="354">
        <f t="shared" si="41"/>
        <v>2</v>
      </c>
      <c r="BK360" s="316" t="str">
        <f t="shared" si="48"/>
        <v>Habilitado</v>
      </c>
    </row>
    <row r="361" spans="1:63" ht="38.25" x14ac:dyDescent="0.25">
      <c r="A361" s="324">
        <v>359</v>
      </c>
      <c r="B361" s="345" t="s">
        <v>2470</v>
      </c>
      <c r="C361" s="335" t="s">
        <v>2468</v>
      </c>
      <c r="D361" s="360" t="s">
        <v>1848</v>
      </c>
      <c r="E361" s="347">
        <v>1</v>
      </c>
      <c r="F361" s="314" t="s">
        <v>510</v>
      </c>
      <c r="G361" s="314" t="s">
        <v>510</v>
      </c>
      <c r="H361" s="314" t="s">
        <v>510</v>
      </c>
      <c r="I361" s="314" t="s">
        <v>510</v>
      </c>
      <c r="J361" s="314">
        <v>40</v>
      </c>
      <c r="K361" s="29">
        <f t="shared" si="42"/>
        <v>40</v>
      </c>
      <c r="L361" s="314" t="s">
        <v>504</v>
      </c>
      <c r="M361" s="314"/>
      <c r="N361" s="314"/>
      <c r="O361" s="314"/>
      <c r="P361" s="314"/>
      <c r="Q361" s="314"/>
      <c r="R361" s="314"/>
      <c r="S361" s="314"/>
      <c r="T361" s="314"/>
      <c r="U361" s="314"/>
      <c r="V361" s="350"/>
      <c r="W361" s="350"/>
      <c r="X361" s="350"/>
      <c r="Y361" s="350"/>
      <c r="Z361" s="307"/>
      <c r="AA361" s="350">
        <f t="shared" si="43"/>
        <v>0</v>
      </c>
      <c r="AB361" s="307"/>
      <c r="AC361" s="306"/>
      <c r="AD361" s="303"/>
      <c r="AE361" s="303"/>
      <c r="AF361" s="303"/>
      <c r="AG361" s="303"/>
      <c r="AH361" s="314"/>
      <c r="AI361" s="297">
        <f t="shared" si="44"/>
        <v>0</v>
      </c>
      <c r="AJ361" s="303"/>
      <c r="AK361" s="303"/>
      <c r="AL361" s="303"/>
      <c r="AM361" s="303"/>
      <c r="AN361" s="303"/>
      <c r="AO361" s="303"/>
      <c r="AP361" s="303"/>
      <c r="AQ361" s="289">
        <f t="shared" si="45"/>
        <v>0</v>
      </c>
      <c r="AR361" s="303"/>
      <c r="AS361" s="301"/>
      <c r="AT361" s="303" t="s">
        <v>510</v>
      </c>
      <c r="AU361" s="303" t="s">
        <v>519</v>
      </c>
      <c r="AV361" s="303" t="s">
        <v>510</v>
      </c>
      <c r="AW361" s="303" t="s">
        <v>510</v>
      </c>
      <c r="AX361" s="303"/>
      <c r="AY361" s="139">
        <f t="shared" si="46"/>
        <v>0</v>
      </c>
      <c r="AZ361" s="303" t="s">
        <v>520</v>
      </c>
      <c r="BA361" s="301" t="s">
        <v>2471</v>
      </c>
      <c r="BB361" s="303"/>
      <c r="BC361" s="303"/>
      <c r="BD361" s="303"/>
      <c r="BE361" s="303"/>
      <c r="BF361" s="303"/>
      <c r="BG361" s="353">
        <f t="shared" si="47"/>
        <v>0</v>
      </c>
      <c r="BH361" s="303"/>
      <c r="BI361" s="303"/>
      <c r="BJ361" s="354">
        <f t="shared" si="41"/>
        <v>1</v>
      </c>
      <c r="BK361" s="316" t="str">
        <f t="shared" si="48"/>
        <v>Habilitado</v>
      </c>
    </row>
    <row r="362" spans="1:63" ht="25.5" x14ac:dyDescent="0.25">
      <c r="A362" s="324">
        <v>360</v>
      </c>
      <c r="B362" s="345" t="s">
        <v>2472</v>
      </c>
      <c r="C362" s="335" t="s">
        <v>2468</v>
      </c>
      <c r="D362" s="357" t="s">
        <v>1848</v>
      </c>
      <c r="E362" s="347">
        <v>1</v>
      </c>
      <c r="F362" s="314" t="s">
        <v>510</v>
      </c>
      <c r="G362" s="314" t="s">
        <v>510</v>
      </c>
      <c r="H362" s="314" t="s">
        <v>510</v>
      </c>
      <c r="I362" s="314" t="s">
        <v>510</v>
      </c>
      <c r="J362" s="314">
        <v>40</v>
      </c>
      <c r="K362" s="29">
        <f t="shared" si="42"/>
        <v>40</v>
      </c>
      <c r="L362" s="314" t="s">
        <v>504</v>
      </c>
      <c r="M362" s="314"/>
      <c r="N362" s="314"/>
      <c r="O362" s="314"/>
      <c r="P362" s="314"/>
      <c r="Q362" s="314"/>
      <c r="R362" s="314"/>
      <c r="S362" s="314"/>
      <c r="T362" s="314"/>
      <c r="U362" s="314"/>
      <c r="V362" s="350"/>
      <c r="W362" s="350"/>
      <c r="X362" s="350"/>
      <c r="Y362" s="350"/>
      <c r="Z362" s="307"/>
      <c r="AA362" s="350">
        <f t="shared" si="43"/>
        <v>0</v>
      </c>
      <c r="AB362" s="307"/>
      <c r="AC362" s="307"/>
      <c r="AD362" s="303"/>
      <c r="AE362" s="303"/>
      <c r="AF362" s="303"/>
      <c r="AG362" s="303"/>
      <c r="AH362" s="314"/>
      <c r="AI362" s="297">
        <f t="shared" si="44"/>
        <v>0</v>
      </c>
      <c r="AJ362" s="303"/>
      <c r="AK362" s="303"/>
      <c r="AL362" s="303"/>
      <c r="AM362" s="303"/>
      <c r="AN362" s="303"/>
      <c r="AO362" s="303"/>
      <c r="AP362" s="303"/>
      <c r="AQ362" s="289">
        <f t="shared" si="45"/>
        <v>0</v>
      </c>
      <c r="AR362" s="303"/>
      <c r="AS362" s="303"/>
      <c r="AT362" s="303" t="s">
        <v>510</v>
      </c>
      <c r="AU362" s="303" t="s">
        <v>510</v>
      </c>
      <c r="AV362" s="303" t="s">
        <v>510</v>
      </c>
      <c r="AW362" s="303" t="s">
        <v>510</v>
      </c>
      <c r="AX362" s="303">
        <v>40</v>
      </c>
      <c r="AY362" s="139">
        <f t="shared" si="46"/>
        <v>40</v>
      </c>
      <c r="AZ362" s="303" t="s">
        <v>504</v>
      </c>
      <c r="BA362" s="301"/>
      <c r="BB362" s="303"/>
      <c r="BC362" s="303"/>
      <c r="BD362" s="303"/>
      <c r="BE362" s="303"/>
      <c r="BF362" s="303"/>
      <c r="BG362" s="353">
        <f t="shared" si="47"/>
        <v>0</v>
      </c>
      <c r="BH362" s="303"/>
      <c r="BI362" s="303"/>
      <c r="BJ362" s="354">
        <f t="shared" si="41"/>
        <v>2</v>
      </c>
      <c r="BK362" s="316" t="str">
        <f t="shared" si="48"/>
        <v>Habilitado</v>
      </c>
    </row>
    <row r="363" spans="1:63" ht="25.5" x14ac:dyDescent="0.25">
      <c r="A363" s="324">
        <v>361</v>
      </c>
      <c r="B363" s="345" t="s">
        <v>2473</v>
      </c>
      <c r="C363" s="335" t="s">
        <v>2474</v>
      </c>
      <c r="D363" s="360" t="s">
        <v>1576</v>
      </c>
      <c r="E363" s="347">
        <v>1</v>
      </c>
      <c r="F363" s="314" t="s">
        <v>510</v>
      </c>
      <c r="G363" s="314" t="s">
        <v>510</v>
      </c>
      <c r="H363" s="314" t="s">
        <v>510</v>
      </c>
      <c r="I363" s="314" t="s">
        <v>510</v>
      </c>
      <c r="J363" s="314">
        <v>40</v>
      </c>
      <c r="K363" s="29">
        <f t="shared" si="42"/>
        <v>40</v>
      </c>
      <c r="L363" s="314" t="s">
        <v>504</v>
      </c>
      <c r="M363" s="314"/>
      <c r="N363" s="314"/>
      <c r="O363" s="314"/>
      <c r="P363" s="314"/>
      <c r="Q363" s="314"/>
      <c r="R363" s="314"/>
      <c r="S363" s="314"/>
      <c r="T363" s="314"/>
      <c r="U363" s="314"/>
      <c r="V363" s="350"/>
      <c r="W363" s="350"/>
      <c r="X363" s="350"/>
      <c r="Y363" s="350"/>
      <c r="Z363" s="307"/>
      <c r="AA363" s="350">
        <f t="shared" si="43"/>
        <v>0</v>
      </c>
      <c r="AB363" s="307"/>
      <c r="AC363" s="307"/>
      <c r="AD363" s="303"/>
      <c r="AE363" s="303"/>
      <c r="AF363" s="303"/>
      <c r="AG363" s="303"/>
      <c r="AH363" s="314"/>
      <c r="AI363" s="297">
        <f t="shared" si="44"/>
        <v>0</v>
      </c>
      <c r="AJ363" s="303"/>
      <c r="AK363" s="301"/>
      <c r="AL363" s="303"/>
      <c r="AM363" s="303"/>
      <c r="AN363" s="303"/>
      <c r="AO363" s="303"/>
      <c r="AP363" s="303"/>
      <c r="AQ363" s="289">
        <f t="shared" si="45"/>
        <v>0</v>
      </c>
      <c r="AR363" s="303"/>
      <c r="AS363" s="303"/>
      <c r="AT363" s="329"/>
      <c r="AU363" s="329"/>
      <c r="AV363" s="329"/>
      <c r="AW363" s="329"/>
      <c r="AX363" s="329"/>
      <c r="AY363" s="139">
        <f t="shared" si="46"/>
        <v>0</v>
      </c>
      <c r="AZ363" s="303"/>
      <c r="BA363" s="301"/>
      <c r="BB363" s="303"/>
      <c r="BC363" s="303"/>
      <c r="BD363" s="303"/>
      <c r="BE363" s="303"/>
      <c r="BF363" s="303"/>
      <c r="BG363" s="353">
        <f t="shared" si="47"/>
        <v>0</v>
      </c>
      <c r="BH363" s="303"/>
      <c r="BI363" s="303"/>
      <c r="BJ363" s="354">
        <f t="shared" si="41"/>
        <v>1</v>
      </c>
      <c r="BK363" s="316" t="str">
        <f t="shared" si="48"/>
        <v>Habilitado</v>
      </c>
    </row>
    <row r="364" spans="1:63" ht="25.5" x14ac:dyDescent="0.25">
      <c r="A364" s="324">
        <v>362</v>
      </c>
      <c r="B364" s="325" t="s">
        <v>2475</v>
      </c>
      <c r="C364" s="325" t="s">
        <v>2476</v>
      </c>
      <c r="D364" s="325" t="s">
        <v>1466</v>
      </c>
      <c r="E364" s="362">
        <v>1</v>
      </c>
      <c r="F364" s="406" t="s">
        <v>510</v>
      </c>
      <c r="G364" s="406" t="s">
        <v>510</v>
      </c>
      <c r="H364" s="406" t="s">
        <v>510</v>
      </c>
      <c r="I364" s="406" t="s">
        <v>510</v>
      </c>
      <c r="J364" s="406">
        <v>40</v>
      </c>
      <c r="K364" s="29">
        <f t="shared" si="42"/>
        <v>40</v>
      </c>
      <c r="L364" s="314" t="s">
        <v>504</v>
      </c>
      <c r="M364" s="406"/>
      <c r="N364" s="406"/>
      <c r="O364" s="406"/>
      <c r="P364" s="406"/>
      <c r="Q364" s="406"/>
      <c r="R364" s="406"/>
      <c r="S364" s="406"/>
      <c r="T364" s="406"/>
      <c r="U364" s="406"/>
      <c r="V364" s="350"/>
      <c r="W364" s="350"/>
      <c r="X364" s="350"/>
      <c r="Y364" s="350"/>
      <c r="Z364" s="307"/>
      <c r="AA364" s="350">
        <f t="shared" si="43"/>
        <v>0</v>
      </c>
      <c r="AB364" s="307"/>
      <c r="AC364" s="307"/>
      <c r="AD364" s="304"/>
      <c r="AE364" s="304"/>
      <c r="AF364" s="304"/>
      <c r="AG364" s="304"/>
      <c r="AH364" s="326"/>
      <c r="AI364" s="297">
        <f t="shared" si="44"/>
        <v>0</v>
      </c>
      <c r="AJ364" s="304"/>
      <c r="AK364" s="304"/>
      <c r="AL364" s="304"/>
      <c r="AM364" s="304"/>
      <c r="AN364" s="304"/>
      <c r="AO364" s="304"/>
      <c r="AP364" s="304"/>
      <c r="AQ364" s="289">
        <f t="shared" si="45"/>
        <v>0</v>
      </c>
      <c r="AR364" s="304"/>
      <c r="AS364" s="304"/>
      <c r="AT364" s="304" t="s">
        <v>510</v>
      </c>
      <c r="AU364" s="304" t="s">
        <v>510</v>
      </c>
      <c r="AV364" s="304" t="s">
        <v>510</v>
      </c>
      <c r="AW364" s="303" t="s">
        <v>510</v>
      </c>
      <c r="AX364" s="303">
        <v>40</v>
      </c>
      <c r="AY364" s="139">
        <f t="shared" si="46"/>
        <v>40</v>
      </c>
      <c r="AZ364" s="304" t="s">
        <v>504</v>
      </c>
      <c r="BA364" s="301"/>
      <c r="BB364" s="303"/>
      <c r="BC364" s="303"/>
      <c r="BD364" s="303"/>
      <c r="BE364" s="303"/>
      <c r="BF364" s="303"/>
      <c r="BG364" s="353">
        <f t="shared" si="47"/>
        <v>0</v>
      </c>
      <c r="BH364" s="303"/>
      <c r="BI364" s="303"/>
      <c r="BJ364" s="354">
        <f t="shared" si="41"/>
        <v>2</v>
      </c>
      <c r="BK364" s="316" t="str">
        <f t="shared" si="48"/>
        <v>Habilitado</v>
      </c>
    </row>
    <row r="365" spans="1:63" x14ac:dyDescent="0.25">
      <c r="A365" s="324">
        <v>363</v>
      </c>
      <c r="B365" s="345" t="s">
        <v>2477</v>
      </c>
      <c r="C365" s="335" t="s">
        <v>518</v>
      </c>
      <c r="D365" s="360" t="s">
        <v>1700</v>
      </c>
      <c r="E365" s="347">
        <v>1</v>
      </c>
      <c r="F365" s="314" t="s">
        <v>510</v>
      </c>
      <c r="G365" s="314" t="s">
        <v>510</v>
      </c>
      <c r="H365" s="314" t="s">
        <v>510</v>
      </c>
      <c r="I365" s="314" t="s">
        <v>510</v>
      </c>
      <c r="J365" s="314">
        <v>40</v>
      </c>
      <c r="K365" s="29">
        <f t="shared" si="42"/>
        <v>40</v>
      </c>
      <c r="L365" s="314" t="s">
        <v>504</v>
      </c>
      <c r="M365" s="314"/>
      <c r="N365" s="314"/>
      <c r="O365" s="314"/>
      <c r="P365" s="314"/>
      <c r="Q365" s="314"/>
      <c r="R365" s="314"/>
      <c r="S365" s="314"/>
      <c r="T365" s="314"/>
      <c r="U365" s="314"/>
      <c r="V365" s="350"/>
      <c r="W365" s="350"/>
      <c r="X365" s="350"/>
      <c r="Y365" s="350"/>
      <c r="Z365" s="307"/>
      <c r="AA365" s="350">
        <f t="shared" si="43"/>
        <v>0</v>
      </c>
      <c r="AB365" s="307"/>
      <c r="AC365" s="361"/>
      <c r="AD365" s="303"/>
      <c r="AE365" s="303"/>
      <c r="AF365" s="303"/>
      <c r="AG365" s="303"/>
      <c r="AH365" s="314"/>
      <c r="AI365" s="297">
        <f t="shared" si="44"/>
        <v>0</v>
      </c>
      <c r="AJ365" s="303"/>
      <c r="AK365" s="361"/>
      <c r="AL365" s="303"/>
      <c r="AM365" s="303"/>
      <c r="AN365" s="303"/>
      <c r="AO365" s="303"/>
      <c r="AP365" s="303"/>
      <c r="AQ365" s="289">
        <f t="shared" si="45"/>
        <v>0</v>
      </c>
      <c r="AR365" s="314"/>
      <c r="AS365" s="314"/>
      <c r="AT365" s="329"/>
      <c r="AU365" s="329"/>
      <c r="AV365" s="329"/>
      <c r="AW365" s="329"/>
      <c r="AX365" s="329"/>
      <c r="AY365" s="139">
        <f t="shared" si="46"/>
        <v>0</v>
      </c>
      <c r="AZ365" s="303"/>
      <c r="BA365" s="303"/>
      <c r="BB365" s="303"/>
      <c r="BC365" s="303"/>
      <c r="BD365" s="303"/>
      <c r="BE365" s="303"/>
      <c r="BF365" s="303"/>
      <c r="BG365" s="353">
        <f t="shared" si="47"/>
        <v>0</v>
      </c>
      <c r="BH365" s="303"/>
      <c r="BI365" s="303"/>
      <c r="BJ365" s="354">
        <f t="shared" si="41"/>
        <v>1</v>
      </c>
      <c r="BK365" s="316" t="str">
        <f t="shared" si="48"/>
        <v>Habilitado</v>
      </c>
    </row>
    <row r="366" spans="1:63" x14ac:dyDescent="0.25">
      <c r="A366" s="324">
        <v>364</v>
      </c>
      <c r="B366" s="345" t="s">
        <v>2478</v>
      </c>
      <c r="C366" s="335" t="s">
        <v>518</v>
      </c>
      <c r="D366" s="360" t="s">
        <v>2479</v>
      </c>
      <c r="E366" s="347">
        <v>1</v>
      </c>
      <c r="F366" s="314"/>
      <c r="G366" s="314"/>
      <c r="H366" s="314"/>
      <c r="I366" s="314"/>
      <c r="J366" s="314"/>
      <c r="K366" s="29">
        <f t="shared" si="42"/>
        <v>0</v>
      </c>
      <c r="L366" s="314"/>
      <c r="M366" s="314"/>
      <c r="N366" s="314"/>
      <c r="O366" s="314"/>
      <c r="P366" s="314"/>
      <c r="Q366" s="314"/>
      <c r="R366" s="314"/>
      <c r="S366" s="314"/>
      <c r="T366" s="314"/>
      <c r="U366" s="314"/>
      <c r="V366" s="350"/>
      <c r="W366" s="350"/>
      <c r="X366" s="350"/>
      <c r="Y366" s="350"/>
      <c r="Z366" s="307"/>
      <c r="AA366" s="350">
        <f t="shared" si="43"/>
        <v>0</v>
      </c>
      <c r="AB366" s="307"/>
      <c r="AC366" s="307"/>
      <c r="AD366" s="303"/>
      <c r="AE366" s="303"/>
      <c r="AF366" s="303"/>
      <c r="AG366" s="303"/>
      <c r="AH366" s="314"/>
      <c r="AI366" s="297">
        <f t="shared" si="44"/>
        <v>0</v>
      </c>
      <c r="AJ366" s="303"/>
      <c r="AK366" s="303"/>
      <c r="AL366" s="303"/>
      <c r="AM366" s="303"/>
      <c r="AN366" s="303"/>
      <c r="AO366" s="303"/>
      <c r="AP366" s="303"/>
      <c r="AQ366" s="289">
        <f t="shared" si="45"/>
        <v>0</v>
      </c>
      <c r="AR366" s="303"/>
      <c r="AS366" s="303"/>
      <c r="AT366" s="329"/>
      <c r="AU366" s="329"/>
      <c r="AV366" s="329"/>
      <c r="AW366" s="329"/>
      <c r="AX366" s="329"/>
      <c r="AY366" s="139">
        <f t="shared" si="46"/>
        <v>0</v>
      </c>
      <c r="AZ366" s="303"/>
      <c r="BA366" s="303"/>
      <c r="BB366" s="303"/>
      <c r="BC366" s="303"/>
      <c r="BD366" s="303"/>
      <c r="BE366" s="303"/>
      <c r="BF366" s="303"/>
      <c r="BG366" s="353">
        <f t="shared" si="47"/>
        <v>0</v>
      </c>
      <c r="BH366" s="303"/>
      <c r="BI366" s="303"/>
      <c r="BJ366" s="354">
        <f t="shared" si="41"/>
        <v>0</v>
      </c>
      <c r="BK366" s="316" t="str">
        <f t="shared" si="48"/>
        <v>Desierto</v>
      </c>
    </row>
    <row r="367" spans="1:63" ht="51" x14ac:dyDescent="0.25">
      <c r="A367" s="324">
        <v>365</v>
      </c>
      <c r="B367" s="345" t="s">
        <v>2480</v>
      </c>
      <c r="C367" s="335" t="s">
        <v>518</v>
      </c>
      <c r="D367" s="360" t="s">
        <v>1701</v>
      </c>
      <c r="E367" s="347">
        <v>1</v>
      </c>
      <c r="F367" s="314" t="s">
        <v>510</v>
      </c>
      <c r="G367" s="314" t="s">
        <v>510</v>
      </c>
      <c r="H367" s="314" t="s">
        <v>510</v>
      </c>
      <c r="I367" s="314" t="s">
        <v>510</v>
      </c>
      <c r="J367" s="314">
        <v>40</v>
      </c>
      <c r="K367" s="29">
        <f t="shared" si="42"/>
        <v>40</v>
      </c>
      <c r="L367" s="314" t="s">
        <v>504</v>
      </c>
      <c r="M367" s="314"/>
      <c r="N367" s="314"/>
      <c r="O367" s="314"/>
      <c r="P367" s="314"/>
      <c r="Q367" s="314"/>
      <c r="R367" s="314"/>
      <c r="S367" s="314"/>
      <c r="T367" s="314"/>
      <c r="U367" s="314"/>
      <c r="V367" s="350" t="s">
        <v>510</v>
      </c>
      <c r="W367" s="350" t="s">
        <v>510</v>
      </c>
      <c r="X367" s="350" t="s">
        <v>519</v>
      </c>
      <c r="Y367" s="350" t="s">
        <v>510</v>
      </c>
      <c r="Z367" s="304">
        <v>0</v>
      </c>
      <c r="AA367" s="350">
        <f t="shared" si="43"/>
        <v>0</v>
      </c>
      <c r="AB367" s="307" t="s">
        <v>520</v>
      </c>
      <c r="AC367" s="361" t="s">
        <v>2481</v>
      </c>
      <c r="AD367" s="303" t="s">
        <v>510</v>
      </c>
      <c r="AE367" s="303" t="s">
        <v>510</v>
      </c>
      <c r="AF367" s="303" t="s">
        <v>519</v>
      </c>
      <c r="AG367" s="303" t="s">
        <v>510</v>
      </c>
      <c r="AH367" s="314">
        <v>0</v>
      </c>
      <c r="AI367" s="297">
        <f t="shared" si="44"/>
        <v>0</v>
      </c>
      <c r="AJ367" s="303" t="s">
        <v>520</v>
      </c>
      <c r="AK367" s="361" t="s">
        <v>2482</v>
      </c>
      <c r="AL367" s="303"/>
      <c r="AM367" s="303"/>
      <c r="AN367" s="303"/>
      <c r="AO367" s="303"/>
      <c r="AP367" s="303"/>
      <c r="AQ367" s="289">
        <f t="shared" si="45"/>
        <v>0</v>
      </c>
      <c r="AR367" s="314"/>
      <c r="AS367" s="314"/>
      <c r="AT367" s="303" t="s">
        <v>510</v>
      </c>
      <c r="AU367" s="303" t="s">
        <v>510</v>
      </c>
      <c r="AV367" s="303" t="s">
        <v>510</v>
      </c>
      <c r="AW367" s="303" t="s">
        <v>510</v>
      </c>
      <c r="AX367" s="303">
        <v>40</v>
      </c>
      <c r="AY367" s="139">
        <f t="shared" si="46"/>
        <v>40</v>
      </c>
      <c r="AZ367" s="303" t="s">
        <v>504</v>
      </c>
      <c r="BA367" s="301"/>
      <c r="BB367" s="356" t="s">
        <v>510</v>
      </c>
      <c r="BC367" s="356" t="s">
        <v>510</v>
      </c>
      <c r="BD367" s="356" t="s">
        <v>519</v>
      </c>
      <c r="BE367" s="303" t="s">
        <v>510</v>
      </c>
      <c r="BF367" s="352">
        <v>0</v>
      </c>
      <c r="BG367" s="353">
        <f t="shared" si="47"/>
        <v>0</v>
      </c>
      <c r="BH367" s="303" t="s">
        <v>520</v>
      </c>
      <c r="BI367" s="303" t="s">
        <v>2483</v>
      </c>
      <c r="BJ367" s="354">
        <f t="shared" si="41"/>
        <v>2</v>
      </c>
      <c r="BK367" s="316" t="str">
        <f t="shared" si="48"/>
        <v>Habilitado</v>
      </c>
    </row>
    <row r="368" spans="1:63" ht="25.5" x14ac:dyDescent="0.25">
      <c r="A368" s="324">
        <v>366</v>
      </c>
      <c r="B368" s="325" t="s">
        <v>2484</v>
      </c>
      <c r="C368" s="325" t="s">
        <v>518</v>
      </c>
      <c r="D368" s="325" t="s">
        <v>1702</v>
      </c>
      <c r="E368" s="362">
        <v>1</v>
      </c>
      <c r="F368" s="406"/>
      <c r="G368" s="406"/>
      <c r="H368" s="406"/>
      <c r="I368" s="406"/>
      <c r="J368" s="406"/>
      <c r="K368" s="29">
        <f t="shared" si="42"/>
        <v>0</v>
      </c>
      <c r="L368" s="406"/>
      <c r="M368" s="406" t="s">
        <v>551</v>
      </c>
      <c r="N368" s="406"/>
      <c r="O368" s="406"/>
      <c r="P368" s="406"/>
      <c r="Q368" s="406"/>
      <c r="R368" s="406"/>
      <c r="S368" s="406"/>
      <c r="T368" s="406"/>
      <c r="U368" s="406"/>
      <c r="V368" s="350"/>
      <c r="W368" s="350"/>
      <c r="X368" s="350"/>
      <c r="Y368" s="350"/>
      <c r="Z368" s="307"/>
      <c r="AA368" s="350">
        <f t="shared" si="43"/>
        <v>0</v>
      </c>
      <c r="AB368" s="307"/>
      <c r="AC368" s="307"/>
      <c r="AD368" s="304"/>
      <c r="AE368" s="304"/>
      <c r="AF368" s="304"/>
      <c r="AG368" s="304"/>
      <c r="AH368" s="326"/>
      <c r="AI368" s="297">
        <f t="shared" si="44"/>
        <v>0</v>
      </c>
      <c r="AJ368" s="304"/>
      <c r="AK368" s="304"/>
      <c r="AL368" s="304"/>
      <c r="AM368" s="304"/>
      <c r="AN368" s="304"/>
      <c r="AO368" s="304"/>
      <c r="AP368" s="304"/>
      <c r="AQ368" s="289">
        <f t="shared" si="45"/>
        <v>0</v>
      </c>
      <c r="AR368" s="304"/>
      <c r="AS368" s="304"/>
      <c r="AT368" s="325"/>
      <c r="AU368" s="325"/>
      <c r="AV368" s="325"/>
      <c r="AW368" s="325"/>
      <c r="AX368" s="325"/>
      <c r="AY368" s="139">
        <f t="shared" si="46"/>
        <v>0</v>
      </c>
      <c r="AZ368" s="304"/>
      <c r="BA368" s="304"/>
      <c r="BB368" s="303"/>
      <c r="BC368" s="303"/>
      <c r="BD368" s="303"/>
      <c r="BE368" s="303"/>
      <c r="BF368" s="303"/>
      <c r="BG368" s="353">
        <f t="shared" si="47"/>
        <v>0</v>
      </c>
      <c r="BH368" s="303"/>
      <c r="BI368" s="303"/>
      <c r="BJ368" s="354">
        <f t="shared" si="41"/>
        <v>0</v>
      </c>
      <c r="BK368" s="316" t="str">
        <f t="shared" si="48"/>
        <v>Desierto</v>
      </c>
    </row>
    <row r="369" spans="1:63" ht="25.5" x14ac:dyDescent="0.25">
      <c r="A369" s="324">
        <v>367</v>
      </c>
      <c r="B369" s="345" t="s">
        <v>2485</v>
      </c>
      <c r="C369" s="335" t="s">
        <v>518</v>
      </c>
      <c r="D369" s="360" t="s">
        <v>140</v>
      </c>
      <c r="E369" s="347">
        <v>1</v>
      </c>
      <c r="F369" s="314"/>
      <c r="G369" s="314"/>
      <c r="H369" s="314"/>
      <c r="I369" s="314"/>
      <c r="J369" s="314"/>
      <c r="K369" s="29">
        <f t="shared" si="42"/>
        <v>0</v>
      </c>
      <c r="L369" s="314"/>
      <c r="M369" s="314"/>
      <c r="N369" s="314"/>
      <c r="O369" s="314"/>
      <c r="P369" s="314"/>
      <c r="Q369" s="314"/>
      <c r="R369" s="314"/>
      <c r="S369" s="314"/>
      <c r="T369" s="314"/>
      <c r="U369" s="314"/>
      <c r="V369" s="350"/>
      <c r="W369" s="350"/>
      <c r="X369" s="350"/>
      <c r="Y369" s="350"/>
      <c r="Z369" s="307"/>
      <c r="AA369" s="350">
        <f t="shared" si="43"/>
        <v>0</v>
      </c>
      <c r="AB369" s="307"/>
      <c r="AC369" s="307"/>
      <c r="AD369" s="303"/>
      <c r="AE369" s="303"/>
      <c r="AF369" s="303"/>
      <c r="AG369" s="303"/>
      <c r="AH369" s="314"/>
      <c r="AI369" s="297">
        <f t="shared" si="44"/>
        <v>0</v>
      </c>
      <c r="AJ369" s="303"/>
      <c r="AK369" s="303"/>
      <c r="AL369" s="303"/>
      <c r="AM369" s="303"/>
      <c r="AN369" s="303"/>
      <c r="AO369" s="303"/>
      <c r="AP369" s="303"/>
      <c r="AQ369" s="289">
        <f t="shared" si="45"/>
        <v>0</v>
      </c>
      <c r="AR369" s="303"/>
      <c r="AS369" s="303"/>
      <c r="AT369" s="329"/>
      <c r="AU369" s="329"/>
      <c r="AV369" s="329"/>
      <c r="AW369" s="329"/>
      <c r="AX369" s="329"/>
      <c r="AY369" s="139">
        <f t="shared" si="46"/>
        <v>0</v>
      </c>
      <c r="AZ369" s="303"/>
      <c r="BA369" s="303"/>
      <c r="BB369" s="304"/>
      <c r="BC369" s="304"/>
      <c r="BD369" s="304"/>
      <c r="BE369" s="304"/>
      <c r="BF369" s="304"/>
      <c r="BG369" s="353">
        <f t="shared" si="47"/>
        <v>0</v>
      </c>
      <c r="BH369" s="304"/>
      <c r="BI369" s="304"/>
      <c r="BJ369" s="354">
        <f t="shared" si="41"/>
        <v>0</v>
      </c>
      <c r="BK369" s="316" t="str">
        <f t="shared" si="48"/>
        <v>Desierto</v>
      </c>
    </row>
    <row r="370" spans="1:63" x14ac:dyDescent="0.25">
      <c r="A370" s="324">
        <v>368</v>
      </c>
      <c r="B370" s="345" t="s">
        <v>2486</v>
      </c>
      <c r="C370" s="335" t="s">
        <v>518</v>
      </c>
      <c r="D370" s="360" t="s">
        <v>140</v>
      </c>
      <c r="E370" s="347">
        <v>1</v>
      </c>
      <c r="F370" s="314" t="s">
        <v>510</v>
      </c>
      <c r="G370" s="314" t="s">
        <v>510</v>
      </c>
      <c r="H370" s="314" t="s">
        <v>511</v>
      </c>
      <c r="I370" s="314" t="s">
        <v>510</v>
      </c>
      <c r="J370" s="314">
        <v>40</v>
      </c>
      <c r="K370" s="29">
        <f t="shared" si="42"/>
        <v>40</v>
      </c>
      <c r="L370" s="314" t="s">
        <v>504</v>
      </c>
      <c r="M370" s="314"/>
      <c r="N370" s="314"/>
      <c r="O370" s="314"/>
      <c r="P370" s="314"/>
      <c r="Q370" s="314"/>
      <c r="R370" s="314"/>
      <c r="S370" s="314"/>
      <c r="T370" s="314"/>
      <c r="U370" s="314"/>
      <c r="V370" s="350"/>
      <c r="W370" s="350"/>
      <c r="X370" s="350"/>
      <c r="Y370" s="350"/>
      <c r="Z370" s="307"/>
      <c r="AA370" s="350">
        <f t="shared" si="43"/>
        <v>0</v>
      </c>
      <c r="AB370" s="307"/>
      <c r="AC370" s="307"/>
      <c r="AD370" s="303"/>
      <c r="AE370" s="303"/>
      <c r="AF370" s="303"/>
      <c r="AG370" s="303"/>
      <c r="AH370" s="314"/>
      <c r="AI370" s="297">
        <f t="shared" si="44"/>
        <v>0</v>
      </c>
      <c r="AJ370" s="303"/>
      <c r="AK370" s="303"/>
      <c r="AL370" s="303"/>
      <c r="AM370" s="303"/>
      <c r="AN370" s="303"/>
      <c r="AO370" s="303"/>
      <c r="AP370" s="303"/>
      <c r="AQ370" s="289">
        <f t="shared" si="45"/>
        <v>0</v>
      </c>
      <c r="AR370" s="303"/>
      <c r="AS370" s="303"/>
      <c r="AT370" s="329"/>
      <c r="AU370" s="329"/>
      <c r="AV370" s="329"/>
      <c r="AW370" s="329"/>
      <c r="AX370" s="329"/>
      <c r="AY370" s="139">
        <f t="shared" si="46"/>
        <v>0</v>
      </c>
      <c r="AZ370" s="303"/>
      <c r="BA370" s="303"/>
      <c r="BB370" s="303"/>
      <c r="BC370" s="303"/>
      <c r="BD370" s="303"/>
      <c r="BE370" s="303"/>
      <c r="BF370" s="303"/>
      <c r="BG370" s="353">
        <f t="shared" si="47"/>
        <v>0</v>
      </c>
      <c r="BH370" s="303"/>
      <c r="BI370" s="303"/>
      <c r="BJ370" s="354">
        <f t="shared" si="41"/>
        <v>1</v>
      </c>
      <c r="BK370" s="316" t="str">
        <f t="shared" si="48"/>
        <v>Habilitado</v>
      </c>
    </row>
    <row r="371" spans="1:63" x14ac:dyDescent="0.25">
      <c r="A371" s="324">
        <v>369</v>
      </c>
      <c r="B371" s="345" t="s">
        <v>2487</v>
      </c>
      <c r="C371" s="335" t="s">
        <v>518</v>
      </c>
      <c r="D371" s="360" t="s">
        <v>1629</v>
      </c>
      <c r="E371" s="347">
        <v>1</v>
      </c>
      <c r="F371" s="314" t="s">
        <v>510</v>
      </c>
      <c r="G371" s="314" t="s">
        <v>510</v>
      </c>
      <c r="H371" s="314" t="s">
        <v>511</v>
      </c>
      <c r="I371" s="314" t="s">
        <v>510</v>
      </c>
      <c r="J371" s="314">
        <v>40</v>
      </c>
      <c r="K371" s="29">
        <f t="shared" si="42"/>
        <v>40</v>
      </c>
      <c r="L371" s="314" t="s">
        <v>504</v>
      </c>
      <c r="M371" s="314"/>
      <c r="N371" s="314"/>
      <c r="O371" s="314"/>
      <c r="P371" s="314"/>
      <c r="Q371" s="314"/>
      <c r="R371" s="314"/>
      <c r="S371" s="314"/>
      <c r="T371" s="314"/>
      <c r="U371" s="314"/>
      <c r="V371" s="350"/>
      <c r="W371" s="350"/>
      <c r="X371" s="350"/>
      <c r="Y371" s="350"/>
      <c r="Z371" s="307"/>
      <c r="AA371" s="350">
        <f t="shared" si="43"/>
        <v>0</v>
      </c>
      <c r="AB371" s="307"/>
      <c r="AC371" s="307"/>
      <c r="AD371" s="303"/>
      <c r="AE371" s="303"/>
      <c r="AF371" s="303"/>
      <c r="AG371" s="303"/>
      <c r="AH371" s="314"/>
      <c r="AI371" s="297">
        <f t="shared" si="44"/>
        <v>0</v>
      </c>
      <c r="AJ371" s="303"/>
      <c r="AK371" s="303"/>
      <c r="AL371" s="303"/>
      <c r="AM371" s="303"/>
      <c r="AN371" s="303"/>
      <c r="AO371" s="303"/>
      <c r="AP371" s="303"/>
      <c r="AQ371" s="289">
        <f t="shared" si="45"/>
        <v>0</v>
      </c>
      <c r="AR371" s="303"/>
      <c r="AS371" s="303"/>
      <c r="AT371" s="329"/>
      <c r="AU371" s="329"/>
      <c r="AV371" s="329"/>
      <c r="AW371" s="329"/>
      <c r="AX371" s="329"/>
      <c r="AY371" s="139">
        <f t="shared" si="46"/>
        <v>0</v>
      </c>
      <c r="AZ371" s="303"/>
      <c r="BA371" s="303"/>
      <c r="BB371" s="303"/>
      <c r="BC371" s="303"/>
      <c r="BD371" s="303"/>
      <c r="BE371" s="303"/>
      <c r="BF371" s="303"/>
      <c r="BG371" s="353">
        <f t="shared" si="47"/>
        <v>0</v>
      </c>
      <c r="BH371" s="303"/>
      <c r="BI371" s="303"/>
      <c r="BJ371" s="354">
        <f t="shared" si="41"/>
        <v>1</v>
      </c>
      <c r="BK371" s="316" t="str">
        <f t="shared" si="48"/>
        <v>Habilitado</v>
      </c>
    </row>
    <row r="372" spans="1:63" x14ac:dyDescent="0.25">
      <c r="A372" s="324">
        <v>370</v>
      </c>
      <c r="B372" s="345" t="s">
        <v>2488</v>
      </c>
      <c r="C372" s="335" t="s">
        <v>518</v>
      </c>
      <c r="D372" s="360" t="s">
        <v>1629</v>
      </c>
      <c r="E372" s="347">
        <v>1</v>
      </c>
      <c r="F372" s="314" t="s">
        <v>510</v>
      </c>
      <c r="G372" s="314" t="s">
        <v>510</v>
      </c>
      <c r="H372" s="314" t="s">
        <v>511</v>
      </c>
      <c r="I372" s="314" t="s">
        <v>510</v>
      </c>
      <c r="J372" s="314">
        <v>40</v>
      </c>
      <c r="K372" s="29">
        <f t="shared" si="42"/>
        <v>40</v>
      </c>
      <c r="L372" s="314" t="s">
        <v>504</v>
      </c>
      <c r="M372" s="314"/>
      <c r="N372" s="314"/>
      <c r="O372" s="314"/>
      <c r="P372" s="314"/>
      <c r="Q372" s="314"/>
      <c r="R372" s="314"/>
      <c r="S372" s="314"/>
      <c r="T372" s="314"/>
      <c r="U372" s="314"/>
      <c r="V372" s="350"/>
      <c r="W372" s="350"/>
      <c r="X372" s="350"/>
      <c r="Y372" s="350"/>
      <c r="Z372" s="307"/>
      <c r="AA372" s="350">
        <f t="shared" si="43"/>
        <v>0</v>
      </c>
      <c r="AB372" s="307"/>
      <c r="AC372" s="307"/>
      <c r="AD372" s="303"/>
      <c r="AE372" s="303"/>
      <c r="AF372" s="303"/>
      <c r="AG372" s="303"/>
      <c r="AH372" s="314"/>
      <c r="AI372" s="297">
        <f t="shared" si="44"/>
        <v>0</v>
      </c>
      <c r="AJ372" s="303"/>
      <c r="AK372" s="303"/>
      <c r="AL372" s="303"/>
      <c r="AM372" s="303"/>
      <c r="AN372" s="303"/>
      <c r="AO372" s="303"/>
      <c r="AP372" s="303"/>
      <c r="AQ372" s="289">
        <f t="shared" si="45"/>
        <v>0</v>
      </c>
      <c r="AR372" s="303"/>
      <c r="AS372" s="303"/>
      <c r="AT372" s="329"/>
      <c r="AU372" s="329"/>
      <c r="AV372" s="329"/>
      <c r="AW372" s="329"/>
      <c r="AX372" s="329"/>
      <c r="AY372" s="139">
        <f t="shared" si="46"/>
        <v>0</v>
      </c>
      <c r="AZ372" s="303"/>
      <c r="BA372" s="303"/>
      <c r="BB372" s="303"/>
      <c r="BC372" s="303"/>
      <c r="BD372" s="303"/>
      <c r="BE372" s="303"/>
      <c r="BF372" s="303"/>
      <c r="BG372" s="353">
        <f t="shared" si="47"/>
        <v>0</v>
      </c>
      <c r="BH372" s="303"/>
      <c r="BI372" s="303"/>
      <c r="BJ372" s="354">
        <f t="shared" si="41"/>
        <v>1</v>
      </c>
      <c r="BK372" s="316" t="str">
        <f t="shared" si="48"/>
        <v>Habilitado</v>
      </c>
    </row>
    <row r="373" spans="1:63" x14ac:dyDescent="0.25">
      <c r="A373" s="324">
        <v>371</v>
      </c>
      <c r="B373" s="345" t="s">
        <v>2489</v>
      </c>
      <c r="C373" s="335" t="s">
        <v>2490</v>
      </c>
      <c r="D373" s="357" t="s">
        <v>1629</v>
      </c>
      <c r="E373" s="347">
        <v>1</v>
      </c>
      <c r="F373" s="314" t="s">
        <v>510</v>
      </c>
      <c r="G373" s="314" t="s">
        <v>510</v>
      </c>
      <c r="H373" s="314" t="s">
        <v>511</v>
      </c>
      <c r="I373" s="314" t="s">
        <v>510</v>
      </c>
      <c r="J373" s="314">
        <v>40</v>
      </c>
      <c r="K373" s="29">
        <f t="shared" si="42"/>
        <v>40</v>
      </c>
      <c r="L373" s="314" t="s">
        <v>504</v>
      </c>
      <c r="M373" s="314"/>
      <c r="N373" s="314"/>
      <c r="O373" s="314"/>
      <c r="P373" s="314"/>
      <c r="Q373" s="314"/>
      <c r="R373" s="314"/>
      <c r="S373" s="314"/>
      <c r="T373" s="314"/>
      <c r="U373" s="314"/>
      <c r="V373" s="350"/>
      <c r="W373" s="350"/>
      <c r="X373" s="350"/>
      <c r="Y373" s="350"/>
      <c r="Z373" s="307"/>
      <c r="AA373" s="350">
        <f t="shared" si="43"/>
        <v>0</v>
      </c>
      <c r="AB373" s="307"/>
      <c r="AC373" s="307"/>
      <c r="AD373" s="303"/>
      <c r="AE373" s="303"/>
      <c r="AF373" s="303"/>
      <c r="AG373" s="303"/>
      <c r="AH373" s="314"/>
      <c r="AI373" s="297">
        <f t="shared" si="44"/>
        <v>0</v>
      </c>
      <c r="AJ373" s="303"/>
      <c r="AK373" s="303"/>
      <c r="AL373" s="303"/>
      <c r="AM373" s="303"/>
      <c r="AN373" s="303"/>
      <c r="AO373" s="303"/>
      <c r="AP373" s="303"/>
      <c r="AQ373" s="289">
        <f t="shared" si="45"/>
        <v>0</v>
      </c>
      <c r="AR373" s="303"/>
      <c r="AS373" s="303"/>
      <c r="AT373" s="329"/>
      <c r="AU373" s="329"/>
      <c r="AV373" s="329"/>
      <c r="AW373" s="329"/>
      <c r="AX373" s="329"/>
      <c r="AY373" s="139">
        <f t="shared" si="46"/>
        <v>0</v>
      </c>
      <c r="AZ373" s="303"/>
      <c r="BA373" s="303"/>
      <c r="BB373" s="303"/>
      <c r="BC373" s="303"/>
      <c r="BD373" s="303"/>
      <c r="BE373" s="303"/>
      <c r="BF373" s="303"/>
      <c r="BG373" s="353">
        <f t="shared" si="47"/>
        <v>0</v>
      </c>
      <c r="BH373" s="303"/>
      <c r="BI373" s="303"/>
      <c r="BJ373" s="354">
        <f t="shared" si="41"/>
        <v>1</v>
      </c>
      <c r="BK373" s="316" t="str">
        <f t="shared" si="48"/>
        <v>Habilitado</v>
      </c>
    </row>
    <row r="374" spans="1:63" x14ac:dyDescent="0.25">
      <c r="A374" s="324">
        <v>372</v>
      </c>
      <c r="B374" s="345" t="s">
        <v>2491</v>
      </c>
      <c r="C374" s="335" t="s">
        <v>518</v>
      </c>
      <c r="D374" s="357" t="s">
        <v>140</v>
      </c>
      <c r="E374" s="347">
        <v>1</v>
      </c>
      <c r="F374" s="314"/>
      <c r="G374" s="314"/>
      <c r="H374" s="314"/>
      <c r="I374" s="314"/>
      <c r="J374" s="314"/>
      <c r="K374" s="29">
        <f t="shared" si="42"/>
        <v>0</v>
      </c>
      <c r="L374" s="314"/>
      <c r="M374" s="314"/>
      <c r="N374" s="314"/>
      <c r="O374" s="314"/>
      <c r="P374" s="314"/>
      <c r="Q374" s="314"/>
      <c r="R374" s="314"/>
      <c r="S374" s="314"/>
      <c r="T374" s="314"/>
      <c r="U374" s="314"/>
      <c r="V374" s="350"/>
      <c r="W374" s="350"/>
      <c r="X374" s="350"/>
      <c r="Y374" s="350"/>
      <c r="Z374" s="307"/>
      <c r="AA374" s="350">
        <f t="shared" si="43"/>
        <v>0</v>
      </c>
      <c r="AB374" s="307"/>
      <c r="AC374" s="307"/>
      <c r="AD374" s="303"/>
      <c r="AE374" s="303"/>
      <c r="AF374" s="303"/>
      <c r="AG374" s="303"/>
      <c r="AH374" s="314"/>
      <c r="AI374" s="297">
        <f t="shared" si="44"/>
        <v>0</v>
      </c>
      <c r="AJ374" s="303"/>
      <c r="AK374" s="303"/>
      <c r="AL374" s="303"/>
      <c r="AM374" s="303"/>
      <c r="AN374" s="303"/>
      <c r="AO374" s="303"/>
      <c r="AP374" s="303"/>
      <c r="AQ374" s="289">
        <f t="shared" si="45"/>
        <v>0</v>
      </c>
      <c r="AR374" s="303"/>
      <c r="AS374" s="303"/>
      <c r="AT374" s="329"/>
      <c r="AU374" s="329"/>
      <c r="AV374" s="329"/>
      <c r="AW374" s="329"/>
      <c r="AX374" s="329"/>
      <c r="AY374" s="139">
        <f t="shared" si="46"/>
        <v>0</v>
      </c>
      <c r="AZ374" s="303"/>
      <c r="BA374" s="303"/>
      <c r="BB374" s="303"/>
      <c r="BC374" s="303"/>
      <c r="BD374" s="303"/>
      <c r="BE374" s="303"/>
      <c r="BF374" s="303"/>
      <c r="BG374" s="353">
        <f t="shared" si="47"/>
        <v>0</v>
      </c>
      <c r="BH374" s="303"/>
      <c r="BI374" s="303"/>
      <c r="BJ374" s="354">
        <f t="shared" si="41"/>
        <v>0</v>
      </c>
      <c r="BK374" s="316" t="str">
        <f t="shared" si="48"/>
        <v>Desierto</v>
      </c>
    </row>
    <row r="375" spans="1:63" x14ac:dyDescent="0.25">
      <c r="A375" s="324">
        <v>373</v>
      </c>
      <c r="B375" s="345" t="s">
        <v>2492</v>
      </c>
      <c r="C375" s="335" t="s">
        <v>518</v>
      </c>
      <c r="D375" s="357" t="s">
        <v>140</v>
      </c>
      <c r="E375" s="347">
        <v>1</v>
      </c>
      <c r="F375" s="314"/>
      <c r="G375" s="314"/>
      <c r="H375" s="314"/>
      <c r="I375" s="314"/>
      <c r="J375" s="314"/>
      <c r="K375" s="29">
        <f t="shared" si="42"/>
        <v>0</v>
      </c>
      <c r="L375" s="314"/>
      <c r="M375" s="314"/>
      <c r="N375" s="314"/>
      <c r="O375" s="314"/>
      <c r="P375" s="314"/>
      <c r="Q375" s="314"/>
      <c r="R375" s="314"/>
      <c r="S375" s="314"/>
      <c r="T375" s="314"/>
      <c r="U375" s="314"/>
      <c r="V375" s="350"/>
      <c r="W375" s="350"/>
      <c r="X375" s="350"/>
      <c r="Y375" s="350"/>
      <c r="Z375" s="307"/>
      <c r="AA375" s="350">
        <f t="shared" si="43"/>
        <v>0</v>
      </c>
      <c r="AB375" s="307"/>
      <c r="AC375" s="307"/>
      <c r="AD375" s="303"/>
      <c r="AE375" s="303"/>
      <c r="AF375" s="303"/>
      <c r="AG375" s="303"/>
      <c r="AH375" s="314"/>
      <c r="AI375" s="297">
        <f t="shared" si="44"/>
        <v>0</v>
      </c>
      <c r="AJ375" s="303"/>
      <c r="AK375" s="303"/>
      <c r="AL375" s="303"/>
      <c r="AM375" s="303"/>
      <c r="AN375" s="303"/>
      <c r="AO375" s="303"/>
      <c r="AP375" s="303"/>
      <c r="AQ375" s="289">
        <f t="shared" si="45"/>
        <v>0</v>
      </c>
      <c r="AR375" s="303"/>
      <c r="AS375" s="303"/>
      <c r="AT375" s="329"/>
      <c r="AU375" s="329"/>
      <c r="AV375" s="329"/>
      <c r="AW375" s="329"/>
      <c r="AX375" s="329"/>
      <c r="AY375" s="139">
        <f t="shared" si="46"/>
        <v>0</v>
      </c>
      <c r="AZ375" s="303"/>
      <c r="BA375" s="303"/>
      <c r="BB375" s="303"/>
      <c r="BC375" s="303"/>
      <c r="BD375" s="303"/>
      <c r="BE375" s="303"/>
      <c r="BF375" s="303"/>
      <c r="BG375" s="353">
        <f t="shared" si="47"/>
        <v>0</v>
      </c>
      <c r="BH375" s="303"/>
      <c r="BI375" s="303"/>
      <c r="BJ375" s="354">
        <f t="shared" si="41"/>
        <v>0</v>
      </c>
      <c r="BK375" s="316" t="str">
        <f t="shared" si="48"/>
        <v>Desierto</v>
      </c>
    </row>
    <row r="376" spans="1:63" x14ac:dyDescent="0.25">
      <c r="A376" s="324">
        <v>374</v>
      </c>
      <c r="B376" s="345" t="s">
        <v>2493</v>
      </c>
      <c r="C376" s="335" t="s">
        <v>518</v>
      </c>
      <c r="D376" s="357" t="s">
        <v>140</v>
      </c>
      <c r="E376" s="347">
        <v>1</v>
      </c>
      <c r="F376" s="314"/>
      <c r="G376" s="314"/>
      <c r="H376" s="314"/>
      <c r="I376" s="314"/>
      <c r="J376" s="314"/>
      <c r="K376" s="29">
        <f t="shared" si="42"/>
        <v>0</v>
      </c>
      <c r="L376" s="314"/>
      <c r="M376" s="314"/>
      <c r="N376" s="314"/>
      <c r="O376" s="314"/>
      <c r="P376" s="314"/>
      <c r="Q376" s="314"/>
      <c r="R376" s="314"/>
      <c r="S376" s="314"/>
      <c r="T376" s="314"/>
      <c r="U376" s="314"/>
      <c r="V376" s="350"/>
      <c r="W376" s="350"/>
      <c r="X376" s="350"/>
      <c r="Y376" s="350"/>
      <c r="Z376" s="307"/>
      <c r="AA376" s="350">
        <f t="shared" si="43"/>
        <v>0</v>
      </c>
      <c r="AB376" s="307"/>
      <c r="AC376" s="307"/>
      <c r="AD376" s="303"/>
      <c r="AE376" s="303"/>
      <c r="AF376" s="303"/>
      <c r="AG376" s="303"/>
      <c r="AH376" s="314"/>
      <c r="AI376" s="297">
        <f t="shared" si="44"/>
        <v>0</v>
      </c>
      <c r="AJ376" s="303"/>
      <c r="AK376" s="303"/>
      <c r="AL376" s="303"/>
      <c r="AM376" s="303"/>
      <c r="AN376" s="303"/>
      <c r="AO376" s="303"/>
      <c r="AP376" s="303"/>
      <c r="AQ376" s="289">
        <f t="shared" si="45"/>
        <v>0</v>
      </c>
      <c r="AR376" s="303"/>
      <c r="AS376" s="303"/>
      <c r="AT376" s="329"/>
      <c r="AU376" s="329"/>
      <c r="AV376" s="329"/>
      <c r="AW376" s="329"/>
      <c r="AX376" s="329"/>
      <c r="AY376" s="139">
        <f t="shared" si="46"/>
        <v>0</v>
      </c>
      <c r="AZ376" s="303"/>
      <c r="BA376" s="303"/>
      <c r="BB376" s="303"/>
      <c r="BC376" s="303"/>
      <c r="BD376" s="303"/>
      <c r="BE376" s="303"/>
      <c r="BF376" s="303"/>
      <c r="BG376" s="353">
        <f t="shared" si="47"/>
        <v>0</v>
      </c>
      <c r="BH376" s="303"/>
      <c r="BI376" s="303"/>
      <c r="BJ376" s="354">
        <f t="shared" si="41"/>
        <v>0</v>
      </c>
      <c r="BK376" s="316" t="str">
        <f t="shared" si="48"/>
        <v>Desierto</v>
      </c>
    </row>
    <row r="377" spans="1:63" x14ac:dyDescent="0.25">
      <c r="A377" s="324">
        <v>375</v>
      </c>
      <c r="B377" s="345" t="s">
        <v>2494</v>
      </c>
      <c r="C377" s="335" t="s">
        <v>518</v>
      </c>
      <c r="D377" s="335" t="s">
        <v>140</v>
      </c>
      <c r="E377" s="347">
        <v>1</v>
      </c>
      <c r="F377" s="314"/>
      <c r="G377" s="314"/>
      <c r="H377" s="314"/>
      <c r="I377" s="314"/>
      <c r="J377" s="314"/>
      <c r="K377" s="29">
        <f t="shared" si="42"/>
        <v>0</v>
      </c>
      <c r="L377" s="314"/>
      <c r="M377" s="314"/>
      <c r="N377" s="314"/>
      <c r="O377" s="314"/>
      <c r="P377" s="314"/>
      <c r="Q377" s="314"/>
      <c r="R377" s="314"/>
      <c r="S377" s="314"/>
      <c r="T377" s="314"/>
      <c r="U377" s="314"/>
      <c r="V377" s="350"/>
      <c r="W377" s="350"/>
      <c r="X377" s="350"/>
      <c r="Y377" s="350"/>
      <c r="Z377" s="307"/>
      <c r="AA377" s="350">
        <f t="shared" si="43"/>
        <v>0</v>
      </c>
      <c r="AB377" s="307"/>
      <c r="AC377" s="307"/>
      <c r="AD377" s="303"/>
      <c r="AE377" s="303"/>
      <c r="AF377" s="303"/>
      <c r="AG377" s="303"/>
      <c r="AH377" s="314"/>
      <c r="AI377" s="297">
        <f t="shared" si="44"/>
        <v>0</v>
      </c>
      <c r="AJ377" s="303"/>
      <c r="AK377" s="303"/>
      <c r="AL377" s="303"/>
      <c r="AM377" s="303"/>
      <c r="AN377" s="303"/>
      <c r="AO377" s="303"/>
      <c r="AP377" s="303"/>
      <c r="AQ377" s="289">
        <f t="shared" si="45"/>
        <v>0</v>
      </c>
      <c r="AR377" s="303"/>
      <c r="AS377" s="303"/>
      <c r="AT377" s="329"/>
      <c r="AU377" s="329"/>
      <c r="AV377" s="329"/>
      <c r="AW377" s="329"/>
      <c r="AX377" s="329"/>
      <c r="AY377" s="139">
        <f t="shared" si="46"/>
        <v>0</v>
      </c>
      <c r="AZ377" s="303"/>
      <c r="BA377" s="303"/>
      <c r="BB377" s="303"/>
      <c r="BC377" s="303"/>
      <c r="BD377" s="303"/>
      <c r="BE377" s="303"/>
      <c r="BF377" s="303"/>
      <c r="BG377" s="353">
        <f t="shared" si="47"/>
        <v>0</v>
      </c>
      <c r="BH377" s="303"/>
      <c r="BI377" s="303"/>
      <c r="BJ377" s="354">
        <f t="shared" si="41"/>
        <v>0</v>
      </c>
      <c r="BK377" s="316" t="str">
        <f t="shared" si="48"/>
        <v>Desierto</v>
      </c>
    </row>
    <row r="378" spans="1:63" ht="25.5" x14ac:dyDescent="0.25">
      <c r="A378" s="324">
        <v>376</v>
      </c>
      <c r="B378" s="345" t="s">
        <v>2495</v>
      </c>
      <c r="C378" s="335" t="s">
        <v>518</v>
      </c>
      <c r="D378" s="357" t="s">
        <v>140</v>
      </c>
      <c r="E378" s="347">
        <v>1</v>
      </c>
      <c r="F378" s="314"/>
      <c r="G378" s="314"/>
      <c r="H378" s="314"/>
      <c r="I378" s="314"/>
      <c r="J378" s="314"/>
      <c r="K378" s="29">
        <f t="shared" si="42"/>
        <v>0</v>
      </c>
      <c r="L378" s="314"/>
      <c r="M378" s="314"/>
      <c r="N378" s="314"/>
      <c r="O378" s="314"/>
      <c r="P378" s="314"/>
      <c r="Q378" s="314"/>
      <c r="R378" s="314"/>
      <c r="S378" s="314"/>
      <c r="T378" s="314"/>
      <c r="U378" s="314"/>
      <c r="V378" s="350"/>
      <c r="W378" s="350"/>
      <c r="X378" s="350"/>
      <c r="Y378" s="350"/>
      <c r="Z378" s="307"/>
      <c r="AA378" s="350">
        <f t="shared" si="43"/>
        <v>0</v>
      </c>
      <c r="AB378" s="307"/>
      <c r="AC378" s="307"/>
      <c r="AD378" s="303"/>
      <c r="AE378" s="303"/>
      <c r="AF378" s="303"/>
      <c r="AG378" s="303"/>
      <c r="AH378" s="314"/>
      <c r="AI378" s="297">
        <f t="shared" si="44"/>
        <v>0</v>
      </c>
      <c r="AJ378" s="303"/>
      <c r="AK378" s="361"/>
      <c r="AL378" s="303"/>
      <c r="AM378" s="303"/>
      <c r="AN378" s="303"/>
      <c r="AO378" s="303"/>
      <c r="AP378" s="303"/>
      <c r="AQ378" s="289">
        <f t="shared" si="45"/>
        <v>0</v>
      </c>
      <c r="AR378" s="314"/>
      <c r="AS378" s="314"/>
      <c r="AT378" s="329"/>
      <c r="AU378" s="329"/>
      <c r="AV378" s="329"/>
      <c r="AW378" s="329"/>
      <c r="AX378" s="329"/>
      <c r="AY378" s="139">
        <f t="shared" si="46"/>
        <v>0</v>
      </c>
      <c r="AZ378" s="303"/>
      <c r="BA378" s="303"/>
      <c r="BB378" s="303"/>
      <c r="BC378" s="303"/>
      <c r="BD378" s="303"/>
      <c r="BE378" s="303"/>
      <c r="BF378" s="303"/>
      <c r="BG378" s="353">
        <f t="shared" si="47"/>
        <v>0</v>
      </c>
      <c r="BH378" s="303"/>
      <c r="BI378" s="303"/>
      <c r="BJ378" s="354">
        <f t="shared" si="41"/>
        <v>0</v>
      </c>
      <c r="BK378" s="316" t="str">
        <f t="shared" si="48"/>
        <v>Desierto</v>
      </c>
    </row>
    <row r="379" spans="1:63" ht="25.5" x14ac:dyDescent="0.25">
      <c r="A379" s="324">
        <v>377</v>
      </c>
      <c r="B379" s="345" t="s">
        <v>2496</v>
      </c>
      <c r="C379" s="335" t="s">
        <v>518</v>
      </c>
      <c r="D379" s="360" t="s">
        <v>140</v>
      </c>
      <c r="E379" s="347">
        <v>1</v>
      </c>
      <c r="F379" s="314" t="s">
        <v>510</v>
      </c>
      <c r="G379" s="314" t="s">
        <v>510</v>
      </c>
      <c r="H379" s="314" t="s">
        <v>511</v>
      </c>
      <c r="I379" s="314" t="s">
        <v>510</v>
      </c>
      <c r="J379" s="314">
        <v>40</v>
      </c>
      <c r="K379" s="29">
        <f t="shared" si="42"/>
        <v>40</v>
      </c>
      <c r="L379" s="314" t="s">
        <v>504</v>
      </c>
      <c r="M379" s="314"/>
      <c r="N379" s="314"/>
      <c r="O379" s="314"/>
      <c r="P379" s="314"/>
      <c r="Q379" s="314"/>
      <c r="R379" s="314"/>
      <c r="S379" s="314"/>
      <c r="T379" s="314"/>
      <c r="U379" s="314"/>
      <c r="V379" s="350"/>
      <c r="W379" s="350"/>
      <c r="X379" s="350"/>
      <c r="Y379" s="350"/>
      <c r="Z379" s="307"/>
      <c r="AA379" s="350">
        <f t="shared" si="43"/>
        <v>0</v>
      </c>
      <c r="AB379" s="307"/>
      <c r="AC379" s="307"/>
      <c r="AD379" s="303"/>
      <c r="AE379" s="303"/>
      <c r="AF379" s="303"/>
      <c r="AG379" s="303"/>
      <c r="AH379" s="314"/>
      <c r="AI379" s="297">
        <f t="shared" si="44"/>
        <v>0</v>
      </c>
      <c r="AJ379" s="303"/>
      <c r="AK379" s="361"/>
      <c r="AL379" s="303"/>
      <c r="AM379" s="303"/>
      <c r="AN379" s="303"/>
      <c r="AO379" s="303"/>
      <c r="AP379" s="303"/>
      <c r="AQ379" s="289">
        <f t="shared" si="45"/>
        <v>0</v>
      </c>
      <c r="AR379" s="314"/>
      <c r="AS379" s="314"/>
      <c r="AT379" s="329"/>
      <c r="AU379" s="329"/>
      <c r="AV379" s="329"/>
      <c r="AW379" s="329"/>
      <c r="AX379" s="329"/>
      <c r="AY379" s="139">
        <f t="shared" si="46"/>
        <v>0</v>
      </c>
      <c r="AZ379" s="303"/>
      <c r="BA379" s="303"/>
      <c r="BB379" s="303"/>
      <c r="BC379" s="303"/>
      <c r="BD379" s="303"/>
      <c r="BE379" s="303"/>
      <c r="BF379" s="303"/>
      <c r="BG379" s="353">
        <f t="shared" si="47"/>
        <v>0</v>
      </c>
      <c r="BH379" s="303"/>
      <c r="BI379" s="303"/>
      <c r="BJ379" s="354">
        <f t="shared" si="41"/>
        <v>1</v>
      </c>
      <c r="BK379" s="316" t="str">
        <f t="shared" si="48"/>
        <v>Habilitado</v>
      </c>
    </row>
    <row r="380" spans="1:63" ht="25.5" x14ac:dyDescent="0.25">
      <c r="A380" s="324">
        <v>378</v>
      </c>
      <c r="B380" s="345" t="s">
        <v>2497</v>
      </c>
      <c r="C380" s="335" t="s">
        <v>518</v>
      </c>
      <c r="D380" s="360" t="s">
        <v>140</v>
      </c>
      <c r="E380" s="347">
        <v>1</v>
      </c>
      <c r="F380" s="314" t="s">
        <v>510</v>
      </c>
      <c r="G380" s="314" t="s">
        <v>510</v>
      </c>
      <c r="H380" s="314" t="s">
        <v>511</v>
      </c>
      <c r="I380" s="314" t="s">
        <v>510</v>
      </c>
      <c r="J380" s="314">
        <v>40</v>
      </c>
      <c r="K380" s="29">
        <f t="shared" si="42"/>
        <v>40</v>
      </c>
      <c r="L380" s="314" t="s">
        <v>504</v>
      </c>
      <c r="M380" s="314"/>
      <c r="N380" s="314"/>
      <c r="O380" s="314"/>
      <c r="P380" s="314"/>
      <c r="Q380" s="314"/>
      <c r="R380" s="314"/>
      <c r="S380" s="314"/>
      <c r="T380" s="314"/>
      <c r="U380" s="314"/>
      <c r="V380" s="350"/>
      <c r="W380" s="350"/>
      <c r="X380" s="350"/>
      <c r="Y380" s="350"/>
      <c r="Z380" s="307"/>
      <c r="AA380" s="350">
        <f t="shared" si="43"/>
        <v>0</v>
      </c>
      <c r="AB380" s="307"/>
      <c r="AC380" s="307"/>
      <c r="AD380" s="303"/>
      <c r="AE380" s="303"/>
      <c r="AF380" s="303"/>
      <c r="AG380" s="303"/>
      <c r="AH380" s="314"/>
      <c r="AI380" s="297">
        <f t="shared" si="44"/>
        <v>0</v>
      </c>
      <c r="AJ380" s="303"/>
      <c r="AK380" s="361"/>
      <c r="AL380" s="303"/>
      <c r="AM380" s="303"/>
      <c r="AN380" s="303"/>
      <c r="AO380" s="303"/>
      <c r="AP380" s="303"/>
      <c r="AQ380" s="289">
        <f t="shared" si="45"/>
        <v>0</v>
      </c>
      <c r="AR380" s="314"/>
      <c r="AS380" s="314"/>
      <c r="AT380" s="303" t="s">
        <v>510</v>
      </c>
      <c r="AU380" s="303" t="s">
        <v>510</v>
      </c>
      <c r="AV380" s="303" t="s">
        <v>511</v>
      </c>
      <c r="AW380" s="303" t="s">
        <v>510</v>
      </c>
      <c r="AX380" s="314">
        <v>40</v>
      </c>
      <c r="AY380" s="139">
        <f t="shared" si="46"/>
        <v>40</v>
      </c>
      <c r="AZ380" s="303" t="s">
        <v>504</v>
      </c>
      <c r="BA380" s="301"/>
      <c r="BB380" s="303"/>
      <c r="BC380" s="303"/>
      <c r="BD380" s="303"/>
      <c r="BE380" s="303"/>
      <c r="BF380" s="303"/>
      <c r="BG380" s="353">
        <f t="shared" si="47"/>
        <v>0</v>
      </c>
      <c r="BH380" s="303"/>
      <c r="BI380" s="303"/>
      <c r="BJ380" s="354">
        <f t="shared" si="41"/>
        <v>2</v>
      </c>
      <c r="BK380" s="316" t="str">
        <f t="shared" si="48"/>
        <v>Habilitado</v>
      </c>
    </row>
    <row r="381" spans="1:63" ht="25.5" x14ac:dyDescent="0.25">
      <c r="A381" s="324">
        <v>379</v>
      </c>
      <c r="B381" s="345" t="s">
        <v>2498</v>
      </c>
      <c r="C381" s="335" t="s">
        <v>518</v>
      </c>
      <c r="D381" s="360" t="s">
        <v>140</v>
      </c>
      <c r="E381" s="347">
        <v>1</v>
      </c>
      <c r="F381" s="314" t="s">
        <v>510</v>
      </c>
      <c r="G381" s="314" t="s">
        <v>510</v>
      </c>
      <c r="H381" s="314" t="s">
        <v>511</v>
      </c>
      <c r="I381" s="314" t="s">
        <v>510</v>
      </c>
      <c r="J381" s="314">
        <v>40</v>
      </c>
      <c r="K381" s="29">
        <f t="shared" si="42"/>
        <v>40</v>
      </c>
      <c r="L381" s="314" t="s">
        <v>504</v>
      </c>
      <c r="M381" s="314"/>
      <c r="N381" s="314"/>
      <c r="O381" s="314"/>
      <c r="P381" s="314"/>
      <c r="Q381" s="314"/>
      <c r="R381" s="314"/>
      <c r="S381" s="314"/>
      <c r="T381" s="314"/>
      <c r="U381" s="314"/>
      <c r="V381" s="350"/>
      <c r="W381" s="350"/>
      <c r="X381" s="350"/>
      <c r="Y381" s="350"/>
      <c r="Z381" s="307"/>
      <c r="AA381" s="350">
        <f t="shared" si="43"/>
        <v>0</v>
      </c>
      <c r="AB381" s="307"/>
      <c r="AC381" s="307"/>
      <c r="AD381" s="303"/>
      <c r="AE381" s="303"/>
      <c r="AF381" s="303"/>
      <c r="AG381" s="303"/>
      <c r="AH381" s="314"/>
      <c r="AI381" s="297">
        <f t="shared" si="44"/>
        <v>0</v>
      </c>
      <c r="AJ381" s="303"/>
      <c r="AK381" s="303"/>
      <c r="AL381" s="303"/>
      <c r="AM381" s="303"/>
      <c r="AN381" s="303"/>
      <c r="AO381" s="303"/>
      <c r="AP381" s="303"/>
      <c r="AQ381" s="289">
        <f t="shared" si="45"/>
        <v>0</v>
      </c>
      <c r="AR381" s="303"/>
      <c r="AS381" s="303"/>
      <c r="AT381" s="329"/>
      <c r="AU381" s="329"/>
      <c r="AV381" s="329"/>
      <c r="AW381" s="329"/>
      <c r="AX381" s="329"/>
      <c r="AY381" s="139">
        <f t="shared" si="46"/>
        <v>0</v>
      </c>
      <c r="AZ381" s="303"/>
      <c r="BA381" s="303"/>
      <c r="BB381" s="303"/>
      <c r="BC381" s="303"/>
      <c r="BD381" s="303"/>
      <c r="BE381" s="303"/>
      <c r="BF381" s="303"/>
      <c r="BG381" s="353">
        <f t="shared" si="47"/>
        <v>0</v>
      </c>
      <c r="BH381" s="303"/>
      <c r="BI381" s="303"/>
      <c r="BJ381" s="354">
        <f t="shared" si="41"/>
        <v>1</v>
      </c>
      <c r="BK381" s="316" t="str">
        <f t="shared" si="48"/>
        <v>Habilitado</v>
      </c>
    </row>
    <row r="382" spans="1:63" ht="25.5" x14ac:dyDescent="0.25">
      <c r="A382" s="324">
        <v>380</v>
      </c>
      <c r="B382" s="345" t="s">
        <v>2499</v>
      </c>
      <c r="C382" s="335" t="s">
        <v>518</v>
      </c>
      <c r="D382" s="360" t="s">
        <v>140</v>
      </c>
      <c r="E382" s="347">
        <v>1</v>
      </c>
      <c r="F382" s="314" t="s">
        <v>510</v>
      </c>
      <c r="G382" s="314" t="s">
        <v>510</v>
      </c>
      <c r="H382" s="314" t="s">
        <v>511</v>
      </c>
      <c r="I382" s="314" t="s">
        <v>510</v>
      </c>
      <c r="J382" s="314">
        <v>40</v>
      </c>
      <c r="K382" s="29">
        <f t="shared" si="42"/>
        <v>40</v>
      </c>
      <c r="L382" s="314" t="s">
        <v>504</v>
      </c>
      <c r="M382" s="314"/>
      <c r="N382" s="314"/>
      <c r="O382" s="314"/>
      <c r="P382" s="314"/>
      <c r="Q382" s="314"/>
      <c r="R382" s="314"/>
      <c r="S382" s="314"/>
      <c r="T382" s="314"/>
      <c r="U382" s="314"/>
      <c r="V382" s="350"/>
      <c r="W382" s="350"/>
      <c r="X382" s="350"/>
      <c r="Y382" s="350"/>
      <c r="Z382" s="307"/>
      <c r="AA382" s="350">
        <f t="shared" si="43"/>
        <v>0</v>
      </c>
      <c r="AB382" s="307"/>
      <c r="AC382" s="307"/>
      <c r="AD382" s="303"/>
      <c r="AE382" s="303"/>
      <c r="AF382" s="303"/>
      <c r="AG382" s="303"/>
      <c r="AH382" s="314"/>
      <c r="AI382" s="297">
        <f t="shared" si="44"/>
        <v>0</v>
      </c>
      <c r="AJ382" s="303"/>
      <c r="AK382" s="303"/>
      <c r="AL382" s="303"/>
      <c r="AM382" s="303"/>
      <c r="AN382" s="303"/>
      <c r="AO382" s="303"/>
      <c r="AP382" s="303"/>
      <c r="AQ382" s="289">
        <f t="shared" si="45"/>
        <v>0</v>
      </c>
      <c r="AR382" s="303"/>
      <c r="AS382" s="303"/>
      <c r="AT382" s="329"/>
      <c r="AU382" s="329"/>
      <c r="AV382" s="329"/>
      <c r="AW382" s="329"/>
      <c r="AX382" s="329"/>
      <c r="AY382" s="139">
        <f t="shared" si="46"/>
        <v>0</v>
      </c>
      <c r="AZ382" s="303"/>
      <c r="BA382" s="303"/>
      <c r="BB382" s="303"/>
      <c r="BC382" s="303"/>
      <c r="BD382" s="303"/>
      <c r="BE382" s="303"/>
      <c r="BF382" s="303"/>
      <c r="BG382" s="353">
        <f t="shared" si="47"/>
        <v>0</v>
      </c>
      <c r="BH382" s="303"/>
      <c r="BI382" s="303"/>
      <c r="BJ382" s="354">
        <f t="shared" si="41"/>
        <v>1</v>
      </c>
      <c r="BK382" s="316" t="str">
        <f t="shared" si="48"/>
        <v>Habilitado</v>
      </c>
    </row>
    <row r="383" spans="1:63" x14ac:dyDescent="0.25">
      <c r="A383" s="324">
        <v>381</v>
      </c>
      <c r="B383" s="345" t="s">
        <v>2500</v>
      </c>
      <c r="C383" s="335" t="s">
        <v>518</v>
      </c>
      <c r="D383" s="360" t="s">
        <v>140</v>
      </c>
      <c r="E383" s="347">
        <v>1</v>
      </c>
      <c r="F383" s="314" t="s">
        <v>510</v>
      </c>
      <c r="G383" s="314" t="s">
        <v>510</v>
      </c>
      <c r="H383" s="314" t="s">
        <v>511</v>
      </c>
      <c r="I383" s="314" t="s">
        <v>510</v>
      </c>
      <c r="J383" s="314">
        <v>40</v>
      </c>
      <c r="K383" s="29">
        <f t="shared" si="42"/>
        <v>40</v>
      </c>
      <c r="L383" s="314" t="s">
        <v>504</v>
      </c>
      <c r="M383" s="314"/>
      <c r="N383" s="314"/>
      <c r="O383" s="314"/>
      <c r="P383" s="314"/>
      <c r="Q383" s="314"/>
      <c r="R383" s="314"/>
      <c r="S383" s="314"/>
      <c r="T383" s="314"/>
      <c r="U383" s="314"/>
      <c r="V383" s="350"/>
      <c r="W383" s="350"/>
      <c r="X383" s="350"/>
      <c r="Y383" s="350"/>
      <c r="Z383" s="307"/>
      <c r="AA383" s="350">
        <f t="shared" si="43"/>
        <v>0</v>
      </c>
      <c r="AB383" s="307"/>
      <c r="AC383" s="307"/>
      <c r="AD383" s="303"/>
      <c r="AE383" s="303"/>
      <c r="AF383" s="303"/>
      <c r="AG383" s="303"/>
      <c r="AH383" s="314"/>
      <c r="AI383" s="297">
        <f t="shared" si="44"/>
        <v>0</v>
      </c>
      <c r="AJ383" s="303"/>
      <c r="AK383" s="303"/>
      <c r="AL383" s="303"/>
      <c r="AM383" s="303"/>
      <c r="AN383" s="303"/>
      <c r="AO383" s="303"/>
      <c r="AP383" s="303"/>
      <c r="AQ383" s="289">
        <f t="shared" si="45"/>
        <v>0</v>
      </c>
      <c r="AR383" s="303"/>
      <c r="AS383" s="303"/>
      <c r="AT383" s="329"/>
      <c r="AU383" s="329"/>
      <c r="AV383" s="329"/>
      <c r="AW383" s="329"/>
      <c r="AX383" s="329"/>
      <c r="AY383" s="139">
        <f t="shared" si="46"/>
        <v>0</v>
      </c>
      <c r="AZ383" s="303"/>
      <c r="BA383" s="303"/>
      <c r="BB383" s="303"/>
      <c r="BC383" s="303"/>
      <c r="BD383" s="303"/>
      <c r="BE383" s="303"/>
      <c r="BF383" s="303"/>
      <c r="BG383" s="353">
        <f t="shared" si="47"/>
        <v>0</v>
      </c>
      <c r="BH383" s="303"/>
      <c r="BI383" s="303"/>
      <c r="BJ383" s="354">
        <f t="shared" si="41"/>
        <v>1</v>
      </c>
      <c r="BK383" s="316" t="str">
        <f t="shared" si="48"/>
        <v>Habilitado</v>
      </c>
    </row>
    <row r="384" spans="1:63" ht="25.5" x14ac:dyDescent="0.25">
      <c r="A384" s="324">
        <v>382</v>
      </c>
      <c r="B384" s="345" t="s">
        <v>2501</v>
      </c>
      <c r="C384" s="335" t="s">
        <v>518</v>
      </c>
      <c r="D384" s="335" t="s">
        <v>140</v>
      </c>
      <c r="E384" s="347">
        <v>1</v>
      </c>
      <c r="F384" s="314"/>
      <c r="G384" s="314"/>
      <c r="H384" s="314"/>
      <c r="I384" s="314"/>
      <c r="J384" s="314"/>
      <c r="K384" s="29">
        <f t="shared" si="42"/>
        <v>0</v>
      </c>
      <c r="L384" s="314"/>
      <c r="M384" s="314"/>
      <c r="N384" s="314"/>
      <c r="O384" s="314"/>
      <c r="P384" s="314"/>
      <c r="Q384" s="314"/>
      <c r="R384" s="314"/>
      <c r="S384" s="314"/>
      <c r="T384" s="314"/>
      <c r="U384" s="314"/>
      <c r="V384" s="350"/>
      <c r="W384" s="350"/>
      <c r="X384" s="350"/>
      <c r="Y384" s="350"/>
      <c r="Z384" s="307"/>
      <c r="AA384" s="350">
        <f t="shared" si="43"/>
        <v>0</v>
      </c>
      <c r="AB384" s="307"/>
      <c r="AC384" s="307"/>
      <c r="AD384" s="303"/>
      <c r="AE384" s="303"/>
      <c r="AF384" s="303"/>
      <c r="AG384" s="303"/>
      <c r="AH384" s="314"/>
      <c r="AI384" s="297">
        <f t="shared" si="44"/>
        <v>0</v>
      </c>
      <c r="AJ384" s="303"/>
      <c r="AK384" s="303"/>
      <c r="AL384" s="303"/>
      <c r="AM384" s="303"/>
      <c r="AN384" s="303"/>
      <c r="AO384" s="303"/>
      <c r="AP384" s="303"/>
      <c r="AQ384" s="289">
        <f t="shared" si="45"/>
        <v>0</v>
      </c>
      <c r="AR384" s="303"/>
      <c r="AS384" s="303"/>
      <c r="AT384" s="329"/>
      <c r="AU384" s="329"/>
      <c r="AV384" s="329"/>
      <c r="AW384" s="329"/>
      <c r="AX384" s="329"/>
      <c r="AY384" s="139">
        <f t="shared" si="46"/>
        <v>0</v>
      </c>
      <c r="AZ384" s="303"/>
      <c r="BA384" s="303"/>
      <c r="BB384" s="303"/>
      <c r="BC384" s="303"/>
      <c r="BD384" s="303"/>
      <c r="BE384" s="303"/>
      <c r="BF384" s="303"/>
      <c r="BG384" s="353">
        <f t="shared" si="47"/>
        <v>0</v>
      </c>
      <c r="BH384" s="303"/>
      <c r="BI384" s="304"/>
      <c r="BJ384" s="354">
        <f t="shared" si="41"/>
        <v>0</v>
      </c>
      <c r="BK384" s="316" t="str">
        <f t="shared" si="48"/>
        <v>Desierto</v>
      </c>
    </row>
    <row r="385" spans="1:63" ht="25.5" x14ac:dyDescent="0.25">
      <c r="A385" s="324">
        <v>383</v>
      </c>
      <c r="B385" s="345" t="s">
        <v>2502</v>
      </c>
      <c r="C385" s="335" t="s">
        <v>518</v>
      </c>
      <c r="D385" s="360" t="s">
        <v>140</v>
      </c>
      <c r="E385" s="347">
        <v>1</v>
      </c>
      <c r="F385" s="314" t="s">
        <v>510</v>
      </c>
      <c r="G385" s="314" t="s">
        <v>510</v>
      </c>
      <c r="H385" s="314" t="s">
        <v>511</v>
      </c>
      <c r="I385" s="314" t="s">
        <v>510</v>
      </c>
      <c r="J385" s="314">
        <v>40</v>
      </c>
      <c r="K385" s="29">
        <f t="shared" si="42"/>
        <v>40</v>
      </c>
      <c r="L385" s="314" t="s">
        <v>504</v>
      </c>
      <c r="M385" s="314"/>
      <c r="N385" s="314"/>
      <c r="O385" s="314"/>
      <c r="P385" s="314"/>
      <c r="Q385" s="314"/>
      <c r="R385" s="314"/>
      <c r="S385" s="314"/>
      <c r="T385" s="314"/>
      <c r="U385" s="314"/>
      <c r="V385" s="350"/>
      <c r="W385" s="350"/>
      <c r="X385" s="350"/>
      <c r="Y385" s="350"/>
      <c r="Z385" s="307"/>
      <c r="AA385" s="350">
        <f t="shared" si="43"/>
        <v>0</v>
      </c>
      <c r="AB385" s="307"/>
      <c r="AC385" s="307"/>
      <c r="AD385" s="303"/>
      <c r="AE385" s="303"/>
      <c r="AF385" s="303"/>
      <c r="AG385" s="303"/>
      <c r="AH385" s="314"/>
      <c r="AI385" s="297">
        <f t="shared" si="44"/>
        <v>0</v>
      </c>
      <c r="AJ385" s="303"/>
      <c r="AK385" s="361"/>
      <c r="AL385" s="303"/>
      <c r="AM385" s="303"/>
      <c r="AN385" s="303"/>
      <c r="AO385" s="303"/>
      <c r="AP385" s="303"/>
      <c r="AQ385" s="289">
        <f t="shared" si="45"/>
        <v>0</v>
      </c>
      <c r="AR385" s="314"/>
      <c r="AS385" s="314"/>
      <c r="AT385" s="329"/>
      <c r="AU385" s="329"/>
      <c r="AV385" s="329"/>
      <c r="AW385" s="329"/>
      <c r="AX385" s="329"/>
      <c r="AY385" s="139">
        <f t="shared" si="46"/>
        <v>0</v>
      </c>
      <c r="AZ385" s="303"/>
      <c r="BA385" s="303"/>
      <c r="BB385" s="303"/>
      <c r="BC385" s="303"/>
      <c r="BD385" s="303"/>
      <c r="BE385" s="303"/>
      <c r="BF385" s="303"/>
      <c r="BG385" s="353">
        <f t="shared" si="47"/>
        <v>0</v>
      </c>
      <c r="BH385" s="303"/>
      <c r="BI385" s="303"/>
      <c r="BJ385" s="354">
        <f t="shared" si="41"/>
        <v>1</v>
      </c>
      <c r="BK385" s="316" t="str">
        <f t="shared" si="48"/>
        <v>Habilitado</v>
      </c>
    </row>
    <row r="386" spans="1:63" ht="25.5" x14ac:dyDescent="0.25">
      <c r="A386" s="324">
        <v>384</v>
      </c>
      <c r="B386" s="345" t="s">
        <v>2503</v>
      </c>
      <c r="C386" s="335" t="s">
        <v>518</v>
      </c>
      <c r="D386" s="360" t="s">
        <v>140</v>
      </c>
      <c r="E386" s="347">
        <v>1</v>
      </c>
      <c r="F386" s="314" t="s">
        <v>510</v>
      </c>
      <c r="G386" s="314" t="s">
        <v>510</v>
      </c>
      <c r="H386" s="314" t="s">
        <v>511</v>
      </c>
      <c r="I386" s="314" t="s">
        <v>510</v>
      </c>
      <c r="J386" s="314">
        <v>40</v>
      </c>
      <c r="K386" s="29">
        <f t="shared" si="42"/>
        <v>40</v>
      </c>
      <c r="L386" s="314" t="s">
        <v>504</v>
      </c>
      <c r="M386" s="314"/>
      <c r="N386" s="314"/>
      <c r="O386" s="314"/>
      <c r="P386" s="314"/>
      <c r="Q386" s="314"/>
      <c r="R386" s="314"/>
      <c r="S386" s="314"/>
      <c r="T386" s="314"/>
      <c r="U386" s="314"/>
      <c r="V386" s="350"/>
      <c r="W386" s="350"/>
      <c r="X386" s="350"/>
      <c r="Y386" s="350"/>
      <c r="Z386" s="307"/>
      <c r="AA386" s="350">
        <f t="shared" si="43"/>
        <v>0</v>
      </c>
      <c r="AB386" s="307"/>
      <c r="AC386" s="307"/>
      <c r="AD386" s="303"/>
      <c r="AE386" s="303"/>
      <c r="AF386" s="303"/>
      <c r="AG386" s="303"/>
      <c r="AH386" s="314"/>
      <c r="AI386" s="297">
        <f t="shared" si="44"/>
        <v>0</v>
      </c>
      <c r="AJ386" s="303"/>
      <c r="AK386" s="361"/>
      <c r="AL386" s="303"/>
      <c r="AM386" s="303"/>
      <c r="AN386" s="303"/>
      <c r="AO386" s="303"/>
      <c r="AP386" s="303"/>
      <c r="AQ386" s="289">
        <f t="shared" si="45"/>
        <v>0</v>
      </c>
      <c r="AR386" s="314"/>
      <c r="AS386" s="314"/>
      <c r="AT386" s="329"/>
      <c r="AU386" s="329"/>
      <c r="AV386" s="329"/>
      <c r="AW386" s="329"/>
      <c r="AX386" s="329"/>
      <c r="AY386" s="139">
        <f t="shared" si="46"/>
        <v>0</v>
      </c>
      <c r="AZ386" s="303"/>
      <c r="BA386" s="303"/>
      <c r="BB386" s="303"/>
      <c r="BC386" s="303"/>
      <c r="BD386" s="303"/>
      <c r="BE386" s="303"/>
      <c r="BF386" s="303"/>
      <c r="BG386" s="353">
        <f t="shared" si="47"/>
        <v>0</v>
      </c>
      <c r="BH386" s="303"/>
      <c r="BI386" s="303"/>
      <c r="BJ386" s="354">
        <f t="shared" si="41"/>
        <v>1</v>
      </c>
      <c r="BK386" s="316" t="str">
        <f t="shared" si="48"/>
        <v>Habilitado</v>
      </c>
    </row>
    <row r="387" spans="1:63" ht="25.5" x14ac:dyDescent="0.25">
      <c r="A387" s="324">
        <v>385</v>
      </c>
      <c r="B387" s="345" t="s">
        <v>2504</v>
      </c>
      <c r="C387" s="335" t="s">
        <v>518</v>
      </c>
      <c r="D387" s="335" t="s">
        <v>140</v>
      </c>
      <c r="E387" s="347">
        <v>1</v>
      </c>
      <c r="F387" s="314"/>
      <c r="G387" s="314"/>
      <c r="H387" s="314"/>
      <c r="I387" s="314"/>
      <c r="J387" s="314"/>
      <c r="K387" s="29">
        <f t="shared" si="42"/>
        <v>0</v>
      </c>
      <c r="L387" s="314"/>
      <c r="M387" s="314"/>
      <c r="N387" s="314"/>
      <c r="O387" s="314"/>
      <c r="P387" s="314"/>
      <c r="Q387" s="314"/>
      <c r="R387" s="314"/>
      <c r="S387" s="314"/>
      <c r="T387" s="314"/>
      <c r="U387" s="314"/>
      <c r="V387" s="350"/>
      <c r="W387" s="350"/>
      <c r="X387" s="350"/>
      <c r="Y387" s="350"/>
      <c r="Z387" s="307"/>
      <c r="AA387" s="350">
        <f t="shared" si="43"/>
        <v>0</v>
      </c>
      <c r="AB387" s="307"/>
      <c r="AC387" s="307"/>
      <c r="AD387" s="303"/>
      <c r="AE387" s="303"/>
      <c r="AF387" s="303"/>
      <c r="AG387" s="303"/>
      <c r="AH387" s="314"/>
      <c r="AI387" s="297">
        <f t="shared" si="44"/>
        <v>0</v>
      </c>
      <c r="AJ387" s="303"/>
      <c r="AK387" s="303"/>
      <c r="AL387" s="303"/>
      <c r="AM387" s="303"/>
      <c r="AN387" s="303"/>
      <c r="AO387" s="303"/>
      <c r="AP387" s="303"/>
      <c r="AQ387" s="289">
        <f t="shared" si="45"/>
        <v>0</v>
      </c>
      <c r="AR387" s="303"/>
      <c r="AS387" s="303"/>
      <c r="AT387" s="329"/>
      <c r="AU387" s="329"/>
      <c r="AV387" s="329"/>
      <c r="AW387" s="329"/>
      <c r="AX387" s="329"/>
      <c r="AY387" s="139">
        <f t="shared" si="46"/>
        <v>0</v>
      </c>
      <c r="AZ387" s="303"/>
      <c r="BA387" s="303"/>
      <c r="BB387" s="303"/>
      <c r="BC387" s="303"/>
      <c r="BD387" s="303"/>
      <c r="BE387" s="303"/>
      <c r="BF387" s="303"/>
      <c r="BG387" s="353">
        <f t="shared" si="47"/>
        <v>0</v>
      </c>
      <c r="BH387" s="303"/>
      <c r="BI387" s="303"/>
      <c r="BJ387" s="354">
        <f t="shared" ref="BJ387:BJ450" si="49">COUNTIF(L387,"Habilitado")+COUNTIF(T387,"Habilitado")+COUNTIF(AB387,"Habilitado")+COUNTIF(AJ387,"Habilitado")+COUNTIF(AR387,"Habilitado")+COUNTIF(AZ387,"Habilitado")+COUNTIF(BH387,"Habilitado")</f>
        <v>0</v>
      </c>
      <c r="BK387" s="316" t="str">
        <f t="shared" si="48"/>
        <v>Desierto</v>
      </c>
    </row>
    <row r="388" spans="1:63" ht="25.5" x14ac:dyDescent="0.25">
      <c r="A388" s="324">
        <v>386</v>
      </c>
      <c r="B388" s="345" t="s">
        <v>2505</v>
      </c>
      <c r="C388" s="335" t="s">
        <v>518</v>
      </c>
      <c r="D388" s="360" t="s">
        <v>140</v>
      </c>
      <c r="E388" s="347">
        <v>1</v>
      </c>
      <c r="F388" s="314"/>
      <c r="G388" s="314"/>
      <c r="H388" s="314"/>
      <c r="I388" s="314"/>
      <c r="J388" s="314"/>
      <c r="K388" s="29">
        <f t="shared" ref="K388:K451" si="50">+J388</f>
        <v>0</v>
      </c>
      <c r="L388" s="314"/>
      <c r="M388" s="314"/>
      <c r="N388" s="314"/>
      <c r="O388" s="314"/>
      <c r="P388" s="314"/>
      <c r="Q388" s="314"/>
      <c r="R388" s="314"/>
      <c r="S388" s="314"/>
      <c r="T388" s="314"/>
      <c r="U388" s="314"/>
      <c r="V388" s="350"/>
      <c r="W388" s="350"/>
      <c r="X388" s="350"/>
      <c r="Y388" s="350"/>
      <c r="Z388" s="307"/>
      <c r="AA388" s="350">
        <f t="shared" ref="AA388:AA451" si="51">(Z388)</f>
        <v>0</v>
      </c>
      <c r="AB388" s="307"/>
      <c r="AC388" s="307"/>
      <c r="AD388" s="303"/>
      <c r="AE388" s="303"/>
      <c r="AF388" s="303"/>
      <c r="AG388" s="303"/>
      <c r="AH388" s="314"/>
      <c r="AI388" s="297">
        <f t="shared" ref="AI388:AI451" si="52">+AH388</f>
        <v>0</v>
      </c>
      <c r="AJ388" s="303"/>
      <c r="AK388" s="303"/>
      <c r="AL388" s="303"/>
      <c r="AM388" s="303"/>
      <c r="AN388" s="303"/>
      <c r="AO388" s="303"/>
      <c r="AP388" s="303"/>
      <c r="AQ388" s="289">
        <f t="shared" ref="AQ388:AQ451" si="53">+AP388</f>
        <v>0</v>
      </c>
      <c r="AR388" s="303"/>
      <c r="AS388" s="303"/>
      <c r="AT388" s="329"/>
      <c r="AU388" s="329"/>
      <c r="AV388" s="329"/>
      <c r="AW388" s="329"/>
      <c r="AX388" s="329"/>
      <c r="AY388" s="139">
        <f t="shared" ref="AY388:AY451" si="54">+AX388</f>
        <v>0</v>
      </c>
      <c r="AZ388" s="303"/>
      <c r="BA388" s="303"/>
      <c r="BB388" s="303"/>
      <c r="BC388" s="303"/>
      <c r="BD388" s="303"/>
      <c r="BE388" s="303"/>
      <c r="BF388" s="303"/>
      <c r="BG388" s="353">
        <f t="shared" ref="BG388:BG451" si="55">+BF388</f>
        <v>0</v>
      </c>
      <c r="BH388" s="303"/>
      <c r="BI388" s="303"/>
      <c r="BJ388" s="354">
        <f t="shared" si="49"/>
        <v>0</v>
      </c>
      <c r="BK388" s="316" t="str">
        <f t="shared" si="48"/>
        <v>Desierto</v>
      </c>
    </row>
    <row r="389" spans="1:63" x14ac:dyDescent="0.25">
      <c r="A389" s="324">
        <v>387</v>
      </c>
      <c r="B389" s="325" t="s">
        <v>2506</v>
      </c>
      <c r="C389" s="325" t="s">
        <v>518</v>
      </c>
      <c r="D389" s="325" t="s">
        <v>140</v>
      </c>
      <c r="E389" s="362">
        <v>1</v>
      </c>
      <c r="F389" s="406"/>
      <c r="G389" s="406"/>
      <c r="H389" s="406"/>
      <c r="I389" s="406"/>
      <c r="J389" s="406"/>
      <c r="K389" s="29">
        <f t="shared" si="50"/>
        <v>0</v>
      </c>
      <c r="L389" s="406"/>
      <c r="M389" s="406" t="s">
        <v>551</v>
      </c>
      <c r="N389" s="406"/>
      <c r="O389" s="406"/>
      <c r="P389" s="406"/>
      <c r="Q389" s="406"/>
      <c r="R389" s="406"/>
      <c r="S389" s="406"/>
      <c r="T389" s="406"/>
      <c r="U389" s="406"/>
      <c r="V389" s="350"/>
      <c r="W389" s="350"/>
      <c r="X389" s="350"/>
      <c r="Y389" s="350"/>
      <c r="Z389" s="307"/>
      <c r="AA389" s="350">
        <f t="shared" si="51"/>
        <v>0</v>
      </c>
      <c r="AB389" s="307"/>
      <c r="AC389" s="307"/>
      <c r="AD389" s="304"/>
      <c r="AE389" s="304"/>
      <c r="AF389" s="304"/>
      <c r="AG389" s="304"/>
      <c r="AH389" s="326"/>
      <c r="AI389" s="297">
        <f t="shared" si="52"/>
        <v>0</v>
      </c>
      <c r="AJ389" s="304"/>
      <c r="AK389" s="304"/>
      <c r="AL389" s="304"/>
      <c r="AM389" s="304"/>
      <c r="AN389" s="304"/>
      <c r="AO389" s="304"/>
      <c r="AP389" s="304"/>
      <c r="AQ389" s="289">
        <f t="shared" si="53"/>
        <v>0</v>
      </c>
      <c r="AR389" s="304"/>
      <c r="AS389" s="304"/>
      <c r="AT389" s="304" t="s">
        <v>510</v>
      </c>
      <c r="AU389" s="304" t="s">
        <v>510</v>
      </c>
      <c r="AV389" s="304" t="s">
        <v>510</v>
      </c>
      <c r="AW389" s="303" t="s">
        <v>510</v>
      </c>
      <c r="AX389" s="303">
        <v>40</v>
      </c>
      <c r="AY389" s="139">
        <f t="shared" si="54"/>
        <v>40</v>
      </c>
      <c r="AZ389" s="304" t="s">
        <v>504</v>
      </c>
      <c r="BA389" s="304"/>
      <c r="BB389" s="303"/>
      <c r="BC389" s="303"/>
      <c r="BD389" s="303"/>
      <c r="BE389" s="303"/>
      <c r="BF389" s="303"/>
      <c r="BG389" s="353">
        <f t="shared" si="55"/>
        <v>0</v>
      </c>
      <c r="BH389" s="303"/>
      <c r="BI389" s="301"/>
      <c r="BJ389" s="354">
        <f t="shared" si="49"/>
        <v>1</v>
      </c>
      <c r="BK389" s="316" t="str">
        <f t="shared" si="48"/>
        <v>Habilitado</v>
      </c>
    </row>
    <row r="390" spans="1:63" ht="63.75" customHeight="1" x14ac:dyDescent="0.25">
      <c r="A390" s="324">
        <v>388</v>
      </c>
      <c r="B390" s="345" t="s">
        <v>2507</v>
      </c>
      <c r="C390" s="335" t="s">
        <v>2508</v>
      </c>
      <c r="D390" s="360" t="s">
        <v>140</v>
      </c>
      <c r="E390" s="347">
        <v>1</v>
      </c>
      <c r="F390" s="314" t="s">
        <v>510</v>
      </c>
      <c r="G390" s="314" t="s">
        <v>510</v>
      </c>
      <c r="H390" s="314" t="s">
        <v>510</v>
      </c>
      <c r="I390" s="314" t="s">
        <v>510</v>
      </c>
      <c r="J390" s="314">
        <v>40</v>
      </c>
      <c r="K390" s="29">
        <f t="shared" si="50"/>
        <v>40</v>
      </c>
      <c r="L390" s="314" t="s">
        <v>504</v>
      </c>
      <c r="M390" s="314"/>
      <c r="N390" s="314"/>
      <c r="O390" s="314"/>
      <c r="P390" s="314"/>
      <c r="Q390" s="314"/>
      <c r="R390" s="314"/>
      <c r="S390" s="314"/>
      <c r="T390" s="314"/>
      <c r="U390" s="314"/>
      <c r="V390" s="350"/>
      <c r="W390" s="350"/>
      <c r="X390" s="350"/>
      <c r="Y390" s="350"/>
      <c r="Z390" s="307"/>
      <c r="AA390" s="350">
        <f t="shared" si="51"/>
        <v>0</v>
      </c>
      <c r="AB390" s="307"/>
      <c r="AC390" s="307"/>
      <c r="AD390" s="303"/>
      <c r="AE390" s="303"/>
      <c r="AF390" s="303"/>
      <c r="AG390" s="303"/>
      <c r="AH390" s="314"/>
      <c r="AI390" s="297">
        <f t="shared" si="52"/>
        <v>0</v>
      </c>
      <c r="AJ390" s="303"/>
      <c r="AK390" s="303"/>
      <c r="AL390" s="303"/>
      <c r="AM390" s="303"/>
      <c r="AN390" s="303"/>
      <c r="AO390" s="303"/>
      <c r="AP390" s="303"/>
      <c r="AQ390" s="289">
        <f t="shared" si="53"/>
        <v>0</v>
      </c>
      <c r="AR390" s="303"/>
      <c r="AS390" s="303"/>
      <c r="AT390" s="303" t="s">
        <v>510</v>
      </c>
      <c r="AU390" s="303" t="s">
        <v>510</v>
      </c>
      <c r="AV390" s="303" t="s">
        <v>510</v>
      </c>
      <c r="AW390" s="303" t="s">
        <v>510</v>
      </c>
      <c r="AX390" s="303">
        <v>40</v>
      </c>
      <c r="AY390" s="139">
        <f t="shared" si="54"/>
        <v>40</v>
      </c>
      <c r="AZ390" s="304" t="s">
        <v>504</v>
      </c>
      <c r="BA390" s="301"/>
      <c r="BB390" s="303"/>
      <c r="BC390" s="303"/>
      <c r="BD390" s="303"/>
      <c r="BE390" s="303"/>
      <c r="BF390" s="303"/>
      <c r="BG390" s="353">
        <f t="shared" si="55"/>
        <v>0</v>
      </c>
      <c r="BH390" s="303"/>
      <c r="BI390" s="301"/>
      <c r="BJ390" s="354">
        <f t="shared" si="49"/>
        <v>2</v>
      </c>
      <c r="BK390" s="316" t="str">
        <f t="shared" si="48"/>
        <v>Habilitado</v>
      </c>
    </row>
    <row r="391" spans="1:63" ht="89.25" x14ac:dyDescent="0.25">
      <c r="A391" s="324">
        <v>389</v>
      </c>
      <c r="B391" s="345" t="s">
        <v>2509</v>
      </c>
      <c r="C391" s="335" t="s">
        <v>2508</v>
      </c>
      <c r="D391" s="360" t="s">
        <v>140</v>
      </c>
      <c r="E391" s="347">
        <v>1</v>
      </c>
      <c r="F391" s="314" t="s">
        <v>510</v>
      </c>
      <c r="G391" s="314" t="s">
        <v>510</v>
      </c>
      <c r="H391" s="314" t="s">
        <v>510</v>
      </c>
      <c r="I391" s="314" t="s">
        <v>510</v>
      </c>
      <c r="J391" s="314">
        <v>40</v>
      </c>
      <c r="K391" s="29">
        <f t="shared" si="50"/>
        <v>40</v>
      </c>
      <c r="L391" s="314" t="s">
        <v>504</v>
      </c>
      <c r="M391" s="314"/>
      <c r="N391" s="314"/>
      <c r="O391" s="314"/>
      <c r="P391" s="314"/>
      <c r="Q391" s="314"/>
      <c r="R391" s="314"/>
      <c r="S391" s="314"/>
      <c r="T391" s="314"/>
      <c r="U391" s="314"/>
      <c r="V391" s="350"/>
      <c r="W391" s="350"/>
      <c r="X391" s="350"/>
      <c r="Y391" s="350"/>
      <c r="Z391" s="307"/>
      <c r="AA391" s="350">
        <f t="shared" si="51"/>
        <v>0</v>
      </c>
      <c r="AB391" s="307"/>
      <c r="AC391" s="307"/>
      <c r="AD391" s="303"/>
      <c r="AE391" s="303"/>
      <c r="AF391" s="303"/>
      <c r="AG391" s="303"/>
      <c r="AH391" s="314"/>
      <c r="AI391" s="297">
        <f t="shared" si="52"/>
        <v>0</v>
      </c>
      <c r="AJ391" s="303"/>
      <c r="AK391" s="303"/>
      <c r="AL391" s="303"/>
      <c r="AM391" s="303"/>
      <c r="AN391" s="303"/>
      <c r="AO391" s="303"/>
      <c r="AP391" s="303"/>
      <c r="AQ391" s="289">
        <f t="shared" si="53"/>
        <v>0</v>
      </c>
      <c r="AR391" s="303"/>
      <c r="AS391" s="303"/>
      <c r="AT391" s="303" t="s">
        <v>510</v>
      </c>
      <c r="AU391" s="303" t="s">
        <v>510</v>
      </c>
      <c r="AV391" s="303" t="s">
        <v>510</v>
      </c>
      <c r="AW391" s="303" t="s">
        <v>510</v>
      </c>
      <c r="AX391" s="303">
        <v>40</v>
      </c>
      <c r="AY391" s="139">
        <f t="shared" si="54"/>
        <v>40</v>
      </c>
      <c r="AZ391" s="304" t="s">
        <v>504</v>
      </c>
      <c r="BA391" s="301"/>
      <c r="BB391" s="303"/>
      <c r="BC391" s="303"/>
      <c r="BD391" s="303"/>
      <c r="BE391" s="303"/>
      <c r="BF391" s="303"/>
      <c r="BG391" s="353">
        <f t="shared" si="55"/>
        <v>0</v>
      </c>
      <c r="BH391" s="303"/>
      <c r="BI391" s="301"/>
      <c r="BJ391" s="354">
        <f t="shared" si="49"/>
        <v>2</v>
      </c>
      <c r="BK391" s="316" t="str">
        <f t="shared" si="48"/>
        <v>Habilitado</v>
      </c>
    </row>
    <row r="392" spans="1:63" ht="89.25" x14ac:dyDescent="0.25">
      <c r="A392" s="324">
        <v>390</v>
      </c>
      <c r="B392" s="345" t="s">
        <v>2510</v>
      </c>
      <c r="C392" s="335" t="s">
        <v>2508</v>
      </c>
      <c r="D392" s="360" t="s">
        <v>140</v>
      </c>
      <c r="E392" s="347">
        <v>1</v>
      </c>
      <c r="F392" s="314" t="s">
        <v>510</v>
      </c>
      <c r="G392" s="314" t="s">
        <v>510</v>
      </c>
      <c r="H392" s="314" t="s">
        <v>510</v>
      </c>
      <c r="I392" s="314" t="s">
        <v>510</v>
      </c>
      <c r="J392" s="314">
        <v>40</v>
      </c>
      <c r="K392" s="29">
        <f t="shared" si="50"/>
        <v>40</v>
      </c>
      <c r="L392" s="314" t="s">
        <v>504</v>
      </c>
      <c r="M392" s="314"/>
      <c r="N392" s="314"/>
      <c r="O392" s="314"/>
      <c r="P392" s="314"/>
      <c r="Q392" s="314"/>
      <c r="R392" s="314"/>
      <c r="S392" s="314"/>
      <c r="T392" s="314"/>
      <c r="U392" s="314"/>
      <c r="V392" s="350"/>
      <c r="W392" s="350"/>
      <c r="X392" s="350"/>
      <c r="Y392" s="350"/>
      <c r="Z392" s="307"/>
      <c r="AA392" s="350">
        <f t="shared" si="51"/>
        <v>0</v>
      </c>
      <c r="AB392" s="307"/>
      <c r="AC392" s="307"/>
      <c r="AD392" s="303"/>
      <c r="AE392" s="303"/>
      <c r="AF392" s="303"/>
      <c r="AG392" s="303"/>
      <c r="AH392" s="314"/>
      <c r="AI392" s="297">
        <f t="shared" si="52"/>
        <v>0</v>
      </c>
      <c r="AJ392" s="303"/>
      <c r="AK392" s="303"/>
      <c r="AL392" s="303"/>
      <c r="AM392" s="303"/>
      <c r="AN392" s="303"/>
      <c r="AO392" s="303"/>
      <c r="AP392" s="303"/>
      <c r="AQ392" s="289">
        <f t="shared" si="53"/>
        <v>0</v>
      </c>
      <c r="AR392" s="303"/>
      <c r="AS392" s="303"/>
      <c r="AT392" s="303" t="s">
        <v>510</v>
      </c>
      <c r="AU392" s="303" t="s">
        <v>510</v>
      </c>
      <c r="AV392" s="303" t="s">
        <v>510</v>
      </c>
      <c r="AW392" s="303" t="s">
        <v>510</v>
      </c>
      <c r="AX392" s="303">
        <v>40</v>
      </c>
      <c r="AY392" s="139">
        <f t="shared" si="54"/>
        <v>40</v>
      </c>
      <c r="AZ392" s="304" t="s">
        <v>504</v>
      </c>
      <c r="BA392" s="301"/>
      <c r="BB392" s="303"/>
      <c r="BC392" s="303"/>
      <c r="BD392" s="303"/>
      <c r="BE392" s="303"/>
      <c r="BF392" s="303"/>
      <c r="BG392" s="353">
        <f t="shared" si="55"/>
        <v>0</v>
      </c>
      <c r="BH392" s="303"/>
      <c r="BI392" s="303"/>
      <c r="BJ392" s="354">
        <f t="shared" si="49"/>
        <v>2</v>
      </c>
      <c r="BK392" s="316" t="str">
        <f t="shared" si="48"/>
        <v>Habilitado</v>
      </c>
    </row>
    <row r="393" spans="1:63" ht="78.75" customHeight="1" x14ac:dyDescent="0.25">
      <c r="A393" s="324">
        <v>391</v>
      </c>
      <c r="B393" s="325" t="s">
        <v>2511</v>
      </c>
      <c r="C393" s="325" t="s">
        <v>2512</v>
      </c>
      <c r="D393" s="325" t="s">
        <v>140</v>
      </c>
      <c r="E393" s="362">
        <v>1</v>
      </c>
      <c r="F393" s="406" t="s">
        <v>510</v>
      </c>
      <c r="G393" s="406" t="s">
        <v>510</v>
      </c>
      <c r="H393" s="406" t="s">
        <v>510</v>
      </c>
      <c r="I393" s="406" t="s">
        <v>510</v>
      </c>
      <c r="J393" s="406">
        <v>40</v>
      </c>
      <c r="K393" s="29">
        <f t="shared" si="50"/>
        <v>40</v>
      </c>
      <c r="L393" s="314" t="s">
        <v>504</v>
      </c>
      <c r="M393" s="406"/>
      <c r="N393" s="406"/>
      <c r="O393" s="406"/>
      <c r="P393" s="406"/>
      <c r="Q393" s="406"/>
      <c r="R393" s="406"/>
      <c r="S393" s="406"/>
      <c r="T393" s="406"/>
      <c r="U393" s="406"/>
      <c r="V393" s="350"/>
      <c r="W393" s="350"/>
      <c r="X393" s="350"/>
      <c r="Y393" s="350"/>
      <c r="Z393" s="307"/>
      <c r="AA393" s="350">
        <f t="shared" si="51"/>
        <v>0</v>
      </c>
      <c r="AB393" s="307"/>
      <c r="AC393" s="307"/>
      <c r="AD393" s="304"/>
      <c r="AE393" s="304"/>
      <c r="AF393" s="304"/>
      <c r="AG393" s="304"/>
      <c r="AH393" s="326"/>
      <c r="AI393" s="297">
        <f t="shared" si="52"/>
        <v>0</v>
      </c>
      <c r="AJ393" s="304"/>
      <c r="AK393" s="304"/>
      <c r="AL393" s="304"/>
      <c r="AM393" s="304"/>
      <c r="AN393" s="304"/>
      <c r="AO393" s="304"/>
      <c r="AP393" s="304"/>
      <c r="AQ393" s="289">
        <f t="shared" si="53"/>
        <v>0</v>
      </c>
      <c r="AR393" s="304"/>
      <c r="AS393" s="304"/>
      <c r="AT393" s="304" t="s">
        <v>510</v>
      </c>
      <c r="AU393" s="304" t="s">
        <v>519</v>
      </c>
      <c r="AV393" s="304" t="s">
        <v>510</v>
      </c>
      <c r="AW393" s="303" t="s">
        <v>510</v>
      </c>
      <c r="AX393" s="303">
        <v>0</v>
      </c>
      <c r="AY393" s="139">
        <f t="shared" si="54"/>
        <v>0</v>
      </c>
      <c r="AZ393" s="304" t="s">
        <v>593</v>
      </c>
      <c r="BA393" s="301" t="s">
        <v>2513</v>
      </c>
      <c r="BB393" s="303"/>
      <c r="BC393" s="303"/>
      <c r="BD393" s="303"/>
      <c r="BE393" s="303"/>
      <c r="BF393" s="303"/>
      <c r="BG393" s="353">
        <f t="shared" si="55"/>
        <v>0</v>
      </c>
      <c r="BH393" s="303"/>
      <c r="BI393" s="303"/>
      <c r="BJ393" s="354">
        <f t="shared" si="49"/>
        <v>1</v>
      </c>
      <c r="BK393" s="316" t="str">
        <f t="shared" si="48"/>
        <v>Habilitado</v>
      </c>
    </row>
    <row r="394" spans="1:63" ht="38.25" x14ac:dyDescent="0.25">
      <c r="A394" s="324">
        <v>392</v>
      </c>
      <c r="B394" s="345" t="s">
        <v>2514</v>
      </c>
      <c r="C394" s="335" t="s">
        <v>2508</v>
      </c>
      <c r="D394" s="360" t="s">
        <v>140</v>
      </c>
      <c r="E394" s="347">
        <v>1</v>
      </c>
      <c r="F394" s="314"/>
      <c r="G394" s="314"/>
      <c r="H394" s="314"/>
      <c r="I394" s="314"/>
      <c r="J394" s="314"/>
      <c r="K394" s="29">
        <f t="shared" si="50"/>
        <v>0</v>
      </c>
      <c r="L394" s="314"/>
      <c r="M394" s="314"/>
      <c r="N394" s="314"/>
      <c r="O394" s="314"/>
      <c r="P394" s="314"/>
      <c r="Q394" s="314"/>
      <c r="R394" s="314"/>
      <c r="S394" s="314"/>
      <c r="T394" s="314"/>
      <c r="U394" s="314"/>
      <c r="V394" s="350"/>
      <c r="W394" s="350"/>
      <c r="X394" s="350"/>
      <c r="Y394" s="350"/>
      <c r="Z394" s="307"/>
      <c r="AA394" s="350">
        <f t="shared" si="51"/>
        <v>0</v>
      </c>
      <c r="AB394" s="307"/>
      <c r="AC394" s="306"/>
      <c r="AD394" s="303"/>
      <c r="AE394" s="303"/>
      <c r="AF394" s="303"/>
      <c r="AG394" s="303"/>
      <c r="AH394" s="314"/>
      <c r="AI394" s="297">
        <f t="shared" si="52"/>
        <v>0</v>
      </c>
      <c r="AJ394" s="303"/>
      <c r="AK394" s="301"/>
      <c r="AL394" s="303"/>
      <c r="AM394" s="303"/>
      <c r="AN394" s="303"/>
      <c r="AO394" s="303"/>
      <c r="AP394" s="303"/>
      <c r="AQ394" s="289">
        <f t="shared" si="53"/>
        <v>0</v>
      </c>
      <c r="AR394" s="303"/>
      <c r="AS394" s="301"/>
      <c r="AT394" s="329"/>
      <c r="AU394" s="329"/>
      <c r="AV394" s="329"/>
      <c r="AW394" s="329"/>
      <c r="AX394" s="329"/>
      <c r="AY394" s="139">
        <f t="shared" si="54"/>
        <v>0</v>
      </c>
      <c r="AZ394" s="298"/>
      <c r="BA394" s="303"/>
      <c r="BB394" s="303"/>
      <c r="BC394" s="303"/>
      <c r="BD394" s="303"/>
      <c r="BE394" s="303"/>
      <c r="BF394" s="303"/>
      <c r="BG394" s="353">
        <f t="shared" si="55"/>
        <v>0</v>
      </c>
      <c r="BH394" s="303"/>
      <c r="BI394" s="301"/>
      <c r="BJ394" s="354">
        <f t="shared" si="49"/>
        <v>0</v>
      </c>
      <c r="BK394" s="316" t="str">
        <f t="shared" si="48"/>
        <v>Desierto</v>
      </c>
    </row>
    <row r="395" spans="1:63" ht="41.25" customHeight="1" x14ac:dyDescent="0.25">
      <c r="A395" s="324">
        <v>393</v>
      </c>
      <c r="B395" s="325" t="s">
        <v>2515</v>
      </c>
      <c r="C395" s="325" t="s">
        <v>2516</v>
      </c>
      <c r="D395" s="325" t="s">
        <v>1525</v>
      </c>
      <c r="E395" s="362">
        <v>1</v>
      </c>
      <c r="F395" s="406" t="s">
        <v>510</v>
      </c>
      <c r="G395" s="406" t="s">
        <v>510</v>
      </c>
      <c r="H395" s="406" t="s">
        <v>510</v>
      </c>
      <c r="I395" s="406" t="s">
        <v>510</v>
      </c>
      <c r="J395" s="406">
        <v>40</v>
      </c>
      <c r="K395" s="29">
        <f t="shared" si="50"/>
        <v>40</v>
      </c>
      <c r="L395" s="314" t="s">
        <v>504</v>
      </c>
      <c r="M395" s="406" t="s">
        <v>551</v>
      </c>
      <c r="N395" s="406"/>
      <c r="O395" s="406"/>
      <c r="P395" s="406"/>
      <c r="Q395" s="406"/>
      <c r="R395" s="406"/>
      <c r="S395" s="406"/>
      <c r="T395" s="406"/>
      <c r="U395" s="406"/>
      <c r="V395" s="350"/>
      <c r="W395" s="350"/>
      <c r="X395" s="350"/>
      <c r="Y395" s="350"/>
      <c r="Z395" s="307"/>
      <c r="AA395" s="350">
        <f t="shared" si="51"/>
        <v>0</v>
      </c>
      <c r="AB395" s="307"/>
      <c r="AC395" s="307"/>
      <c r="AD395" s="304"/>
      <c r="AE395" s="304"/>
      <c r="AF395" s="304"/>
      <c r="AG395" s="304"/>
      <c r="AH395" s="326"/>
      <c r="AI395" s="297">
        <f t="shared" si="52"/>
        <v>0</v>
      </c>
      <c r="AJ395" s="304"/>
      <c r="AK395" s="304"/>
      <c r="AL395" s="304"/>
      <c r="AM395" s="304"/>
      <c r="AN395" s="304"/>
      <c r="AO395" s="304"/>
      <c r="AP395" s="304"/>
      <c r="AQ395" s="289">
        <f t="shared" si="53"/>
        <v>0</v>
      </c>
      <c r="AR395" s="304"/>
      <c r="AS395" s="304"/>
      <c r="AT395" s="325"/>
      <c r="AU395" s="325"/>
      <c r="AV395" s="325"/>
      <c r="AW395" s="325"/>
      <c r="AX395" s="325"/>
      <c r="AY395" s="139">
        <f t="shared" si="54"/>
        <v>0</v>
      </c>
      <c r="AZ395" s="304"/>
      <c r="BA395" s="304"/>
      <c r="BB395" s="303"/>
      <c r="BC395" s="303"/>
      <c r="BD395" s="303"/>
      <c r="BE395" s="303"/>
      <c r="BF395" s="303"/>
      <c r="BG395" s="353">
        <f t="shared" si="55"/>
        <v>0</v>
      </c>
      <c r="BH395" s="303"/>
      <c r="BI395" s="303"/>
      <c r="BJ395" s="354">
        <f t="shared" si="49"/>
        <v>1</v>
      </c>
      <c r="BK395" s="316" t="str">
        <f t="shared" si="48"/>
        <v>Habilitado</v>
      </c>
    </row>
    <row r="396" spans="1:63" ht="25.5" x14ac:dyDescent="0.25">
      <c r="A396" s="324">
        <v>394</v>
      </c>
      <c r="B396" s="345" t="s">
        <v>2517</v>
      </c>
      <c r="C396" s="357" t="s">
        <v>518</v>
      </c>
      <c r="D396" s="360" t="s">
        <v>1525</v>
      </c>
      <c r="E396" s="347">
        <v>1</v>
      </c>
      <c r="F396" s="314" t="s">
        <v>510</v>
      </c>
      <c r="G396" s="314" t="s">
        <v>510</v>
      </c>
      <c r="H396" s="314" t="s">
        <v>510</v>
      </c>
      <c r="I396" s="314" t="s">
        <v>510</v>
      </c>
      <c r="J396" s="314">
        <v>40</v>
      </c>
      <c r="K396" s="29">
        <f t="shared" si="50"/>
        <v>40</v>
      </c>
      <c r="L396" s="314" t="s">
        <v>504</v>
      </c>
      <c r="M396" s="314"/>
      <c r="N396" s="314"/>
      <c r="O396" s="314"/>
      <c r="P396" s="314"/>
      <c r="Q396" s="314"/>
      <c r="R396" s="314"/>
      <c r="S396" s="314"/>
      <c r="T396" s="314"/>
      <c r="U396" s="314"/>
      <c r="V396" s="350" t="s">
        <v>510</v>
      </c>
      <c r="W396" s="350" t="s">
        <v>510</v>
      </c>
      <c r="X396" s="350" t="s">
        <v>510</v>
      </c>
      <c r="Y396" s="350" t="s">
        <v>510</v>
      </c>
      <c r="Z396" s="304">
        <v>20</v>
      </c>
      <c r="AA396" s="350">
        <f t="shared" si="51"/>
        <v>20</v>
      </c>
      <c r="AB396" s="307" t="s">
        <v>504</v>
      </c>
      <c r="AC396" s="306"/>
      <c r="AD396" s="303"/>
      <c r="AE396" s="303"/>
      <c r="AF396" s="303"/>
      <c r="AG396" s="303"/>
      <c r="AH396" s="314"/>
      <c r="AI396" s="297">
        <f t="shared" si="52"/>
        <v>0</v>
      </c>
      <c r="AJ396" s="303"/>
      <c r="AK396" s="303"/>
      <c r="AL396" s="303"/>
      <c r="AM396" s="303"/>
      <c r="AN396" s="303"/>
      <c r="AO396" s="303"/>
      <c r="AP396" s="303"/>
      <c r="AQ396" s="289">
        <f t="shared" si="53"/>
        <v>0</v>
      </c>
      <c r="AR396" s="303"/>
      <c r="AS396" s="301"/>
      <c r="AT396" s="303" t="s">
        <v>510</v>
      </c>
      <c r="AU396" s="303" t="s">
        <v>510</v>
      </c>
      <c r="AV396" s="303" t="s">
        <v>510</v>
      </c>
      <c r="AW396" s="303" t="s">
        <v>510</v>
      </c>
      <c r="AX396" s="303">
        <v>40</v>
      </c>
      <c r="AY396" s="139">
        <f t="shared" si="54"/>
        <v>40</v>
      </c>
      <c r="AZ396" s="303" t="s">
        <v>504</v>
      </c>
      <c r="BA396" s="301"/>
      <c r="BB396" s="303"/>
      <c r="BC396" s="303"/>
      <c r="BD396" s="303"/>
      <c r="BE396" s="303"/>
      <c r="BF396" s="303"/>
      <c r="BG396" s="353">
        <f t="shared" si="55"/>
        <v>0</v>
      </c>
      <c r="BH396" s="303"/>
      <c r="BI396" s="303"/>
      <c r="BJ396" s="354">
        <f t="shared" si="49"/>
        <v>3</v>
      </c>
      <c r="BK396" s="316" t="str">
        <f t="shared" si="48"/>
        <v>Habilitado</v>
      </c>
    </row>
    <row r="397" spans="1:63" ht="63.75" x14ac:dyDescent="0.25">
      <c r="A397" s="324">
        <v>395</v>
      </c>
      <c r="B397" s="345" t="s">
        <v>2518</v>
      </c>
      <c r="C397" s="357" t="s">
        <v>518</v>
      </c>
      <c r="D397" s="360" t="s">
        <v>1928</v>
      </c>
      <c r="E397" s="347">
        <v>1</v>
      </c>
      <c r="F397" s="314" t="s">
        <v>510</v>
      </c>
      <c r="G397" s="314" t="s">
        <v>510</v>
      </c>
      <c r="H397" s="314" t="s">
        <v>510</v>
      </c>
      <c r="I397" s="314" t="s">
        <v>510</v>
      </c>
      <c r="J397" s="314">
        <v>40</v>
      </c>
      <c r="K397" s="29">
        <f t="shared" si="50"/>
        <v>40</v>
      </c>
      <c r="L397" s="314" t="s">
        <v>504</v>
      </c>
      <c r="M397" s="407" t="s">
        <v>2519</v>
      </c>
      <c r="N397" s="314"/>
      <c r="O397" s="314"/>
      <c r="P397" s="314"/>
      <c r="Q397" s="314"/>
      <c r="R397" s="314"/>
      <c r="S397" s="314"/>
      <c r="T397" s="314"/>
      <c r="U397" s="314"/>
      <c r="V397" s="350"/>
      <c r="W397" s="350"/>
      <c r="X397" s="350"/>
      <c r="Y397" s="350"/>
      <c r="Z397" s="307"/>
      <c r="AA397" s="350">
        <f t="shared" si="51"/>
        <v>0</v>
      </c>
      <c r="AB397" s="307"/>
      <c r="AC397" s="307"/>
      <c r="AD397" s="303"/>
      <c r="AE397" s="303"/>
      <c r="AF397" s="303"/>
      <c r="AG397" s="303"/>
      <c r="AH397" s="314"/>
      <c r="AI397" s="297">
        <f t="shared" si="52"/>
        <v>0</v>
      </c>
      <c r="AJ397" s="303"/>
      <c r="AK397" s="303"/>
      <c r="AL397" s="303"/>
      <c r="AM397" s="303"/>
      <c r="AN397" s="303"/>
      <c r="AO397" s="303"/>
      <c r="AP397" s="303"/>
      <c r="AQ397" s="289">
        <f t="shared" si="53"/>
        <v>0</v>
      </c>
      <c r="AR397" s="303"/>
      <c r="AS397" s="303"/>
      <c r="AT397" s="303" t="s">
        <v>510</v>
      </c>
      <c r="AU397" s="303" t="s">
        <v>510</v>
      </c>
      <c r="AV397" s="303" t="s">
        <v>510</v>
      </c>
      <c r="AW397" s="303" t="s">
        <v>510</v>
      </c>
      <c r="AX397" s="303">
        <v>40</v>
      </c>
      <c r="AY397" s="139">
        <f t="shared" si="54"/>
        <v>40</v>
      </c>
      <c r="AZ397" s="303" t="s">
        <v>504</v>
      </c>
      <c r="BA397" s="301"/>
      <c r="BB397" s="303"/>
      <c r="BC397" s="303"/>
      <c r="BD397" s="303"/>
      <c r="BE397" s="303"/>
      <c r="BF397" s="303"/>
      <c r="BG397" s="353">
        <f t="shared" si="55"/>
        <v>0</v>
      </c>
      <c r="BH397" s="303"/>
      <c r="BI397" s="303"/>
      <c r="BJ397" s="354">
        <f t="shared" si="49"/>
        <v>2</v>
      </c>
      <c r="BK397" s="316" t="str">
        <f t="shared" si="48"/>
        <v>Habilitado</v>
      </c>
    </row>
    <row r="398" spans="1:63" ht="25.5" x14ac:dyDescent="0.25">
      <c r="A398" s="324">
        <v>396</v>
      </c>
      <c r="B398" s="345" t="s">
        <v>2520</v>
      </c>
      <c r="C398" s="357" t="s">
        <v>518</v>
      </c>
      <c r="D398" s="360" t="s">
        <v>1928</v>
      </c>
      <c r="E398" s="347">
        <v>1</v>
      </c>
      <c r="F398" s="314"/>
      <c r="G398" s="314"/>
      <c r="H398" s="314"/>
      <c r="I398" s="314"/>
      <c r="J398" s="314"/>
      <c r="K398" s="29">
        <f t="shared" si="50"/>
        <v>0</v>
      </c>
      <c r="L398" s="314"/>
      <c r="M398" s="314"/>
      <c r="N398" s="314"/>
      <c r="O398" s="314"/>
      <c r="P398" s="314"/>
      <c r="Q398" s="314"/>
      <c r="R398" s="314"/>
      <c r="S398" s="314"/>
      <c r="T398" s="314"/>
      <c r="U398" s="314"/>
      <c r="V398" s="350"/>
      <c r="W398" s="350"/>
      <c r="X398" s="350"/>
      <c r="Y398" s="350"/>
      <c r="Z398" s="307"/>
      <c r="AA398" s="350">
        <f t="shared" si="51"/>
        <v>0</v>
      </c>
      <c r="AB398" s="307"/>
      <c r="AC398" s="307"/>
      <c r="AD398" s="303"/>
      <c r="AE398" s="303"/>
      <c r="AF398" s="303"/>
      <c r="AG398" s="303"/>
      <c r="AH398" s="314"/>
      <c r="AI398" s="297">
        <f t="shared" si="52"/>
        <v>0</v>
      </c>
      <c r="AJ398" s="303"/>
      <c r="AK398" s="303"/>
      <c r="AL398" s="303"/>
      <c r="AM398" s="303"/>
      <c r="AN398" s="303"/>
      <c r="AO398" s="303"/>
      <c r="AP398" s="303"/>
      <c r="AQ398" s="289">
        <f t="shared" si="53"/>
        <v>0</v>
      </c>
      <c r="AR398" s="303"/>
      <c r="AS398" s="303"/>
      <c r="AT398" s="303" t="s">
        <v>510</v>
      </c>
      <c r="AU398" s="303" t="s">
        <v>510</v>
      </c>
      <c r="AV398" s="303" t="s">
        <v>510</v>
      </c>
      <c r="AW398" s="303" t="s">
        <v>510</v>
      </c>
      <c r="AX398" s="303">
        <v>40</v>
      </c>
      <c r="AY398" s="139">
        <f t="shared" si="54"/>
        <v>40</v>
      </c>
      <c r="AZ398" s="303" t="s">
        <v>504</v>
      </c>
      <c r="BA398" s="301"/>
      <c r="BB398" s="303"/>
      <c r="BC398" s="303"/>
      <c r="BD398" s="303"/>
      <c r="BE398" s="303"/>
      <c r="BF398" s="303"/>
      <c r="BG398" s="353">
        <f t="shared" si="55"/>
        <v>0</v>
      </c>
      <c r="BH398" s="303"/>
      <c r="BI398" s="303"/>
      <c r="BJ398" s="354">
        <f t="shared" si="49"/>
        <v>1</v>
      </c>
      <c r="BK398" s="316" t="str">
        <f t="shared" si="48"/>
        <v>Habilitado</v>
      </c>
    </row>
    <row r="399" spans="1:63" ht="63.75" x14ac:dyDescent="0.25">
      <c r="A399" s="324">
        <v>397</v>
      </c>
      <c r="B399" s="345" t="s">
        <v>2521</v>
      </c>
      <c r="C399" s="357" t="s">
        <v>518</v>
      </c>
      <c r="D399" s="357" t="s">
        <v>1928</v>
      </c>
      <c r="E399" s="347">
        <v>1</v>
      </c>
      <c r="F399" s="314" t="s">
        <v>510</v>
      </c>
      <c r="G399" s="314" t="s">
        <v>510</v>
      </c>
      <c r="H399" s="314" t="s">
        <v>510</v>
      </c>
      <c r="I399" s="314" t="s">
        <v>510</v>
      </c>
      <c r="J399" s="314">
        <v>40</v>
      </c>
      <c r="K399" s="29">
        <f t="shared" si="50"/>
        <v>40</v>
      </c>
      <c r="L399" s="314" t="s">
        <v>504</v>
      </c>
      <c r="M399" s="407" t="s">
        <v>2519</v>
      </c>
      <c r="N399" s="314"/>
      <c r="O399" s="314"/>
      <c r="P399" s="314"/>
      <c r="Q399" s="314"/>
      <c r="R399" s="314"/>
      <c r="S399" s="314"/>
      <c r="T399" s="314"/>
      <c r="U399" s="314"/>
      <c r="V399" s="350"/>
      <c r="W399" s="350"/>
      <c r="X399" s="350"/>
      <c r="Y399" s="350"/>
      <c r="Z399" s="307"/>
      <c r="AA399" s="350">
        <f t="shared" si="51"/>
        <v>0</v>
      </c>
      <c r="AB399" s="307"/>
      <c r="AC399" s="307"/>
      <c r="AD399" s="303"/>
      <c r="AE399" s="303"/>
      <c r="AF399" s="303"/>
      <c r="AG399" s="303"/>
      <c r="AH399" s="314"/>
      <c r="AI399" s="297">
        <f t="shared" si="52"/>
        <v>0</v>
      </c>
      <c r="AJ399" s="303"/>
      <c r="AK399" s="303"/>
      <c r="AL399" s="303"/>
      <c r="AM399" s="303"/>
      <c r="AN399" s="303"/>
      <c r="AO399" s="303"/>
      <c r="AP399" s="303"/>
      <c r="AQ399" s="289">
        <f t="shared" si="53"/>
        <v>0</v>
      </c>
      <c r="AR399" s="303"/>
      <c r="AS399" s="303"/>
      <c r="AT399" s="303" t="s">
        <v>510</v>
      </c>
      <c r="AU399" s="303" t="s">
        <v>510</v>
      </c>
      <c r="AV399" s="303" t="s">
        <v>510</v>
      </c>
      <c r="AW399" s="303" t="s">
        <v>510</v>
      </c>
      <c r="AX399" s="303">
        <v>40</v>
      </c>
      <c r="AY399" s="139">
        <f t="shared" si="54"/>
        <v>40</v>
      </c>
      <c r="AZ399" s="303" t="s">
        <v>504</v>
      </c>
      <c r="BA399" s="301"/>
      <c r="BB399" s="304"/>
      <c r="BC399" s="304"/>
      <c r="BD399" s="304"/>
      <c r="BE399" s="304"/>
      <c r="BF399" s="304"/>
      <c r="BG399" s="353">
        <f t="shared" si="55"/>
        <v>0</v>
      </c>
      <c r="BH399" s="304"/>
      <c r="BI399" s="304"/>
      <c r="BJ399" s="354">
        <f t="shared" si="49"/>
        <v>2</v>
      </c>
      <c r="BK399" s="316" t="str">
        <f t="shared" si="48"/>
        <v>Habilitado</v>
      </c>
    </row>
    <row r="400" spans="1:63" ht="38.25" x14ac:dyDescent="0.25">
      <c r="A400" s="324">
        <v>398</v>
      </c>
      <c r="B400" s="345" t="s">
        <v>2522</v>
      </c>
      <c r="C400" s="357" t="s">
        <v>518</v>
      </c>
      <c r="D400" s="360" t="s">
        <v>1525</v>
      </c>
      <c r="E400" s="347">
        <v>1</v>
      </c>
      <c r="F400" s="314" t="s">
        <v>510</v>
      </c>
      <c r="G400" s="314" t="s">
        <v>510</v>
      </c>
      <c r="H400" s="314" t="s">
        <v>510</v>
      </c>
      <c r="I400" s="314" t="s">
        <v>510</v>
      </c>
      <c r="J400" s="314">
        <v>40</v>
      </c>
      <c r="K400" s="29">
        <f t="shared" si="50"/>
        <v>40</v>
      </c>
      <c r="L400" s="314" t="s">
        <v>504</v>
      </c>
      <c r="M400" s="314"/>
      <c r="N400" s="314"/>
      <c r="O400" s="314"/>
      <c r="P400" s="314"/>
      <c r="Q400" s="314"/>
      <c r="R400" s="314"/>
      <c r="S400" s="314"/>
      <c r="T400" s="314"/>
      <c r="U400" s="314"/>
      <c r="V400" s="350"/>
      <c r="W400" s="350"/>
      <c r="X400" s="350"/>
      <c r="Y400" s="350"/>
      <c r="Z400" s="307"/>
      <c r="AA400" s="350">
        <f t="shared" si="51"/>
        <v>0</v>
      </c>
      <c r="AB400" s="307"/>
      <c r="AC400" s="307"/>
      <c r="AD400" s="303"/>
      <c r="AE400" s="303"/>
      <c r="AF400" s="303"/>
      <c r="AG400" s="303"/>
      <c r="AH400" s="314"/>
      <c r="AI400" s="297">
        <f t="shared" si="52"/>
        <v>0</v>
      </c>
      <c r="AJ400" s="303"/>
      <c r="AK400" s="303"/>
      <c r="AL400" s="303"/>
      <c r="AM400" s="303"/>
      <c r="AN400" s="303"/>
      <c r="AO400" s="303"/>
      <c r="AP400" s="303"/>
      <c r="AQ400" s="289">
        <f t="shared" si="53"/>
        <v>0</v>
      </c>
      <c r="AR400" s="303"/>
      <c r="AS400" s="303"/>
      <c r="AT400" s="329"/>
      <c r="AU400" s="329"/>
      <c r="AV400" s="329"/>
      <c r="AW400" s="329"/>
      <c r="AX400" s="329"/>
      <c r="AY400" s="139">
        <f t="shared" si="54"/>
        <v>0</v>
      </c>
      <c r="AZ400" s="303"/>
      <c r="BA400" s="303"/>
      <c r="BB400" s="303"/>
      <c r="BC400" s="303"/>
      <c r="BD400" s="303"/>
      <c r="BE400" s="303"/>
      <c r="BF400" s="303"/>
      <c r="BG400" s="353">
        <f t="shared" si="55"/>
        <v>0</v>
      </c>
      <c r="BH400" s="303"/>
      <c r="BI400" s="303"/>
      <c r="BJ400" s="354">
        <f t="shared" si="49"/>
        <v>1</v>
      </c>
      <c r="BK400" s="316" t="str">
        <f t="shared" si="48"/>
        <v>Habilitado</v>
      </c>
    </row>
    <row r="401" spans="1:63" x14ac:dyDescent="0.25">
      <c r="A401" s="324">
        <v>399</v>
      </c>
      <c r="B401" s="325" t="s">
        <v>2523</v>
      </c>
      <c r="C401" s="325" t="s">
        <v>518</v>
      </c>
      <c r="D401" s="325" t="s">
        <v>140</v>
      </c>
      <c r="E401" s="362">
        <v>1</v>
      </c>
      <c r="F401" s="406"/>
      <c r="G401" s="406"/>
      <c r="H401" s="406"/>
      <c r="I401" s="406"/>
      <c r="J401" s="406"/>
      <c r="K401" s="29">
        <f t="shared" si="50"/>
        <v>0</v>
      </c>
      <c r="L401" s="406"/>
      <c r="M401" s="406" t="s">
        <v>551</v>
      </c>
      <c r="N401" s="406"/>
      <c r="O401" s="406"/>
      <c r="P401" s="406"/>
      <c r="Q401" s="406"/>
      <c r="R401" s="406"/>
      <c r="S401" s="406"/>
      <c r="T401" s="406"/>
      <c r="U401" s="406"/>
      <c r="V401" s="406"/>
      <c r="W401" s="406"/>
      <c r="X401" s="406"/>
      <c r="Y401" s="406"/>
      <c r="Z401" s="304"/>
      <c r="AA401" s="350">
        <f t="shared" si="51"/>
        <v>0</v>
      </c>
      <c r="AB401" s="304"/>
      <c r="AC401" s="304"/>
      <c r="AD401" s="304"/>
      <c r="AE401" s="304"/>
      <c r="AF401" s="304"/>
      <c r="AG401" s="304"/>
      <c r="AH401" s="326"/>
      <c r="AI401" s="297">
        <f t="shared" si="52"/>
        <v>0</v>
      </c>
      <c r="AJ401" s="304"/>
      <c r="AK401" s="304"/>
      <c r="AL401" s="304"/>
      <c r="AM401" s="304"/>
      <c r="AN401" s="304"/>
      <c r="AO401" s="304"/>
      <c r="AP401" s="304"/>
      <c r="AQ401" s="289">
        <f t="shared" si="53"/>
        <v>0</v>
      </c>
      <c r="AR401" s="304"/>
      <c r="AS401" s="304"/>
      <c r="AT401" s="304" t="s">
        <v>510</v>
      </c>
      <c r="AU401" s="304" t="s">
        <v>510</v>
      </c>
      <c r="AV401" s="304" t="s">
        <v>510</v>
      </c>
      <c r="AW401" s="303" t="s">
        <v>510</v>
      </c>
      <c r="AX401" s="303">
        <v>40</v>
      </c>
      <c r="AY401" s="139">
        <f t="shared" si="54"/>
        <v>40</v>
      </c>
      <c r="AZ401" s="304" t="s">
        <v>2524</v>
      </c>
      <c r="BA401" s="304"/>
      <c r="BB401" s="303"/>
      <c r="BC401" s="303"/>
      <c r="BD401" s="303"/>
      <c r="BE401" s="303"/>
      <c r="BF401" s="303"/>
      <c r="BG401" s="353">
        <f t="shared" si="55"/>
        <v>0</v>
      </c>
      <c r="BH401" s="303"/>
      <c r="BI401" s="303"/>
      <c r="BJ401" s="354">
        <f t="shared" si="49"/>
        <v>1</v>
      </c>
      <c r="BK401" s="316" t="str">
        <f t="shared" si="48"/>
        <v>Habilitado</v>
      </c>
    </row>
    <row r="402" spans="1:63" ht="45" customHeight="1" x14ac:dyDescent="0.25">
      <c r="A402" s="324">
        <v>400</v>
      </c>
      <c r="B402" s="325" t="s">
        <v>2525</v>
      </c>
      <c r="C402" s="325" t="s">
        <v>518</v>
      </c>
      <c r="D402" s="325" t="s">
        <v>2526</v>
      </c>
      <c r="E402" s="362">
        <v>1</v>
      </c>
      <c r="F402" s="406" t="s">
        <v>510</v>
      </c>
      <c r="G402" s="406" t="s">
        <v>519</v>
      </c>
      <c r="H402" s="406" t="s">
        <v>519</v>
      </c>
      <c r="I402" s="406" t="s">
        <v>510</v>
      </c>
      <c r="J402" s="406">
        <v>0</v>
      </c>
      <c r="K402" s="29">
        <f t="shared" si="50"/>
        <v>0</v>
      </c>
      <c r="L402" s="406" t="s">
        <v>593</v>
      </c>
      <c r="M402" s="406" t="s">
        <v>2527</v>
      </c>
      <c r="N402" s="406"/>
      <c r="O402" s="406"/>
      <c r="P402" s="406"/>
      <c r="Q402" s="406"/>
      <c r="R402" s="406"/>
      <c r="S402" s="406"/>
      <c r="T402" s="406"/>
      <c r="U402" s="406"/>
      <c r="V402" s="350"/>
      <c r="W402" s="350"/>
      <c r="X402" s="350"/>
      <c r="Y402" s="350"/>
      <c r="Z402" s="307"/>
      <c r="AA402" s="350">
        <f t="shared" si="51"/>
        <v>0</v>
      </c>
      <c r="AB402" s="307"/>
      <c r="AC402" s="307"/>
      <c r="AD402" s="304"/>
      <c r="AE402" s="304"/>
      <c r="AF402" s="304"/>
      <c r="AG402" s="304"/>
      <c r="AH402" s="326"/>
      <c r="AI402" s="297">
        <f t="shared" si="52"/>
        <v>0</v>
      </c>
      <c r="AJ402" s="304"/>
      <c r="AK402" s="304"/>
      <c r="AL402" s="304"/>
      <c r="AM402" s="304"/>
      <c r="AN402" s="304"/>
      <c r="AO402" s="304"/>
      <c r="AP402" s="304"/>
      <c r="AQ402" s="289">
        <f t="shared" si="53"/>
        <v>0</v>
      </c>
      <c r="AR402" s="304"/>
      <c r="AS402" s="304"/>
      <c r="AT402" s="325"/>
      <c r="AU402" s="325"/>
      <c r="AV402" s="325"/>
      <c r="AW402" s="325"/>
      <c r="AX402" s="325"/>
      <c r="AY402" s="139">
        <f t="shared" si="54"/>
        <v>0</v>
      </c>
      <c r="AZ402" s="304"/>
      <c r="BA402" s="304"/>
      <c r="BB402" s="303"/>
      <c r="BC402" s="303"/>
      <c r="BD402" s="303"/>
      <c r="BE402" s="303"/>
      <c r="BF402" s="303"/>
      <c r="BG402" s="353">
        <f t="shared" si="55"/>
        <v>0</v>
      </c>
      <c r="BH402" s="303"/>
      <c r="BI402" s="303"/>
      <c r="BJ402" s="354">
        <f t="shared" si="49"/>
        <v>0</v>
      </c>
      <c r="BK402" s="316" t="str">
        <f t="shared" si="48"/>
        <v>Desierto</v>
      </c>
    </row>
    <row r="403" spans="1:63" ht="63.75" x14ac:dyDescent="0.25">
      <c r="A403" s="324">
        <v>401</v>
      </c>
      <c r="B403" s="345" t="s">
        <v>2528</v>
      </c>
      <c r="C403" s="335" t="s">
        <v>518</v>
      </c>
      <c r="D403" s="360" t="s">
        <v>2529</v>
      </c>
      <c r="E403" s="347">
        <v>1</v>
      </c>
      <c r="F403" s="314" t="s">
        <v>510</v>
      </c>
      <c r="G403" s="314" t="s">
        <v>510</v>
      </c>
      <c r="H403" s="314" t="s">
        <v>510</v>
      </c>
      <c r="I403" s="314" t="s">
        <v>510</v>
      </c>
      <c r="J403" s="314">
        <v>40</v>
      </c>
      <c r="K403" s="29">
        <f t="shared" si="50"/>
        <v>40</v>
      </c>
      <c r="L403" s="314" t="s">
        <v>504</v>
      </c>
      <c r="M403" s="314"/>
      <c r="N403" s="314"/>
      <c r="O403" s="314"/>
      <c r="P403" s="314"/>
      <c r="Q403" s="314"/>
      <c r="R403" s="314"/>
      <c r="S403" s="314"/>
      <c r="T403" s="314"/>
      <c r="U403" s="314"/>
      <c r="V403" s="350"/>
      <c r="W403" s="350"/>
      <c r="X403" s="350"/>
      <c r="Y403" s="350"/>
      <c r="Z403" s="307"/>
      <c r="AA403" s="350">
        <f t="shared" si="51"/>
        <v>0</v>
      </c>
      <c r="AB403" s="307"/>
      <c r="AC403" s="307"/>
      <c r="AD403" s="303"/>
      <c r="AE403" s="303"/>
      <c r="AF403" s="303"/>
      <c r="AG403" s="303"/>
      <c r="AH403" s="314"/>
      <c r="AI403" s="297">
        <f t="shared" si="52"/>
        <v>0</v>
      </c>
      <c r="AJ403" s="303"/>
      <c r="AK403" s="303"/>
      <c r="AL403" s="303"/>
      <c r="AM403" s="303"/>
      <c r="AN403" s="303"/>
      <c r="AO403" s="303"/>
      <c r="AP403" s="303"/>
      <c r="AQ403" s="289">
        <f t="shared" si="53"/>
        <v>0</v>
      </c>
      <c r="AR403" s="303"/>
      <c r="AS403" s="303"/>
      <c r="AT403" s="329"/>
      <c r="AU403" s="329"/>
      <c r="AV403" s="329"/>
      <c r="AW403" s="329"/>
      <c r="AX403" s="329"/>
      <c r="AY403" s="139">
        <f t="shared" si="54"/>
        <v>0</v>
      </c>
      <c r="AZ403" s="303"/>
      <c r="BA403" s="303"/>
      <c r="BB403" s="303"/>
      <c r="BC403" s="303"/>
      <c r="BD403" s="303"/>
      <c r="BE403" s="303"/>
      <c r="BF403" s="303"/>
      <c r="BG403" s="353">
        <f t="shared" si="55"/>
        <v>0</v>
      </c>
      <c r="BH403" s="303"/>
      <c r="BI403" s="303"/>
      <c r="BJ403" s="354">
        <f t="shared" si="49"/>
        <v>1</v>
      </c>
      <c r="BK403" s="316" t="str">
        <f t="shared" si="48"/>
        <v>Habilitado</v>
      </c>
    </row>
    <row r="404" spans="1:63" ht="38.25" x14ac:dyDescent="0.25">
      <c r="A404" s="324">
        <v>402</v>
      </c>
      <c r="B404" s="345" t="s">
        <v>2530</v>
      </c>
      <c r="C404" s="335" t="s">
        <v>518</v>
      </c>
      <c r="D404" s="360" t="s">
        <v>1809</v>
      </c>
      <c r="E404" s="347">
        <v>1</v>
      </c>
      <c r="F404" s="314" t="s">
        <v>510</v>
      </c>
      <c r="G404" s="314" t="s">
        <v>510</v>
      </c>
      <c r="H404" s="314" t="s">
        <v>510</v>
      </c>
      <c r="I404" s="314" t="s">
        <v>510</v>
      </c>
      <c r="J404" s="314">
        <v>40</v>
      </c>
      <c r="K404" s="29">
        <f t="shared" si="50"/>
        <v>40</v>
      </c>
      <c r="L404" s="314" t="s">
        <v>504</v>
      </c>
      <c r="M404" s="314"/>
      <c r="N404" s="314"/>
      <c r="O404" s="314"/>
      <c r="P404" s="314"/>
      <c r="Q404" s="314"/>
      <c r="R404" s="314"/>
      <c r="S404" s="314"/>
      <c r="T404" s="314"/>
      <c r="U404" s="314"/>
      <c r="V404" s="350"/>
      <c r="W404" s="350"/>
      <c r="X404" s="350"/>
      <c r="Y404" s="350"/>
      <c r="Z404" s="307"/>
      <c r="AA404" s="350">
        <f t="shared" si="51"/>
        <v>0</v>
      </c>
      <c r="AB404" s="307"/>
      <c r="AC404" s="307"/>
      <c r="AD404" s="303"/>
      <c r="AE404" s="303"/>
      <c r="AF404" s="303"/>
      <c r="AG404" s="303"/>
      <c r="AH404" s="314"/>
      <c r="AI404" s="297">
        <f t="shared" si="52"/>
        <v>0</v>
      </c>
      <c r="AJ404" s="303"/>
      <c r="AK404" s="303"/>
      <c r="AL404" s="303"/>
      <c r="AM404" s="303"/>
      <c r="AN404" s="303"/>
      <c r="AO404" s="303"/>
      <c r="AP404" s="303"/>
      <c r="AQ404" s="289">
        <f t="shared" si="53"/>
        <v>0</v>
      </c>
      <c r="AR404" s="303"/>
      <c r="AS404" s="303"/>
      <c r="AT404" s="303" t="s">
        <v>510</v>
      </c>
      <c r="AU404" s="303" t="s">
        <v>519</v>
      </c>
      <c r="AV404" s="303" t="s">
        <v>510</v>
      </c>
      <c r="AW404" s="303" t="s">
        <v>510</v>
      </c>
      <c r="AX404" s="303">
        <v>0</v>
      </c>
      <c r="AY404" s="139">
        <f t="shared" si="54"/>
        <v>0</v>
      </c>
      <c r="AZ404" s="303" t="s">
        <v>520</v>
      </c>
      <c r="BA404" s="301" t="s">
        <v>2531</v>
      </c>
      <c r="BB404" s="303"/>
      <c r="BC404" s="303"/>
      <c r="BD404" s="303"/>
      <c r="BE404" s="303"/>
      <c r="BF404" s="303"/>
      <c r="BG404" s="353">
        <f t="shared" si="55"/>
        <v>0</v>
      </c>
      <c r="BH404" s="303"/>
      <c r="BI404" s="303"/>
      <c r="BJ404" s="354">
        <f t="shared" si="49"/>
        <v>1</v>
      </c>
      <c r="BK404" s="316" t="str">
        <f t="shared" si="48"/>
        <v>Habilitado</v>
      </c>
    </row>
    <row r="405" spans="1:63" ht="63.75" x14ac:dyDescent="0.25">
      <c r="A405" s="324">
        <v>403</v>
      </c>
      <c r="B405" s="345" t="s">
        <v>2532</v>
      </c>
      <c r="C405" s="335" t="s">
        <v>518</v>
      </c>
      <c r="D405" s="360" t="s">
        <v>140</v>
      </c>
      <c r="E405" s="347">
        <v>1</v>
      </c>
      <c r="F405" s="314"/>
      <c r="G405" s="314"/>
      <c r="H405" s="314"/>
      <c r="I405" s="314"/>
      <c r="J405" s="314"/>
      <c r="K405" s="29">
        <f t="shared" si="50"/>
        <v>0</v>
      </c>
      <c r="L405" s="314"/>
      <c r="M405" s="314"/>
      <c r="N405" s="314"/>
      <c r="O405" s="314"/>
      <c r="P405" s="314"/>
      <c r="Q405" s="314"/>
      <c r="R405" s="314"/>
      <c r="S405" s="314"/>
      <c r="T405" s="314"/>
      <c r="U405" s="314"/>
      <c r="V405" s="350"/>
      <c r="W405" s="350"/>
      <c r="X405" s="350"/>
      <c r="Y405" s="350"/>
      <c r="Z405" s="307"/>
      <c r="AA405" s="350">
        <f t="shared" si="51"/>
        <v>0</v>
      </c>
      <c r="AB405" s="307"/>
      <c r="AC405" s="307"/>
      <c r="AD405" s="303"/>
      <c r="AE405" s="303"/>
      <c r="AF405" s="303"/>
      <c r="AG405" s="303"/>
      <c r="AH405" s="314"/>
      <c r="AI405" s="297">
        <f t="shared" si="52"/>
        <v>0</v>
      </c>
      <c r="AJ405" s="303"/>
      <c r="AK405" s="303"/>
      <c r="AL405" s="303"/>
      <c r="AM405" s="303"/>
      <c r="AN405" s="303"/>
      <c r="AO405" s="303"/>
      <c r="AP405" s="303"/>
      <c r="AQ405" s="289">
        <f t="shared" si="53"/>
        <v>0</v>
      </c>
      <c r="AR405" s="303"/>
      <c r="AS405" s="303"/>
      <c r="AT405" s="329"/>
      <c r="AU405" s="329"/>
      <c r="AV405" s="329"/>
      <c r="AW405" s="329"/>
      <c r="AX405" s="329"/>
      <c r="AY405" s="139">
        <f t="shared" si="54"/>
        <v>0</v>
      </c>
      <c r="AZ405" s="303"/>
      <c r="BA405" s="303"/>
      <c r="BB405" s="303"/>
      <c r="BC405" s="303"/>
      <c r="BD405" s="303"/>
      <c r="BE405" s="303"/>
      <c r="BF405" s="303"/>
      <c r="BG405" s="353">
        <f t="shared" si="55"/>
        <v>0</v>
      </c>
      <c r="BH405" s="303"/>
      <c r="BI405" s="303"/>
      <c r="BJ405" s="354">
        <f t="shared" si="49"/>
        <v>0</v>
      </c>
      <c r="BK405" s="316" t="str">
        <f t="shared" si="48"/>
        <v>Desierto</v>
      </c>
    </row>
    <row r="406" spans="1:63" ht="69.75" customHeight="1" x14ac:dyDescent="0.25">
      <c r="A406" s="324">
        <v>404</v>
      </c>
      <c r="B406" s="325" t="s">
        <v>2533</v>
      </c>
      <c r="C406" s="325" t="s">
        <v>2174</v>
      </c>
      <c r="D406" s="325" t="s">
        <v>140</v>
      </c>
      <c r="E406" s="362">
        <v>1</v>
      </c>
      <c r="F406" s="406" t="s">
        <v>519</v>
      </c>
      <c r="G406" s="406" t="s">
        <v>519</v>
      </c>
      <c r="H406" s="406" t="s">
        <v>510</v>
      </c>
      <c r="I406" s="406" t="s">
        <v>510</v>
      </c>
      <c r="J406" s="406">
        <v>0</v>
      </c>
      <c r="K406" s="29">
        <f t="shared" si="50"/>
        <v>0</v>
      </c>
      <c r="L406" s="406" t="s">
        <v>593</v>
      </c>
      <c r="M406" s="406" t="s">
        <v>2534</v>
      </c>
      <c r="N406" s="406"/>
      <c r="O406" s="406"/>
      <c r="P406" s="406"/>
      <c r="Q406" s="406"/>
      <c r="R406" s="406"/>
      <c r="S406" s="406"/>
      <c r="T406" s="406"/>
      <c r="U406" s="406"/>
      <c r="V406" s="350"/>
      <c r="W406" s="350"/>
      <c r="X406" s="350"/>
      <c r="Y406" s="350"/>
      <c r="Z406" s="307"/>
      <c r="AA406" s="350">
        <f t="shared" si="51"/>
        <v>0</v>
      </c>
      <c r="AB406" s="307"/>
      <c r="AC406" s="307"/>
      <c r="AD406" s="304"/>
      <c r="AE406" s="304"/>
      <c r="AF406" s="304"/>
      <c r="AG406" s="304"/>
      <c r="AH406" s="326"/>
      <c r="AI406" s="297">
        <f t="shared" si="52"/>
        <v>0</v>
      </c>
      <c r="AJ406" s="304"/>
      <c r="AK406" s="304"/>
      <c r="AL406" s="304"/>
      <c r="AM406" s="304"/>
      <c r="AN406" s="304"/>
      <c r="AO406" s="304"/>
      <c r="AP406" s="304"/>
      <c r="AQ406" s="289">
        <f t="shared" si="53"/>
        <v>0</v>
      </c>
      <c r="AR406" s="304"/>
      <c r="AS406" s="304"/>
      <c r="AT406" s="304" t="s">
        <v>510</v>
      </c>
      <c r="AU406" s="304" t="s">
        <v>510</v>
      </c>
      <c r="AV406" s="304" t="s">
        <v>510</v>
      </c>
      <c r="AW406" s="303" t="s">
        <v>510</v>
      </c>
      <c r="AX406" s="303">
        <v>40</v>
      </c>
      <c r="AY406" s="139">
        <f t="shared" si="54"/>
        <v>40</v>
      </c>
      <c r="AZ406" s="303" t="s">
        <v>504</v>
      </c>
      <c r="BA406" s="304"/>
      <c r="BB406" s="303"/>
      <c r="BC406" s="303"/>
      <c r="BD406" s="303"/>
      <c r="BE406" s="303"/>
      <c r="BF406" s="303"/>
      <c r="BG406" s="353">
        <f t="shared" si="55"/>
        <v>0</v>
      </c>
      <c r="BH406" s="303"/>
      <c r="BI406" s="303"/>
      <c r="BJ406" s="354">
        <f t="shared" si="49"/>
        <v>1</v>
      </c>
      <c r="BK406" s="316" t="str">
        <f t="shared" si="48"/>
        <v>Habilitado</v>
      </c>
    </row>
    <row r="407" spans="1:63" ht="67.5" customHeight="1" x14ac:dyDescent="0.25">
      <c r="A407" s="324">
        <v>405</v>
      </c>
      <c r="B407" s="345" t="s">
        <v>2535</v>
      </c>
      <c r="C407" s="335" t="s">
        <v>2174</v>
      </c>
      <c r="D407" s="360" t="s">
        <v>140</v>
      </c>
      <c r="E407" s="347">
        <v>1</v>
      </c>
      <c r="F407" s="314" t="s">
        <v>510</v>
      </c>
      <c r="G407" s="314" t="s">
        <v>510</v>
      </c>
      <c r="H407" s="314" t="s">
        <v>510</v>
      </c>
      <c r="I407" s="314" t="s">
        <v>510</v>
      </c>
      <c r="J407" s="314">
        <v>40</v>
      </c>
      <c r="K407" s="29">
        <f t="shared" si="50"/>
        <v>40</v>
      </c>
      <c r="L407" s="314" t="s">
        <v>504</v>
      </c>
      <c r="M407" s="314"/>
      <c r="N407" s="314"/>
      <c r="O407" s="314"/>
      <c r="P407" s="314"/>
      <c r="Q407" s="314"/>
      <c r="R407" s="314"/>
      <c r="S407" s="314"/>
      <c r="T407" s="314"/>
      <c r="U407" s="314"/>
      <c r="V407" s="350"/>
      <c r="W407" s="350"/>
      <c r="X407" s="350"/>
      <c r="Y407" s="350"/>
      <c r="Z407" s="307"/>
      <c r="AA407" s="350">
        <f t="shared" si="51"/>
        <v>0</v>
      </c>
      <c r="AB407" s="307"/>
      <c r="AC407" s="307"/>
      <c r="AD407" s="303"/>
      <c r="AE407" s="303"/>
      <c r="AF407" s="303"/>
      <c r="AG407" s="303"/>
      <c r="AH407" s="314"/>
      <c r="AI407" s="297">
        <f t="shared" si="52"/>
        <v>0</v>
      </c>
      <c r="AJ407" s="303"/>
      <c r="AK407" s="303"/>
      <c r="AL407" s="303"/>
      <c r="AM407" s="303"/>
      <c r="AN407" s="303"/>
      <c r="AO407" s="303"/>
      <c r="AP407" s="303"/>
      <c r="AQ407" s="289">
        <f t="shared" si="53"/>
        <v>0</v>
      </c>
      <c r="AR407" s="303"/>
      <c r="AS407" s="303"/>
      <c r="AT407" s="303" t="s">
        <v>510</v>
      </c>
      <c r="AU407" s="303" t="s">
        <v>510</v>
      </c>
      <c r="AV407" s="303" t="s">
        <v>510</v>
      </c>
      <c r="AW407" s="303" t="s">
        <v>510</v>
      </c>
      <c r="AX407" s="303">
        <v>40</v>
      </c>
      <c r="AY407" s="139">
        <f t="shared" si="54"/>
        <v>40</v>
      </c>
      <c r="AZ407" s="303" t="s">
        <v>504</v>
      </c>
      <c r="BA407" s="304"/>
      <c r="BB407" s="303"/>
      <c r="BC407" s="303"/>
      <c r="BD407" s="303"/>
      <c r="BE407" s="303"/>
      <c r="BF407" s="303"/>
      <c r="BG407" s="353">
        <f t="shared" si="55"/>
        <v>0</v>
      </c>
      <c r="BH407" s="303"/>
      <c r="BI407" s="303"/>
      <c r="BJ407" s="354">
        <f t="shared" si="49"/>
        <v>2</v>
      </c>
      <c r="BK407" s="316" t="str">
        <f t="shared" si="48"/>
        <v>Habilitado</v>
      </c>
    </row>
    <row r="408" spans="1:63" ht="38.25" x14ac:dyDescent="0.25">
      <c r="A408" s="324">
        <v>406</v>
      </c>
      <c r="B408" s="345" t="s">
        <v>2536</v>
      </c>
      <c r="C408" s="335" t="s">
        <v>2537</v>
      </c>
      <c r="D408" s="357" t="s">
        <v>140</v>
      </c>
      <c r="E408" s="347">
        <v>1</v>
      </c>
      <c r="F408" s="314" t="s">
        <v>510</v>
      </c>
      <c r="G408" s="314" t="s">
        <v>510</v>
      </c>
      <c r="H408" s="314" t="s">
        <v>510</v>
      </c>
      <c r="I408" s="314" t="s">
        <v>510</v>
      </c>
      <c r="J408" s="314">
        <v>40</v>
      </c>
      <c r="K408" s="29">
        <f t="shared" si="50"/>
        <v>40</v>
      </c>
      <c r="L408" s="314" t="s">
        <v>504</v>
      </c>
      <c r="M408" s="314"/>
      <c r="N408" s="314"/>
      <c r="O408" s="314"/>
      <c r="P408" s="314"/>
      <c r="Q408" s="314"/>
      <c r="R408" s="314"/>
      <c r="S408" s="314"/>
      <c r="T408" s="314"/>
      <c r="U408" s="314"/>
      <c r="V408" s="350"/>
      <c r="W408" s="350"/>
      <c r="X408" s="350"/>
      <c r="Y408" s="350"/>
      <c r="Z408" s="307"/>
      <c r="AA408" s="350">
        <f t="shared" si="51"/>
        <v>0</v>
      </c>
      <c r="AB408" s="307"/>
      <c r="AC408" s="307"/>
      <c r="AD408" s="303"/>
      <c r="AE408" s="303"/>
      <c r="AF408" s="303"/>
      <c r="AG408" s="303"/>
      <c r="AH408" s="314"/>
      <c r="AI408" s="297">
        <f t="shared" si="52"/>
        <v>0</v>
      </c>
      <c r="AJ408" s="303"/>
      <c r="AK408" s="303"/>
      <c r="AL408" s="303"/>
      <c r="AM408" s="303"/>
      <c r="AN408" s="303"/>
      <c r="AO408" s="303"/>
      <c r="AP408" s="303"/>
      <c r="AQ408" s="289">
        <f t="shared" si="53"/>
        <v>0</v>
      </c>
      <c r="AR408" s="303"/>
      <c r="AS408" s="303"/>
      <c r="AT408" s="303" t="s">
        <v>510</v>
      </c>
      <c r="AU408" s="303" t="s">
        <v>510</v>
      </c>
      <c r="AV408" s="303" t="s">
        <v>510</v>
      </c>
      <c r="AW408" s="303" t="s">
        <v>510</v>
      </c>
      <c r="AX408" s="303">
        <v>40</v>
      </c>
      <c r="AY408" s="139">
        <f t="shared" si="54"/>
        <v>40</v>
      </c>
      <c r="AZ408" s="303" t="s">
        <v>504</v>
      </c>
      <c r="BA408" s="304"/>
      <c r="BB408" s="303"/>
      <c r="BC408" s="303"/>
      <c r="BD408" s="303"/>
      <c r="BE408" s="303"/>
      <c r="BF408" s="303"/>
      <c r="BG408" s="353">
        <f t="shared" si="55"/>
        <v>0</v>
      </c>
      <c r="BH408" s="303"/>
      <c r="BI408" s="303"/>
      <c r="BJ408" s="354">
        <f t="shared" si="49"/>
        <v>2</v>
      </c>
      <c r="BK408" s="316" t="str">
        <f t="shared" si="48"/>
        <v>Habilitado</v>
      </c>
    </row>
    <row r="409" spans="1:63" ht="38.25" x14ac:dyDescent="0.25">
      <c r="A409" s="324">
        <v>407</v>
      </c>
      <c r="B409" s="345" t="s">
        <v>2538</v>
      </c>
      <c r="C409" s="335" t="s">
        <v>2537</v>
      </c>
      <c r="D409" s="357" t="s">
        <v>140</v>
      </c>
      <c r="E409" s="347">
        <v>1</v>
      </c>
      <c r="F409" s="314" t="s">
        <v>510</v>
      </c>
      <c r="G409" s="314" t="s">
        <v>510</v>
      </c>
      <c r="H409" s="314" t="s">
        <v>510</v>
      </c>
      <c r="I409" s="406" t="s">
        <v>510</v>
      </c>
      <c r="J409" s="314">
        <v>40</v>
      </c>
      <c r="K409" s="29">
        <f t="shared" si="50"/>
        <v>40</v>
      </c>
      <c r="L409" s="314" t="s">
        <v>504</v>
      </c>
      <c r="M409" s="314"/>
      <c r="N409" s="314"/>
      <c r="O409" s="314"/>
      <c r="P409" s="314"/>
      <c r="Q409" s="314"/>
      <c r="R409" s="314"/>
      <c r="S409" s="314"/>
      <c r="T409" s="314"/>
      <c r="U409" s="314"/>
      <c r="V409" s="350"/>
      <c r="W409" s="350"/>
      <c r="X409" s="350"/>
      <c r="Y409" s="350"/>
      <c r="Z409" s="307"/>
      <c r="AA409" s="350">
        <f t="shared" si="51"/>
        <v>0</v>
      </c>
      <c r="AB409" s="307"/>
      <c r="AC409" s="307"/>
      <c r="AD409" s="303"/>
      <c r="AE409" s="303"/>
      <c r="AF409" s="303"/>
      <c r="AG409" s="303"/>
      <c r="AH409" s="314"/>
      <c r="AI409" s="297">
        <f t="shared" si="52"/>
        <v>0</v>
      </c>
      <c r="AJ409" s="303"/>
      <c r="AK409" s="303"/>
      <c r="AL409" s="303"/>
      <c r="AM409" s="303"/>
      <c r="AN409" s="303"/>
      <c r="AO409" s="303"/>
      <c r="AP409" s="303"/>
      <c r="AQ409" s="289">
        <f t="shared" si="53"/>
        <v>0</v>
      </c>
      <c r="AR409" s="303"/>
      <c r="AS409" s="303"/>
      <c r="AT409" s="303" t="s">
        <v>510</v>
      </c>
      <c r="AU409" s="303" t="s">
        <v>510</v>
      </c>
      <c r="AV409" s="303" t="s">
        <v>510</v>
      </c>
      <c r="AW409" s="303" t="s">
        <v>510</v>
      </c>
      <c r="AX409" s="303">
        <v>40</v>
      </c>
      <c r="AY409" s="139">
        <f t="shared" si="54"/>
        <v>40</v>
      </c>
      <c r="AZ409" s="303" t="s">
        <v>504</v>
      </c>
      <c r="BA409" s="304"/>
      <c r="BB409" s="304"/>
      <c r="BC409" s="304"/>
      <c r="BD409" s="304"/>
      <c r="BE409" s="304"/>
      <c r="BF409" s="304"/>
      <c r="BG409" s="353">
        <f t="shared" si="55"/>
        <v>0</v>
      </c>
      <c r="BH409" s="304"/>
      <c r="BI409" s="304"/>
      <c r="BJ409" s="354">
        <f t="shared" si="49"/>
        <v>2</v>
      </c>
      <c r="BK409" s="316" t="str">
        <f t="shared" si="48"/>
        <v>Habilitado</v>
      </c>
    </row>
    <row r="410" spans="1:63" ht="38.25" x14ac:dyDescent="0.25">
      <c r="A410" s="324">
        <v>408</v>
      </c>
      <c r="B410" s="325" t="s">
        <v>2539</v>
      </c>
      <c r="C410" s="325" t="s">
        <v>2537</v>
      </c>
      <c r="D410" s="325" t="s">
        <v>140</v>
      </c>
      <c r="E410" s="362">
        <v>1</v>
      </c>
      <c r="F410" s="406" t="s">
        <v>510</v>
      </c>
      <c r="G410" s="406" t="s">
        <v>510</v>
      </c>
      <c r="H410" s="406" t="s">
        <v>510</v>
      </c>
      <c r="I410" s="406" t="s">
        <v>510</v>
      </c>
      <c r="J410" s="406">
        <v>40</v>
      </c>
      <c r="K410" s="29">
        <f t="shared" si="50"/>
        <v>40</v>
      </c>
      <c r="L410" s="314" t="s">
        <v>504</v>
      </c>
      <c r="M410" s="406" t="s">
        <v>551</v>
      </c>
      <c r="N410" s="406"/>
      <c r="O410" s="406"/>
      <c r="P410" s="406"/>
      <c r="Q410" s="406"/>
      <c r="R410" s="406"/>
      <c r="S410" s="406"/>
      <c r="T410" s="406"/>
      <c r="U410" s="406"/>
      <c r="V410" s="350"/>
      <c r="W410" s="350"/>
      <c r="X410" s="350"/>
      <c r="Y410" s="350"/>
      <c r="Z410" s="307"/>
      <c r="AA410" s="350">
        <f t="shared" si="51"/>
        <v>0</v>
      </c>
      <c r="AB410" s="307"/>
      <c r="AC410" s="307"/>
      <c r="AD410" s="304"/>
      <c r="AE410" s="304"/>
      <c r="AF410" s="304"/>
      <c r="AG410" s="304"/>
      <c r="AH410" s="326"/>
      <c r="AI410" s="297">
        <f t="shared" si="52"/>
        <v>0</v>
      </c>
      <c r="AJ410" s="304"/>
      <c r="AK410" s="304"/>
      <c r="AL410" s="304"/>
      <c r="AM410" s="304"/>
      <c r="AN410" s="304"/>
      <c r="AO410" s="304"/>
      <c r="AP410" s="304"/>
      <c r="AQ410" s="289">
        <f t="shared" si="53"/>
        <v>0</v>
      </c>
      <c r="AR410" s="304"/>
      <c r="AS410" s="304"/>
      <c r="AT410" s="304" t="s">
        <v>510</v>
      </c>
      <c r="AU410" s="304" t="s">
        <v>510</v>
      </c>
      <c r="AV410" s="304" t="s">
        <v>510</v>
      </c>
      <c r="AW410" s="303" t="s">
        <v>510</v>
      </c>
      <c r="AX410" s="303">
        <v>40</v>
      </c>
      <c r="AY410" s="139">
        <f t="shared" si="54"/>
        <v>40</v>
      </c>
      <c r="AZ410" s="303" t="s">
        <v>504</v>
      </c>
      <c r="BA410" s="304"/>
      <c r="BB410" s="303"/>
      <c r="BC410" s="303"/>
      <c r="BD410" s="303"/>
      <c r="BE410" s="303"/>
      <c r="BF410" s="303"/>
      <c r="BG410" s="353">
        <f t="shared" si="55"/>
        <v>0</v>
      </c>
      <c r="BH410" s="303"/>
      <c r="BI410" s="303"/>
      <c r="BJ410" s="354">
        <f t="shared" si="49"/>
        <v>2</v>
      </c>
      <c r="BK410" s="316" t="str">
        <f t="shared" si="48"/>
        <v>Habilitado</v>
      </c>
    </row>
    <row r="411" spans="1:63" ht="38.25" x14ac:dyDescent="0.25">
      <c r="A411" s="324">
        <v>409</v>
      </c>
      <c r="B411" s="345" t="s">
        <v>2540</v>
      </c>
      <c r="C411" s="335" t="s">
        <v>2537</v>
      </c>
      <c r="D411" s="357" t="s">
        <v>140</v>
      </c>
      <c r="E411" s="347">
        <v>1</v>
      </c>
      <c r="F411" s="406" t="s">
        <v>510</v>
      </c>
      <c r="G411" s="406" t="s">
        <v>510</v>
      </c>
      <c r="H411" s="406" t="s">
        <v>510</v>
      </c>
      <c r="I411" s="406" t="s">
        <v>510</v>
      </c>
      <c r="J411" s="406">
        <v>40</v>
      </c>
      <c r="K411" s="29">
        <f t="shared" si="50"/>
        <v>40</v>
      </c>
      <c r="L411" s="314" t="s">
        <v>504</v>
      </c>
      <c r="M411" s="314"/>
      <c r="N411" s="314"/>
      <c r="O411" s="314"/>
      <c r="P411" s="314"/>
      <c r="Q411" s="314"/>
      <c r="R411" s="314"/>
      <c r="S411" s="314"/>
      <c r="T411" s="314"/>
      <c r="U411" s="314"/>
      <c r="V411" s="350"/>
      <c r="W411" s="350"/>
      <c r="X411" s="350"/>
      <c r="Y411" s="350"/>
      <c r="Z411" s="307"/>
      <c r="AA411" s="350">
        <f t="shared" si="51"/>
        <v>0</v>
      </c>
      <c r="AB411" s="307"/>
      <c r="AC411" s="307"/>
      <c r="AD411" s="303"/>
      <c r="AE411" s="303"/>
      <c r="AF411" s="303"/>
      <c r="AG411" s="303"/>
      <c r="AH411" s="314"/>
      <c r="AI411" s="297">
        <f t="shared" si="52"/>
        <v>0</v>
      </c>
      <c r="AJ411" s="303"/>
      <c r="AK411" s="303"/>
      <c r="AL411" s="303"/>
      <c r="AM411" s="303"/>
      <c r="AN411" s="303"/>
      <c r="AO411" s="303"/>
      <c r="AP411" s="303"/>
      <c r="AQ411" s="289">
        <f t="shared" si="53"/>
        <v>0</v>
      </c>
      <c r="AR411" s="303"/>
      <c r="AS411" s="303"/>
      <c r="AT411" s="303" t="s">
        <v>510</v>
      </c>
      <c r="AU411" s="303" t="s">
        <v>510</v>
      </c>
      <c r="AV411" s="303" t="s">
        <v>510</v>
      </c>
      <c r="AW411" s="303" t="s">
        <v>510</v>
      </c>
      <c r="AX411" s="303">
        <v>40</v>
      </c>
      <c r="AY411" s="139">
        <f t="shared" si="54"/>
        <v>40</v>
      </c>
      <c r="AZ411" s="303" t="s">
        <v>504</v>
      </c>
      <c r="BA411" s="304"/>
      <c r="BB411" s="303"/>
      <c r="BC411" s="303"/>
      <c r="BD411" s="303"/>
      <c r="BE411" s="303"/>
      <c r="BF411" s="303"/>
      <c r="BG411" s="353">
        <f t="shared" si="55"/>
        <v>0</v>
      </c>
      <c r="BH411" s="303"/>
      <c r="BI411" s="303"/>
      <c r="BJ411" s="354">
        <f t="shared" si="49"/>
        <v>2</v>
      </c>
      <c r="BK411" s="316" t="str">
        <f t="shared" si="48"/>
        <v>Habilitado</v>
      </c>
    </row>
    <row r="412" spans="1:63" ht="87" customHeight="1" x14ac:dyDescent="0.25">
      <c r="A412" s="324">
        <v>410</v>
      </c>
      <c r="B412" s="345" t="s">
        <v>2541</v>
      </c>
      <c r="C412" s="335" t="s">
        <v>2537</v>
      </c>
      <c r="D412" s="360" t="s">
        <v>140</v>
      </c>
      <c r="E412" s="347">
        <v>1</v>
      </c>
      <c r="F412" s="314" t="s">
        <v>510</v>
      </c>
      <c r="G412" s="314" t="s">
        <v>510</v>
      </c>
      <c r="H412" s="314" t="s">
        <v>510</v>
      </c>
      <c r="I412" s="314" t="s">
        <v>510</v>
      </c>
      <c r="J412" s="314">
        <v>40</v>
      </c>
      <c r="K412" s="29">
        <f t="shared" si="50"/>
        <v>40</v>
      </c>
      <c r="L412" s="314" t="s">
        <v>504</v>
      </c>
      <c r="M412" s="314"/>
      <c r="N412" s="314"/>
      <c r="O412" s="314"/>
      <c r="P412" s="314"/>
      <c r="Q412" s="314"/>
      <c r="R412" s="314"/>
      <c r="S412" s="314"/>
      <c r="T412" s="314"/>
      <c r="U412" s="314"/>
      <c r="V412" s="350"/>
      <c r="W412" s="350"/>
      <c r="X412" s="350"/>
      <c r="Y412" s="350"/>
      <c r="Z412" s="307"/>
      <c r="AA412" s="350">
        <f t="shared" si="51"/>
        <v>0</v>
      </c>
      <c r="AB412" s="307"/>
      <c r="AC412" s="307"/>
      <c r="AD412" s="303"/>
      <c r="AE412" s="303"/>
      <c r="AF412" s="303"/>
      <c r="AG412" s="303"/>
      <c r="AH412" s="314"/>
      <c r="AI412" s="297">
        <f t="shared" si="52"/>
        <v>0</v>
      </c>
      <c r="AJ412" s="303"/>
      <c r="AK412" s="303"/>
      <c r="AL412" s="303"/>
      <c r="AM412" s="303"/>
      <c r="AN412" s="303"/>
      <c r="AO412" s="303"/>
      <c r="AP412" s="303"/>
      <c r="AQ412" s="289">
        <f t="shared" si="53"/>
        <v>0</v>
      </c>
      <c r="AR412" s="303"/>
      <c r="AS412" s="303"/>
      <c r="AT412" s="303" t="s">
        <v>510</v>
      </c>
      <c r="AU412" s="303" t="s">
        <v>510</v>
      </c>
      <c r="AV412" s="303" t="s">
        <v>510</v>
      </c>
      <c r="AW412" s="303" t="s">
        <v>510</v>
      </c>
      <c r="AX412" s="303">
        <v>40</v>
      </c>
      <c r="AY412" s="139">
        <f t="shared" si="54"/>
        <v>40</v>
      </c>
      <c r="AZ412" s="303" t="s">
        <v>504</v>
      </c>
      <c r="BA412" s="304"/>
      <c r="BB412" s="303"/>
      <c r="BC412" s="303"/>
      <c r="BD412" s="303"/>
      <c r="BE412" s="303"/>
      <c r="BF412" s="303"/>
      <c r="BG412" s="353">
        <f t="shared" si="55"/>
        <v>0</v>
      </c>
      <c r="BH412" s="303"/>
      <c r="BI412" s="303"/>
      <c r="BJ412" s="354">
        <f t="shared" si="49"/>
        <v>2</v>
      </c>
      <c r="BK412" s="316" t="str">
        <f t="shared" si="48"/>
        <v>Habilitado</v>
      </c>
    </row>
    <row r="413" spans="1:63" ht="81.75" customHeight="1" x14ac:dyDescent="0.25">
      <c r="A413" s="324">
        <v>411</v>
      </c>
      <c r="B413" s="345" t="s">
        <v>2542</v>
      </c>
      <c r="C413" s="335" t="s">
        <v>2537</v>
      </c>
      <c r="D413" s="360" t="s">
        <v>140</v>
      </c>
      <c r="E413" s="347">
        <v>1</v>
      </c>
      <c r="F413" s="314" t="s">
        <v>510</v>
      </c>
      <c r="G413" s="314" t="s">
        <v>510</v>
      </c>
      <c r="H413" s="314" t="s">
        <v>510</v>
      </c>
      <c r="I413" s="314" t="s">
        <v>510</v>
      </c>
      <c r="J413" s="314">
        <v>40</v>
      </c>
      <c r="K413" s="29">
        <f t="shared" si="50"/>
        <v>40</v>
      </c>
      <c r="L413" s="314" t="s">
        <v>504</v>
      </c>
      <c r="M413" s="314"/>
      <c r="N413" s="314"/>
      <c r="O413" s="314"/>
      <c r="P413" s="314"/>
      <c r="Q413" s="314"/>
      <c r="R413" s="314"/>
      <c r="S413" s="314"/>
      <c r="T413" s="314"/>
      <c r="U413" s="314"/>
      <c r="V413" s="350"/>
      <c r="W413" s="350"/>
      <c r="X413" s="350"/>
      <c r="Y413" s="350"/>
      <c r="Z413" s="307"/>
      <c r="AA413" s="350">
        <f t="shared" si="51"/>
        <v>0</v>
      </c>
      <c r="AB413" s="307"/>
      <c r="AC413" s="307"/>
      <c r="AD413" s="303"/>
      <c r="AE413" s="303"/>
      <c r="AF413" s="303"/>
      <c r="AG413" s="303"/>
      <c r="AH413" s="314"/>
      <c r="AI413" s="297">
        <f t="shared" si="52"/>
        <v>0</v>
      </c>
      <c r="AJ413" s="303"/>
      <c r="AK413" s="303"/>
      <c r="AL413" s="303"/>
      <c r="AM413" s="303"/>
      <c r="AN413" s="303"/>
      <c r="AO413" s="303"/>
      <c r="AP413" s="303"/>
      <c r="AQ413" s="289">
        <f t="shared" si="53"/>
        <v>0</v>
      </c>
      <c r="AR413" s="303"/>
      <c r="AS413" s="303"/>
      <c r="AT413" s="304" t="s">
        <v>510</v>
      </c>
      <c r="AU413" s="303" t="s">
        <v>510</v>
      </c>
      <c r="AV413" s="303" t="s">
        <v>510</v>
      </c>
      <c r="AW413" s="303" t="s">
        <v>510</v>
      </c>
      <c r="AX413" s="303">
        <v>40</v>
      </c>
      <c r="AY413" s="139">
        <f t="shared" si="54"/>
        <v>40</v>
      </c>
      <c r="AZ413" s="303" t="s">
        <v>504</v>
      </c>
      <c r="BA413" s="304"/>
      <c r="BB413" s="303"/>
      <c r="BC413" s="303"/>
      <c r="BD413" s="303"/>
      <c r="BE413" s="303"/>
      <c r="BF413" s="303"/>
      <c r="BG413" s="353">
        <f t="shared" si="55"/>
        <v>0</v>
      </c>
      <c r="BH413" s="303"/>
      <c r="BI413" s="303"/>
      <c r="BJ413" s="354">
        <f t="shared" si="49"/>
        <v>2</v>
      </c>
      <c r="BK413" s="316" t="str">
        <f t="shared" si="48"/>
        <v>Habilitado</v>
      </c>
    </row>
    <row r="414" spans="1:63" ht="90" customHeight="1" x14ac:dyDescent="0.25">
      <c r="A414" s="324">
        <v>412</v>
      </c>
      <c r="B414" s="345" t="s">
        <v>2543</v>
      </c>
      <c r="C414" s="335" t="s">
        <v>2537</v>
      </c>
      <c r="D414" s="360" t="s">
        <v>140</v>
      </c>
      <c r="E414" s="347">
        <v>1</v>
      </c>
      <c r="F414" s="314" t="s">
        <v>510</v>
      </c>
      <c r="G414" s="314" t="s">
        <v>510</v>
      </c>
      <c r="H414" s="314" t="s">
        <v>510</v>
      </c>
      <c r="I414" s="314" t="s">
        <v>510</v>
      </c>
      <c r="J414" s="314">
        <v>40</v>
      </c>
      <c r="K414" s="29">
        <f t="shared" si="50"/>
        <v>40</v>
      </c>
      <c r="L414" s="314" t="s">
        <v>504</v>
      </c>
      <c r="M414" s="314"/>
      <c r="N414" s="314"/>
      <c r="O414" s="314"/>
      <c r="P414" s="314"/>
      <c r="Q414" s="314"/>
      <c r="R414" s="314"/>
      <c r="S414" s="314"/>
      <c r="T414" s="314"/>
      <c r="U414" s="314"/>
      <c r="V414" s="350"/>
      <c r="W414" s="350"/>
      <c r="X414" s="350"/>
      <c r="Y414" s="350"/>
      <c r="Z414" s="307"/>
      <c r="AA414" s="350">
        <f t="shared" si="51"/>
        <v>0</v>
      </c>
      <c r="AB414" s="307"/>
      <c r="AC414" s="307"/>
      <c r="AD414" s="303"/>
      <c r="AE414" s="303"/>
      <c r="AF414" s="303"/>
      <c r="AG414" s="303"/>
      <c r="AH414" s="314"/>
      <c r="AI414" s="297">
        <f t="shared" si="52"/>
        <v>0</v>
      </c>
      <c r="AJ414" s="303"/>
      <c r="AK414" s="303"/>
      <c r="AL414" s="303"/>
      <c r="AM414" s="303"/>
      <c r="AN414" s="303"/>
      <c r="AO414" s="303"/>
      <c r="AP414" s="303"/>
      <c r="AQ414" s="289">
        <f t="shared" si="53"/>
        <v>0</v>
      </c>
      <c r="AR414" s="303"/>
      <c r="AS414" s="303"/>
      <c r="AT414" s="304" t="s">
        <v>510</v>
      </c>
      <c r="AU414" s="303" t="s">
        <v>510</v>
      </c>
      <c r="AV414" s="303" t="s">
        <v>510</v>
      </c>
      <c r="AW414" s="303" t="s">
        <v>510</v>
      </c>
      <c r="AX414" s="303">
        <v>40</v>
      </c>
      <c r="AY414" s="139">
        <f t="shared" si="54"/>
        <v>40</v>
      </c>
      <c r="AZ414" s="303" t="s">
        <v>504</v>
      </c>
      <c r="BA414" s="304"/>
      <c r="BB414" s="303"/>
      <c r="BC414" s="303"/>
      <c r="BD414" s="303"/>
      <c r="BE414" s="303"/>
      <c r="BF414" s="303"/>
      <c r="BG414" s="353">
        <f t="shared" si="55"/>
        <v>0</v>
      </c>
      <c r="BH414" s="303"/>
      <c r="BI414" s="303"/>
      <c r="BJ414" s="354">
        <f t="shared" si="49"/>
        <v>2</v>
      </c>
      <c r="BK414" s="316" t="str">
        <f t="shared" si="48"/>
        <v>Habilitado</v>
      </c>
    </row>
    <row r="415" spans="1:63" ht="38.25" x14ac:dyDescent="0.25">
      <c r="A415" s="324">
        <v>413</v>
      </c>
      <c r="B415" s="345" t="s">
        <v>2544</v>
      </c>
      <c r="C415" s="335" t="s">
        <v>2537</v>
      </c>
      <c r="D415" s="360" t="s">
        <v>140</v>
      </c>
      <c r="E415" s="347">
        <v>1</v>
      </c>
      <c r="F415" s="314" t="s">
        <v>510</v>
      </c>
      <c r="G415" s="314" t="s">
        <v>510</v>
      </c>
      <c r="H415" s="314" t="s">
        <v>510</v>
      </c>
      <c r="I415" s="314" t="s">
        <v>510</v>
      </c>
      <c r="J415" s="314">
        <v>40</v>
      </c>
      <c r="K415" s="29">
        <f t="shared" si="50"/>
        <v>40</v>
      </c>
      <c r="L415" s="314" t="s">
        <v>504</v>
      </c>
      <c r="M415" s="314"/>
      <c r="N415" s="314"/>
      <c r="O415" s="314"/>
      <c r="P415" s="314"/>
      <c r="Q415" s="314"/>
      <c r="R415" s="314"/>
      <c r="S415" s="314"/>
      <c r="T415" s="314"/>
      <c r="U415" s="314"/>
      <c r="V415" s="350"/>
      <c r="W415" s="350"/>
      <c r="X415" s="350"/>
      <c r="Y415" s="350"/>
      <c r="Z415" s="307"/>
      <c r="AA415" s="350">
        <f t="shared" si="51"/>
        <v>0</v>
      </c>
      <c r="AB415" s="307"/>
      <c r="AC415" s="307"/>
      <c r="AD415" s="303"/>
      <c r="AE415" s="303"/>
      <c r="AF415" s="303"/>
      <c r="AG415" s="303"/>
      <c r="AH415" s="314"/>
      <c r="AI415" s="297">
        <f t="shared" si="52"/>
        <v>0</v>
      </c>
      <c r="AJ415" s="303"/>
      <c r="AK415" s="303"/>
      <c r="AL415" s="303"/>
      <c r="AM415" s="303"/>
      <c r="AN415" s="303"/>
      <c r="AO415" s="303"/>
      <c r="AP415" s="303"/>
      <c r="AQ415" s="289">
        <f t="shared" si="53"/>
        <v>0</v>
      </c>
      <c r="AR415" s="303"/>
      <c r="AS415" s="303"/>
      <c r="AT415" s="303" t="s">
        <v>510</v>
      </c>
      <c r="AU415" s="303" t="s">
        <v>510</v>
      </c>
      <c r="AV415" s="303" t="s">
        <v>519</v>
      </c>
      <c r="AW415" s="303" t="s">
        <v>510</v>
      </c>
      <c r="AX415" s="314">
        <v>40</v>
      </c>
      <c r="AY415" s="139">
        <f t="shared" si="54"/>
        <v>40</v>
      </c>
      <c r="AZ415" s="303" t="s">
        <v>520</v>
      </c>
      <c r="BA415" s="304" t="s">
        <v>2545</v>
      </c>
      <c r="BB415" s="303"/>
      <c r="BC415" s="303"/>
      <c r="BD415" s="303"/>
      <c r="BE415" s="303"/>
      <c r="BF415" s="303"/>
      <c r="BG415" s="353">
        <f t="shared" si="55"/>
        <v>0</v>
      </c>
      <c r="BH415" s="303"/>
      <c r="BI415" s="303"/>
      <c r="BJ415" s="354">
        <f t="shared" si="49"/>
        <v>1</v>
      </c>
      <c r="BK415" s="316" t="str">
        <f t="shared" si="48"/>
        <v>Habilitado</v>
      </c>
    </row>
    <row r="416" spans="1:63" ht="102" x14ac:dyDescent="0.25">
      <c r="A416" s="324">
        <v>414</v>
      </c>
      <c r="B416" s="345" t="s">
        <v>2546</v>
      </c>
      <c r="C416" s="335" t="s">
        <v>2537</v>
      </c>
      <c r="D416" s="360" t="s">
        <v>140</v>
      </c>
      <c r="E416" s="347">
        <v>1</v>
      </c>
      <c r="F416" s="314" t="s">
        <v>510</v>
      </c>
      <c r="G416" s="314" t="s">
        <v>510</v>
      </c>
      <c r="H416" s="314" t="s">
        <v>510</v>
      </c>
      <c r="I416" s="314" t="s">
        <v>510</v>
      </c>
      <c r="J416" s="314">
        <v>40</v>
      </c>
      <c r="K416" s="29">
        <f t="shared" si="50"/>
        <v>40</v>
      </c>
      <c r="L416" s="314" t="s">
        <v>504</v>
      </c>
      <c r="M416" s="314"/>
      <c r="N416" s="314"/>
      <c r="O416" s="314"/>
      <c r="P416" s="314"/>
      <c r="Q416" s="314"/>
      <c r="R416" s="314"/>
      <c r="S416" s="314"/>
      <c r="T416" s="314"/>
      <c r="U416" s="314"/>
      <c r="V416" s="350"/>
      <c r="W416" s="350"/>
      <c r="X416" s="350"/>
      <c r="Y416" s="350"/>
      <c r="Z416" s="307"/>
      <c r="AA416" s="350">
        <f t="shared" si="51"/>
        <v>0</v>
      </c>
      <c r="AB416" s="307"/>
      <c r="AC416" s="307"/>
      <c r="AD416" s="303"/>
      <c r="AE416" s="303"/>
      <c r="AF416" s="303"/>
      <c r="AG416" s="303"/>
      <c r="AH416" s="314"/>
      <c r="AI416" s="297">
        <f t="shared" si="52"/>
        <v>0</v>
      </c>
      <c r="AJ416" s="303"/>
      <c r="AK416" s="303"/>
      <c r="AL416" s="303"/>
      <c r="AM416" s="303"/>
      <c r="AN416" s="303"/>
      <c r="AO416" s="303"/>
      <c r="AP416" s="303"/>
      <c r="AQ416" s="289">
        <f t="shared" si="53"/>
        <v>0</v>
      </c>
      <c r="AR416" s="303"/>
      <c r="AS416" s="303"/>
      <c r="AT416" s="303" t="s">
        <v>510</v>
      </c>
      <c r="AU416" s="303" t="s">
        <v>510</v>
      </c>
      <c r="AV416" s="303" t="s">
        <v>510</v>
      </c>
      <c r="AW416" s="303" t="s">
        <v>510</v>
      </c>
      <c r="AX416" s="303">
        <v>40</v>
      </c>
      <c r="AY416" s="139">
        <f t="shared" si="54"/>
        <v>40</v>
      </c>
      <c r="AZ416" s="303" t="s">
        <v>504</v>
      </c>
      <c r="BA416" s="304"/>
      <c r="BB416" s="303"/>
      <c r="BC416" s="303"/>
      <c r="BD416" s="303"/>
      <c r="BE416" s="303"/>
      <c r="BF416" s="303"/>
      <c r="BG416" s="353">
        <f t="shared" si="55"/>
        <v>0</v>
      </c>
      <c r="BH416" s="303"/>
      <c r="BI416" s="303"/>
      <c r="BJ416" s="354">
        <f t="shared" si="49"/>
        <v>2</v>
      </c>
      <c r="BK416" s="316" t="str">
        <f t="shared" ref="BK416:BK479" si="56">IF(BJ416&gt;=1,"Habilitado","Desierto")</f>
        <v>Habilitado</v>
      </c>
    </row>
    <row r="417" spans="1:63" ht="102" x14ac:dyDescent="0.25">
      <c r="A417" s="324">
        <v>415</v>
      </c>
      <c r="B417" s="345" t="s">
        <v>2547</v>
      </c>
      <c r="C417" s="335" t="s">
        <v>2537</v>
      </c>
      <c r="D417" s="360" t="s">
        <v>140</v>
      </c>
      <c r="E417" s="347">
        <v>1</v>
      </c>
      <c r="F417" s="314" t="s">
        <v>510</v>
      </c>
      <c r="G417" s="314" t="s">
        <v>510</v>
      </c>
      <c r="H417" s="314" t="s">
        <v>510</v>
      </c>
      <c r="I417" s="314" t="s">
        <v>510</v>
      </c>
      <c r="J417" s="314">
        <v>40</v>
      </c>
      <c r="K417" s="29">
        <f t="shared" si="50"/>
        <v>40</v>
      </c>
      <c r="L417" s="314" t="s">
        <v>504</v>
      </c>
      <c r="M417" s="314"/>
      <c r="N417" s="314"/>
      <c r="O417" s="314"/>
      <c r="P417" s="314"/>
      <c r="Q417" s="314"/>
      <c r="R417" s="314"/>
      <c r="S417" s="314"/>
      <c r="T417" s="314"/>
      <c r="U417" s="314"/>
      <c r="V417" s="350"/>
      <c r="W417" s="350"/>
      <c r="X417" s="350"/>
      <c r="Y417" s="350"/>
      <c r="Z417" s="307"/>
      <c r="AA417" s="350">
        <f t="shared" si="51"/>
        <v>0</v>
      </c>
      <c r="AB417" s="307"/>
      <c r="AC417" s="307"/>
      <c r="AD417" s="303"/>
      <c r="AE417" s="303"/>
      <c r="AF417" s="303"/>
      <c r="AG417" s="303"/>
      <c r="AH417" s="314"/>
      <c r="AI417" s="297">
        <f t="shared" si="52"/>
        <v>0</v>
      </c>
      <c r="AJ417" s="303"/>
      <c r="AK417" s="303"/>
      <c r="AL417" s="303"/>
      <c r="AM417" s="303"/>
      <c r="AN417" s="303"/>
      <c r="AO417" s="303"/>
      <c r="AP417" s="303"/>
      <c r="AQ417" s="289">
        <f t="shared" si="53"/>
        <v>0</v>
      </c>
      <c r="AR417" s="303"/>
      <c r="AS417" s="303"/>
      <c r="AT417" s="304" t="s">
        <v>510</v>
      </c>
      <c r="AU417" s="303" t="s">
        <v>510</v>
      </c>
      <c r="AV417" s="303" t="s">
        <v>510</v>
      </c>
      <c r="AW417" s="303" t="s">
        <v>510</v>
      </c>
      <c r="AX417" s="303">
        <v>40</v>
      </c>
      <c r="AY417" s="139">
        <f t="shared" si="54"/>
        <v>40</v>
      </c>
      <c r="AZ417" s="303" t="s">
        <v>504</v>
      </c>
      <c r="BA417" s="304"/>
      <c r="BB417" s="303"/>
      <c r="BC417" s="303"/>
      <c r="BD417" s="303"/>
      <c r="BE417" s="303"/>
      <c r="BF417" s="303"/>
      <c r="BG417" s="353">
        <f t="shared" si="55"/>
        <v>0</v>
      </c>
      <c r="BH417" s="303"/>
      <c r="BI417" s="303"/>
      <c r="BJ417" s="354">
        <f t="shared" si="49"/>
        <v>2</v>
      </c>
      <c r="BK417" s="316" t="str">
        <f t="shared" si="56"/>
        <v>Habilitado</v>
      </c>
    </row>
    <row r="418" spans="1:63" ht="75" customHeight="1" x14ac:dyDescent="0.25">
      <c r="A418" s="324">
        <v>416</v>
      </c>
      <c r="B418" s="345" t="s">
        <v>2548</v>
      </c>
      <c r="C418" s="335" t="s">
        <v>2537</v>
      </c>
      <c r="D418" s="360" t="s">
        <v>140</v>
      </c>
      <c r="E418" s="347">
        <v>1</v>
      </c>
      <c r="F418" s="314" t="s">
        <v>510</v>
      </c>
      <c r="G418" s="314" t="s">
        <v>510</v>
      </c>
      <c r="H418" s="314" t="s">
        <v>510</v>
      </c>
      <c r="I418" s="314" t="s">
        <v>510</v>
      </c>
      <c r="J418" s="314">
        <v>40</v>
      </c>
      <c r="K418" s="29">
        <f t="shared" si="50"/>
        <v>40</v>
      </c>
      <c r="L418" s="314" t="s">
        <v>504</v>
      </c>
      <c r="M418" s="314"/>
      <c r="N418" s="314"/>
      <c r="O418" s="314"/>
      <c r="P418" s="314"/>
      <c r="Q418" s="314"/>
      <c r="R418" s="314"/>
      <c r="S418" s="314"/>
      <c r="T418" s="314"/>
      <c r="U418" s="314"/>
      <c r="V418" s="350"/>
      <c r="W418" s="350"/>
      <c r="X418" s="350"/>
      <c r="Y418" s="350"/>
      <c r="Z418" s="307"/>
      <c r="AA418" s="350">
        <f t="shared" si="51"/>
        <v>0</v>
      </c>
      <c r="AB418" s="307"/>
      <c r="AC418" s="307"/>
      <c r="AD418" s="303"/>
      <c r="AE418" s="303"/>
      <c r="AF418" s="303"/>
      <c r="AG418" s="303"/>
      <c r="AH418" s="314"/>
      <c r="AI418" s="297">
        <f t="shared" si="52"/>
        <v>0</v>
      </c>
      <c r="AJ418" s="303"/>
      <c r="AK418" s="303"/>
      <c r="AL418" s="303"/>
      <c r="AM418" s="303"/>
      <c r="AN418" s="303"/>
      <c r="AO418" s="303"/>
      <c r="AP418" s="303"/>
      <c r="AQ418" s="289">
        <f t="shared" si="53"/>
        <v>0</v>
      </c>
      <c r="AR418" s="303"/>
      <c r="AS418" s="303"/>
      <c r="AT418" s="304" t="s">
        <v>510</v>
      </c>
      <c r="AU418" s="303" t="s">
        <v>510</v>
      </c>
      <c r="AV418" s="303" t="s">
        <v>510</v>
      </c>
      <c r="AW418" s="303" t="s">
        <v>510</v>
      </c>
      <c r="AX418" s="303">
        <v>40</v>
      </c>
      <c r="AY418" s="139">
        <f t="shared" si="54"/>
        <v>40</v>
      </c>
      <c r="AZ418" s="303" t="s">
        <v>504</v>
      </c>
      <c r="BA418" s="304"/>
      <c r="BB418" s="304"/>
      <c r="BC418" s="304"/>
      <c r="BD418" s="304"/>
      <c r="BE418" s="304"/>
      <c r="BF418" s="304"/>
      <c r="BG418" s="353">
        <f t="shared" si="55"/>
        <v>0</v>
      </c>
      <c r="BH418" s="304"/>
      <c r="BI418" s="304"/>
      <c r="BJ418" s="354">
        <f t="shared" si="49"/>
        <v>2</v>
      </c>
      <c r="BK418" s="316" t="str">
        <f t="shared" si="56"/>
        <v>Habilitado</v>
      </c>
    </row>
    <row r="419" spans="1:63" ht="25.5" x14ac:dyDescent="0.25">
      <c r="A419" s="324">
        <v>417</v>
      </c>
      <c r="B419" s="345" t="s">
        <v>2549</v>
      </c>
      <c r="C419" s="335" t="s">
        <v>2550</v>
      </c>
      <c r="D419" s="360" t="s">
        <v>140</v>
      </c>
      <c r="E419" s="347">
        <v>1</v>
      </c>
      <c r="F419" s="314" t="s">
        <v>510</v>
      </c>
      <c r="G419" s="314" t="s">
        <v>510</v>
      </c>
      <c r="H419" s="314" t="s">
        <v>510</v>
      </c>
      <c r="I419" s="314" t="s">
        <v>510</v>
      </c>
      <c r="J419" s="314">
        <v>40</v>
      </c>
      <c r="K419" s="29">
        <f t="shared" si="50"/>
        <v>40</v>
      </c>
      <c r="L419" s="314" t="s">
        <v>504</v>
      </c>
      <c r="M419" s="314"/>
      <c r="N419" s="314"/>
      <c r="O419" s="314"/>
      <c r="P419" s="314"/>
      <c r="Q419" s="314"/>
      <c r="R419" s="314"/>
      <c r="S419" s="314"/>
      <c r="T419" s="314"/>
      <c r="U419" s="314"/>
      <c r="V419" s="350"/>
      <c r="W419" s="350"/>
      <c r="X419" s="350"/>
      <c r="Y419" s="350"/>
      <c r="Z419" s="307"/>
      <c r="AA419" s="350">
        <f t="shared" si="51"/>
        <v>0</v>
      </c>
      <c r="AB419" s="307"/>
      <c r="AC419" s="307"/>
      <c r="AD419" s="303"/>
      <c r="AE419" s="303"/>
      <c r="AF419" s="303"/>
      <c r="AG419" s="303"/>
      <c r="AH419" s="314"/>
      <c r="AI419" s="297">
        <f t="shared" si="52"/>
        <v>0</v>
      </c>
      <c r="AJ419" s="303"/>
      <c r="AK419" s="303"/>
      <c r="AL419" s="303"/>
      <c r="AM419" s="303"/>
      <c r="AN419" s="303"/>
      <c r="AO419" s="303"/>
      <c r="AP419" s="303"/>
      <c r="AQ419" s="289">
        <f t="shared" si="53"/>
        <v>0</v>
      </c>
      <c r="AR419" s="303"/>
      <c r="AS419" s="303"/>
      <c r="AT419" s="303" t="s">
        <v>510</v>
      </c>
      <c r="AU419" s="303" t="s">
        <v>510</v>
      </c>
      <c r="AV419" s="303" t="s">
        <v>510</v>
      </c>
      <c r="AW419" s="303" t="s">
        <v>510</v>
      </c>
      <c r="AX419" s="303">
        <v>40</v>
      </c>
      <c r="AY419" s="139">
        <f t="shared" si="54"/>
        <v>40</v>
      </c>
      <c r="AZ419" s="303" t="s">
        <v>504</v>
      </c>
      <c r="BA419" s="304"/>
      <c r="BB419" s="303"/>
      <c r="BC419" s="303"/>
      <c r="BD419" s="303"/>
      <c r="BE419" s="303"/>
      <c r="BF419" s="303"/>
      <c r="BG419" s="353">
        <f t="shared" si="55"/>
        <v>0</v>
      </c>
      <c r="BH419" s="303"/>
      <c r="BI419" s="303"/>
      <c r="BJ419" s="354">
        <f t="shared" si="49"/>
        <v>2</v>
      </c>
      <c r="BK419" s="316" t="str">
        <f t="shared" si="56"/>
        <v>Habilitado</v>
      </c>
    </row>
    <row r="420" spans="1:63" ht="25.5" x14ac:dyDescent="0.25">
      <c r="A420" s="324">
        <v>418</v>
      </c>
      <c r="B420" s="345" t="s">
        <v>2551</v>
      </c>
      <c r="C420" s="335" t="s">
        <v>2552</v>
      </c>
      <c r="D420" s="360" t="s">
        <v>140</v>
      </c>
      <c r="E420" s="347">
        <v>1</v>
      </c>
      <c r="F420" s="314" t="s">
        <v>510</v>
      </c>
      <c r="G420" s="314" t="s">
        <v>510</v>
      </c>
      <c r="H420" s="314" t="s">
        <v>510</v>
      </c>
      <c r="I420" s="314" t="s">
        <v>510</v>
      </c>
      <c r="J420" s="314">
        <v>40</v>
      </c>
      <c r="K420" s="29">
        <f t="shared" si="50"/>
        <v>40</v>
      </c>
      <c r="L420" s="314" t="s">
        <v>504</v>
      </c>
      <c r="M420" s="314"/>
      <c r="N420" s="314"/>
      <c r="O420" s="314"/>
      <c r="P420" s="314"/>
      <c r="Q420" s="314"/>
      <c r="R420" s="314"/>
      <c r="S420" s="314"/>
      <c r="T420" s="314"/>
      <c r="U420" s="314"/>
      <c r="V420" s="350"/>
      <c r="W420" s="350"/>
      <c r="X420" s="350"/>
      <c r="Y420" s="350"/>
      <c r="Z420" s="307"/>
      <c r="AA420" s="350">
        <f t="shared" si="51"/>
        <v>0</v>
      </c>
      <c r="AB420" s="307"/>
      <c r="AC420" s="307"/>
      <c r="AD420" s="303"/>
      <c r="AE420" s="303"/>
      <c r="AF420" s="303"/>
      <c r="AG420" s="303"/>
      <c r="AH420" s="314"/>
      <c r="AI420" s="297">
        <f t="shared" si="52"/>
        <v>0</v>
      </c>
      <c r="AJ420" s="303"/>
      <c r="AK420" s="303"/>
      <c r="AL420" s="303"/>
      <c r="AM420" s="303"/>
      <c r="AN420" s="303"/>
      <c r="AO420" s="303"/>
      <c r="AP420" s="303"/>
      <c r="AQ420" s="289">
        <f t="shared" si="53"/>
        <v>0</v>
      </c>
      <c r="AR420" s="303"/>
      <c r="AS420" s="303"/>
      <c r="AT420" s="303" t="s">
        <v>510</v>
      </c>
      <c r="AU420" s="303" t="s">
        <v>510</v>
      </c>
      <c r="AV420" s="303" t="s">
        <v>510</v>
      </c>
      <c r="AW420" s="303" t="s">
        <v>510</v>
      </c>
      <c r="AX420" s="303">
        <v>40</v>
      </c>
      <c r="AY420" s="139">
        <f t="shared" si="54"/>
        <v>40</v>
      </c>
      <c r="AZ420" s="303" t="s">
        <v>504</v>
      </c>
      <c r="BA420" s="304"/>
      <c r="BB420" s="303"/>
      <c r="BC420" s="303"/>
      <c r="BD420" s="303"/>
      <c r="BE420" s="303"/>
      <c r="BF420" s="303"/>
      <c r="BG420" s="353">
        <f t="shared" si="55"/>
        <v>0</v>
      </c>
      <c r="BH420" s="303"/>
      <c r="BI420" s="303"/>
      <c r="BJ420" s="354">
        <f t="shared" si="49"/>
        <v>2</v>
      </c>
      <c r="BK420" s="316" t="str">
        <f t="shared" si="56"/>
        <v>Habilitado</v>
      </c>
    </row>
    <row r="421" spans="1:63" ht="33" customHeight="1" x14ac:dyDescent="0.25">
      <c r="A421" s="324">
        <v>419</v>
      </c>
      <c r="B421" s="345" t="s">
        <v>2553</v>
      </c>
      <c r="C421" s="335" t="s">
        <v>2550</v>
      </c>
      <c r="D421" s="360" t="s">
        <v>140</v>
      </c>
      <c r="E421" s="347">
        <v>1</v>
      </c>
      <c r="F421" s="314" t="s">
        <v>510</v>
      </c>
      <c r="G421" s="314" t="s">
        <v>510</v>
      </c>
      <c r="H421" s="314" t="s">
        <v>510</v>
      </c>
      <c r="I421" s="314" t="s">
        <v>510</v>
      </c>
      <c r="J421" s="314">
        <v>40</v>
      </c>
      <c r="K421" s="29">
        <f t="shared" si="50"/>
        <v>40</v>
      </c>
      <c r="L421" s="314" t="s">
        <v>504</v>
      </c>
      <c r="M421" s="314"/>
      <c r="N421" s="314"/>
      <c r="O421" s="314"/>
      <c r="P421" s="314"/>
      <c r="Q421" s="314"/>
      <c r="R421" s="314"/>
      <c r="S421" s="314"/>
      <c r="T421" s="314"/>
      <c r="U421" s="314"/>
      <c r="V421" s="350"/>
      <c r="W421" s="350"/>
      <c r="X421" s="350"/>
      <c r="Y421" s="350"/>
      <c r="Z421" s="307"/>
      <c r="AA421" s="350">
        <f t="shared" si="51"/>
        <v>0</v>
      </c>
      <c r="AB421" s="307"/>
      <c r="AC421" s="307"/>
      <c r="AD421" s="303"/>
      <c r="AE421" s="303"/>
      <c r="AF421" s="303"/>
      <c r="AG421" s="303"/>
      <c r="AH421" s="314"/>
      <c r="AI421" s="297">
        <f t="shared" si="52"/>
        <v>0</v>
      </c>
      <c r="AJ421" s="303"/>
      <c r="AK421" s="303"/>
      <c r="AL421" s="303"/>
      <c r="AM421" s="303"/>
      <c r="AN421" s="303"/>
      <c r="AO421" s="303"/>
      <c r="AP421" s="303"/>
      <c r="AQ421" s="289">
        <f t="shared" si="53"/>
        <v>0</v>
      </c>
      <c r="AR421" s="303"/>
      <c r="AS421" s="303"/>
      <c r="AT421" s="303" t="s">
        <v>510</v>
      </c>
      <c r="AU421" s="303" t="s">
        <v>510</v>
      </c>
      <c r="AV421" s="303" t="s">
        <v>510</v>
      </c>
      <c r="AW421" s="303" t="s">
        <v>510</v>
      </c>
      <c r="AX421" s="303">
        <v>40</v>
      </c>
      <c r="AY421" s="139">
        <f t="shared" si="54"/>
        <v>40</v>
      </c>
      <c r="AZ421" s="303" t="s">
        <v>504</v>
      </c>
      <c r="BA421" s="304"/>
      <c r="BB421" s="303"/>
      <c r="BC421" s="303"/>
      <c r="BD421" s="303"/>
      <c r="BE421" s="303"/>
      <c r="BF421" s="303"/>
      <c r="BG421" s="353">
        <f t="shared" si="55"/>
        <v>0</v>
      </c>
      <c r="BH421" s="303"/>
      <c r="BI421" s="303"/>
      <c r="BJ421" s="354">
        <f t="shared" si="49"/>
        <v>2</v>
      </c>
      <c r="BK421" s="316" t="str">
        <f t="shared" si="56"/>
        <v>Habilitado</v>
      </c>
    </row>
    <row r="422" spans="1:63" ht="25.5" x14ac:dyDescent="0.25">
      <c r="A422" s="324">
        <v>420</v>
      </c>
      <c r="B422" s="345" t="s">
        <v>2554</v>
      </c>
      <c r="C422" s="335" t="s">
        <v>2555</v>
      </c>
      <c r="D422" s="360" t="s">
        <v>140</v>
      </c>
      <c r="E422" s="347">
        <v>1</v>
      </c>
      <c r="F422" s="314" t="s">
        <v>510</v>
      </c>
      <c r="G422" s="314" t="s">
        <v>510</v>
      </c>
      <c r="H422" s="314" t="s">
        <v>510</v>
      </c>
      <c r="I422" s="314" t="s">
        <v>510</v>
      </c>
      <c r="J422" s="406">
        <v>0</v>
      </c>
      <c r="K422" s="29">
        <f t="shared" si="50"/>
        <v>0</v>
      </c>
      <c r="L422" s="314" t="s">
        <v>504</v>
      </c>
      <c r="M422" s="407"/>
      <c r="N422" s="407"/>
      <c r="O422" s="407"/>
      <c r="P422" s="407"/>
      <c r="Q422" s="407"/>
      <c r="R422" s="407"/>
      <c r="S422" s="407"/>
      <c r="T422" s="407"/>
      <c r="U422" s="407"/>
      <c r="V422" s="350"/>
      <c r="W422" s="350"/>
      <c r="X422" s="350"/>
      <c r="Y422" s="350"/>
      <c r="Z422" s="307"/>
      <c r="AA422" s="350">
        <f t="shared" si="51"/>
        <v>0</v>
      </c>
      <c r="AB422" s="307"/>
      <c r="AC422" s="306"/>
      <c r="AD422" s="303"/>
      <c r="AE422" s="303"/>
      <c r="AF422" s="303"/>
      <c r="AG422" s="303"/>
      <c r="AH422" s="314"/>
      <c r="AI422" s="297">
        <f t="shared" si="52"/>
        <v>0</v>
      </c>
      <c r="AJ422" s="303"/>
      <c r="AK422" s="301"/>
      <c r="AL422" s="303"/>
      <c r="AM422" s="303"/>
      <c r="AN422" s="303"/>
      <c r="AO422" s="303"/>
      <c r="AP422" s="303"/>
      <c r="AQ422" s="289">
        <f t="shared" si="53"/>
        <v>0</v>
      </c>
      <c r="AR422" s="303"/>
      <c r="AS422" s="301"/>
      <c r="AT422" s="329"/>
      <c r="AU422" s="329"/>
      <c r="AV422" s="329"/>
      <c r="AW422" s="329"/>
      <c r="AX422" s="329"/>
      <c r="AY422" s="139">
        <f t="shared" si="54"/>
        <v>0</v>
      </c>
      <c r="AZ422" s="303"/>
      <c r="BA422" s="303"/>
      <c r="BB422" s="303"/>
      <c r="BC422" s="303"/>
      <c r="BD422" s="303"/>
      <c r="BE422" s="303"/>
      <c r="BF422" s="303"/>
      <c r="BG422" s="353">
        <f t="shared" si="55"/>
        <v>0</v>
      </c>
      <c r="BH422" s="303"/>
      <c r="BI422" s="303"/>
      <c r="BJ422" s="354">
        <f t="shared" si="49"/>
        <v>1</v>
      </c>
      <c r="BK422" s="316" t="str">
        <f t="shared" si="56"/>
        <v>Habilitado</v>
      </c>
    </row>
    <row r="423" spans="1:63" ht="38.25" x14ac:dyDescent="0.25">
      <c r="A423" s="324">
        <v>421</v>
      </c>
      <c r="B423" s="345" t="s">
        <v>2556</v>
      </c>
      <c r="C423" s="335" t="s">
        <v>2557</v>
      </c>
      <c r="D423" s="360" t="s">
        <v>1719</v>
      </c>
      <c r="E423" s="347">
        <v>1</v>
      </c>
      <c r="F423" s="314" t="s">
        <v>510</v>
      </c>
      <c r="G423" s="314" t="s">
        <v>510</v>
      </c>
      <c r="H423" s="314" t="s">
        <v>510</v>
      </c>
      <c r="I423" s="314" t="s">
        <v>510</v>
      </c>
      <c r="J423" s="314">
        <v>40</v>
      </c>
      <c r="K423" s="29">
        <f t="shared" si="50"/>
        <v>40</v>
      </c>
      <c r="L423" s="314" t="s">
        <v>504</v>
      </c>
      <c r="M423" s="407"/>
      <c r="N423" s="407"/>
      <c r="O423" s="407"/>
      <c r="P423" s="407"/>
      <c r="Q423" s="407"/>
      <c r="R423" s="407"/>
      <c r="S423" s="407"/>
      <c r="T423" s="407"/>
      <c r="U423" s="407"/>
      <c r="V423" s="350"/>
      <c r="W423" s="350"/>
      <c r="X423" s="350"/>
      <c r="Y423" s="350"/>
      <c r="Z423" s="307"/>
      <c r="AA423" s="350">
        <f t="shared" si="51"/>
        <v>0</v>
      </c>
      <c r="AB423" s="307"/>
      <c r="AC423" s="306"/>
      <c r="AD423" s="303"/>
      <c r="AE423" s="303"/>
      <c r="AF423" s="303"/>
      <c r="AG423" s="303"/>
      <c r="AH423" s="314"/>
      <c r="AI423" s="297">
        <f t="shared" si="52"/>
        <v>0</v>
      </c>
      <c r="AJ423" s="303"/>
      <c r="AK423" s="392"/>
      <c r="AL423" s="303"/>
      <c r="AM423" s="303"/>
      <c r="AN423" s="303"/>
      <c r="AO423" s="303"/>
      <c r="AP423" s="303"/>
      <c r="AQ423" s="289">
        <f t="shared" si="53"/>
        <v>0</v>
      </c>
      <c r="AR423" s="303"/>
      <c r="AS423" s="303"/>
      <c r="AT423" s="329"/>
      <c r="AU423" s="329"/>
      <c r="AV423" s="329"/>
      <c r="AW423" s="329"/>
      <c r="AX423" s="329"/>
      <c r="AY423" s="139">
        <f t="shared" si="54"/>
        <v>0</v>
      </c>
      <c r="AZ423" s="303"/>
      <c r="BA423" s="303"/>
      <c r="BB423" s="303"/>
      <c r="BC423" s="303"/>
      <c r="BD423" s="303"/>
      <c r="BE423" s="303"/>
      <c r="BF423" s="303"/>
      <c r="BG423" s="353">
        <f t="shared" si="55"/>
        <v>0</v>
      </c>
      <c r="BH423" s="303"/>
      <c r="BI423" s="303"/>
      <c r="BJ423" s="354">
        <f t="shared" si="49"/>
        <v>1</v>
      </c>
      <c r="BK423" s="316" t="str">
        <f t="shared" si="56"/>
        <v>Habilitado</v>
      </c>
    </row>
    <row r="424" spans="1:63" x14ac:dyDescent="0.25">
      <c r="A424" s="324">
        <v>422</v>
      </c>
      <c r="B424" s="345" t="s">
        <v>2558</v>
      </c>
      <c r="C424" s="335" t="s">
        <v>2559</v>
      </c>
      <c r="D424" s="360" t="s">
        <v>1719</v>
      </c>
      <c r="E424" s="347">
        <v>1</v>
      </c>
      <c r="F424" s="314"/>
      <c r="G424" s="314"/>
      <c r="H424" s="314"/>
      <c r="I424" s="314"/>
      <c r="J424" s="314"/>
      <c r="K424" s="29">
        <f t="shared" si="50"/>
        <v>0</v>
      </c>
      <c r="L424" s="314"/>
      <c r="M424" s="314"/>
      <c r="N424" s="314"/>
      <c r="O424" s="314"/>
      <c r="P424" s="314"/>
      <c r="Q424" s="314"/>
      <c r="R424" s="314"/>
      <c r="S424" s="314"/>
      <c r="T424" s="314"/>
      <c r="U424" s="314"/>
      <c r="V424" s="350"/>
      <c r="W424" s="350"/>
      <c r="X424" s="350"/>
      <c r="Y424" s="350"/>
      <c r="Z424" s="307"/>
      <c r="AA424" s="350">
        <f t="shared" si="51"/>
        <v>0</v>
      </c>
      <c r="AB424" s="307"/>
      <c r="AC424" s="307"/>
      <c r="AD424" s="303"/>
      <c r="AE424" s="303"/>
      <c r="AF424" s="303"/>
      <c r="AG424" s="303"/>
      <c r="AH424" s="314"/>
      <c r="AI424" s="297">
        <f t="shared" si="52"/>
        <v>0</v>
      </c>
      <c r="AJ424" s="303"/>
      <c r="AK424" s="392"/>
      <c r="AL424" s="303"/>
      <c r="AM424" s="303"/>
      <c r="AN424" s="303"/>
      <c r="AO424" s="303"/>
      <c r="AP424" s="303"/>
      <c r="AQ424" s="289">
        <f t="shared" si="53"/>
        <v>0</v>
      </c>
      <c r="AR424" s="303"/>
      <c r="AS424" s="303"/>
      <c r="AT424" s="329"/>
      <c r="AU424" s="329"/>
      <c r="AV424" s="329"/>
      <c r="AW424" s="329"/>
      <c r="AX424" s="329"/>
      <c r="AY424" s="139">
        <f t="shared" si="54"/>
        <v>0</v>
      </c>
      <c r="AZ424" s="303"/>
      <c r="BA424" s="303"/>
      <c r="BB424" s="303"/>
      <c r="BC424" s="303"/>
      <c r="BD424" s="303"/>
      <c r="BE424" s="303"/>
      <c r="BF424" s="303"/>
      <c r="BG424" s="353">
        <f t="shared" si="55"/>
        <v>0</v>
      </c>
      <c r="BH424" s="303"/>
      <c r="BI424" s="303"/>
      <c r="BJ424" s="354">
        <f t="shared" si="49"/>
        <v>0</v>
      </c>
      <c r="BK424" s="316" t="str">
        <f t="shared" si="56"/>
        <v>Desierto</v>
      </c>
    </row>
    <row r="425" spans="1:63" x14ac:dyDescent="0.25">
      <c r="A425" s="324">
        <v>423</v>
      </c>
      <c r="B425" s="345" t="s">
        <v>2560</v>
      </c>
      <c r="C425" s="335" t="s">
        <v>2561</v>
      </c>
      <c r="D425" s="360" t="s">
        <v>2562</v>
      </c>
      <c r="E425" s="347">
        <v>1</v>
      </c>
      <c r="F425" s="314" t="s">
        <v>510</v>
      </c>
      <c r="G425" s="314" t="s">
        <v>510</v>
      </c>
      <c r="H425" s="314" t="s">
        <v>510</v>
      </c>
      <c r="I425" s="314" t="s">
        <v>510</v>
      </c>
      <c r="J425" s="314">
        <v>40</v>
      </c>
      <c r="K425" s="29">
        <f t="shared" si="50"/>
        <v>40</v>
      </c>
      <c r="L425" s="314" t="s">
        <v>504</v>
      </c>
      <c r="M425" s="314"/>
      <c r="N425" s="314"/>
      <c r="O425" s="314"/>
      <c r="P425" s="314"/>
      <c r="Q425" s="314"/>
      <c r="R425" s="314"/>
      <c r="S425" s="314"/>
      <c r="T425" s="314"/>
      <c r="U425" s="314"/>
      <c r="V425" s="350"/>
      <c r="W425" s="350"/>
      <c r="X425" s="350"/>
      <c r="Y425" s="350"/>
      <c r="Z425" s="307"/>
      <c r="AA425" s="350">
        <f t="shared" si="51"/>
        <v>0</v>
      </c>
      <c r="AB425" s="307"/>
      <c r="AC425" s="307"/>
      <c r="AD425" s="303"/>
      <c r="AE425" s="303"/>
      <c r="AF425" s="303"/>
      <c r="AG425" s="303"/>
      <c r="AH425" s="314"/>
      <c r="AI425" s="297">
        <f t="shared" si="52"/>
        <v>0</v>
      </c>
      <c r="AJ425" s="303"/>
      <c r="AK425" s="392"/>
      <c r="AL425" s="303"/>
      <c r="AM425" s="303"/>
      <c r="AN425" s="303"/>
      <c r="AO425" s="303"/>
      <c r="AP425" s="303"/>
      <c r="AQ425" s="289">
        <f t="shared" si="53"/>
        <v>0</v>
      </c>
      <c r="AR425" s="303"/>
      <c r="AS425" s="303"/>
      <c r="AT425" s="329"/>
      <c r="AU425" s="329"/>
      <c r="AV425" s="329"/>
      <c r="AW425" s="329"/>
      <c r="AX425" s="329"/>
      <c r="AY425" s="139">
        <f t="shared" si="54"/>
        <v>0</v>
      </c>
      <c r="AZ425" s="303"/>
      <c r="BA425" s="303"/>
      <c r="BB425" s="303"/>
      <c r="BC425" s="303"/>
      <c r="BD425" s="303"/>
      <c r="BE425" s="303"/>
      <c r="BF425" s="303"/>
      <c r="BG425" s="353">
        <f t="shared" si="55"/>
        <v>0</v>
      </c>
      <c r="BH425" s="303"/>
      <c r="BI425" s="303"/>
      <c r="BJ425" s="354">
        <f t="shared" si="49"/>
        <v>1</v>
      </c>
      <c r="BK425" s="316" t="str">
        <f t="shared" si="56"/>
        <v>Habilitado</v>
      </c>
    </row>
    <row r="426" spans="1:63" x14ac:dyDescent="0.25">
      <c r="A426" s="324">
        <v>424</v>
      </c>
      <c r="B426" s="345" t="s">
        <v>2563</v>
      </c>
      <c r="C426" s="335" t="s">
        <v>2564</v>
      </c>
      <c r="D426" s="360" t="s">
        <v>1726</v>
      </c>
      <c r="E426" s="347">
        <v>1</v>
      </c>
      <c r="F426" s="314" t="s">
        <v>510</v>
      </c>
      <c r="G426" s="314" t="s">
        <v>510</v>
      </c>
      <c r="H426" s="314" t="s">
        <v>510</v>
      </c>
      <c r="I426" s="314" t="s">
        <v>510</v>
      </c>
      <c r="J426" s="314">
        <v>40</v>
      </c>
      <c r="K426" s="29">
        <f t="shared" si="50"/>
        <v>40</v>
      </c>
      <c r="L426" s="314" t="s">
        <v>504</v>
      </c>
      <c r="M426" s="407"/>
      <c r="N426" s="407"/>
      <c r="O426" s="407"/>
      <c r="P426" s="407"/>
      <c r="Q426" s="407"/>
      <c r="R426" s="407"/>
      <c r="S426" s="407"/>
      <c r="T426" s="407"/>
      <c r="U426" s="407"/>
      <c r="V426" s="350"/>
      <c r="W426" s="350"/>
      <c r="X426" s="350"/>
      <c r="Y426" s="350"/>
      <c r="Z426" s="307"/>
      <c r="AA426" s="350">
        <f t="shared" si="51"/>
        <v>0</v>
      </c>
      <c r="AB426" s="307"/>
      <c r="AC426" s="306"/>
      <c r="AD426" s="303"/>
      <c r="AE426" s="303"/>
      <c r="AF426" s="303"/>
      <c r="AG426" s="303"/>
      <c r="AH426" s="314"/>
      <c r="AI426" s="297">
        <f t="shared" si="52"/>
        <v>0</v>
      </c>
      <c r="AJ426" s="303"/>
      <c r="AK426" s="301"/>
      <c r="AL426" s="303"/>
      <c r="AM426" s="303"/>
      <c r="AN426" s="303"/>
      <c r="AO426" s="303"/>
      <c r="AP426" s="303"/>
      <c r="AQ426" s="289">
        <f t="shared" si="53"/>
        <v>0</v>
      </c>
      <c r="AR426" s="303"/>
      <c r="AS426" s="301"/>
      <c r="AT426" s="329"/>
      <c r="AU426" s="329"/>
      <c r="AV426" s="329"/>
      <c r="AW426" s="329"/>
      <c r="AX426" s="329"/>
      <c r="AY426" s="139">
        <f t="shared" si="54"/>
        <v>0</v>
      </c>
      <c r="AZ426" s="303"/>
      <c r="BA426" s="303"/>
      <c r="BB426" s="303"/>
      <c r="BC426" s="303"/>
      <c r="BD426" s="303"/>
      <c r="BE426" s="303"/>
      <c r="BF426" s="303"/>
      <c r="BG426" s="353">
        <f t="shared" si="55"/>
        <v>0</v>
      </c>
      <c r="BH426" s="303"/>
      <c r="BI426" s="303"/>
      <c r="BJ426" s="354">
        <f t="shared" si="49"/>
        <v>1</v>
      </c>
      <c r="BK426" s="316" t="str">
        <f t="shared" si="56"/>
        <v>Habilitado</v>
      </c>
    </row>
    <row r="427" spans="1:63" ht="25.5" x14ac:dyDescent="0.25">
      <c r="A427" s="324">
        <v>425</v>
      </c>
      <c r="B427" s="345" t="s">
        <v>2565</v>
      </c>
      <c r="C427" s="335" t="s">
        <v>2566</v>
      </c>
      <c r="D427" s="360" t="s">
        <v>1061</v>
      </c>
      <c r="E427" s="347">
        <v>1</v>
      </c>
      <c r="F427" s="314" t="s">
        <v>519</v>
      </c>
      <c r="G427" s="314" t="s">
        <v>519</v>
      </c>
      <c r="H427" s="314" t="s">
        <v>510</v>
      </c>
      <c r="I427" s="314" t="s">
        <v>510</v>
      </c>
      <c r="J427" s="406">
        <v>0</v>
      </c>
      <c r="K427" s="29">
        <f t="shared" si="50"/>
        <v>0</v>
      </c>
      <c r="L427" s="314" t="s">
        <v>520</v>
      </c>
      <c r="M427" s="407" t="s">
        <v>1455</v>
      </c>
      <c r="N427" s="407"/>
      <c r="O427" s="407"/>
      <c r="P427" s="407"/>
      <c r="Q427" s="407"/>
      <c r="R427" s="407"/>
      <c r="S427" s="407"/>
      <c r="T427" s="407"/>
      <c r="U427" s="407"/>
      <c r="V427" s="350"/>
      <c r="W427" s="350"/>
      <c r="X427" s="350"/>
      <c r="Y427" s="350"/>
      <c r="Z427" s="307"/>
      <c r="AA427" s="350">
        <f t="shared" si="51"/>
        <v>0</v>
      </c>
      <c r="AB427" s="307"/>
      <c r="AC427" s="356"/>
      <c r="AD427" s="303"/>
      <c r="AE427" s="303"/>
      <c r="AF427" s="303"/>
      <c r="AG427" s="303"/>
      <c r="AH427" s="314"/>
      <c r="AI427" s="297">
        <f t="shared" si="52"/>
        <v>0</v>
      </c>
      <c r="AJ427" s="303"/>
      <c r="AK427" s="392"/>
      <c r="AL427" s="303" t="s">
        <v>510</v>
      </c>
      <c r="AM427" s="303" t="s">
        <v>510</v>
      </c>
      <c r="AN427" s="303" t="s">
        <v>510</v>
      </c>
      <c r="AO427" s="303" t="s">
        <v>510</v>
      </c>
      <c r="AP427" s="303">
        <v>40</v>
      </c>
      <c r="AQ427" s="289">
        <f t="shared" si="53"/>
        <v>40</v>
      </c>
      <c r="AR427" s="303" t="s">
        <v>504</v>
      </c>
      <c r="AS427" s="381"/>
      <c r="AT427" s="329"/>
      <c r="AU427" s="329"/>
      <c r="AV427" s="329"/>
      <c r="AW427" s="329"/>
      <c r="AX427" s="329"/>
      <c r="AY427" s="139">
        <f t="shared" si="54"/>
        <v>0</v>
      </c>
      <c r="AZ427" s="303"/>
      <c r="BA427" s="303"/>
      <c r="BB427" s="303"/>
      <c r="BC427" s="303"/>
      <c r="BD427" s="303"/>
      <c r="BE427" s="303"/>
      <c r="BF427" s="303"/>
      <c r="BG427" s="353">
        <f t="shared" si="55"/>
        <v>0</v>
      </c>
      <c r="BH427" s="303"/>
      <c r="BI427" s="303"/>
      <c r="BJ427" s="354">
        <f t="shared" si="49"/>
        <v>1</v>
      </c>
      <c r="BK427" s="316" t="str">
        <f t="shared" si="56"/>
        <v>Habilitado</v>
      </c>
    </row>
    <row r="428" spans="1:63" x14ac:dyDescent="0.25">
      <c r="A428" s="324">
        <v>426</v>
      </c>
      <c r="B428" s="345" t="s">
        <v>2567</v>
      </c>
      <c r="C428" s="335" t="s">
        <v>2568</v>
      </c>
      <c r="D428" s="357" t="s">
        <v>1732</v>
      </c>
      <c r="E428" s="347">
        <v>1</v>
      </c>
      <c r="F428" s="314"/>
      <c r="G428" s="314"/>
      <c r="H428" s="314"/>
      <c r="I428" s="314"/>
      <c r="J428" s="314"/>
      <c r="K428" s="29">
        <f t="shared" si="50"/>
        <v>0</v>
      </c>
      <c r="L428" s="314"/>
      <c r="M428" s="407"/>
      <c r="N428" s="407"/>
      <c r="O428" s="407"/>
      <c r="P428" s="407"/>
      <c r="Q428" s="407"/>
      <c r="R428" s="407"/>
      <c r="S428" s="407"/>
      <c r="T428" s="407"/>
      <c r="U428" s="407"/>
      <c r="V428" s="350"/>
      <c r="W428" s="350"/>
      <c r="X428" s="350"/>
      <c r="Y428" s="350"/>
      <c r="Z428" s="307"/>
      <c r="AA428" s="350">
        <f t="shared" si="51"/>
        <v>0</v>
      </c>
      <c r="AB428" s="307"/>
      <c r="AC428" s="306"/>
      <c r="AD428" s="303"/>
      <c r="AE428" s="303"/>
      <c r="AF428" s="303"/>
      <c r="AG428" s="303"/>
      <c r="AH428" s="314"/>
      <c r="AI428" s="297">
        <f t="shared" si="52"/>
        <v>0</v>
      </c>
      <c r="AJ428" s="303"/>
      <c r="AK428" s="392"/>
      <c r="AL428" s="303"/>
      <c r="AM428" s="303"/>
      <c r="AN428" s="303"/>
      <c r="AO428" s="303"/>
      <c r="AP428" s="303"/>
      <c r="AQ428" s="289">
        <f t="shared" si="53"/>
        <v>0</v>
      </c>
      <c r="AR428" s="303"/>
      <c r="AS428" s="303"/>
      <c r="AT428" s="329"/>
      <c r="AU428" s="329"/>
      <c r="AV428" s="329"/>
      <c r="AW428" s="329"/>
      <c r="AX428" s="329"/>
      <c r="AY428" s="139">
        <f t="shared" si="54"/>
        <v>0</v>
      </c>
      <c r="AZ428" s="303"/>
      <c r="BA428" s="303"/>
      <c r="BB428" s="303"/>
      <c r="BC428" s="303"/>
      <c r="BD428" s="303"/>
      <c r="BE428" s="303"/>
      <c r="BF428" s="303"/>
      <c r="BG428" s="353">
        <f t="shared" si="55"/>
        <v>0</v>
      </c>
      <c r="BH428" s="303"/>
      <c r="BI428" s="303"/>
      <c r="BJ428" s="354">
        <f t="shared" si="49"/>
        <v>0</v>
      </c>
      <c r="BK428" s="316" t="str">
        <f t="shared" si="56"/>
        <v>Desierto</v>
      </c>
    </row>
    <row r="429" spans="1:63" ht="25.5" x14ac:dyDescent="0.25">
      <c r="A429" s="324">
        <v>427</v>
      </c>
      <c r="B429" s="345" t="s">
        <v>2569</v>
      </c>
      <c r="C429" s="335" t="s">
        <v>2570</v>
      </c>
      <c r="D429" s="360" t="s">
        <v>1731</v>
      </c>
      <c r="E429" s="347">
        <v>1</v>
      </c>
      <c r="F429" s="314" t="s">
        <v>519</v>
      </c>
      <c r="G429" s="314" t="s">
        <v>519</v>
      </c>
      <c r="H429" s="314" t="s">
        <v>510</v>
      </c>
      <c r="I429" s="314" t="s">
        <v>510</v>
      </c>
      <c r="J429" s="406">
        <v>0</v>
      </c>
      <c r="K429" s="29">
        <f t="shared" si="50"/>
        <v>0</v>
      </c>
      <c r="L429" s="314" t="s">
        <v>520</v>
      </c>
      <c r="M429" s="407" t="s">
        <v>2571</v>
      </c>
      <c r="N429" s="407"/>
      <c r="O429" s="407"/>
      <c r="P429" s="407"/>
      <c r="Q429" s="407"/>
      <c r="R429" s="407"/>
      <c r="S429" s="407"/>
      <c r="T429" s="407"/>
      <c r="U429" s="407"/>
      <c r="V429" s="350"/>
      <c r="W429" s="350"/>
      <c r="X429" s="350"/>
      <c r="Y429" s="350"/>
      <c r="Z429" s="307"/>
      <c r="AA429" s="350">
        <f t="shared" si="51"/>
        <v>0</v>
      </c>
      <c r="AB429" s="307"/>
      <c r="AC429" s="303"/>
      <c r="AD429" s="303"/>
      <c r="AE429" s="303"/>
      <c r="AF429" s="303"/>
      <c r="AG429" s="303"/>
      <c r="AH429" s="314"/>
      <c r="AI429" s="297">
        <f t="shared" si="52"/>
        <v>0</v>
      </c>
      <c r="AJ429" s="303"/>
      <c r="AK429" s="301"/>
      <c r="AL429" s="303" t="s">
        <v>510</v>
      </c>
      <c r="AM429" s="303" t="s">
        <v>510</v>
      </c>
      <c r="AN429" s="303" t="s">
        <v>510</v>
      </c>
      <c r="AO429" s="303" t="s">
        <v>510</v>
      </c>
      <c r="AP429" s="303">
        <v>40</v>
      </c>
      <c r="AQ429" s="289">
        <f t="shared" si="53"/>
        <v>40</v>
      </c>
      <c r="AR429" s="303" t="s">
        <v>504</v>
      </c>
      <c r="AS429" s="396"/>
      <c r="AT429" s="329"/>
      <c r="AU429" s="329"/>
      <c r="AV429" s="329"/>
      <c r="AW429" s="329"/>
      <c r="AX429" s="329"/>
      <c r="AY429" s="139">
        <f t="shared" si="54"/>
        <v>0</v>
      </c>
      <c r="AZ429" s="303"/>
      <c r="BA429" s="301"/>
      <c r="BB429" s="303"/>
      <c r="BC429" s="303"/>
      <c r="BD429" s="303"/>
      <c r="BE429" s="303"/>
      <c r="BF429" s="303"/>
      <c r="BG429" s="353">
        <f t="shared" si="55"/>
        <v>0</v>
      </c>
      <c r="BH429" s="303"/>
      <c r="BI429" s="303"/>
      <c r="BJ429" s="354">
        <f t="shared" si="49"/>
        <v>1</v>
      </c>
      <c r="BK429" s="316" t="str">
        <f t="shared" si="56"/>
        <v>Habilitado</v>
      </c>
    </row>
    <row r="430" spans="1:63" ht="51" x14ac:dyDescent="0.25">
      <c r="A430" s="324">
        <v>428</v>
      </c>
      <c r="B430" s="345" t="s">
        <v>2572</v>
      </c>
      <c r="C430" s="335" t="s">
        <v>2573</v>
      </c>
      <c r="D430" s="357" t="s">
        <v>1732</v>
      </c>
      <c r="E430" s="347">
        <v>1</v>
      </c>
      <c r="F430" s="314" t="s">
        <v>510</v>
      </c>
      <c r="G430" s="314" t="s">
        <v>510</v>
      </c>
      <c r="H430" s="314" t="s">
        <v>510</v>
      </c>
      <c r="I430" s="314" t="s">
        <v>510</v>
      </c>
      <c r="J430" s="314">
        <v>40</v>
      </c>
      <c r="K430" s="29">
        <f t="shared" si="50"/>
        <v>40</v>
      </c>
      <c r="L430" s="314" t="s">
        <v>504</v>
      </c>
      <c r="M430" s="314"/>
      <c r="N430" s="314"/>
      <c r="O430" s="314"/>
      <c r="P430" s="314"/>
      <c r="Q430" s="314"/>
      <c r="R430" s="314"/>
      <c r="S430" s="314"/>
      <c r="T430" s="314"/>
      <c r="U430" s="314"/>
      <c r="V430" s="350"/>
      <c r="W430" s="350"/>
      <c r="X430" s="350"/>
      <c r="Y430" s="350"/>
      <c r="Z430" s="307"/>
      <c r="AA430" s="350">
        <f t="shared" si="51"/>
        <v>0</v>
      </c>
      <c r="AB430" s="307"/>
      <c r="AC430" s="307"/>
      <c r="AD430" s="303"/>
      <c r="AE430" s="303"/>
      <c r="AF430" s="303"/>
      <c r="AG430" s="303"/>
      <c r="AH430" s="314"/>
      <c r="AI430" s="297">
        <f t="shared" si="52"/>
        <v>0</v>
      </c>
      <c r="AJ430" s="303"/>
      <c r="AK430" s="392"/>
      <c r="AL430" s="303"/>
      <c r="AM430" s="303"/>
      <c r="AN430" s="303"/>
      <c r="AO430" s="303"/>
      <c r="AP430" s="303"/>
      <c r="AQ430" s="289">
        <f t="shared" si="53"/>
        <v>0</v>
      </c>
      <c r="AR430" s="303"/>
      <c r="AS430" s="301"/>
      <c r="AT430" s="329"/>
      <c r="AU430" s="329"/>
      <c r="AV430" s="329"/>
      <c r="AW430" s="329"/>
      <c r="AX430" s="329"/>
      <c r="AY430" s="139">
        <f t="shared" si="54"/>
        <v>0</v>
      </c>
      <c r="AZ430" s="303"/>
      <c r="BA430" s="301"/>
      <c r="BB430" s="303"/>
      <c r="BC430" s="303"/>
      <c r="BD430" s="303"/>
      <c r="BE430" s="303"/>
      <c r="BF430" s="303"/>
      <c r="BG430" s="353">
        <f t="shared" si="55"/>
        <v>0</v>
      </c>
      <c r="BH430" s="303"/>
      <c r="BI430" s="303"/>
      <c r="BJ430" s="354">
        <f t="shared" si="49"/>
        <v>1</v>
      </c>
      <c r="BK430" s="316" t="str">
        <f t="shared" si="56"/>
        <v>Habilitado</v>
      </c>
    </row>
    <row r="431" spans="1:63" ht="51" x14ac:dyDescent="0.25">
      <c r="A431" s="324">
        <v>429</v>
      </c>
      <c r="B431" s="345" t="s">
        <v>2574</v>
      </c>
      <c r="C431" s="335" t="s">
        <v>2575</v>
      </c>
      <c r="D431" s="360" t="s">
        <v>1719</v>
      </c>
      <c r="E431" s="347">
        <v>1</v>
      </c>
      <c r="F431" s="314"/>
      <c r="G431" s="314"/>
      <c r="H431" s="314"/>
      <c r="I431" s="314"/>
      <c r="J431" s="314"/>
      <c r="K431" s="29">
        <f t="shared" si="50"/>
        <v>0</v>
      </c>
      <c r="L431" s="314"/>
      <c r="M431" s="314"/>
      <c r="N431" s="314"/>
      <c r="O431" s="314"/>
      <c r="P431" s="314"/>
      <c r="Q431" s="314"/>
      <c r="R431" s="314"/>
      <c r="S431" s="314"/>
      <c r="T431" s="314"/>
      <c r="U431" s="314"/>
      <c r="V431" s="350"/>
      <c r="W431" s="350"/>
      <c r="X431" s="350"/>
      <c r="Y431" s="350"/>
      <c r="Z431" s="307"/>
      <c r="AA431" s="350">
        <f t="shared" si="51"/>
        <v>0</v>
      </c>
      <c r="AB431" s="307"/>
      <c r="AC431" s="307"/>
      <c r="AD431" s="303"/>
      <c r="AE431" s="303"/>
      <c r="AF431" s="303"/>
      <c r="AG431" s="303"/>
      <c r="AH431" s="314"/>
      <c r="AI431" s="297">
        <f t="shared" si="52"/>
        <v>0</v>
      </c>
      <c r="AJ431" s="303"/>
      <c r="AK431" s="392"/>
      <c r="AL431" s="303"/>
      <c r="AM431" s="303"/>
      <c r="AN431" s="303"/>
      <c r="AO431" s="303"/>
      <c r="AP431" s="303"/>
      <c r="AQ431" s="289">
        <f t="shared" si="53"/>
        <v>0</v>
      </c>
      <c r="AR431" s="303"/>
      <c r="AS431" s="301"/>
      <c r="AT431" s="329"/>
      <c r="AU431" s="329"/>
      <c r="AV431" s="329"/>
      <c r="AW431" s="329"/>
      <c r="AX431" s="329"/>
      <c r="AY431" s="139">
        <f t="shared" si="54"/>
        <v>0</v>
      </c>
      <c r="AZ431" s="303"/>
      <c r="BA431" s="301"/>
      <c r="BB431" s="303"/>
      <c r="BC431" s="303"/>
      <c r="BD431" s="303"/>
      <c r="BE431" s="303"/>
      <c r="BF431" s="303"/>
      <c r="BG431" s="353">
        <f t="shared" si="55"/>
        <v>0</v>
      </c>
      <c r="BH431" s="303"/>
      <c r="BI431" s="303"/>
      <c r="BJ431" s="354">
        <f t="shared" si="49"/>
        <v>0</v>
      </c>
      <c r="BK431" s="316" t="str">
        <f t="shared" si="56"/>
        <v>Desierto</v>
      </c>
    </row>
    <row r="432" spans="1:63" ht="25.5" x14ac:dyDescent="0.25">
      <c r="A432" s="324">
        <v>430</v>
      </c>
      <c r="B432" s="345" t="s">
        <v>2576</v>
      </c>
      <c r="C432" s="335" t="s">
        <v>2577</v>
      </c>
      <c r="D432" s="360" t="s">
        <v>2578</v>
      </c>
      <c r="E432" s="347">
        <v>1</v>
      </c>
      <c r="F432" s="314" t="s">
        <v>519</v>
      </c>
      <c r="G432" s="314" t="s">
        <v>519</v>
      </c>
      <c r="H432" s="314" t="s">
        <v>519</v>
      </c>
      <c r="I432" s="314" t="s">
        <v>510</v>
      </c>
      <c r="J432" s="406">
        <v>0</v>
      </c>
      <c r="K432" s="29">
        <f t="shared" si="50"/>
        <v>0</v>
      </c>
      <c r="L432" s="314" t="s">
        <v>520</v>
      </c>
      <c r="M432" s="407" t="s">
        <v>1455</v>
      </c>
      <c r="N432" s="407"/>
      <c r="O432" s="407"/>
      <c r="P432" s="407"/>
      <c r="Q432" s="407"/>
      <c r="R432" s="407"/>
      <c r="S432" s="407"/>
      <c r="T432" s="407"/>
      <c r="U432" s="407"/>
      <c r="V432" s="350"/>
      <c r="W432" s="350"/>
      <c r="X432" s="350"/>
      <c r="Y432" s="350"/>
      <c r="Z432" s="307"/>
      <c r="AA432" s="350">
        <f t="shared" si="51"/>
        <v>0</v>
      </c>
      <c r="AB432" s="307"/>
      <c r="AC432" s="306"/>
      <c r="AD432" s="303"/>
      <c r="AE432" s="303"/>
      <c r="AF432" s="303"/>
      <c r="AG432" s="303"/>
      <c r="AH432" s="314"/>
      <c r="AI432" s="297">
        <f t="shared" si="52"/>
        <v>0</v>
      </c>
      <c r="AJ432" s="303"/>
      <c r="AK432" s="392"/>
      <c r="AL432" s="303" t="s">
        <v>510</v>
      </c>
      <c r="AM432" s="303" t="s">
        <v>510</v>
      </c>
      <c r="AN432" s="303" t="s">
        <v>510</v>
      </c>
      <c r="AO432" s="303" t="s">
        <v>510</v>
      </c>
      <c r="AP432" s="303">
        <v>40</v>
      </c>
      <c r="AQ432" s="289">
        <f t="shared" si="53"/>
        <v>40</v>
      </c>
      <c r="AR432" s="303" t="s">
        <v>504</v>
      </c>
      <c r="AS432" s="396"/>
      <c r="AT432" s="329"/>
      <c r="AU432" s="329"/>
      <c r="AV432" s="329"/>
      <c r="AW432" s="329"/>
      <c r="AX432" s="329"/>
      <c r="AY432" s="139">
        <f t="shared" si="54"/>
        <v>0</v>
      </c>
      <c r="AZ432" s="303"/>
      <c r="BA432" s="301"/>
      <c r="BB432" s="303"/>
      <c r="BC432" s="303"/>
      <c r="BD432" s="303"/>
      <c r="BE432" s="303"/>
      <c r="BF432" s="303"/>
      <c r="BG432" s="353">
        <f t="shared" si="55"/>
        <v>0</v>
      </c>
      <c r="BH432" s="303"/>
      <c r="BI432" s="303"/>
      <c r="BJ432" s="354">
        <f t="shared" si="49"/>
        <v>1</v>
      </c>
      <c r="BK432" s="316" t="str">
        <f t="shared" si="56"/>
        <v>Habilitado</v>
      </c>
    </row>
    <row r="433" spans="1:63" ht="25.5" x14ac:dyDescent="0.25">
      <c r="A433" s="324">
        <v>431</v>
      </c>
      <c r="B433" s="345" t="s">
        <v>2579</v>
      </c>
      <c r="C433" s="335" t="s">
        <v>2580</v>
      </c>
      <c r="D433" s="357" t="s">
        <v>1719</v>
      </c>
      <c r="E433" s="347">
        <v>1</v>
      </c>
      <c r="F433" s="314" t="s">
        <v>510</v>
      </c>
      <c r="G433" s="314" t="s">
        <v>510</v>
      </c>
      <c r="H433" s="314" t="s">
        <v>510</v>
      </c>
      <c r="I433" s="314" t="s">
        <v>510</v>
      </c>
      <c r="J433" s="314">
        <v>40</v>
      </c>
      <c r="K433" s="29">
        <f t="shared" si="50"/>
        <v>40</v>
      </c>
      <c r="L433" s="314" t="s">
        <v>504</v>
      </c>
      <c r="M433" s="314"/>
      <c r="N433" s="314"/>
      <c r="O433" s="314"/>
      <c r="P433" s="314"/>
      <c r="Q433" s="314"/>
      <c r="R433" s="314"/>
      <c r="S433" s="314"/>
      <c r="T433" s="314"/>
      <c r="U433" s="314"/>
      <c r="V433" s="350"/>
      <c r="W433" s="350"/>
      <c r="X433" s="350"/>
      <c r="Y433" s="350"/>
      <c r="Z433" s="307"/>
      <c r="AA433" s="350">
        <f t="shared" si="51"/>
        <v>0</v>
      </c>
      <c r="AB433" s="307"/>
      <c r="AC433" s="307"/>
      <c r="AD433" s="303"/>
      <c r="AE433" s="303"/>
      <c r="AF433" s="303"/>
      <c r="AG433" s="303"/>
      <c r="AH433" s="314"/>
      <c r="AI433" s="297">
        <f t="shared" si="52"/>
        <v>0</v>
      </c>
      <c r="AJ433" s="303"/>
      <c r="AK433" s="392"/>
      <c r="AL433" s="303"/>
      <c r="AM433" s="303"/>
      <c r="AN433" s="303"/>
      <c r="AO433" s="303"/>
      <c r="AP433" s="303"/>
      <c r="AQ433" s="289">
        <f t="shared" si="53"/>
        <v>0</v>
      </c>
      <c r="AR433" s="303"/>
      <c r="AS433" s="301"/>
      <c r="AT433" s="303" t="s">
        <v>510</v>
      </c>
      <c r="AU433" s="303" t="s">
        <v>510</v>
      </c>
      <c r="AV433" s="303" t="s">
        <v>510</v>
      </c>
      <c r="AW433" s="303" t="s">
        <v>510</v>
      </c>
      <c r="AX433" s="303">
        <v>40</v>
      </c>
      <c r="AY433" s="139">
        <f t="shared" si="54"/>
        <v>40</v>
      </c>
      <c r="AZ433" s="303" t="s">
        <v>504</v>
      </c>
      <c r="BA433" s="304"/>
      <c r="BB433" s="303"/>
      <c r="BC433" s="303"/>
      <c r="BD433" s="303"/>
      <c r="BE433" s="303"/>
      <c r="BF433" s="303"/>
      <c r="BG433" s="353">
        <f t="shared" si="55"/>
        <v>0</v>
      </c>
      <c r="BH433" s="303"/>
      <c r="BI433" s="304"/>
      <c r="BJ433" s="354">
        <f t="shared" si="49"/>
        <v>2</v>
      </c>
      <c r="BK433" s="316" t="str">
        <f t="shared" si="56"/>
        <v>Habilitado</v>
      </c>
    </row>
    <row r="434" spans="1:63" ht="38.25" x14ac:dyDescent="0.25">
      <c r="A434" s="324">
        <v>432</v>
      </c>
      <c r="B434" s="345" t="s">
        <v>2581</v>
      </c>
      <c r="C434" s="335" t="s">
        <v>2575</v>
      </c>
      <c r="D434" s="357" t="s">
        <v>1719</v>
      </c>
      <c r="E434" s="347">
        <v>1</v>
      </c>
      <c r="F434" s="314" t="s">
        <v>510</v>
      </c>
      <c r="G434" s="314" t="s">
        <v>510</v>
      </c>
      <c r="H434" s="314" t="s">
        <v>510</v>
      </c>
      <c r="I434" s="314" t="s">
        <v>510</v>
      </c>
      <c r="J434" s="314">
        <v>40</v>
      </c>
      <c r="K434" s="29">
        <f t="shared" si="50"/>
        <v>40</v>
      </c>
      <c r="L434" s="314" t="s">
        <v>504</v>
      </c>
      <c r="M434" s="314"/>
      <c r="N434" s="314"/>
      <c r="O434" s="314"/>
      <c r="P434" s="314"/>
      <c r="Q434" s="314"/>
      <c r="R434" s="314"/>
      <c r="S434" s="314"/>
      <c r="T434" s="314"/>
      <c r="U434" s="314"/>
      <c r="V434" s="350"/>
      <c r="W434" s="350"/>
      <c r="X434" s="350"/>
      <c r="Y434" s="350"/>
      <c r="Z434" s="307"/>
      <c r="AA434" s="350">
        <f t="shared" si="51"/>
        <v>0</v>
      </c>
      <c r="AB434" s="307"/>
      <c r="AC434" s="307"/>
      <c r="AD434" s="303"/>
      <c r="AE434" s="303"/>
      <c r="AF434" s="303"/>
      <c r="AG434" s="303"/>
      <c r="AH434" s="314"/>
      <c r="AI434" s="297">
        <f t="shared" si="52"/>
        <v>0</v>
      </c>
      <c r="AJ434" s="303"/>
      <c r="AK434" s="392"/>
      <c r="AL434" s="303" t="s">
        <v>510</v>
      </c>
      <c r="AM434" s="303" t="s">
        <v>510</v>
      </c>
      <c r="AN434" s="303" t="s">
        <v>519</v>
      </c>
      <c r="AO434" s="303" t="s">
        <v>510</v>
      </c>
      <c r="AP434" s="303">
        <v>40</v>
      </c>
      <c r="AQ434" s="289">
        <f t="shared" si="53"/>
        <v>40</v>
      </c>
      <c r="AR434" s="303" t="s">
        <v>520</v>
      </c>
      <c r="AS434" s="301" t="s">
        <v>2582</v>
      </c>
      <c r="AT434" s="329"/>
      <c r="AU434" s="329"/>
      <c r="AV434" s="329"/>
      <c r="AW434" s="329"/>
      <c r="AX434" s="329"/>
      <c r="AY434" s="139">
        <f t="shared" si="54"/>
        <v>0</v>
      </c>
      <c r="AZ434" s="303"/>
      <c r="BA434" s="301"/>
      <c r="BB434" s="303"/>
      <c r="BC434" s="303"/>
      <c r="BD434" s="303"/>
      <c r="BE434" s="303"/>
      <c r="BF434" s="303"/>
      <c r="BG434" s="353">
        <f t="shared" si="55"/>
        <v>0</v>
      </c>
      <c r="BH434" s="303"/>
      <c r="BI434" s="303"/>
      <c r="BJ434" s="354">
        <f t="shared" si="49"/>
        <v>1</v>
      </c>
      <c r="BK434" s="316" t="str">
        <f t="shared" si="56"/>
        <v>Habilitado</v>
      </c>
    </row>
    <row r="435" spans="1:63" ht="38.25" x14ac:dyDescent="0.25">
      <c r="A435" s="324">
        <v>433</v>
      </c>
      <c r="B435" s="345" t="s">
        <v>2583</v>
      </c>
      <c r="C435" s="335" t="s">
        <v>2575</v>
      </c>
      <c r="D435" s="357" t="s">
        <v>1719</v>
      </c>
      <c r="E435" s="347">
        <v>1</v>
      </c>
      <c r="F435" s="314" t="s">
        <v>510</v>
      </c>
      <c r="G435" s="314" t="s">
        <v>510</v>
      </c>
      <c r="H435" s="314" t="s">
        <v>510</v>
      </c>
      <c r="I435" s="314" t="s">
        <v>510</v>
      </c>
      <c r="J435" s="314">
        <v>40</v>
      </c>
      <c r="K435" s="29">
        <f t="shared" si="50"/>
        <v>40</v>
      </c>
      <c r="L435" s="314" t="s">
        <v>504</v>
      </c>
      <c r="M435" s="314"/>
      <c r="N435" s="314"/>
      <c r="O435" s="314"/>
      <c r="P435" s="314"/>
      <c r="Q435" s="314"/>
      <c r="R435" s="314"/>
      <c r="S435" s="314"/>
      <c r="T435" s="314"/>
      <c r="U435" s="314"/>
      <c r="V435" s="350"/>
      <c r="W435" s="350"/>
      <c r="X435" s="350"/>
      <c r="Y435" s="350"/>
      <c r="Z435" s="307"/>
      <c r="AA435" s="350">
        <f t="shared" si="51"/>
        <v>0</v>
      </c>
      <c r="AB435" s="307"/>
      <c r="AC435" s="307"/>
      <c r="AD435" s="303"/>
      <c r="AE435" s="303"/>
      <c r="AF435" s="303"/>
      <c r="AG435" s="303"/>
      <c r="AH435" s="314"/>
      <c r="AI435" s="297">
        <f t="shared" si="52"/>
        <v>0</v>
      </c>
      <c r="AJ435" s="303"/>
      <c r="AK435" s="392"/>
      <c r="AL435" s="303" t="s">
        <v>510</v>
      </c>
      <c r="AM435" s="303" t="s">
        <v>510</v>
      </c>
      <c r="AN435" s="303" t="s">
        <v>519</v>
      </c>
      <c r="AO435" s="303" t="s">
        <v>510</v>
      </c>
      <c r="AP435" s="303">
        <v>40</v>
      </c>
      <c r="AQ435" s="289">
        <f t="shared" si="53"/>
        <v>40</v>
      </c>
      <c r="AR435" s="303" t="s">
        <v>520</v>
      </c>
      <c r="AS435" s="323" t="s">
        <v>2582</v>
      </c>
      <c r="AT435" s="329"/>
      <c r="AU435" s="329"/>
      <c r="AV435" s="329"/>
      <c r="AW435" s="329"/>
      <c r="AX435" s="329"/>
      <c r="AY435" s="139">
        <f t="shared" si="54"/>
        <v>0</v>
      </c>
      <c r="AZ435" s="303"/>
      <c r="BA435" s="301"/>
      <c r="BB435" s="303"/>
      <c r="BC435" s="303"/>
      <c r="BD435" s="303"/>
      <c r="BE435" s="303"/>
      <c r="BF435" s="303"/>
      <c r="BG435" s="353">
        <f t="shared" si="55"/>
        <v>0</v>
      </c>
      <c r="BH435" s="303"/>
      <c r="BI435" s="303"/>
      <c r="BJ435" s="354">
        <f t="shared" si="49"/>
        <v>1</v>
      </c>
      <c r="BK435" s="316" t="str">
        <f t="shared" si="56"/>
        <v>Habilitado</v>
      </c>
    </row>
    <row r="436" spans="1:63" ht="25.5" x14ac:dyDescent="0.25">
      <c r="A436" s="324">
        <v>434</v>
      </c>
      <c r="B436" s="345" t="s">
        <v>2584</v>
      </c>
      <c r="C436" s="357" t="s">
        <v>2575</v>
      </c>
      <c r="D436" s="360" t="s">
        <v>1719</v>
      </c>
      <c r="E436" s="347">
        <v>1</v>
      </c>
      <c r="F436" s="314"/>
      <c r="G436" s="314"/>
      <c r="H436" s="314"/>
      <c r="I436" s="314"/>
      <c r="J436" s="314"/>
      <c r="K436" s="29">
        <f t="shared" si="50"/>
        <v>0</v>
      </c>
      <c r="L436" s="314"/>
      <c r="M436" s="314"/>
      <c r="N436" s="314"/>
      <c r="O436" s="314"/>
      <c r="P436" s="314"/>
      <c r="Q436" s="314"/>
      <c r="R436" s="314"/>
      <c r="S436" s="314"/>
      <c r="T436" s="314"/>
      <c r="U436" s="314"/>
      <c r="V436" s="350"/>
      <c r="W436" s="350"/>
      <c r="X436" s="350"/>
      <c r="Y436" s="350"/>
      <c r="Z436" s="307"/>
      <c r="AA436" s="350">
        <f t="shared" si="51"/>
        <v>0</v>
      </c>
      <c r="AB436" s="307"/>
      <c r="AC436" s="307"/>
      <c r="AD436" s="303"/>
      <c r="AE436" s="303"/>
      <c r="AF436" s="303"/>
      <c r="AG436" s="303"/>
      <c r="AH436" s="314"/>
      <c r="AI436" s="297">
        <f t="shared" si="52"/>
        <v>0</v>
      </c>
      <c r="AJ436" s="303"/>
      <c r="AK436" s="392"/>
      <c r="AL436" s="303"/>
      <c r="AM436" s="303"/>
      <c r="AN436" s="303"/>
      <c r="AO436" s="303"/>
      <c r="AP436" s="303"/>
      <c r="AQ436" s="289">
        <f t="shared" si="53"/>
        <v>0</v>
      </c>
      <c r="AR436" s="303"/>
      <c r="AS436" s="301"/>
      <c r="AT436" s="329"/>
      <c r="AU436" s="329"/>
      <c r="AV436" s="329"/>
      <c r="AW436" s="329"/>
      <c r="AX436" s="329"/>
      <c r="AY436" s="139">
        <f t="shared" si="54"/>
        <v>0</v>
      </c>
      <c r="AZ436" s="303"/>
      <c r="BA436" s="301"/>
      <c r="BB436" s="303"/>
      <c r="BC436" s="303"/>
      <c r="BD436" s="303"/>
      <c r="BE436" s="303"/>
      <c r="BF436" s="303"/>
      <c r="BG436" s="353">
        <f t="shared" si="55"/>
        <v>0</v>
      </c>
      <c r="BH436" s="303"/>
      <c r="BI436" s="303"/>
      <c r="BJ436" s="354">
        <f t="shared" si="49"/>
        <v>0</v>
      </c>
      <c r="BK436" s="316" t="str">
        <f t="shared" si="56"/>
        <v>Desierto</v>
      </c>
    </row>
    <row r="437" spans="1:63" ht="25.5" x14ac:dyDescent="0.25">
      <c r="A437" s="324">
        <v>435</v>
      </c>
      <c r="B437" s="345" t="s">
        <v>2585</v>
      </c>
      <c r="C437" s="335" t="s">
        <v>2586</v>
      </c>
      <c r="D437" s="360" t="s">
        <v>1738</v>
      </c>
      <c r="E437" s="347">
        <v>1</v>
      </c>
      <c r="F437" s="314" t="s">
        <v>519</v>
      </c>
      <c r="G437" s="314" t="s">
        <v>519</v>
      </c>
      <c r="H437" s="314" t="s">
        <v>519</v>
      </c>
      <c r="I437" s="314" t="s">
        <v>510</v>
      </c>
      <c r="J437" s="314">
        <v>0</v>
      </c>
      <c r="K437" s="29">
        <f t="shared" si="50"/>
        <v>0</v>
      </c>
      <c r="L437" s="314" t="s">
        <v>520</v>
      </c>
      <c r="M437" s="407" t="s">
        <v>1455</v>
      </c>
      <c r="N437" s="407"/>
      <c r="O437" s="407"/>
      <c r="P437" s="407"/>
      <c r="Q437" s="407"/>
      <c r="R437" s="407"/>
      <c r="S437" s="407"/>
      <c r="T437" s="407"/>
      <c r="U437" s="407"/>
      <c r="V437" s="350"/>
      <c r="W437" s="350"/>
      <c r="X437" s="350"/>
      <c r="Y437" s="350"/>
      <c r="Z437" s="307"/>
      <c r="AA437" s="350">
        <f t="shared" si="51"/>
        <v>0</v>
      </c>
      <c r="AB437" s="307"/>
      <c r="AC437" s="306"/>
      <c r="AD437" s="303"/>
      <c r="AE437" s="303"/>
      <c r="AF437" s="303"/>
      <c r="AG437" s="303"/>
      <c r="AH437" s="314"/>
      <c r="AI437" s="297">
        <f t="shared" si="52"/>
        <v>0</v>
      </c>
      <c r="AJ437" s="303"/>
      <c r="AK437" s="392"/>
      <c r="AL437" s="303" t="s">
        <v>510</v>
      </c>
      <c r="AM437" s="303" t="s">
        <v>510</v>
      </c>
      <c r="AN437" s="303" t="s">
        <v>510</v>
      </c>
      <c r="AO437" s="303" t="s">
        <v>510</v>
      </c>
      <c r="AP437" s="303">
        <v>40</v>
      </c>
      <c r="AQ437" s="289">
        <f t="shared" si="53"/>
        <v>40</v>
      </c>
      <c r="AR437" s="303" t="s">
        <v>504</v>
      </c>
      <c r="AS437" s="301"/>
      <c r="AT437" s="329"/>
      <c r="AU437" s="329"/>
      <c r="AV437" s="329"/>
      <c r="AW437" s="329"/>
      <c r="AX437" s="329"/>
      <c r="AY437" s="139">
        <f t="shared" si="54"/>
        <v>0</v>
      </c>
      <c r="AZ437" s="303"/>
      <c r="BA437" s="301"/>
      <c r="BB437" s="303"/>
      <c r="BC437" s="303"/>
      <c r="BD437" s="303"/>
      <c r="BE437" s="303"/>
      <c r="BF437" s="303"/>
      <c r="BG437" s="353">
        <f t="shared" si="55"/>
        <v>0</v>
      </c>
      <c r="BH437" s="303"/>
      <c r="BI437" s="303"/>
      <c r="BJ437" s="354">
        <f t="shared" si="49"/>
        <v>1</v>
      </c>
      <c r="BK437" s="316" t="str">
        <f t="shared" si="56"/>
        <v>Habilitado</v>
      </c>
    </row>
    <row r="438" spans="1:63" ht="76.5" x14ac:dyDescent="0.25">
      <c r="A438" s="324">
        <v>436</v>
      </c>
      <c r="B438" s="345" t="s">
        <v>2587</v>
      </c>
      <c r="C438" s="335" t="s">
        <v>2588</v>
      </c>
      <c r="D438" s="357" t="s">
        <v>1741</v>
      </c>
      <c r="E438" s="347">
        <v>1</v>
      </c>
      <c r="F438" s="314" t="s">
        <v>510</v>
      </c>
      <c r="G438" s="314" t="s">
        <v>510</v>
      </c>
      <c r="H438" s="314" t="s">
        <v>510</v>
      </c>
      <c r="I438" s="314" t="s">
        <v>510</v>
      </c>
      <c r="J438" s="314">
        <v>40</v>
      </c>
      <c r="K438" s="29">
        <f t="shared" si="50"/>
        <v>40</v>
      </c>
      <c r="L438" s="314" t="s">
        <v>504</v>
      </c>
      <c r="M438" s="314"/>
      <c r="N438" s="314"/>
      <c r="O438" s="314"/>
      <c r="P438" s="314"/>
      <c r="Q438" s="314"/>
      <c r="R438" s="314"/>
      <c r="S438" s="314"/>
      <c r="T438" s="314"/>
      <c r="U438" s="314"/>
      <c r="V438" s="350" t="s">
        <v>510</v>
      </c>
      <c r="W438" s="350" t="s">
        <v>519</v>
      </c>
      <c r="X438" s="350" t="s">
        <v>519</v>
      </c>
      <c r="Y438" s="350" t="s">
        <v>510</v>
      </c>
      <c r="Z438" s="304">
        <v>0</v>
      </c>
      <c r="AA438" s="350">
        <f t="shared" si="51"/>
        <v>0</v>
      </c>
      <c r="AB438" s="307" t="s">
        <v>520</v>
      </c>
      <c r="AC438" s="306" t="s">
        <v>2589</v>
      </c>
      <c r="AD438" s="303"/>
      <c r="AE438" s="303"/>
      <c r="AF438" s="303"/>
      <c r="AG438" s="303"/>
      <c r="AH438" s="314"/>
      <c r="AI438" s="297">
        <f t="shared" si="52"/>
        <v>0</v>
      </c>
      <c r="AJ438" s="303"/>
      <c r="AK438" s="392"/>
      <c r="AL438" s="303"/>
      <c r="AM438" s="303"/>
      <c r="AN438" s="303"/>
      <c r="AO438" s="303"/>
      <c r="AP438" s="303"/>
      <c r="AQ438" s="289">
        <f t="shared" si="53"/>
        <v>0</v>
      </c>
      <c r="AR438" s="303"/>
      <c r="AS438" s="301"/>
      <c r="AT438" s="329"/>
      <c r="AU438" s="329"/>
      <c r="AV438" s="329"/>
      <c r="AW438" s="329"/>
      <c r="AX438" s="329"/>
      <c r="AY438" s="139">
        <f t="shared" si="54"/>
        <v>0</v>
      </c>
      <c r="AZ438" s="303"/>
      <c r="BA438" s="301"/>
      <c r="BB438" s="303"/>
      <c r="BC438" s="303"/>
      <c r="BD438" s="303"/>
      <c r="BE438" s="303"/>
      <c r="BF438" s="303"/>
      <c r="BG438" s="353">
        <f t="shared" si="55"/>
        <v>0</v>
      </c>
      <c r="BH438" s="303"/>
      <c r="BI438" s="301"/>
      <c r="BJ438" s="354">
        <f t="shared" si="49"/>
        <v>1</v>
      </c>
      <c r="BK438" s="316" t="str">
        <f t="shared" si="56"/>
        <v>Habilitado</v>
      </c>
    </row>
    <row r="439" spans="1:63" ht="38.25" x14ac:dyDescent="0.25">
      <c r="A439" s="324">
        <v>437</v>
      </c>
      <c r="B439" s="345" t="s">
        <v>2590</v>
      </c>
      <c r="C439" s="335" t="s">
        <v>2575</v>
      </c>
      <c r="D439" s="360" t="s">
        <v>1719</v>
      </c>
      <c r="E439" s="347">
        <v>1</v>
      </c>
      <c r="F439" s="314" t="s">
        <v>510</v>
      </c>
      <c r="G439" s="314" t="s">
        <v>510</v>
      </c>
      <c r="H439" s="314" t="s">
        <v>510</v>
      </c>
      <c r="I439" s="314" t="s">
        <v>510</v>
      </c>
      <c r="J439" s="314">
        <v>40</v>
      </c>
      <c r="K439" s="29">
        <f t="shared" si="50"/>
        <v>40</v>
      </c>
      <c r="L439" s="314" t="s">
        <v>504</v>
      </c>
      <c r="M439" s="314"/>
      <c r="N439" s="314"/>
      <c r="O439" s="314"/>
      <c r="P439" s="314"/>
      <c r="Q439" s="314"/>
      <c r="R439" s="314"/>
      <c r="S439" s="314"/>
      <c r="T439" s="314"/>
      <c r="U439" s="314"/>
      <c r="V439" s="350"/>
      <c r="W439" s="350"/>
      <c r="X439" s="350"/>
      <c r="Y439" s="350"/>
      <c r="Z439" s="307"/>
      <c r="AA439" s="350">
        <f t="shared" si="51"/>
        <v>0</v>
      </c>
      <c r="AB439" s="307"/>
      <c r="AC439" s="307"/>
      <c r="AD439" s="303"/>
      <c r="AE439" s="303"/>
      <c r="AF439" s="303"/>
      <c r="AG439" s="303"/>
      <c r="AH439" s="314"/>
      <c r="AI439" s="297">
        <f t="shared" si="52"/>
        <v>0</v>
      </c>
      <c r="AJ439" s="303"/>
      <c r="AK439" s="392"/>
      <c r="AL439" s="303" t="s">
        <v>510</v>
      </c>
      <c r="AM439" s="303" t="s">
        <v>510</v>
      </c>
      <c r="AN439" s="303" t="s">
        <v>519</v>
      </c>
      <c r="AO439" s="303" t="s">
        <v>510</v>
      </c>
      <c r="AP439" s="303">
        <v>40</v>
      </c>
      <c r="AQ439" s="289">
        <f t="shared" si="53"/>
        <v>40</v>
      </c>
      <c r="AR439" s="303" t="s">
        <v>520</v>
      </c>
      <c r="AS439" s="323" t="s">
        <v>2582</v>
      </c>
      <c r="AT439" s="329"/>
      <c r="AU439" s="329"/>
      <c r="AV439" s="329"/>
      <c r="AW439" s="329"/>
      <c r="AX439" s="329"/>
      <c r="AY439" s="139">
        <f t="shared" si="54"/>
        <v>0</v>
      </c>
      <c r="AZ439" s="303"/>
      <c r="BA439" s="301"/>
      <c r="BB439" s="303"/>
      <c r="BC439" s="303"/>
      <c r="BD439" s="303"/>
      <c r="BE439" s="303"/>
      <c r="BF439" s="303"/>
      <c r="BG439" s="353">
        <f t="shared" si="55"/>
        <v>0</v>
      </c>
      <c r="BH439" s="303"/>
      <c r="BI439" s="301"/>
      <c r="BJ439" s="354">
        <f t="shared" si="49"/>
        <v>1</v>
      </c>
      <c r="BK439" s="316" t="str">
        <f t="shared" si="56"/>
        <v>Habilitado</v>
      </c>
    </row>
    <row r="440" spans="1:63" ht="82.5" customHeight="1" x14ac:dyDescent="0.25">
      <c r="A440" s="324">
        <v>438</v>
      </c>
      <c r="B440" s="345" t="s">
        <v>2591</v>
      </c>
      <c r="C440" s="335" t="s">
        <v>2592</v>
      </c>
      <c r="D440" s="357" t="s">
        <v>1719</v>
      </c>
      <c r="E440" s="347">
        <v>1</v>
      </c>
      <c r="F440" s="314"/>
      <c r="G440" s="314"/>
      <c r="H440" s="314"/>
      <c r="I440" s="314"/>
      <c r="J440" s="314"/>
      <c r="K440" s="29">
        <f t="shared" si="50"/>
        <v>0</v>
      </c>
      <c r="L440" s="314"/>
      <c r="M440" s="407"/>
      <c r="N440" s="407"/>
      <c r="O440" s="407"/>
      <c r="P440" s="407"/>
      <c r="Q440" s="407"/>
      <c r="R440" s="407"/>
      <c r="S440" s="407"/>
      <c r="T440" s="407"/>
      <c r="U440" s="407"/>
      <c r="V440" s="350"/>
      <c r="W440" s="350"/>
      <c r="X440" s="350"/>
      <c r="Y440" s="350"/>
      <c r="Z440" s="307"/>
      <c r="AA440" s="350">
        <f t="shared" si="51"/>
        <v>0</v>
      </c>
      <c r="AB440" s="307"/>
      <c r="AC440" s="306"/>
      <c r="AD440" s="303"/>
      <c r="AE440" s="303"/>
      <c r="AF440" s="303"/>
      <c r="AG440" s="303"/>
      <c r="AH440" s="314"/>
      <c r="AI440" s="297">
        <f t="shared" si="52"/>
        <v>0</v>
      </c>
      <c r="AJ440" s="303"/>
      <c r="AK440" s="392"/>
      <c r="AL440" s="303"/>
      <c r="AM440" s="303"/>
      <c r="AN440" s="303"/>
      <c r="AO440" s="303"/>
      <c r="AP440" s="303"/>
      <c r="AQ440" s="289">
        <f t="shared" si="53"/>
        <v>0</v>
      </c>
      <c r="AR440" s="303"/>
      <c r="AS440" s="301"/>
      <c r="AT440" s="303" t="s">
        <v>510</v>
      </c>
      <c r="AU440" s="303" t="s">
        <v>510</v>
      </c>
      <c r="AV440" s="303" t="s">
        <v>510</v>
      </c>
      <c r="AW440" s="303" t="s">
        <v>510</v>
      </c>
      <c r="AX440" s="303">
        <v>40</v>
      </c>
      <c r="AY440" s="139">
        <f t="shared" si="54"/>
        <v>40</v>
      </c>
      <c r="AZ440" s="303" t="s">
        <v>504</v>
      </c>
      <c r="BA440" s="304"/>
      <c r="BB440" s="303"/>
      <c r="BC440" s="303"/>
      <c r="BD440" s="303"/>
      <c r="BE440" s="303"/>
      <c r="BF440" s="303"/>
      <c r="BG440" s="353">
        <f t="shared" si="55"/>
        <v>0</v>
      </c>
      <c r="BH440" s="303"/>
      <c r="BI440" s="301"/>
      <c r="BJ440" s="354">
        <f t="shared" si="49"/>
        <v>1</v>
      </c>
      <c r="BK440" s="316" t="str">
        <f t="shared" si="56"/>
        <v>Habilitado</v>
      </c>
    </row>
    <row r="441" spans="1:63" ht="38.25" x14ac:dyDescent="0.25">
      <c r="A441" s="324">
        <v>439</v>
      </c>
      <c r="B441" s="345" t="s">
        <v>2593</v>
      </c>
      <c r="C441" s="335" t="s">
        <v>2594</v>
      </c>
      <c r="D441" s="357" t="s">
        <v>1719</v>
      </c>
      <c r="E441" s="347">
        <v>1</v>
      </c>
      <c r="F441" s="314" t="s">
        <v>510</v>
      </c>
      <c r="G441" s="314" t="s">
        <v>510</v>
      </c>
      <c r="H441" s="314" t="s">
        <v>510</v>
      </c>
      <c r="I441" s="314" t="s">
        <v>510</v>
      </c>
      <c r="J441" s="314">
        <v>40</v>
      </c>
      <c r="K441" s="29">
        <f t="shared" si="50"/>
        <v>40</v>
      </c>
      <c r="L441" s="314" t="s">
        <v>504</v>
      </c>
      <c r="M441" s="314"/>
      <c r="N441" s="314"/>
      <c r="O441" s="314"/>
      <c r="P441" s="314"/>
      <c r="Q441" s="314"/>
      <c r="R441" s="314"/>
      <c r="S441" s="314"/>
      <c r="T441" s="314"/>
      <c r="U441" s="314"/>
      <c r="V441" s="350"/>
      <c r="W441" s="350"/>
      <c r="X441" s="350"/>
      <c r="Y441" s="350"/>
      <c r="Z441" s="307"/>
      <c r="AA441" s="350">
        <f t="shared" si="51"/>
        <v>0</v>
      </c>
      <c r="AB441" s="307"/>
      <c r="AC441" s="307"/>
      <c r="AD441" s="303"/>
      <c r="AE441" s="303"/>
      <c r="AF441" s="303"/>
      <c r="AG441" s="303"/>
      <c r="AH441" s="314"/>
      <c r="AI441" s="297">
        <f t="shared" si="52"/>
        <v>0</v>
      </c>
      <c r="AJ441" s="303"/>
      <c r="AK441" s="392"/>
      <c r="AL441" s="303"/>
      <c r="AM441" s="303"/>
      <c r="AN441" s="303"/>
      <c r="AO441" s="303"/>
      <c r="AP441" s="303"/>
      <c r="AQ441" s="289">
        <f t="shared" si="53"/>
        <v>0</v>
      </c>
      <c r="AR441" s="303"/>
      <c r="AS441" s="301"/>
      <c r="AT441" s="303" t="s">
        <v>510</v>
      </c>
      <c r="AU441" s="303" t="s">
        <v>510</v>
      </c>
      <c r="AV441" s="303" t="s">
        <v>510</v>
      </c>
      <c r="AW441" s="303" t="s">
        <v>510</v>
      </c>
      <c r="AX441" s="303">
        <v>40</v>
      </c>
      <c r="AY441" s="139">
        <f t="shared" si="54"/>
        <v>40</v>
      </c>
      <c r="AZ441" s="303" t="s">
        <v>504</v>
      </c>
      <c r="BA441" s="304"/>
      <c r="BB441" s="303"/>
      <c r="BC441" s="303"/>
      <c r="BD441" s="303"/>
      <c r="BE441" s="303"/>
      <c r="BF441" s="303"/>
      <c r="BG441" s="353">
        <f t="shared" si="55"/>
        <v>0</v>
      </c>
      <c r="BH441" s="303"/>
      <c r="BI441" s="303"/>
      <c r="BJ441" s="354">
        <f t="shared" si="49"/>
        <v>2</v>
      </c>
      <c r="BK441" s="316" t="str">
        <f t="shared" si="56"/>
        <v>Habilitado</v>
      </c>
    </row>
    <row r="442" spans="1:63" ht="25.5" x14ac:dyDescent="0.25">
      <c r="A442" s="324">
        <v>440</v>
      </c>
      <c r="B442" s="345" t="s">
        <v>2595</v>
      </c>
      <c r="C442" s="335" t="s">
        <v>2596</v>
      </c>
      <c r="D442" s="360" t="s">
        <v>1719</v>
      </c>
      <c r="E442" s="347">
        <v>1</v>
      </c>
      <c r="F442" s="314" t="s">
        <v>519</v>
      </c>
      <c r="G442" s="314" t="s">
        <v>519</v>
      </c>
      <c r="H442" s="314" t="s">
        <v>519</v>
      </c>
      <c r="I442" s="314" t="s">
        <v>510</v>
      </c>
      <c r="J442" s="314">
        <v>0</v>
      </c>
      <c r="K442" s="29">
        <f t="shared" si="50"/>
        <v>0</v>
      </c>
      <c r="L442" s="314" t="s">
        <v>520</v>
      </c>
      <c r="M442" s="407" t="s">
        <v>2597</v>
      </c>
      <c r="N442" s="407"/>
      <c r="O442" s="407"/>
      <c r="P442" s="407"/>
      <c r="Q442" s="407"/>
      <c r="R442" s="407"/>
      <c r="S442" s="407"/>
      <c r="T442" s="407"/>
      <c r="U442" s="407"/>
      <c r="V442" s="350"/>
      <c r="W442" s="350"/>
      <c r="X442" s="350"/>
      <c r="Y442" s="350"/>
      <c r="Z442" s="307"/>
      <c r="AA442" s="350">
        <f t="shared" si="51"/>
        <v>0</v>
      </c>
      <c r="AB442" s="307"/>
      <c r="AC442" s="306"/>
      <c r="AD442" s="303"/>
      <c r="AE442" s="303"/>
      <c r="AF442" s="303"/>
      <c r="AG442" s="303"/>
      <c r="AH442" s="314"/>
      <c r="AI442" s="297">
        <f t="shared" si="52"/>
        <v>0</v>
      </c>
      <c r="AJ442" s="303"/>
      <c r="AK442" s="392"/>
      <c r="AL442" s="303" t="s">
        <v>510</v>
      </c>
      <c r="AM442" s="303" t="s">
        <v>510</v>
      </c>
      <c r="AN442" s="303" t="s">
        <v>510</v>
      </c>
      <c r="AO442" s="303" t="s">
        <v>510</v>
      </c>
      <c r="AP442" s="303">
        <v>40</v>
      </c>
      <c r="AQ442" s="289">
        <f t="shared" si="53"/>
        <v>40</v>
      </c>
      <c r="AR442" s="303" t="s">
        <v>504</v>
      </c>
      <c r="AS442" s="301"/>
      <c r="AT442" s="329"/>
      <c r="AU442" s="329"/>
      <c r="AV442" s="329"/>
      <c r="AW442" s="329"/>
      <c r="AX442" s="329"/>
      <c r="AY442" s="139">
        <f t="shared" si="54"/>
        <v>0</v>
      </c>
      <c r="AZ442" s="303"/>
      <c r="BA442" s="301"/>
      <c r="BB442" s="303"/>
      <c r="BC442" s="303"/>
      <c r="BD442" s="303"/>
      <c r="BE442" s="303"/>
      <c r="BF442" s="303"/>
      <c r="BG442" s="353">
        <f t="shared" si="55"/>
        <v>0</v>
      </c>
      <c r="BH442" s="303"/>
      <c r="BI442" s="303"/>
      <c r="BJ442" s="354">
        <f t="shared" si="49"/>
        <v>1</v>
      </c>
      <c r="BK442" s="316" t="str">
        <f t="shared" si="56"/>
        <v>Habilitado</v>
      </c>
    </row>
    <row r="443" spans="1:63" ht="25.5" x14ac:dyDescent="0.25">
      <c r="A443" s="324">
        <v>441</v>
      </c>
      <c r="B443" s="345" t="s">
        <v>2598</v>
      </c>
      <c r="C443" s="335" t="s">
        <v>2599</v>
      </c>
      <c r="D443" s="360" t="s">
        <v>1741</v>
      </c>
      <c r="E443" s="347">
        <v>1</v>
      </c>
      <c r="F443" s="314" t="s">
        <v>519</v>
      </c>
      <c r="G443" s="314" t="s">
        <v>519</v>
      </c>
      <c r="H443" s="314" t="s">
        <v>519</v>
      </c>
      <c r="I443" s="314" t="s">
        <v>510</v>
      </c>
      <c r="J443" s="314">
        <v>0</v>
      </c>
      <c r="K443" s="29">
        <f t="shared" si="50"/>
        <v>0</v>
      </c>
      <c r="L443" s="314" t="s">
        <v>520</v>
      </c>
      <c r="M443" s="407" t="s">
        <v>2597</v>
      </c>
      <c r="N443" s="407"/>
      <c r="O443" s="407"/>
      <c r="P443" s="407"/>
      <c r="Q443" s="407"/>
      <c r="R443" s="407"/>
      <c r="S443" s="407"/>
      <c r="T443" s="407"/>
      <c r="U443" s="407"/>
      <c r="V443" s="350"/>
      <c r="W443" s="350"/>
      <c r="X443" s="350"/>
      <c r="Y443" s="350"/>
      <c r="Z443" s="307"/>
      <c r="AA443" s="350">
        <f t="shared" si="51"/>
        <v>0</v>
      </c>
      <c r="AB443" s="307"/>
      <c r="AC443" s="306"/>
      <c r="AD443" s="303"/>
      <c r="AE443" s="303"/>
      <c r="AF443" s="303"/>
      <c r="AG443" s="303"/>
      <c r="AH443" s="314"/>
      <c r="AI443" s="297">
        <f t="shared" si="52"/>
        <v>0</v>
      </c>
      <c r="AJ443" s="303"/>
      <c r="AK443" s="392"/>
      <c r="AL443" s="303" t="s">
        <v>510</v>
      </c>
      <c r="AM443" s="303" t="s">
        <v>510</v>
      </c>
      <c r="AN443" s="303" t="s">
        <v>510</v>
      </c>
      <c r="AO443" s="303" t="s">
        <v>510</v>
      </c>
      <c r="AP443" s="303">
        <v>40</v>
      </c>
      <c r="AQ443" s="289">
        <f t="shared" si="53"/>
        <v>40</v>
      </c>
      <c r="AR443" s="303" t="s">
        <v>504</v>
      </c>
      <c r="AS443" s="301"/>
      <c r="AT443" s="329"/>
      <c r="AU443" s="329"/>
      <c r="AV443" s="329"/>
      <c r="AW443" s="329"/>
      <c r="AX443" s="329"/>
      <c r="AY443" s="139">
        <f t="shared" si="54"/>
        <v>0</v>
      </c>
      <c r="AZ443" s="303"/>
      <c r="BA443" s="301"/>
      <c r="BB443" s="303"/>
      <c r="BC443" s="303"/>
      <c r="BD443" s="303"/>
      <c r="BE443" s="303"/>
      <c r="BF443" s="303"/>
      <c r="BG443" s="353">
        <f t="shared" si="55"/>
        <v>0</v>
      </c>
      <c r="BH443" s="303"/>
      <c r="BI443" s="301"/>
      <c r="BJ443" s="354">
        <f t="shared" si="49"/>
        <v>1</v>
      </c>
      <c r="BK443" s="316" t="str">
        <f t="shared" si="56"/>
        <v>Habilitado</v>
      </c>
    </row>
    <row r="444" spans="1:63" ht="25.5" x14ac:dyDescent="0.25">
      <c r="A444" s="324">
        <v>442</v>
      </c>
      <c r="B444" s="345" t="s">
        <v>2600</v>
      </c>
      <c r="C444" s="357" t="s">
        <v>2601</v>
      </c>
      <c r="D444" s="360" t="s">
        <v>1741</v>
      </c>
      <c r="E444" s="347">
        <v>1</v>
      </c>
      <c r="F444" s="314" t="s">
        <v>519</v>
      </c>
      <c r="G444" s="314" t="s">
        <v>519</v>
      </c>
      <c r="H444" s="314" t="s">
        <v>519</v>
      </c>
      <c r="I444" s="314" t="s">
        <v>510</v>
      </c>
      <c r="J444" s="314">
        <v>0</v>
      </c>
      <c r="K444" s="29">
        <f t="shared" si="50"/>
        <v>0</v>
      </c>
      <c r="L444" s="314" t="s">
        <v>520</v>
      </c>
      <c r="M444" s="407" t="s">
        <v>2597</v>
      </c>
      <c r="N444" s="407"/>
      <c r="O444" s="407"/>
      <c r="P444" s="407"/>
      <c r="Q444" s="407"/>
      <c r="R444" s="407"/>
      <c r="S444" s="407"/>
      <c r="T444" s="407"/>
      <c r="U444" s="407"/>
      <c r="V444" s="350"/>
      <c r="W444" s="350"/>
      <c r="X444" s="350"/>
      <c r="Y444" s="350"/>
      <c r="Z444" s="307"/>
      <c r="AA444" s="350">
        <f t="shared" si="51"/>
        <v>0</v>
      </c>
      <c r="AB444" s="307"/>
      <c r="AC444" s="306"/>
      <c r="AD444" s="303"/>
      <c r="AE444" s="303"/>
      <c r="AF444" s="303"/>
      <c r="AG444" s="303"/>
      <c r="AH444" s="314"/>
      <c r="AI444" s="297">
        <f t="shared" si="52"/>
        <v>0</v>
      </c>
      <c r="AJ444" s="303"/>
      <c r="AK444" s="392"/>
      <c r="AL444" s="303" t="s">
        <v>510</v>
      </c>
      <c r="AM444" s="303" t="s">
        <v>510</v>
      </c>
      <c r="AN444" s="303" t="s">
        <v>510</v>
      </c>
      <c r="AO444" s="303" t="s">
        <v>510</v>
      </c>
      <c r="AP444" s="303">
        <v>40</v>
      </c>
      <c r="AQ444" s="289">
        <f t="shared" si="53"/>
        <v>40</v>
      </c>
      <c r="AR444" s="303" t="s">
        <v>504</v>
      </c>
      <c r="AS444" s="301"/>
      <c r="AT444" s="329"/>
      <c r="AU444" s="329"/>
      <c r="AV444" s="329"/>
      <c r="AW444" s="329"/>
      <c r="AX444" s="329"/>
      <c r="AY444" s="139">
        <f t="shared" si="54"/>
        <v>0</v>
      </c>
      <c r="AZ444" s="303"/>
      <c r="BA444" s="301"/>
      <c r="BB444" s="303"/>
      <c r="BC444" s="303"/>
      <c r="BD444" s="303"/>
      <c r="BE444" s="303"/>
      <c r="BF444" s="303"/>
      <c r="BG444" s="353">
        <f t="shared" si="55"/>
        <v>0</v>
      </c>
      <c r="BH444" s="303"/>
      <c r="BI444" s="303"/>
      <c r="BJ444" s="354">
        <f t="shared" si="49"/>
        <v>1</v>
      </c>
      <c r="BK444" s="316" t="str">
        <f t="shared" si="56"/>
        <v>Habilitado</v>
      </c>
    </row>
    <row r="445" spans="1:63" ht="25.5" x14ac:dyDescent="0.25">
      <c r="A445" s="324">
        <v>443</v>
      </c>
      <c r="B445" s="345" t="s">
        <v>2602</v>
      </c>
      <c r="C445" s="335" t="s">
        <v>2603</v>
      </c>
      <c r="D445" s="360" t="s">
        <v>1719</v>
      </c>
      <c r="E445" s="347">
        <v>1</v>
      </c>
      <c r="F445" s="314" t="s">
        <v>519</v>
      </c>
      <c r="G445" s="314" t="s">
        <v>519</v>
      </c>
      <c r="H445" s="314" t="s">
        <v>519</v>
      </c>
      <c r="I445" s="314" t="s">
        <v>510</v>
      </c>
      <c r="J445" s="314">
        <v>0</v>
      </c>
      <c r="K445" s="29">
        <f t="shared" si="50"/>
        <v>0</v>
      </c>
      <c r="L445" s="314" t="s">
        <v>520</v>
      </c>
      <c r="M445" s="407" t="s">
        <v>2597</v>
      </c>
      <c r="N445" s="407"/>
      <c r="O445" s="407"/>
      <c r="P445" s="407"/>
      <c r="Q445" s="407"/>
      <c r="R445" s="407"/>
      <c r="S445" s="407"/>
      <c r="T445" s="407"/>
      <c r="U445" s="407"/>
      <c r="V445" s="350"/>
      <c r="W445" s="350"/>
      <c r="X445" s="350"/>
      <c r="Y445" s="350"/>
      <c r="Z445" s="307"/>
      <c r="AA445" s="350">
        <f t="shared" si="51"/>
        <v>0</v>
      </c>
      <c r="AB445" s="307"/>
      <c r="AC445" s="306"/>
      <c r="AD445" s="303"/>
      <c r="AE445" s="303"/>
      <c r="AF445" s="303"/>
      <c r="AG445" s="303"/>
      <c r="AH445" s="314"/>
      <c r="AI445" s="297">
        <f t="shared" si="52"/>
        <v>0</v>
      </c>
      <c r="AJ445" s="303"/>
      <c r="AK445" s="392"/>
      <c r="AL445" s="303" t="s">
        <v>510</v>
      </c>
      <c r="AM445" s="303" t="s">
        <v>510</v>
      </c>
      <c r="AN445" s="303" t="s">
        <v>510</v>
      </c>
      <c r="AO445" s="303" t="s">
        <v>510</v>
      </c>
      <c r="AP445" s="303">
        <v>40</v>
      </c>
      <c r="AQ445" s="289">
        <f t="shared" si="53"/>
        <v>40</v>
      </c>
      <c r="AR445" s="303" t="s">
        <v>504</v>
      </c>
      <c r="AS445" s="301"/>
      <c r="AT445" s="329"/>
      <c r="AU445" s="329"/>
      <c r="AV445" s="329"/>
      <c r="AW445" s="329"/>
      <c r="AX445" s="329"/>
      <c r="AY445" s="139">
        <f t="shared" si="54"/>
        <v>0</v>
      </c>
      <c r="AZ445" s="303"/>
      <c r="BA445" s="301"/>
      <c r="BB445" s="303"/>
      <c r="BC445" s="303"/>
      <c r="BD445" s="303"/>
      <c r="BE445" s="303"/>
      <c r="BF445" s="303"/>
      <c r="BG445" s="353">
        <f t="shared" si="55"/>
        <v>0</v>
      </c>
      <c r="BH445" s="303"/>
      <c r="BI445" s="303"/>
      <c r="BJ445" s="354">
        <f t="shared" si="49"/>
        <v>1</v>
      </c>
      <c r="BK445" s="316" t="str">
        <f t="shared" si="56"/>
        <v>Habilitado</v>
      </c>
    </row>
    <row r="446" spans="1:63" ht="25.5" x14ac:dyDescent="0.25">
      <c r="A446" s="324">
        <v>444</v>
      </c>
      <c r="B446" s="345" t="s">
        <v>2604</v>
      </c>
      <c r="C446" s="335" t="s">
        <v>2605</v>
      </c>
      <c r="D446" s="360" t="s">
        <v>1741</v>
      </c>
      <c r="E446" s="347">
        <v>1</v>
      </c>
      <c r="F446" s="314" t="s">
        <v>510</v>
      </c>
      <c r="G446" s="314" t="s">
        <v>510</v>
      </c>
      <c r="H446" s="314" t="s">
        <v>510</v>
      </c>
      <c r="I446" s="314" t="s">
        <v>510</v>
      </c>
      <c r="J446" s="314">
        <v>40</v>
      </c>
      <c r="K446" s="29">
        <f t="shared" si="50"/>
        <v>40</v>
      </c>
      <c r="L446" s="314" t="s">
        <v>504</v>
      </c>
      <c r="M446" s="314"/>
      <c r="N446" s="314"/>
      <c r="O446" s="314"/>
      <c r="P446" s="314"/>
      <c r="Q446" s="314"/>
      <c r="R446" s="314"/>
      <c r="S446" s="314"/>
      <c r="T446" s="314"/>
      <c r="U446" s="314"/>
      <c r="V446" s="350"/>
      <c r="W446" s="350"/>
      <c r="X446" s="350"/>
      <c r="Y446" s="350"/>
      <c r="Z446" s="307"/>
      <c r="AA446" s="350">
        <f t="shared" si="51"/>
        <v>0</v>
      </c>
      <c r="AB446" s="307"/>
      <c r="AC446" s="307"/>
      <c r="AD446" s="303"/>
      <c r="AE446" s="303"/>
      <c r="AF446" s="303"/>
      <c r="AG446" s="303"/>
      <c r="AH446" s="314"/>
      <c r="AI446" s="297">
        <f t="shared" si="52"/>
        <v>0</v>
      </c>
      <c r="AJ446" s="303"/>
      <c r="AK446" s="392"/>
      <c r="AL446" s="303"/>
      <c r="AM446" s="303"/>
      <c r="AN446" s="303"/>
      <c r="AO446" s="303"/>
      <c r="AP446" s="303"/>
      <c r="AQ446" s="289">
        <f t="shared" si="53"/>
        <v>0</v>
      </c>
      <c r="AR446" s="303"/>
      <c r="AS446" s="301"/>
      <c r="AT446" s="329"/>
      <c r="AU446" s="329"/>
      <c r="AV446" s="329"/>
      <c r="AW446" s="329"/>
      <c r="AX446" s="329"/>
      <c r="AY446" s="139">
        <f t="shared" si="54"/>
        <v>0</v>
      </c>
      <c r="AZ446" s="303"/>
      <c r="BA446" s="301"/>
      <c r="BB446" s="303"/>
      <c r="BC446" s="303"/>
      <c r="BD446" s="303"/>
      <c r="BE446" s="303"/>
      <c r="BF446" s="303"/>
      <c r="BG446" s="353">
        <f t="shared" si="55"/>
        <v>0</v>
      </c>
      <c r="BH446" s="303"/>
      <c r="BI446" s="303"/>
      <c r="BJ446" s="354">
        <f t="shared" si="49"/>
        <v>1</v>
      </c>
      <c r="BK446" s="316" t="str">
        <f t="shared" si="56"/>
        <v>Habilitado</v>
      </c>
    </row>
    <row r="447" spans="1:63" ht="25.5" x14ac:dyDescent="0.25">
      <c r="A447" s="324">
        <v>445</v>
      </c>
      <c r="B447" s="345" t="s">
        <v>2606</v>
      </c>
      <c r="C447" s="335" t="s">
        <v>2580</v>
      </c>
      <c r="D447" s="360" t="s">
        <v>1746</v>
      </c>
      <c r="E447" s="347">
        <v>1</v>
      </c>
      <c r="F447" s="314" t="s">
        <v>510</v>
      </c>
      <c r="G447" s="314" t="s">
        <v>510</v>
      </c>
      <c r="H447" s="314" t="s">
        <v>510</v>
      </c>
      <c r="I447" s="314" t="s">
        <v>510</v>
      </c>
      <c r="J447" s="314">
        <v>40</v>
      </c>
      <c r="K447" s="29">
        <f t="shared" si="50"/>
        <v>40</v>
      </c>
      <c r="L447" s="314" t="s">
        <v>504</v>
      </c>
      <c r="M447" s="314"/>
      <c r="N447" s="314"/>
      <c r="O447" s="314"/>
      <c r="P447" s="314"/>
      <c r="Q447" s="314"/>
      <c r="R447" s="314"/>
      <c r="S447" s="314"/>
      <c r="T447" s="314"/>
      <c r="U447" s="314"/>
      <c r="V447" s="350"/>
      <c r="W447" s="350"/>
      <c r="X447" s="350"/>
      <c r="Y447" s="350"/>
      <c r="Z447" s="307"/>
      <c r="AA447" s="350">
        <f t="shared" si="51"/>
        <v>0</v>
      </c>
      <c r="AB447" s="307"/>
      <c r="AC447" s="307"/>
      <c r="AD447" s="303"/>
      <c r="AE447" s="303"/>
      <c r="AF447" s="303"/>
      <c r="AG447" s="303"/>
      <c r="AH447" s="314"/>
      <c r="AI447" s="297">
        <f t="shared" si="52"/>
        <v>0</v>
      </c>
      <c r="AJ447" s="303"/>
      <c r="AK447" s="392"/>
      <c r="AL447" s="303"/>
      <c r="AM447" s="303"/>
      <c r="AN447" s="303"/>
      <c r="AO447" s="303"/>
      <c r="AP447" s="303"/>
      <c r="AQ447" s="289">
        <f t="shared" si="53"/>
        <v>0</v>
      </c>
      <c r="AR447" s="303"/>
      <c r="AS447" s="301"/>
      <c r="AT447" s="303" t="s">
        <v>510</v>
      </c>
      <c r="AU447" s="303" t="s">
        <v>519</v>
      </c>
      <c r="AV447" s="303" t="s">
        <v>510</v>
      </c>
      <c r="AW447" s="303" t="s">
        <v>510</v>
      </c>
      <c r="AX447" s="303">
        <v>0</v>
      </c>
      <c r="AY447" s="139">
        <f t="shared" si="54"/>
        <v>0</v>
      </c>
      <c r="AZ447" s="303" t="s">
        <v>520</v>
      </c>
      <c r="BA447" s="301" t="s">
        <v>2607</v>
      </c>
      <c r="BB447" s="303"/>
      <c r="BC447" s="303"/>
      <c r="BD447" s="303"/>
      <c r="BE447" s="303"/>
      <c r="BF447" s="303"/>
      <c r="BG447" s="353">
        <f t="shared" si="55"/>
        <v>0</v>
      </c>
      <c r="BH447" s="303"/>
      <c r="BI447" s="303"/>
      <c r="BJ447" s="354">
        <f t="shared" si="49"/>
        <v>1</v>
      </c>
      <c r="BK447" s="316" t="str">
        <f t="shared" si="56"/>
        <v>Habilitado</v>
      </c>
    </row>
    <row r="448" spans="1:63" ht="25.5" x14ac:dyDescent="0.25">
      <c r="A448" s="324">
        <v>446</v>
      </c>
      <c r="B448" s="345" t="s">
        <v>2608</v>
      </c>
      <c r="C448" s="335" t="s">
        <v>2580</v>
      </c>
      <c r="D448" s="360" t="s">
        <v>2609</v>
      </c>
      <c r="E448" s="347">
        <v>1</v>
      </c>
      <c r="F448" s="314" t="s">
        <v>510</v>
      </c>
      <c r="G448" s="314" t="s">
        <v>510</v>
      </c>
      <c r="H448" s="314" t="s">
        <v>510</v>
      </c>
      <c r="I448" s="314" t="s">
        <v>510</v>
      </c>
      <c r="J448" s="314">
        <v>40</v>
      </c>
      <c r="K448" s="29">
        <f t="shared" si="50"/>
        <v>40</v>
      </c>
      <c r="L448" s="314" t="s">
        <v>504</v>
      </c>
      <c r="M448" s="314"/>
      <c r="N448" s="314"/>
      <c r="O448" s="314"/>
      <c r="P448" s="314"/>
      <c r="Q448" s="314"/>
      <c r="R448" s="314"/>
      <c r="S448" s="314"/>
      <c r="T448" s="314"/>
      <c r="U448" s="314"/>
      <c r="V448" s="350"/>
      <c r="W448" s="350"/>
      <c r="X448" s="350"/>
      <c r="Y448" s="350"/>
      <c r="Z448" s="307"/>
      <c r="AA448" s="350">
        <f t="shared" si="51"/>
        <v>0</v>
      </c>
      <c r="AB448" s="307"/>
      <c r="AC448" s="307"/>
      <c r="AD448" s="303"/>
      <c r="AE448" s="303"/>
      <c r="AF448" s="303"/>
      <c r="AG448" s="303"/>
      <c r="AH448" s="314"/>
      <c r="AI448" s="297">
        <f t="shared" si="52"/>
        <v>0</v>
      </c>
      <c r="AJ448" s="303"/>
      <c r="AK448" s="392"/>
      <c r="AL448" s="303"/>
      <c r="AM448" s="303"/>
      <c r="AN448" s="303"/>
      <c r="AO448" s="303"/>
      <c r="AP448" s="303"/>
      <c r="AQ448" s="289">
        <f t="shared" si="53"/>
        <v>0</v>
      </c>
      <c r="AR448" s="303"/>
      <c r="AS448" s="301"/>
      <c r="AT448" s="303" t="s">
        <v>510</v>
      </c>
      <c r="AU448" s="303" t="s">
        <v>519</v>
      </c>
      <c r="AV448" s="303" t="s">
        <v>510</v>
      </c>
      <c r="AW448" s="303" t="s">
        <v>510</v>
      </c>
      <c r="AX448" s="303">
        <v>0</v>
      </c>
      <c r="AY448" s="139">
        <f t="shared" si="54"/>
        <v>0</v>
      </c>
      <c r="AZ448" s="303" t="s">
        <v>520</v>
      </c>
      <c r="BA448" s="301" t="s">
        <v>2607</v>
      </c>
      <c r="BB448" s="304"/>
      <c r="BC448" s="304"/>
      <c r="BD448" s="304"/>
      <c r="BE448" s="304"/>
      <c r="BF448" s="304"/>
      <c r="BG448" s="353">
        <f t="shared" si="55"/>
        <v>0</v>
      </c>
      <c r="BH448" s="304"/>
      <c r="BI448" s="304"/>
      <c r="BJ448" s="354">
        <f t="shared" si="49"/>
        <v>1</v>
      </c>
      <c r="BK448" s="316" t="str">
        <f t="shared" si="56"/>
        <v>Habilitado</v>
      </c>
    </row>
    <row r="449" spans="1:63" ht="25.5" x14ac:dyDescent="0.25">
      <c r="A449" s="324">
        <v>447</v>
      </c>
      <c r="B449" s="345" t="s">
        <v>2610</v>
      </c>
      <c r="C449" s="357" t="s">
        <v>2580</v>
      </c>
      <c r="D449" s="360" t="s">
        <v>1746</v>
      </c>
      <c r="E449" s="347">
        <v>1</v>
      </c>
      <c r="F449" s="314" t="s">
        <v>510</v>
      </c>
      <c r="G449" s="314" t="s">
        <v>510</v>
      </c>
      <c r="H449" s="314" t="s">
        <v>510</v>
      </c>
      <c r="I449" s="314" t="s">
        <v>510</v>
      </c>
      <c r="J449" s="314">
        <v>40</v>
      </c>
      <c r="K449" s="29">
        <f t="shared" si="50"/>
        <v>40</v>
      </c>
      <c r="L449" s="314" t="s">
        <v>504</v>
      </c>
      <c r="M449" s="314"/>
      <c r="N449" s="314"/>
      <c r="O449" s="314"/>
      <c r="P449" s="314"/>
      <c r="Q449" s="314"/>
      <c r="R449" s="314"/>
      <c r="S449" s="314"/>
      <c r="T449" s="314"/>
      <c r="U449" s="314"/>
      <c r="V449" s="350"/>
      <c r="W449" s="350"/>
      <c r="X449" s="350"/>
      <c r="Y449" s="350"/>
      <c r="Z449" s="307"/>
      <c r="AA449" s="350">
        <f t="shared" si="51"/>
        <v>0</v>
      </c>
      <c r="AB449" s="307"/>
      <c r="AC449" s="307"/>
      <c r="AD449" s="303"/>
      <c r="AE449" s="303"/>
      <c r="AF449" s="303"/>
      <c r="AG449" s="303"/>
      <c r="AH449" s="314"/>
      <c r="AI449" s="297">
        <f t="shared" si="52"/>
        <v>0</v>
      </c>
      <c r="AJ449" s="303"/>
      <c r="AK449" s="392"/>
      <c r="AL449" s="303"/>
      <c r="AM449" s="303"/>
      <c r="AN449" s="303"/>
      <c r="AO449" s="303"/>
      <c r="AP449" s="303"/>
      <c r="AQ449" s="289">
        <f t="shared" si="53"/>
        <v>0</v>
      </c>
      <c r="AR449" s="303"/>
      <c r="AS449" s="301"/>
      <c r="AT449" s="303" t="s">
        <v>510</v>
      </c>
      <c r="AU449" s="303" t="s">
        <v>519</v>
      </c>
      <c r="AV449" s="303" t="s">
        <v>510</v>
      </c>
      <c r="AW449" s="303" t="s">
        <v>510</v>
      </c>
      <c r="AX449" s="303">
        <v>0</v>
      </c>
      <c r="AY449" s="139">
        <f t="shared" si="54"/>
        <v>0</v>
      </c>
      <c r="AZ449" s="303" t="s">
        <v>520</v>
      </c>
      <c r="BA449" s="301" t="s">
        <v>2607</v>
      </c>
      <c r="BB449" s="303"/>
      <c r="BC449" s="303"/>
      <c r="BD449" s="303"/>
      <c r="BE449" s="303"/>
      <c r="BF449" s="303"/>
      <c r="BG449" s="353">
        <f t="shared" si="55"/>
        <v>0</v>
      </c>
      <c r="BH449" s="303"/>
      <c r="BI449" s="303"/>
      <c r="BJ449" s="354">
        <f t="shared" si="49"/>
        <v>1</v>
      </c>
      <c r="BK449" s="316" t="str">
        <f t="shared" si="56"/>
        <v>Habilitado</v>
      </c>
    </row>
    <row r="450" spans="1:63" ht="25.5" x14ac:dyDescent="0.25">
      <c r="A450" s="324">
        <v>448</v>
      </c>
      <c r="B450" s="345" t="s">
        <v>2611</v>
      </c>
      <c r="C450" s="335" t="s">
        <v>2580</v>
      </c>
      <c r="D450" s="360" t="s">
        <v>1748</v>
      </c>
      <c r="E450" s="347">
        <v>1</v>
      </c>
      <c r="F450" s="314" t="s">
        <v>510</v>
      </c>
      <c r="G450" s="314" t="s">
        <v>510</v>
      </c>
      <c r="H450" s="314" t="s">
        <v>510</v>
      </c>
      <c r="I450" s="314" t="s">
        <v>510</v>
      </c>
      <c r="J450" s="314">
        <v>40</v>
      </c>
      <c r="K450" s="29">
        <f t="shared" si="50"/>
        <v>40</v>
      </c>
      <c r="L450" s="314" t="s">
        <v>504</v>
      </c>
      <c r="M450" s="314"/>
      <c r="N450" s="314"/>
      <c r="O450" s="314"/>
      <c r="P450" s="314"/>
      <c r="Q450" s="314"/>
      <c r="R450" s="314"/>
      <c r="S450" s="314"/>
      <c r="T450" s="314"/>
      <c r="U450" s="314"/>
      <c r="V450" s="350"/>
      <c r="W450" s="350"/>
      <c r="X450" s="350"/>
      <c r="Y450" s="350"/>
      <c r="Z450" s="307"/>
      <c r="AA450" s="350">
        <f t="shared" si="51"/>
        <v>0</v>
      </c>
      <c r="AB450" s="307"/>
      <c r="AC450" s="307"/>
      <c r="AD450" s="303"/>
      <c r="AE450" s="303"/>
      <c r="AF450" s="303"/>
      <c r="AG450" s="303"/>
      <c r="AH450" s="314"/>
      <c r="AI450" s="297">
        <f t="shared" si="52"/>
        <v>0</v>
      </c>
      <c r="AJ450" s="303"/>
      <c r="AK450" s="392"/>
      <c r="AL450" s="303"/>
      <c r="AM450" s="303"/>
      <c r="AN450" s="303"/>
      <c r="AO450" s="303"/>
      <c r="AP450" s="303"/>
      <c r="AQ450" s="289">
        <f t="shared" si="53"/>
        <v>0</v>
      </c>
      <c r="AR450" s="303"/>
      <c r="AS450" s="301"/>
      <c r="AT450" s="303" t="s">
        <v>510</v>
      </c>
      <c r="AU450" s="303" t="s">
        <v>519</v>
      </c>
      <c r="AV450" s="303" t="s">
        <v>510</v>
      </c>
      <c r="AW450" s="303" t="s">
        <v>510</v>
      </c>
      <c r="AX450" s="303">
        <v>0</v>
      </c>
      <c r="AY450" s="139">
        <f t="shared" si="54"/>
        <v>0</v>
      </c>
      <c r="AZ450" s="303" t="s">
        <v>520</v>
      </c>
      <c r="BA450" s="301" t="s">
        <v>2607</v>
      </c>
      <c r="BB450" s="303"/>
      <c r="BC450" s="303"/>
      <c r="BD450" s="303"/>
      <c r="BE450" s="303"/>
      <c r="BF450" s="303"/>
      <c r="BG450" s="353">
        <f t="shared" si="55"/>
        <v>0</v>
      </c>
      <c r="BH450" s="303"/>
      <c r="BI450" s="303"/>
      <c r="BJ450" s="354">
        <f t="shared" si="49"/>
        <v>1</v>
      </c>
      <c r="BK450" s="316" t="str">
        <f t="shared" si="56"/>
        <v>Habilitado</v>
      </c>
    </row>
    <row r="451" spans="1:63" ht="25.5" x14ac:dyDescent="0.25">
      <c r="A451" s="324">
        <v>449</v>
      </c>
      <c r="B451" s="345" t="s">
        <v>2612</v>
      </c>
      <c r="C451" s="335" t="s">
        <v>2588</v>
      </c>
      <c r="D451" s="357" t="s">
        <v>1749</v>
      </c>
      <c r="E451" s="347">
        <v>1</v>
      </c>
      <c r="F451" s="314"/>
      <c r="G451" s="314"/>
      <c r="H451" s="314"/>
      <c r="I451" s="314"/>
      <c r="J451" s="314"/>
      <c r="K451" s="29">
        <f t="shared" si="50"/>
        <v>0</v>
      </c>
      <c r="L451" s="314"/>
      <c r="M451" s="314"/>
      <c r="N451" s="314"/>
      <c r="O451" s="314"/>
      <c r="P451" s="314"/>
      <c r="Q451" s="314"/>
      <c r="R451" s="314"/>
      <c r="S451" s="314"/>
      <c r="T451" s="314"/>
      <c r="U451" s="314"/>
      <c r="V451" s="350"/>
      <c r="W451" s="350"/>
      <c r="X451" s="350"/>
      <c r="Y451" s="350"/>
      <c r="Z451" s="307"/>
      <c r="AA451" s="350">
        <f t="shared" si="51"/>
        <v>0</v>
      </c>
      <c r="AB451" s="307"/>
      <c r="AC451" s="307"/>
      <c r="AD451" s="303"/>
      <c r="AE451" s="303"/>
      <c r="AF451" s="303"/>
      <c r="AG451" s="303"/>
      <c r="AH451" s="314"/>
      <c r="AI451" s="297">
        <f t="shared" si="52"/>
        <v>0</v>
      </c>
      <c r="AJ451" s="303"/>
      <c r="AK451" s="392"/>
      <c r="AL451" s="303"/>
      <c r="AM451" s="303"/>
      <c r="AN451" s="303"/>
      <c r="AO451" s="303"/>
      <c r="AP451" s="303"/>
      <c r="AQ451" s="289">
        <f t="shared" si="53"/>
        <v>0</v>
      </c>
      <c r="AR451" s="303"/>
      <c r="AS451" s="301"/>
      <c r="AT451" s="329"/>
      <c r="AU451" s="329"/>
      <c r="AV451" s="329"/>
      <c r="AW451" s="329"/>
      <c r="AX451" s="329"/>
      <c r="AY451" s="139">
        <f t="shared" si="54"/>
        <v>0</v>
      </c>
      <c r="AZ451" s="303"/>
      <c r="BA451" s="301"/>
      <c r="BB451" s="303"/>
      <c r="BC451" s="303"/>
      <c r="BD451" s="303"/>
      <c r="BE451" s="303"/>
      <c r="BF451" s="303"/>
      <c r="BG451" s="353">
        <f t="shared" si="55"/>
        <v>0</v>
      </c>
      <c r="BH451" s="303"/>
      <c r="BI451" s="303"/>
      <c r="BJ451" s="354">
        <f t="shared" ref="BJ451:BJ514" si="57">COUNTIF(L451,"Habilitado")+COUNTIF(T451,"Habilitado")+COUNTIF(AB451,"Habilitado")+COUNTIF(AJ451,"Habilitado")+COUNTIF(AR451,"Habilitado")+COUNTIF(AZ451,"Habilitado")+COUNTIF(BH451,"Habilitado")</f>
        <v>0</v>
      </c>
      <c r="BK451" s="316" t="str">
        <f t="shared" si="56"/>
        <v>Desierto</v>
      </c>
    </row>
    <row r="452" spans="1:63" ht="63.75" x14ac:dyDescent="0.25">
      <c r="A452" s="324">
        <v>450</v>
      </c>
      <c r="B452" s="345" t="s">
        <v>2613</v>
      </c>
      <c r="C452" s="335" t="s">
        <v>2614</v>
      </c>
      <c r="D452" s="360" t="s">
        <v>2615</v>
      </c>
      <c r="E452" s="347">
        <v>1</v>
      </c>
      <c r="F452" s="314" t="s">
        <v>510</v>
      </c>
      <c r="G452" s="314" t="s">
        <v>510</v>
      </c>
      <c r="H452" s="314" t="s">
        <v>510</v>
      </c>
      <c r="I452" s="314" t="s">
        <v>510</v>
      </c>
      <c r="J452" s="314">
        <v>40</v>
      </c>
      <c r="K452" s="29">
        <f t="shared" ref="K452:K515" si="58">+J452</f>
        <v>40</v>
      </c>
      <c r="L452" s="314" t="s">
        <v>504</v>
      </c>
      <c r="M452" s="314"/>
      <c r="N452" s="314"/>
      <c r="O452" s="314"/>
      <c r="P452" s="314"/>
      <c r="Q452" s="314"/>
      <c r="R452" s="314"/>
      <c r="S452" s="314"/>
      <c r="T452" s="314"/>
      <c r="U452" s="314"/>
      <c r="V452" s="350"/>
      <c r="W452" s="350"/>
      <c r="X452" s="350"/>
      <c r="Y452" s="350"/>
      <c r="Z452" s="307"/>
      <c r="AA452" s="350">
        <f t="shared" ref="AA452:AA515" si="59">(Z452)</f>
        <v>0</v>
      </c>
      <c r="AB452" s="307"/>
      <c r="AC452" s="307"/>
      <c r="AD452" s="303"/>
      <c r="AE452" s="303"/>
      <c r="AF452" s="303"/>
      <c r="AG452" s="303"/>
      <c r="AH452" s="314"/>
      <c r="AI452" s="297">
        <f t="shared" ref="AI452:AI515" si="60">+AH452</f>
        <v>0</v>
      </c>
      <c r="AJ452" s="303"/>
      <c r="AK452" s="392"/>
      <c r="AL452" s="303"/>
      <c r="AM452" s="303"/>
      <c r="AN452" s="303"/>
      <c r="AO452" s="303"/>
      <c r="AP452" s="303"/>
      <c r="AQ452" s="289">
        <f t="shared" ref="AQ452:AQ515" si="61">+AP452</f>
        <v>0</v>
      </c>
      <c r="AR452" s="303"/>
      <c r="AS452" s="301"/>
      <c r="AT452" s="329"/>
      <c r="AU452" s="329"/>
      <c r="AV452" s="329"/>
      <c r="AW452" s="329"/>
      <c r="AX452" s="329"/>
      <c r="AY452" s="139">
        <f t="shared" ref="AY452:AY515" si="62">+AX452</f>
        <v>0</v>
      </c>
      <c r="AZ452" s="303"/>
      <c r="BA452" s="301"/>
      <c r="BB452" s="303"/>
      <c r="BC452" s="303"/>
      <c r="BD452" s="303"/>
      <c r="BE452" s="303"/>
      <c r="BF452" s="303"/>
      <c r="BG452" s="353">
        <f t="shared" ref="BG452:BG515" si="63">+BF452</f>
        <v>0</v>
      </c>
      <c r="BH452" s="303"/>
      <c r="BI452" s="303"/>
      <c r="BJ452" s="354">
        <f t="shared" si="57"/>
        <v>1</v>
      </c>
      <c r="BK452" s="316" t="str">
        <f t="shared" si="56"/>
        <v>Habilitado</v>
      </c>
    </row>
    <row r="453" spans="1:63" ht="51" x14ac:dyDescent="0.25">
      <c r="A453" s="324">
        <v>451</v>
      </c>
      <c r="B453" s="345" t="s">
        <v>2616</v>
      </c>
      <c r="C453" s="335" t="s">
        <v>2617</v>
      </c>
      <c r="D453" s="357" t="s">
        <v>2618</v>
      </c>
      <c r="E453" s="347">
        <v>1</v>
      </c>
      <c r="F453" s="314" t="s">
        <v>510</v>
      </c>
      <c r="G453" s="314" t="s">
        <v>510</v>
      </c>
      <c r="H453" s="314" t="s">
        <v>510</v>
      </c>
      <c r="I453" s="314" t="s">
        <v>510</v>
      </c>
      <c r="J453" s="314">
        <v>40</v>
      </c>
      <c r="K453" s="29">
        <f t="shared" si="58"/>
        <v>40</v>
      </c>
      <c r="L453" s="314" t="s">
        <v>504</v>
      </c>
      <c r="M453" s="314"/>
      <c r="N453" s="314"/>
      <c r="O453" s="314"/>
      <c r="P453" s="314"/>
      <c r="Q453" s="314"/>
      <c r="R453" s="314"/>
      <c r="S453" s="314"/>
      <c r="T453" s="314"/>
      <c r="U453" s="314"/>
      <c r="V453" s="350"/>
      <c r="W453" s="350"/>
      <c r="X453" s="350"/>
      <c r="Y453" s="350"/>
      <c r="Z453" s="307"/>
      <c r="AA453" s="350">
        <f t="shared" si="59"/>
        <v>0</v>
      </c>
      <c r="AB453" s="307"/>
      <c r="AC453" s="307"/>
      <c r="AD453" s="303"/>
      <c r="AE453" s="303"/>
      <c r="AF453" s="303"/>
      <c r="AG453" s="303"/>
      <c r="AH453" s="314"/>
      <c r="AI453" s="297">
        <f t="shared" si="60"/>
        <v>0</v>
      </c>
      <c r="AJ453" s="303"/>
      <c r="AK453" s="392"/>
      <c r="AL453" s="303"/>
      <c r="AM453" s="303"/>
      <c r="AN453" s="303"/>
      <c r="AO453" s="303"/>
      <c r="AP453" s="303"/>
      <c r="AQ453" s="289">
        <f t="shared" si="61"/>
        <v>0</v>
      </c>
      <c r="AR453" s="303"/>
      <c r="AS453" s="301"/>
      <c r="AT453" s="329"/>
      <c r="AU453" s="329"/>
      <c r="AV453" s="329"/>
      <c r="AW453" s="329"/>
      <c r="AX453" s="329"/>
      <c r="AY453" s="139">
        <f t="shared" si="62"/>
        <v>0</v>
      </c>
      <c r="AZ453" s="303"/>
      <c r="BA453" s="301"/>
      <c r="BB453" s="303"/>
      <c r="BC453" s="303"/>
      <c r="BD453" s="303"/>
      <c r="BE453" s="303"/>
      <c r="BF453" s="303"/>
      <c r="BG453" s="353">
        <f t="shared" si="63"/>
        <v>0</v>
      </c>
      <c r="BH453" s="303"/>
      <c r="BI453" s="303"/>
      <c r="BJ453" s="354">
        <f t="shared" si="57"/>
        <v>1</v>
      </c>
      <c r="BK453" s="316" t="str">
        <f t="shared" si="56"/>
        <v>Habilitado</v>
      </c>
    </row>
    <row r="454" spans="1:63" ht="51" x14ac:dyDescent="0.25">
      <c r="A454" s="324">
        <v>452</v>
      </c>
      <c r="B454" s="345" t="s">
        <v>2619</v>
      </c>
      <c r="C454" s="335" t="s">
        <v>2620</v>
      </c>
      <c r="D454" s="357" t="s">
        <v>2618</v>
      </c>
      <c r="E454" s="347">
        <v>1</v>
      </c>
      <c r="F454" s="314" t="s">
        <v>510</v>
      </c>
      <c r="G454" s="314" t="s">
        <v>519</v>
      </c>
      <c r="H454" s="314" t="s">
        <v>510</v>
      </c>
      <c r="I454" s="314" t="s">
        <v>510</v>
      </c>
      <c r="J454" s="406">
        <v>0</v>
      </c>
      <c r="K454" s="29">
        <f t="shared" si="58"/>
        <v>0</v>
      </c>
      <c r="L454" s="314" t="s">
        <v>520</v>
      </c>
      <c r="M454" s="407" t="s">
        <v>2621</v>
      </c>
      <c r="N454" s="407"/>
      <c r="O454" s="407"/>
      <c r="P454" s="407"/>
      <c r="Q454" s="407"/>
      <c r="R454" s="407"/>
      <c r="S454" s="407"/>
      <c r="T454" s="407"/>
      <c r="U454" s="407"/>
      <c r="V454" s="350"/>
      <c r="W454" s="350"/>
      <c r="X454" s="350"/>
      <c r="Y454" s="350"/>
      <c r="Z454" s="307"/>
      <c r="AA454" s="350">
        <f t="shared" si="59"/>
        <v>0</v>
      </c>
      <c r="AB454" s="307"/>
      <c r="AC454" s="306"/>
      <c r="AD454" s="303"/>
      <c r="AE454" s="303"/>
      <c r="AF454" s="303"/>
      <c r="AG454" s="303"/>
      <c r="AH454" s="314"/>
      <c r="AI454" s="297">
        <f t="shared" si="60"/>
        <v>0</v>
      </c>
      <c r="AJ454" s="303"/>
      <c r="AK454" s="392"/>
      <c r="AL454" s="303"/>
      <c r="AM454" s="303"/>
      <c r="AN454" s="303"/>
      <c r="AO454" s="303"/>
      <c r="AP454" s="303"/>
      <c r="AQ454" s="289">
        <f t="shared" si="61"/>
        <v>0</v>
      </c>
      <c r="AR454" s="303"/>
      <c r="AS454" s="301"/>
      <c r="AT454" s="329"/>
      <c r="AU454" s="329"/>
      <c r="AV454" s="329"/>
      <c r="AW454" s="329"/>
      <c r="AX454" s="329"/>
      <c r="AY454" s="139">
        <f t="shared" si="62"/>
        <v>0</v>
      </c>
      <c r="AZ454" s="303"/>
      <c r="BA454" s="301"/>
      <c r="BB454" s="303"/>
      <c r="BC454" s="303"/>
      <c r="BD454" s="303"/>
      <c r="BE454" s="303"/>
      <c r="BF454" s="303"/>
      <c r="BG454" s="353">
        <f t="shared" si="63"/>
        <v>0</v>
      </c>
      <c r="BH454" s="303"/>
      <c r="BI454" s="303"/>
      <c r="BJ454" s="354">
        <f t="shared" si="57"/>
        <v>0</v>
      </c>
      <c r="BK454" s="316" t="str">
        <f t="shared" si="56"/>
        <v>Desierto</v>
      </c>
    </row>
    <row r="455" spans="1:63" ht="25.5" x14ac:dyDescent="0.25">
      <c r="A455" s="324">
        <v>453</v>
      </c>
      <c r="B455" s="345" t="s">
        <v>2622</v>
      </c>
      <c r="C455" s="335" t="s">
        <v>2614</v>
      </c>
      <c r="D455" s="360" t="s">
        <v>1741</v>
      </c>
      <c r="E455" s="347">
        <v>1</v>
      </c>
      <c r="F455" s="314" t="s">
        <v>510</v>
      </c>
      <c r="G455" s="314" t="s">
        <v>510</v>
      </c>
      <c r="H455" s="314" t="s">
        <v>510</v>
      </c>
      <c r="I455" s="314" t="s">
        <v>510</v>
      </c>
      <c r="J455" s="314">
        <v>40</v>
      </c>
      <c r="K455" s="29">
        <f t="shared" si="58"/>
        <v>40</v>
      </c>
      <c r="L455" s="314" t="s">
        <v>504</v>
      </c>
      <c r="M455" s="314"/>
      <c r="N455" s="314"/>
      <c r="O455" s="314"/>
      <c r="P455" s="314"/>
      <c r="Q455" s="314"/>
      <c r="R455" s="314"/>
      <c r="S455" s="314"/>
      <c r="T455" s="314"/>
      <c r="U455" s="314"/>
      <c r="V455" s="350"/>
      <c r="W455" s="350"/>
      <c r="X455" s="350"/>
      <c r="Y455" s="350"/>
      <c r="Z455" s="307"/>
      <c r="AA455" s="350">
        <f t="shared" si="59"/>
        <v>0</v>
      </c>
      <c r="AB455" s="307"/>
      <c r="AC455" s="307"/>
      <c r="AD455" s="303"/>
      <c r="AE455" s="303"/>
      <c r="AF455" s="303"/>
      <c r="AG455" s="303"/>
      <c r="AH455" s="314"/>
      <c r="AI455" s="297">
        <f t="shared" si="60"/>
        <v>0</v>
      </c>
      <c r="AJ455" s="303"/>
      <c r="AK455" s="392"/>
      <c r="AL455" s="303"/>
      <c r="AM455" s="303"/>
      <c r="AN455" s="303"/>
      <c r="AO455" s="303"/>
      <c r="AP455" s="303"/>
      <c r="AQ455" s="289">
        <f t="shared" si="61"/>
        <v>0</v>
      </c>
      <c r="AR455" s="303"/>
      <c r="AS455" s="301"/>
      <c r="AT455" s="329"/>
      <c r="AU455" s="329"/>
      <c r="AV455" s="329"/>
      <c r="AW455" s="329"/>
      <c r="AX455" s="329"/>
      <c r="AY455" s="139">
        <f t="shared" si="62"/>
        <v>0</v>
      </c>
      <c r="AZ455" s="303"/>
      <c r="BA455" s="301"/>
      <c r="BB455" s="303"/>
      <c r="BC455" s="303"/>
      <c r="BD455" s="303"/>
      <c r="BE455" s="303"/>
      <c r="BF455" s="303"/>
      <c r="BG455" s="353">
        <f t="shared" si="63"/>
        <v>0</v>
      </c>
      <c r="BH455" s="303"/>
      <c r="BI455" s="303"/>
      <c r="BJ455" s="354">
        <f t="shared" si="57"/>
        <v>1</v>
      </c>
      <c r="BK455" s="316" t="str">
        <f t="shared" si="56"/>
        <v>Habilitado</v>
      </c>
    </row>
    <row r="456" spans="1:63" ht="51" x14ac:dyDescent="0.25">
      <c r="A456" s="324">
        <v>454</v>
      </c>
      <c r="B456" s="325" t="s">
        <v>2623</v>
      </c>
      <c r="C456" s="325" t="s">
        <v>2624</v>
      </c>
      <c r="D456" s="325" t="s">
        <v>2625</v>
      </c>
      <c r="E456" s="362">
        <v>1</v>
      </c>
      <c r="F456" s="406" t="s">
        <v>510</v>
      </c>
      <c r="G456" s="406" t="s">
        <v>510</v>
      </c>
      <c r="H456" s="406" t="s">
        <v>510</v>
      </c>
      <c r="I456" s="406" t="s">
        <v>510</v>
      </c>
      <c r="J456" s="406">
        <v>40</v>
      </c>
      <c r="K456" s="29">
        <f t="shared" si="58"/>
        <v>40</v>
      </c>
      <c r="L456" s="406" t="s">
        <v>504</v>
      </c>
      <c r="M456" s="406"/>
      <c r="N456" s="406"/>
      <c r="O456" s="406"/>
      <c r="P456" s="406"/>
      <c r="Q456" s="406"/>
      <c r="R456" s="406"/>
      <c r="S456" s="406"/>
      <c r="T456" s="406"/>
      <c r="U456" s="406"/>
      <c r="V456" s="350"/>
      <c r="W456" s="350"/>
      <c r="X456" s="350"/>
      <c r="Y456" s="350"/>
      <c r="Z456" s="307"/>
      <c r="AA456" s="350">
        <f t="shared" si="59"/>
        <v>0</v>
      </c>
      <c r="AB456" s="307"/>
      <c r="AC456" s="307"/>
      <c r="AD456" s="304"/>
      <c r="AE456" s="304"/>
      <c r="AF456" s="304"/>
      <c r="AG456" s="304"/>
      <c r="AH456" s="326"/>
      <c r="AI456" s="297">
        <f t="shared" si="60"/>
        <v>0</v>
      </c>
      <c r="AJ456" s="304"/>
      <c r="AK456" s="304"/>
      <c r="AL456" s="304"/>
      <c r="AM456" s="304"/>
      <c r="AN456" s="304"/>
      <c r="AO456" s="304"/>
      <c r="AP456" s="304"/>
      <c r="AQ456" s="289">
        <f t="shared" si="61"/>
        <v>0</v>
      </c>
      <c r="AR456" s="304"/>
      <c r="AS456" s="304"/>
      <c r="AT456" s="325"/>
      <c r="AU456" s="325"/>
      <c r="AV456" s="325"/>
      <c r="AW456" s="325"/>
      <c r="AX456" s="325"/>
      <c r="AY456" s="139">
        <f t="shared" si="62"/>
        <v>0</v>
      </c>
      <c r="AZ456" s="304"/>
      <c r="BA456" s="304"/>
      <c r="BB456" s="303"/>
      <c r="BC456" s="303"/>
      <c r="BD456" s="303"/>
      <c r="BE456" s="303"/>
      <c r="BF456" s="303"/>
      <c r="BG456" s="353">
        <f t="shared" si="63"/>
        <v>0</v>
      </c>
      <c r="BH456" s="303"/>
      <c r="BI456" s="303"/>
      <c r="BJ456" s="354">
        <f t="shared" si="57"/>
        <v>1</v>
      </c>
      <c r="BK456" s="316" t="str">
        <f t="shared" si="56"/>
        <v>Habilitado</v>
      </c>
    </row>
    <row r="457" spans="1:63" ht="51" x14ac:dyDescent="0.25">
      <c r="A457" s="324">
        <v>455</v>
      </c>
      <c r="B457" s="345" t="s">
        <v>2626</v>
      </c>
      <c r="C457" s="335" t="s">
        <v>518</v>
      </c>
      <c r="D457" s="360" t="s">
        <v>2627</v>
      </c>
      <c r="E457" s="347">
        <v>1</v>
      </c>
      <c r="F457" s="314" t="s">
        <v>510</v>
      </c>
      <c r="G457" s="314" t="s">
        <v>510</v>
      </c>
      <c r="H457" s="314" t="s">
        <v>510</v>
      </c>
      <c r="I457" s="314" t="s">
        <v>510</v>
      </c>
      <c r="J457" s="406">
        <v>40</v>
      </c>
      <c r="K457" s="29">
        <f t="shared" si="58"/>
        <v>40</v>
      </c>
      <c r="L457" s="314" t="s">
        <v>504</v>
      </c>
      <c r="M457" s="407" t="s">
        <v>2628</v>
      </c>
      <c r="N457" s="407"/>
      <c r="O457" s="407"/>
      <c r="P457" s="407"/>
      <c r="Q457" s="407"/>
      <c r="R457" s="407"/>
      <c r="S457" s="407"/>
      <c r="T457" s="407"/>
      <c r="U457" s="407"/>
      <c r="V457" s="350" t="s">
        <v>510</v>
      </c>
      <c r="W457" s="350" t="s">
        <v>510</v>
      </c>
      <c r="X457" s="350" t="s">
        <v>510</v>
      </c>
      <c r="Y457" s="350" t="s">
        <v>510</v>
      </c>
      <c r="Z457" s="304">
        <v>20</v>
      </c>
      <c r="AA457" s="350">
        <f t="shared" si="59"/>
        <v>20</v>
      </c>
      <c r="AB457" s="307" t="s">
        <v>504</v>
      </c>
      <c r="AC457" s="306"/>
      <c r="AD457" s="303"/>
      <c r="AE457" s="303"/>
      <c r="AF457" s="303"/>
      <c r="AG457" s="303"/>
      <c r="AH457" s="314"/>
      <c r="AI457" s="297">
        <f t="shared" si="60"/>
        <v>0</v>
      </c>
      <c r="AJ457" s="303"/>
      <c r="AK457" s="392"/>
      <c r="AL457" s="303"/>
      <c r="AM457" s="303"/>
      <c r="AN457" s="303"/>
      <c r="AO457" s="303"/>
      <c r="AP457" s="303"/>
      <c r="AQ457" s="289">
        <f t="shared" si="61"/>
        <v>0</v>
      </c>
      <c r="AR457" s="303"/>
      <c r="AS457" s="301"/>
      <c r="AT457" s="303" t="s">
        <v>510</v>
      </c>
      <c r="AU457" s="303" t="s">
        <v>519</v>
      </c>
      <c r="AV457" s="303" t="s">
        <v>510</v>
      </c>
      <c r="AW457" s="303" t="s">
        <v>510</v>
      </c>
      <c r="AX457" s="303">
        <v>0</v>
      </c>
      <c r="AY457" s="139">
        <f t="shared" si="62"/>
        <v>0</v>
      </c>
      <c r="AZ457" s="303" t="s">
        <v>520</v>
      </c>
      <c r="BA457" s="301"/>
      <c r="BB457" s="303"/>
      <c r="BC457" s="303"/>
      <c r="BD457" s="303"/>
      <c r="BE457" s="303"/>
      <c r="BF457" s="303"/>
      <c r="BG457" s="353">
        <f t="shared" si="63"/>
        <v>0</v>
      </c>
      <c r="BH457" s="303"/>
      <c r="BI457" s="303"/>
      <c r="BJ457" s="354">
        <f t="shared" si="57"/>
        <v>2</v>
      </c>
      <c r="BK457" s="316" t="str">
        <f t="shared" si="56"/>
        <v>Habilitado</v>
      </c>
    </row>
    <row r="458" spans="1:63" ht="25.5" x14ac:dyDescent="0.25">
      <c r="A458" s="324">
        <v>456</v>
      </c>
      <c r="B458" s="345" t="s">
        <v>2629</v>
      </c>
      <c r="C458" s="335" t="s">
        <v>2630</v>
      </c>
      <c r="D458" s="357" t="s">
        <v>140</v>
      </c>
      <c r="E458" s="347">
        <v>1</v>
      </c>
      <c r="F458" s="314"/>
      <c r="G458" s="314"/>
      <c r="H458" s="314"/>
      <c r="I458" s="314"/>
      <c r="J458" s="314"/>
      <c r="K458" s="29">
        <f t="shared" si="58"/>
        <v>0</v>
      </c>
      <c r="L458" s="314"/>
      <c r="M458" s="314"/>
      <c r="N458" s="314"/>
      <c r="O458" s="314"/>
      <c r="P458" s="314"/>
      <c r="Q458" s="314"/>
      <c r="R458" s="314"/>
      <c r="S458" s="314"/>
      <c r="T458" s="314"/>
      <c r="U458" s="314"/>
      <c r="V458" s="350"/>
      <c r="W458" s="350"/>
      <c r="X458" s="350"/>
      <c r="Y458" s="350"/>
      <c r="Z458" s="307"/>
      <c r="AA458" s="350">
        <f t="shared" si="59"/>
        <v>0</v>
      </c>
      <c r="AB458" s="307"/>
      <c r="AC458" s="307"/>
      <c r="AD458" s="303"/>
      <c r="AE458" s="303"/>
      <c r="AF458" s="303"/>
      <c r="AG458" s="303"/>
      <c r="AH458" s="314"/>
      <c r="AI458" s="297">
        <f t="shared" si="60"/>
        <v>0</v>
      </c>
      <c r="AJ458" s="303"/>
      <c r="AK458" s="392"/>
      <c r="AL458" s="303"/>
      <c r="AM458" s="303"/>
      <c r="AN458" s="303"/>
      <c r="AO458" s="303"/>
      <c r="AP458" s="303"/>
      <c r="AQ458" s="289">
        <f t="shared" si="61"/>
        <v>0</v>
      </c>
      <c r="AR458" s="303"/>
      <c r="AS458" s="301"/>
      <c r="AT458" s="329"/>
      <c r="AU458" s="329"/>
      <c r="AV458" s="329"/>
      <c r="AW458" s="329"/>
      <c r="AX458" s="329"/>
      <c r="AY458" s="139">
        <f t="shared" si="62"/>
        <v>0</v>
      </c>
      <c r="AZ458" s="303"/>
      <c r="BA458" s="303"/>
      <c r="BB458" s="304"/>
      <c r="BC458" s="304"/>
      <c r="BD458" s="304"/>
      <c r="BE458" s="304"/>
      <c r="BF458" s="304"/>
      <c r="BG458" s="353">
        <f t="shared" si="63"/>
        <v>0</v>
      </c>
      <c r="BH458" s="304"/>
      <c r="BI458" s="304"/>
      <c r="BJ458" s="354">
        <f t="shared" si="57"/>
        <v>0</v>
      </c>
      <c r="BK458" s="316" t="str">
        <f t="shared" si="56"/>
        <v>Desierto</v>
      </c>
    </row>
    <row r="459" spans="1:63" x14ac:dyDescent="0.25">
      <c r="A459" s="324">
        <v>457</v>
      </c>
      <c r="B459" s="345" t="s">
        <v>2631</v>
      </c>
      <c r="C459" s="335" t="s">
        <v>518</v>
      </c>
      <c r="D459" s="360" t="s">
        <v>2632</v>
      </c>
      <c r="E459" s="347">
        <v>1</v>
      </c>
      <c r="F459" s="314" t="s">
        <v>510</v>
      </c>
      <c r="G459" s="314" t="s">
        <v>510</v>
      </c>
      <c r="H459" s="314" t="s">
        <v>511</v>
      </c>
      <c r="I459" s="314" t="s">
        <v>510</v>
      </c>
      <c r="J459" s="314">
        <v>40</v>
      </c>
      <c r="K459" s="29">
        <f t="shared" si="58"/>
        <v>40</v>
      </c>
      <c r="L459" s="314" t="s">
        <v>504</v>
      </c>
      <c r="M459" s="314"/>
      <c r="N459" s="314"/>
      <c r="O459" s="314"/>
      <c r="P459" s="314"/>
      <c r="Q459" s="314"/>
      <c r="R459" s="314"/>
      <c r="S459" s="314"/>
      <c r="T459" s="314"/>
      <c r="U459" s="314"/>
      <c r="V459" s="350"/>
      <c r="W459" s="350"/>
      <c r="X459" s="350"/>
      <c r="Y459" s="350"/>
      <c r="Z459" s="307"/>
      <c r="AA459" s="350">
        <f t="shared" si="59"/>
        <v>0</v>
      </c>
      <c r="AB459" s="307"/>
      <c r="AC459" s="307"/>
      <c r="AD459" s="303"/>
      <c r="AE459" s="303"/>
      <c r="AF459" s="303"/>
      <c r="AG459" s="303"/>
      <c r="AH459" s="314"/>
      <c r="AI459" s="297">
        <f t="shared" si="60"/>
        <v>0</v>
      </c>
      <c r="AJ459" s="303"/>
      <c r="AK459" s="392"/>
      <c r="AL459" s="303"/>
      <c r="AM459" s="303"/>
      <c r="AN459" s="303"/>
      <c r="AO459" s="303"/>
      <c r="AP459" s="303"/>
      <c r="AQ459" s="289">
        <f t="shared" si="61"/>
        <v>0</v>
      </c>
      <c r="AR459" s="303"/>
      <c r="AS459" s="301"/>
      <c r="AT459" s="329"/>
      <c r="AU459" s="329"/>
      <c r="AV459" s="329"/>
      <c r="AW459" s="329"/>
      <c r="AX459" s="329"/>
      <c r="AY459" s="139">
        <f t="shared" si="62"/>
        <v>0</v>
      </c>
      <c r="AZ459" s="303"/>
      <c r="BA459" s="303"/>
      <c r="BB459" s="303"/>
      <c r="BC459" s="303"/>
      <c r="BD459" s="303"/>
      <c r="BE459" s="303"/>
      <c r="BF459" s="303"/>
      <c r="BG459" s="353">
        <f t="shared" si="63"/>
        <v>0</v>
      </c>
      <c r="BH459" s="303"/>
      <c r="BI459" s="303"/>
      <c r="BJ459" s="354">
        <f t="shared" si="57"/>
        <v>1</v>
      </c>
      <c r="BK459" s="316" t="str">
        <f t="shared" si="56"/>
        <v>Habilitado</v>
      </c>
    </row>
    <row r="460" spans="1:63" x14ac:dyDescent="0.25">
      <c r="A460" s="324">
        <v>458</v>
      </c>
      <c r="B460" s="345" t="s">
        <v>2633</v>
      </c>
      <c r="C460" s="335" t="s">
        <v>518</v>
      </c>
      <c r="D460" s="360" t="s">
        <v>2634</v>
      </c>
      <c r="E460" s="347">
        <v>1</v>
      </c>
      <c r="F460" s="314" t="s">
        <v>510</v>
      </c>
      <c r="G460" s="314" t="s">
        <v>510</v>
      </c>
      <c r="H460" s="314" t="s">
        <v>511</v>
      </c>
      <c r="I460" s="314" t="s">
        <v>510</v>
      </c>
      <c r="J460" s="314">
        <v>40</v>
      </c>
      <c r="K460" s="29">
        <f t="shared" si="58"/>
        <v>40</v>
      </c>
      <c r="L460" s="314" t="s">
        <v>504</v>
      </c>
      <c r="M460" s="314"/>
      <c r="N460" s="314"/>
      <c r="O460" s="314"/>
      <c r="P460" s="314"/>
      <c r="Q460" s="314"/>
      <c r="R460" s="314"/>
      <c r="S460" s="314"/>
      <c r="T460" s="314"/>
      <c r="U460" s="314"/>
      <c r="V460" s="350"/>
      <c r="W460" s="350"/>
      <c r="X460" s="350"/>
      <c r="Y460" s="350"/>
      <c r="Z460" s="307"/>
      <c r="AA460" s="350">
        <f t="shared" si="59"/>
        <v>0</v>
      </c>
      <c r="AB460" s="307"/>
      <c r="AC460" s="307"/>
      <c r="AD460" s="303"/>
      <c r="AE460" s="303"/>
      <c r="AF460" s="303"/>
      <c r="AG460" s="303"/>
      <c r="AH460" s="314"/>
      <c r="AI460" s="297">
        <f t="shared" si="60"/>
        <v>0</v>
      </c>
      <c r="AJ460" s="303"/>
      <c r="AK460" s="392"/>
      <c r="AL460" s="303"/>
      <c r="AM460" s="303"/>
      <c r="AN460" s="303"/>
      <c r="AO460" s="303"/>
      <c r="AP460" s="303"/>
      <c r="AQ460" s="289">
        <f t="shared" si="61"/>
        <v>0</v>
      </c>
      <c r="AR460" s="303"/>
      <c r="AS460" s="303"/>
      <c r="AT460" s="329"/>
      <c r="AU460" s="329"/>
      <c r="AV460" s="329"/>
      <c r="AW460" s="329"/>
      <c r="AX460" s="329"/>
      <c r="AY460" s="139">
        <f t="shared" si="62"/>
        <v>0</v>
      </c>
      <c r="AZ460" s="303"/>
      <c r="BA460" s="303"/>
      <c r="BB460" s="303"/>
      <c r="BC460" s="303"/>
      <c r="BD460" s="303"/>
      <c r="BE460" s="303"/>
      <c r="BF460" s="303"/>
      <c r="BG460" s="353">
        <f t="shared" si="63"/>
        <v>0</v>
      </c>
      <c r="BH460" s="303"/>
      <c r="BI460" s="303"/>
      <c r="BJ460" s="354">
        <f t="shared" si="57"/>
        <v>1</v>
      </c>
      <c r="BK460" s="316" t="str">
        <f t="shared" si="56"/>
        <v>Habilitado</v>
      </c>
    </row>
    <row r="461" spans="1:63" ht="63.75" x14ac:dyDescent="0.25">
      <c r="A461" s="324">
        <v>459</v>
      </c>
      <c r="B461" s="345" t="s">
        <v>2635</v>
      </c>
      <c r="C461" s="335" t="s">
        <v>518</v>
      </c>
      <c r="D461" s="360" t="s">
        <v>140</v>
      </c>
      <c r="E461" s="347">
        <v>1</v>
      </c>
      <c r="F461" s="314" t="s">
        <v>510</v>
      </c>
      <c r="G461" s="314" t="s">
        <v>510</v>
      </c>
      <c r="H461" s="314" t="s">
        <v>511</v>
      </c>
      <c r="I461" s="314" t="s">
        <v>510</v>
      </c>
      <c r="J461" s="314">
        <v>40</v>
      </c>
      <c r="K461" s="29">
        <f t="shared" si="58"/>
        <v>40</v>
      </c>
      <c r="L461" s="314" t="s">
        <v>504</v>
      </c>
      <c r="M461" s="314"/>
      <c r="N461" s="314"/>
      <c r="O461" s="314"/>
      <c r="P461" s="314"/>
      <c r="Q461" s="314"/>
      <c r="R461" s="314"/>
      <c r="S461" s="314"/>
      <c r="T461" s="314"/>
      <c r="U461" s="314"/>
      <c r="V461" s="350"/>
      <c r="W461" s="350"/>
      <c r="X461" s="350"/>
      <c r="Y461" s="350"/>
      <c r="Z461" s="307"/>
      <c r="AA461" s="350">
        <f t="shared" si="59"/>
        <v>0</v>
      </c>
      <c r="AB461" s="307"/>
      <c r="AC461" s="307"/>
      <c r="AD461" s="303"/>
      <c r="AE461" s="303"/>
      <c r="AF461" s="303"/>
      <c r="AG461" s="303"/>
      <c r="AH461" s="314"/>
      <c r="AI461" s="297">
        <f t="shared" si="60"/>
        <v>0</v>
      </c>
      <c r="AJ461" s="303"/>
      <c r="AK461" s="303"/>
      <c r="AL461" s="303"/>
      <c r="AM461" s="303"/>
      <c r="AN461" s="303"/>
      <c r="AO461" s="303"/>
      <c r="AP461" s="303"/>
      <c r="AQ461" s="289">
        <f t="shared" si="61"/>
        <v>0</v>
      </c>
      <c r="AR461" s="303"/>
      <c r="AS461" s="303"/>
      <c r="AT461" s="329"/>
      <c r="AU461" s="329"/>
      <c r="AV461" s="329"/>
      <c r="AW461" s="329"/>
      <c r="AX461" s="329"/>
      <c r="AY461" s="139">
        <f t="shared" si="62"/>
        <v>0</v>
      </c>
      <c r="AZ461" s="303"/>
      <c r="BA461" s="303"/>
      <c r="BB461" s="303"/>
      <c r="BC461" s="303"/>
      <c r="BD461" s="303"/>
      <c r="BE461" s="303"/>
      <c r="BF461" s="303"/>
      <c r="BG461" s="353">
        <f t="shared" si="63"/>
        <v>0</v>
      </c>
      <c r="BH461" s="303"/>
      <c r="BI461" s="303"/>
      <c r="BJ461" s="354">
        <f t="shared" si="57"/>
        <v>1</v>
      </c>
      <c r="BK461" s="316" t="str">
        <f t="shared" si="56"/>
        <v>Habilitado</v>
      </c>
    </row>
    <row r="462" spans="1:63" ht="25.5" x14ac:dyDescent="0.25">
      <c r="A462" s="324">
        <v>460</v>
      </c>
      <c r="B462" s="345" t="s">
        <v>2636</v>
      </c>
      <c r="C462" s="335" t="s">
        <v>518</v>
      </c>
      <c r="D462" s="357" t="s">
        <v>140</v>
      </c>
      <c r="E462" s="347">
        <v>1</v>
      </c>
      <c r="F462" s="314" t="s">
        <v>510</v>
      </c>
      <c r="G462" s="314" t="s">
        <v>510</v>
      </c>
      <c r="H462" s="314" t="s">
        <v>511</v>
      </c>
      <c r="I462" s="314" t="s">
        <v>510</v>
      </c>
      <c r="J462" s="314">
        <v>40</v>
      </c>
      <c r="K462" s="29">
        <f t="shared" si="58"/>
        <v>40</v>
      </c>
      <c r="L462" s="314" t="s">
        <v>504</v>
      </c>
      <c r="M462" s="314"/>
      <c r="N462" s="314"/>
      <c r="O462" s="314"/>
      <c r="P462" s="314"/>
      <c r="Q462" s="314"/>
      <c r="R462" s="314"/>
      <c r="S462" s="314"/>
      <c r="T462" s="314"/>
      <c r="U462" s="314"/>
      <c r="V462" s="350"/>
      <c r="W462" s="350"/>
      <c r="X462" s="350"/>
      <c r="Y462" s="350"/>
      <c r="Z462" s="307"/>
      <c r="AA462" s="350">
        <f t="shared" si="59"/>
        <v>0</v>
      </c>
      <c r="AB462" s="307"/>
      <c r="AC462" s="307"/>
      <c r="AD462" s="303"/>
      <c r="AE462" s="303"/>
      <c r="AF462" s="303"/>
      <c r="AG462" s="303"/>
      <c r="AH462" s="314"/>
      <c r="AI462" s="297">
        <f t="shared" si="60"/>
        <v>0</v>
      </c>
      <c r="AJ462" s="303"/>
      <c r="AK462" s="303"/>
      <c r="AL462" s="303"/>
      <c r="AM462" s="303"/>
      <c r="AN462" s="303"/>
      <c r="AO462" s="303"/>
      <c r="AP462" s="303"/>
      <c r="AQ462" s="289">
        <f t="shared" si="61"/>
        <v>0</v>
      </c>
      <c r="AR462" s="314"/>
      <c r="AS462" s="314"/>
      <c r="AT462" s="329"/>
      <c r="AU462" s="329"/>
      <c r="AV462" s="329"/>
      <c r="AW462" s="329"/>
      <c r="AX462" s="329"/>
      <c r="AY462" s="139">
        <f t="shared" si="62"/>
        <v>0</v>
      </c>
      <c r="AZ462" s="303"/>
      <c r="BA462" s="303"/>
      <c r="BB462" s="303"/>
      <c r="BC462" s="303"/>
      <c r="BD462" s="303"/>
      <c r="BE462" s="303"/>
      <c r="BF462" s="303"/>
      <c r="BG462" s="353">
        <f t="shared" si="63"/>
        <v>0</v>
      </c>
      <c r="BH462" s="303"/>
      <c r="BI462" s="303"/>
      <c r="BJ462" s="354">
        <f t="shared" si="57"/>
        <v>1</v>
      </c>
      <c r="BK462" s="316" t="str">
        <f t="shared" si="56"/>
        <v>Habilitado</v>
      </c>
    </row>
    <row r="463" spans="1:63" ht="25.5" x14ac:dyDescent="0.25">
      <c r="A463" s="324">
        <v>461</v>
      </c>
      <c r="B463" s="345" t="s">
        <v>2637</v>
      </c>
      <c r="C463" s="335" t="s">
        <v>518</v>
      </c>
      <c r="D463" s="360" t="s">
        <v>140</v>
      </c>
      <c r="E463" s="347">
        <v>1</v>
      </c>
      <c r="F463" s="314" t="s">
        <v>510</v>
      </c>
      <c r="G463" s="314" t="s">
        <v>510</v>
      </c>
      <c r="H463" s="314" t="s">
        <v>511</v>
      </c>
      <c r="I463" s="314" t="s">
        <v>510</v>
      </c>
      <c r="J463" s="314">
        <v>40</v>
      </c>
      <c r="K463" s="29">
        <f t="shared" si="58"/>
        <v>40</v>
      </c>
      <c r="L463" s="314" t="s">
        <v>504</v>
      </c>
      <c r="M463" s="314"/>
      <c r="N463" s="314"/>
      <c r="O463" s="314"/>
      <c r="P463" s="314"/>
      <c r="Q463" s="314"/>
      <c r="R463" s="314"/>
      <c r="S463" s="314"/>
      <c r="T463" s="314"/>
      <c r="U463" s="314"/>
      <c r="V463" s="350"/>
      <c r="W463" s="350"/>
      <c r="X463" s="350"/>
      <c r="Y463" s="350"/>
      <c r="Z463" s="307"/>
      <c r="AA463" s="350">
        <f t="shared" si="59"/>
        <v>0</v>
      </c>
      <c r="AB463" s="307"/>
      <c r="AC463" s="307"/>
      <c r="AD463" s="303"/>
      <c r="AE463" s="303"/>
      <c r="AF463" s="303"/>
      <c r="AG463" s="303"/>
      <c r="AH463" s="314"/>
      <c r="AI463" s="297">
        <f t="shared" si="60"/>
        <v>0</v>
      </c>
      <c r="AJ463" s="303"/>
      <c r="AK463" s="303"/>
      <c r="AL463" s="303"/>
      <c r="AM463" s="303"/>
      <c r="AN463" s="303"/>
      <c r="AO463" s="303"/>
      <c r="AP463" s="303"/>
      <c r="AQ463" s="289">
        <f t="shared" si="61"/>
        <v>0</v>
      </c>
      <c r="AR463" s="314"/>
      <c r="AS463" s="314"/>
      <c r="AT463" s="329"/>
      <c r="AU463" s="329"/>
      <c r="AV463" s="329"/>
      <c r="AW463" s="329"/>
      <c r="AX463" s="329"/>
      <c r="AY463" s="139">
        <f t="shared" si="62"/>
        <v>0</v>
      </c>
      <c r="AZ463" s="303"/>
      <c r="BA463" s="303"/>
      <c r="BB463" s="303"/>
      <c r="BC463" s="303"/>
      <c r="BD463" s="303"/>
      <c r="BE463" s="303"/>
      <c r="BF463" s="303"/>
      <c r="BG463" s="353">
        <f t="shared" si="63"/>
        <v>0</v>
      </c>
      <c r="BH463" s="303"/>
      <c r="BI463" s="303"/>
      <c r="BJ463" s="354">
        <f t="shared" si="57"/>
        <v>1</v>
      </c>
      <c r="BK463" s="316" t="str">
        <f t="shared" si="56"/>
        <v>Habilitado</v>
      </c>
    </row>
    <row r="464" spans="1:63" x14ac:dyDescent="0.25">
      <c r="A464" s="324">
        <v>462</v>
      </c>
      <c r="B464" s="345" t="s">
        <v>2638</v>
      </c>
      <c r="C464" s="335" t="s">
        <v>518</v>
      </c>
      <c r="D464" s="360" t="s">
        <v>140</v>
      </c>
      <c r="E464" s="347">
        <v>1</v>
      </c>
      <c r="F464" s="314" t="s">
        <v>510</v>
      </c>
      <c r="G464" s="314" t="s">
        <v>510</v>
      </c>
      <c r="H464" s="314" t="s">
        <v>511</v>
      </c>
      <c r="I464" s="314" t="s">
        <v>510</v>
      </c>
      <c r="J464" s="314">
        <v>40</v>
      </c>
      <c r="K464" s="29">
        <f t="shared" si="58"/>
        <v>40</v>
      </c>
      <c r="L464" s="314" t="s">
        <v>504</v>
      </c>
      <c r="M464" s="314"/>
      <c r="N464" s="314"/>
      <c r="O464" s="314"/>
      <c r="P464" s="314"/>
      <c r="Q464" s="314"/>
      <c r="R464" s="314"/>
      <c r="S464" s="314"/>
      <c r="T464" s="314"/>
      <c r="U464" s="314"/>
      <c r="V464" s="350"/>
      <c r="W464" s="350"/>
      <c r="X464" s="350"/>
      <c r="Y464" s="350"/>
      <c r="Z464" s="307"/>
      <c r="AA464" s="350">
        <f t="shared" si="59"/>
        <v>0</v>
      </c>
      <c r="AB464" s="307"/>
      <c r="AC464" s="307"/>
      <c r="AD464" s="303"/>
      <c r="AE464" s="303"/>
      <c r="AF464" s="303"/>
      <c r="AG464" s="303"/>
      <c r="AH464" s="314"/>
      <c r="AI464" s="297">
        <f t="shared" si="60"/>
        <v>0</v>
      </c>
      <c r="AJ464" s="303"/>
      <c r="AK464" s="303"/>
      <c r="AL464" s="303"/>
      <c r="AM464" s="303"/>
      <c r="AN464" s="303"/>
      <c r="AO464" s="303"/>
      <c r="AP464" s="303"/>
      <c r="AQ464" s="289">
        <f t="shared" si="61"/>
        <v>0</v>
      </c>
      <c r="AR464" s="314"/>
      <c r="AS464" s="314"/>
      <c r="AT464" s="329"/>
      <c r="AU464" s="329"/>
      <c r="AV464" s="329"/>
      <c r="AW464" s="329"/>
      <c r="AX464" s="329"/>
      <c r="AY464" s="139">
        <f t="shared" si="62"/>
        <v>0</v>
      </c>
      <c r="AZ464" s="303"/>
      <c r="BA464" s="303"/>
      <c r="BB464" s="303"/>
      <c r="BC464" s="303"/>
      <c r="BD464" s="303"/>
      <c r="BE464" s="303"/>
      <c r="BF464" s="303"/>
      <c r="BG464" s="353">
        <f t="shared" si="63"/>
        <v>0</v>
      </c>
      <c r="BH464" s="303"/>
      <c r="BI464" s="303"/>
      <c r="BJ464" s="354">
        <f t="shared" si="57"/>
        <v>1</v>
      </c>
      <c r="BK464" s="316" t="str">
        <f t="shared" si="56"/>
        <v>Habilitado</v>
      </c>
    </row>
    <row r="465" spans="1:63" ht="25.5" x14ac:dyDescent="0.25">
      <c r="A465" s="324">
        <v>463</v>
      </c>
      <c r="B465" s="345" t="s">
        <v>2639</v>
      </c>
      <c r="C465" s="335" t="s">
        <v>518</v>
      </c>
      <c r="D465" s="360" t="s">
        <v>140</v>
      </c>
      <c r="E465" s="347">
        <v>1</v>
      </c>
      <c r="F465" s="314"/>
      <c r="G465" s="314"/>
      <c r="H465" s="314"/>
      <c r="I465" s="314"/>
      <c r="J465" s="314"/>
      <c r="K465" s="29">
        <f t="shared" si="58"/>
        <v>0</v>
      </c>
      <c r="L465" s="314"/>
      <c r="M465" s="314"/>
      <c r="N465" s="314"/>
      <c r="O465" s="314"/>
      <c r="P465" s="314"/>
      <c r="Q465" s="314"/>
      <c r="R465" s="314"/>
      <c r="S465" s="314"/>
      <c r="T465" s="314"/>
      <c r="U465" s="314"/>
      <c r="V465" s="350"/>
      <c r="W465" s="350"/>
      <c r="X465" s="350"/>
      <c r="Y465" s="350"/>
      <c r="Z465" s="307"/>
      <c r="AA465" s="350">
        <f t="shared" si="59"/>
        <v>0</v>
      </c>
      <c r="AB465" s="307"/>
      <c r="AC465" s="307"/>
      <c r="AD465" s="303"/>
      <c r="AE465" s="303"/>
      <c r="AF465" s="303"/>
      <c r="AG465" s="303"/>
      <c r="AH465" s="314"/>
      <c r="AI465" s="297">
        <f t="shared" si="60"/>
        <v>0</v>
      </c>
      <c r="AJ465" s="303"/>
      <c r="AK465" s="303"/>
      <c r="AL465" s="303"/>
      <c r="AM465" s="303"/>
      <c r="AN465" s="303"/>
      <c r="AO465" s="303"/>
      <c r="AP465" s="303"/>
      <c r="AQ465" s="289">
        <f t="shared" si="61"/>
        <v>0</v>
      </c>
      <c r="AR465" s="303"/>
      <c r="AS465" s="303"/>
      <c r="AT465" s="329"/>
      <c r="AU465" s="329"/>
      <c r="AV465" s="329"/>
      <c r="AW465" s="329"/>
      <c r="AX465" s="329"/>
      <c r="AY465" s="139">
        <f t="shared" si="62"/>
        <v>0</v>
      </c>
      <c r="AZ465" s="303"/>
      <c r="BA465" s="303"/>
      <c r="BB465" s="303"/>
      <c r="BC465" s="303"/>
      <c r="BD465" s="303"/>
      <c r="BE465" s="303"/>
      <c r="BF465" s="303"/>
      <c r="BG465" s="353">
        <f t="shared" si="63"/>
        <v>0</v>
      </c>
      <c r="BH465" s="303"/>
      <c r="BI465" s="303"/>
      <c r="BJ465" s="354">
        <f t="shared" si="57"/>
        <v>0</v>
      </c>
      <c r="BK465" s="316" t="str">
        <f t="shared" si="56"/>
        <v>Desierto</v>
      </c>
    </row>
    <row r="466" spans="1:63" ht="25.5" x14ac:dyDescent="0.25">
      <c r="A466" s="324">
        <v>464</v>
      </c>
      <c r="B466" s="345" t="s">
        <v>2640</v>
      </c>
      <c r="C466" s="335" t="s">
        <v>518</v>
      </c>
      <c r="D466" s="360" t="s">
        <v>2120</v>
      </c>
      <c r="E466" s="347">
        <v>1</v>
      </c>
      <c r="F466" s="314" t="s">
        <v>510</v>
      </c>
      <c r="G466" s="314" t="s">
        <v>510</v>
      </c>
      <c r="H466" s="314" t="s">
        <v>510</v>
      </c>
      <c r="I466" s="314" t="s">
        <v>510</v>
      </c>
      <c r="J466" s="314">
        <v>40</v>
      </c>
      <c r="K466" s="29">
        <f t="shared" si="58"/>
        <v>40</v>
      </c>
      <c r="L466" s="314" t="s">
        <v>504</v>
      </c>
      <c r="M466" s="314"/>
      <c r="N466" s="314"/>
      <c r="O466" s="314"/>
      <c r="P466" s="314"/>
      <c r="Q466" s="314"/>
      <c r="R466" s="314"/>
      <c r="S466" s="314"/>
      <c r="T466" s="314"/>
      <c r="U466" s="314"/>
      <c r="V466" s="350"/>
      <c r="W466" s="350"/>
      <c r="X466" s="350"/>
      <c r="Y466" s="350"/>
      <c r="Z466" s="307"/>
      <c r="AA466" s="350">
        <f t="shared" si="59"/>
        <v>0</v>
      </c>
      <c r="AB466" s="307"/>
      <c r="AC466" s="307"/>
      <c r="AD466" s="303"/>
      <c r="AE466" s="303"/>
      <c r="AF466" s="303"/>
      <c r="AG466" s="303"/>
      <c r="AH466" s="314"/>
      <c r="AI466" s="297">
        <f t="shared" si="60"/>
        <v>0</v>
      </c>
      <c r="AJ466" s="303"/>
      <c r="AK466" s="303"/>
      <c r="AL466" s="303"/>
      <c r="AM466" s="303"/>
      <c r="AN466" s="303"/>
      <c r="AO466" s="303"/>
      <c r="AP466" s="303"/>
      <c r="AQ466" s="289">
        <f t="shared" si="61"/>
        <v>0</v>
      </c>
      <c r="AR466" s="303"/>
      <c r="AS466" s="303"/>
      <c r="AT466" s="329"/>
      <c r="AU466" s="329"/>
      <c r="AV466" s="329"/>
      <c r="AW466" s="329"/>
      <c r="AX466" s="329"/>
      <c r="AY466" s="139">
        <f t="shared" si="62"/>
        <v>0</v>
      </c>
      <c r="AZ466" s="303"/>
      <c r="BA466" s="303"/>
      <c r="BB466" s="303"/>
      <c r="BC466" s="303"/>
      <c r="BD466" s="303"/>
      <c r="BE466" s="303"/>
      <c r="BF466" s="303"/>
      <c r="BG466" s="353">
        <f t="shared" si="63"/>
        <v>0</v>
      </c>
      <c r="BH466" s="303"/>
      <c r="BI466" s="303"/>
      <c r="BJ466" s="354">
        <f t="shared" si="57"/>
        <v>1</v>
      </c>
      <c r="BK466" s="316" t="str">
        <f t="shared" si="56"/>
        <v>Habilitado</v>
      </c>
    </row>
    <row r="467" spans="1:63" ht="25.5" x14ac:dyDescent="0.25">
      <c r="A467" s="324">
        <v>465</v>
      </c>
      <c r="B467" s="345" t="s">
        <v>2641</v>
      </c>
      <c r="C467" s="335" t="s">
        <v>518</v>
      </c>
      <c r="D467" s="360" t="s">
        <v>2642</v>
      </c>
      <c r="E467" s="347">
        <v>1</v>
      </c>
      <c r="F467" s="314" t="s">
        <v>510</v>
      </c>
      <c r="G467" s="314" t="s">
        <v>510</v>
      </c>
      <c r="H467" s="314" t="s">
        <v>510</v>
      </c>
      <c r="I467" s="314" t="s">
        <v>510</v>
      </c>
      <c r="J467" s="314">
        <v>40</v>
      </c>
      <c r="K467" s="29">
        <f t="shared" si="58"/>
        <v>40</v>
      </c>
      <c r="L467" s="314" t="s">
        <v>504</v>
      </c>
      <c r="M467" s="314"/>
      <c r="N467" s="314"/>
      <c r="O467" s="314"/>
      <c r="P467" s="314"/>
      <c r="Q467" s="314"/>
      <c r="R467" s="314"/>
      <c r="S467" s="314"/>
      <c r="T467" s="314"/>
      <c r="U467" s="314"/>
      <c r="V467" s="350"/>
      <c r="W467" s="350"/>
      <c r="X467" s="350"/>
      <c r="Y467" s="350"/>
      <c r="Z467" s="307"/>
      <c r="AA467" s="350">
        <f t="shared" si="59"/>
        <v>0</v>
      </c>
      <c r="AB467" s="307"/>
      <c r="AC467" s="307"/>
      <c r="AD467" s="303"/>
      <c r="AE467" s="303"/>
      <c r="AF467" s="303"/>
      <c r="AG467" s="303"/>
      <c r="AH467" s="314"/>
      <c r="AI467" s="297">
        <f t="shared" si="60"/>
        <v>0</v>
      </c>
      <c r="AJ467" s="303"/>
      <c r="AK467" s="303"/>
      <c r="AL467" s="303"/>
      <c r="AM467" s="303"/>
      <c r="AN467" s="303"/>
      <c r="AO467" s="303"/>
      <c r="AP467" s="303"/>
      <c r="AQ467" s="289">
        <f t="shared" si="61"/>
        <v>0</v>
      </c>
      <c r="AR467" s="303"/>
      <c r="AS467" s="303"/>
      <c r="AT467" s="329"/>
      <c r="AU467" s="329"/>
      <c r="AV467" s="329"/>
      <c r="AW467" s="329"/>
      <c r="AX467" s="329"/>
      <c r="AY467" s="139">
        <f t="shared" si="62"/>
        <v>0</v>
      </c>
      <c r="AZ467" s="303"/>
      <c r="BA467" s="303"/>
      <c r="BB467" s="304"/>
      <c r="BC467" s="304"/>
      <c r="BD467" s="304"/>
      <c r="BE467" s="304"/>
      <c r="BF467" s="304"/>
      <c r="BG467" s="353">
        <f t="shared" si="63"/>
        <v>0</v>
      </c>
      <c r="BH467" s="304"/>
      <c r="BI467" s="304"/>
      <c r="BJ467" s="354">
        <f t="shared" si="57"/>
        <v>1</v>
      </c>
      <c r="BK467" s="316" t="str">
        <f t="shared" si="56"/>
        <v>Habilitado</v>
      </c>
    </row>
    <row r="468" spans="1:63" ht="102" x14ac:dyDescent="0.25">
      <c r="A468" s="324">
        <v>466</v>
      </c>
      <c r="B468" s="345" t="s">
        <v>2643</v>
      </c>
      <c r="C468" s="335" t="s">
        <v>2644</v>
      </c>
      <c r="D468" s="357" t="s">
        <v>2645</v>
      </c>
      <c r="E468" s="347">
        <v>1</v>
      </c>
      <c r="F468" s="314"/>
      <c r="G468" s="314"/>
      <c r="H468" s="314"/>
      <c r="I468" s="314"/>
      <c r="J468" s="314"/>
      <c r="K468" s="29">
        <f t="shared" si="58"/>
        <v>0</v>
      </c>
      <c r="L468" s="314"/>
      <c r="M468" s="314"/>
      <c r="N468" s="314"/>
      <c r="O468" s="314"/>
      <c r="P468" s="314"/>
      <c r="Q468" s="314"/>
      <c r="R468" s="314"/>
      <c r="S468" s="314"/>
      <c r="T468" s="314"/>
      <c r="U468" s="314"/>
      <c r="V468" s="350"/>
      <c r="W468" s="350"/>
      <c r="X468" s="350"/>
      <c r="Y468" s="350"/>
      <c r="Z468" s="307"/>
      <c r="AA468" s="350">
        <f t="shared" si="59"/>
        <v>0</v>
      </c>
      <c r="AB468" s="307"/>
      <c r="AC468" s="303"/>
      <c r="AD468" s="303"/>
      <c r="AE468" s="303"/>
      <c r="AF468" s="303"/>
      <c r="AG468" s="303"/>
      <c r="AH468" s="314"/>
      <c r="AI468" s="297">
        <f t="shared" si="60"/>
        <v>0</v>
      </c>
      <c r="AJ468" s="303"/>
      <c r="AK468" s="303"/>
      <c r="AL468" s="303"/>
      <c r="AM468" s="303"/>
      <c r="AN468" s="303"/>
      <c r="AO468" s="303"/>
      <c r="AP468" s="303"/>
      <c r="AQ468" s="289">
        <f t="shared" si="61"/>
        <v>0</v>
      </c>
      <c r="AR468" s="303"/>
      <c r="AS468" s="303"/>
      <c r="AT468" s="329"/>
      <c r="AU468" s="329"/>
      <c r="AV468" s="329"/>
      <c r="AW468" s="329"/>
      <c r="AX468" s="329"/>
      <c r="AY468" s="139">
        <f t="shared" si="62"/>
        <v>0</v>
      </c>
      <c r="AZ468" s="303"/>
      <c r="BA468" s="303"/>
      <c r="BB468" s="303"/>
      <c r="BC468" s="303"/>
      <c r="BD468" s="303"/>
      <c r="BE468" s="303"/>
      <c r="BF468" s="303"/>
      <c r="BG468" s="353">
        <f t="shared" si="63"/>
        <v>0</v>
      </c>
      <c r="BH468" s="303"/>
      <c r="BI468" s="303"/>
      <c r="BJ468" s="354">
        <f t="shared" si="57"/>
        <v>0</v>
      </c>
      <c r="BK468" s="316" t="str">
        <f t="shared" si="56"/>
        <v>Desierto</v>
      </c>
    </row>
    <row r="469" spans="1:63" ht="153" x14ac:dyDescent="0.25">
      <c r="A469" s="324">
        <v>467</v>
      </c>
      <c r="B469" s="345" t="s">
        <v>2646</v>
      </c>
      <c r="C469" s="335" t="s">
        <v>2647</v>
      </c>
      <c r="D469" s="360" t="s">
        <v>638</v>
      </c>
      <c r="E469" s="347">
        <v>1</v>
      </c>
      <c r="F469" s="314" t="s">
        <v>510</v>
      </c>
      <c r="G469" s="314" t="s">
        <v>519</v>
      </c>
      <c r="H469" s="314" t="s">
        <v>511</v>
      </c>
      <c r="I469" s="314" t="s">
        <v>510</v>
      </c>
      <c r="J469" s="314">
        <v>0</v>
      </c>
      <c r="K469" s="29">
        <f t="shared" si="58"/>
        <v>0</v>
      </c>
      <c r="L469" s="314" t="s">
        <v>520</v>
      </c>
      <c r="M469" s="407" t="s">
        <v>2648</v>
      </c>
      <c r="N469" s="407"/>
      <c r="O469" s="407"/>
      <c r="P469" s="407"/>
      <c r="Q469" s="407"/>
      <c r="R469" s="407"/>
      <c r="S469" s="407"/>
      <c r="T469" s="407"/>
      <c r="U469" s="407"/>
      <c r="V469" s="350"/>
      <c r="W469" s="350"/>
      <c r="X469" s="350"/>
      <c r="Y469" s="350"/>
      <c r="Z469" s="307"/>
      <c r="AA469" s="350">
        <f t="shared" si="59"/>
        <v>0</v>
      </c>
      <c r="AB469" s="307"/>
      <c r="AC469" s="307"/>
      <c r="AD469" s="303"/>
      <c r="AE469" s="303"/>
      <c r="AF469" s="303"/>
      <c r="AG469" s="303"/>
      <c r="AH469" s="314"/>
      <c r="AI469" s="297">
        <f t="shared" si="60"/>
        <v>0</v>
      </c>
      <c r="AJ469" s="303"/>
      <c r="AK469" s="392"/>
      <c r="AL469" s="303"/>
      <c r="AM469" s="303"/>
      <c r="AN469" s="303"/>
      <c r="AO469" s="303"/>
      <c r="AP469" s="303"/>
      <c r="AQ469" s="289">
        <f t="shared" si="61"/>
        <v>0</v>
      </c>
      <c r="AR469" s="303"/>
      <c r="AS469" s="303"/>
      <c r="AT469" s="329"/>
      <c r="AU469" s="329"/>
      <c r="AV469" s="329"/>
      <c r="AW469" s="329"/>
      <c r="AX469" s="329"/>
      <c r="AY469" s="139">
        <f t="shared" si="62"/>
        <v>0</v>
      </c>
      <c r="AZ469" s="303"/>
      <c r="BA469" s="303"/>
      <c r="BB469" s="303"/>
      <c r="BC469" s="303"/>
      <c r="BD469" s="303"/>
      <c r="BE469" s="303"/>
      <c r="BF469" s="303"/>
      <c r="BG469" s="353">
        <f t="shared" si="63"/>
        <v>0</v>
      </c>
      <c r="BH469" s="303"/>
      <c r="BI469" s="303"/>
      <c r="BJ469" s="354">
        <f t="shared" si="57"/>
        <v>0</v>
      </c>
      <c r="BK469" s="316" t="str">
        <f t="shared" si="56"/>
        <v>Desierto</v>
      </c>
    </row>
    <row r="470" spans="1:63" ht="25.5" x14ac:dyDescent="0.25">
      <c r="A470" s="324">
        <v>468</v>
      </c>
      <c r="B470" s="345" t="s">
        <v>2649</v>
      </c>
      <c r="C470" s="335" t="s">
        <v>518</v>
      </c>
      <c r="D470" s="357" t="s">
        <v>1061</v>
      </c>
      <c r="E470" s="347">
        <v>1</v>
      </c>
      <c r="F470" s="314"/>
      <c r="G470" s="314"/>
      <c r="H470" s="314"/>
      <c r="I470" s="314"/>
      <c r="J470" s="314"/>
      <c r="K470" s="29">
        <f t="shared" si="58"/>
        <v>0</v>
      </c>
      <c r="L470" s="406"/>
      <c r="M470" s="314"/>
      <c r="N470" s="314"/>
      <c r="O470" s="314"/>
      <c r="P470" s="314"/>
      <c r="Q470" s="314"/>
      <c r="R470" s="314"/>
      <c r="S470" s="314"/>
      <c r="T470" s="314"/>
      <c r="U470" s="314"/>
      <c r="V470" s="350"/>
      <c r="W470" s="350"/>
      <c r="X470" s="350"/>
      <c r="Y470" s="350"/>
      <c r="Z470" s="307"/>
      <c r="AA470" s="350">
        <f t="shared" si="59"/>
        <v>0</v>
      </c>
      <c r="AB470" s="307"/>
      <c r="AC470" s="307"/>
      <c r="AD470" s="303"/>
      <c r="AE470" s="303"/>
      <c r="AF470" s="303"/>
      <c r="AG470" s="303"/>
      <c r="AH470" s="314"/>
      <c r="AI470" s="297">
        <f t="shared" si="60"/>
        <v>0</v>
      </c>
      <c r="AJ470" s="303"/>
      <c r="AK470" s="392"/>
      <c r="AL470" s="303"/>
      <c r="AM470" s="303"/>
      <c r="AN470" s="303"/>
      <c r="AO470" s="303"/>
      <c r="AP470" s="303"/>
      <c r="AQ470" s="289">
        <f t="shared" si="61"/>
        <v>0</v>
      </c>
      <c r="AR470" s="303"/>
      <c r="AS470" s="303"/>
      <c r="AT470" s="329"/>
      <c r="AU470" s="329"/>
      <c r="AV470" s="329"/>
      <c r="AW470" s="329"/>
      <c r="AX470" s="329"/>
      <c r="AY470" s="139">
        <f t="shared" si="62"/>
        <v>0</v>
      </c>
      <c r="AZ470" s="303"/>
      <c r="BA470" s="303"/>
      <c r="BB470" s="303"/>
      <c r="BC470" s="303"/>
      <c r="BD470" s="303"/>
      <c r="BE470" s="303"/>
      <c r="BF470" s="303"/>
      <c r="BG470" s="353">
        <f t="shared" si="63"/>
        <v>0</v>
      </c>
      <c r="BH470" s="303"/>
      <c r="BI470" s="303"/>
      <c r="BJ470" s="354">
        <f t="shared" si="57"/>
        <v>0</v>
      </c>
      <c r="BK470" s="316" t="str">
        <f t="shared" si="56"/>
        <v>Desierto</v>
      </c>
    </row>
    <row r="471" spans="1:63" ht="18.75" customHeight="1" x14ac:dyDescent="0.25">
      <c r="A471" s="324">
        <v>469</v>
      </c>
      <c r="B471" s="325" t="s">
        <v>2650</v>
      </c>
      <c r="C471" s="325" t="s">
        <v>2651</v>
      </c>
      <c r="D471" s="325" t="s">
        <v>2652</v>
      </c>
      <c r="E471" s="362">
        <v>1</v>
      </c>
      <c r="F471" s="406" t="s">
        <v>510</v>
      </c>
      <c r="G471" s="406" t="s">
        <v>510</v>
      </c>
      <c r="H471" s="406" t="s">
        <v>580</v>
      </c>
      <c r="I471" s="406" t="s">
        <v>510</v>
      </c>
      <c r="J471" s="406">
        <v>40</v>
      </c>
      <c r="K471" s="29">
        <f t="shared" si="58"/>
        <v>40</v>
      </c>
      <c r="L471" s="406" t="s">
        <v>504</v>
      </c>
      <c r="M471" s="406"/>
      <c r="N471" s="406"/>
      <c r="O471" s="406"/>
      <c r="P471" s="406"/>
      <c r="Q471" s="406"/>
      <c r="R471" s="406"/>
      <c r="S471" s="406"/>
      <c r="T471" s="406"/>
      <c r="U471" s="406"/>
      <c r="V471" s="350"/>
      <c r="W471" s="350"/>
      <c r="X471" s="350"/>
      <c r="Y471" s="350"/>
      <c r="Z471" s="307"/>
      <c r="AA471" s="350">
        <f t="shared" si="59"/>
        <v>0</v>
      </c>
      <c r="AB471" s="307"/>
      <c r="AC471" s="307"/>
      <c r="AD471" s="304"/>
      <c r="AE471" s="304"/>
      <c r="AF471" s="304"/>
      <c r="AG471" s="304"/>
      <c r="AH471" s="326"/>
      <c r="AI471" s="297">
        <f t="shared" si="60"/>
        <v>0</v>
      </c>
      <c r="AJ471" s="304"/>
      <c r="AK471" s="304"/>
      <c r="AL471" s="304"/>
      <c r="AM471" s="304"/>
      <c r="AN471" s="304"/>
      <c r="AO471" s="304"/>
      <c r="AP471" s="304"/>
      <c r="AQ471" s="289">
        <f t="shared" si="61"/>
        <v>0</v>
      </c>
      <c r="AR471" s="304"/>
      <c r="AS471" s="304"/>
      <c r="AT471" s="325"/>
      <c r="AU471" s="325"/>
      <c r="AV471" s="325"/>
      <c r="AW471" s="325"/>
      <c r="AX471" s="325"/>
      <c r="AY471" s="139">
        <f t="shared" si="62"/>
        <v>0</v>
      </c>
      <c r="AZ471" s="304"/>
      <c r="BA471" s="304"/>
      <c r="BB471" s="303"/>
      <c r="BC471" s="303"/>
      <c r="BD471" s="303"/>
      <c r="BE471" s="303"/>
      <c r="BF471" s="303"/>
      <c r="BG471" s="353">
        <f t="shared" si="63"/>
        <v>0</v>
      </c>
      <c r="BH471" s="303"/>
      <c r="BI471" s="303"/>
      <c r="BJ471" s="354">
        <f t="shared" si="57"/>
        <v>1</v>
      </c>
      <c r="BK471" s="316" t="str">
        <f t="shared" si="56"/>
        <v>Habilitado</v>
      </c>
    </row>
    <row r="472" spans="1:63" x14ac:dyDescent="0.25">
      <c r="A472" s="324">
        <v>470</v>
      </c>
      <c r="B472" s="345" t="s">
        <v>2653</v>
      </c>
      <c r="C472" s="335" t="s">
        <v>518</v>
      </c>
      <c r="D472" s="360" t="s">
        <v>99</v>
      </c>
      <c r="E472" s="347">
        <v>1</v>
      </c>
      <c r="F472" s="314" t="s">
        <v>510</v>
      </c>
      <c r="G472" s="314" t="s">
        <v>510</v>
      </c>
      <c r="H472" s="314" t="s">
        <v>511</v>
      </c>
      <c r="I472" s="314" t="s">
        <v>510</v>
      </c>
      <c r="J472" s="314">
        <v>40</v>
      </c>
      <c r="K472" s="29">
        <f t="shared" si="58"/>
        <v>40</v>
      </c>
      <c r="L472" s="406" t="s">
        <v>504</v>
      </c>
      <c r="M472" s="314"/>
      <c r="N472" s="314"/>
      <c r="O472" s="314"/>
      <c r="P472" s="314"/>
      <c r="Q472" s="314"/>
      <c r="R472" s="314"/>
      <c r="S472" s="314"/>
      <c r="T472" s="314"/>
      <c r="U472" s="314"/>
      <c r="V472" s="350" t="s">
        <v>510</v>
      </c>
      <c r="W472" s="350" t="s">
        <v>510</v>
      </c>
      <c r="X472" s="350" t="s">
        <v>511</v>
      </c>
      <c r="Y472" s="350" t="s">
        <v>510</v>
      </c>
      <c r="Z472" s="304">
        <v>20</v>
      </c>
      <c r="AA472" s="350">
        <f t="shared" si="59"/>
        <v>20</v>
      </c>
      <c r="AB472" s="307" t="s">
        <v>504</v>
      </c>
      <c r="AC472" s="307"/>
      <c r="AD472" s="303"/>
      <c r="AE472" s="303"/>
      <c r="AF472" s="303"/>
      <c r="AG472" s="303"/>
      <c r="AH472" s="314"/>
      <c r="AI472" s="297">
        <f t="shared" si="60"/>
        <v>0</v>
      </c>
      <c r="AJ472" s="303"/>
      <c r="AK472" s="303"/>
      <c r="AL472" s="303"/>
      <c r="AM472" s="303"/>
      <c r="AN472" s="303"/>
      <c r="AO472" s="303"/>
      <c r="AP472" s="303"/>
      <c r="AQ472" s="289">
        <f t="shared" si="61"/>
        <v>0</v>
      </c>
      <c r="AR472" s="303"/>
      <c r="AS472" s="303"/>
      <c r="AT472" s="329"/>
      <c r="AU472" s="329"/>
      <c r="AV472" s="329"/>
      <c r="AW472" s="329"/>
      <c r="AX472" s="329"/>
      <c r="AY472" s="139">
        <f t="shared" si="62"/>
        <v>0</v>
      </c>
      <c r="AZ472" s="303"/>
      <c r="BA472" s="303"/>
      <c r="BB472" s="303"/>
      <c r="BC472" s="303"/>
      <c r="BD472" s="303"/>
      <c r="BE472" s="303"/>
      <c r="BF472" s="303"/>
      <c r="BG472" s="353">
        <f t="shared" si="63"/>
        <v>0</v>
      </c>
      <c r="BH472" s="303"/>
      <c r="BI472" s="303"/>
      <c r="BJ472" s="354">
        <f t="shared" si="57"/>
        <v>2</v>
      </c>
      <c r="BK472" s="316" t="str">
        <f t="shared" si="56"/>
        <v>Habilitado</v>
      </c>
    </row>
    <row r="473" spans="1:63" ht="25.5" x14ac:dyDescent="0.25">
      <c r="A473" s="324">
        <v>471</v>
      </c>
      <c r="B473" s="345" t="s">
        <v>2654</v>
      </c>
      <c r="C473" s="335" t="s">
        <v>2655</v>
      </c>
      <c r="D473" s="357" t="s">
        <v>448</v>
      </c>
      <c r="E473" s="347">
        <v>1</v>
      </c>
      <c r="F473" s="314"/>
      <c r="G473" s="314"/>
      <c r="H473" s="314"/>
      <c r="I473" s="314"/>
      <c r="J473" s="314"/>
      <c r="K473" s="29">
        <f t="shared" si="58"/>
        <v>0</v>
      </c>
      <c r="L473" s="406"/>
      <c r="M473" s="314"/>
      <c r="N473" s="314"/>
      <c r="O473" s="314"/>
      <c r="P473" s="314"/>
      <c r="Q473" s="314"/>
      <c r="R473" s="314"/>
      <c r="S473" s="314"/>
      <c r="T473" s="314"/>
      <c r="U473" s="314"/>
      <c r="V473" s="350"/>
      <c r="W473" s="350"/>
      <c r="X473" s="350"/>
      <c r="Y473" s="350"/>
      <c r="Z473" s="307"/>
      <c r="AA473" s="350">
        <f t="shared" si="59"/>
        <v>0</v>
      </c>
      <c r="AB473" s="307"/>
      <c r="AC473" s="307"/>
      <c r="AD473" s="303"/>
      <c r="AE473" s="303"/>
      <c r="AF473" s="303"/>
      <c r="AG473" s="303"/>
      <c r="AH473" s="314"/>
      <c r="AI473" s="297">
        <f t="shared" si="60"/>
        <v>0</v>
      </c>
      <c r="AJ473" s="303"/>
      <c r="AK473" s="303"/>
      <c r="AL473" s="303"/>
      <c r="AM473" s="303"/>
      <c r="AN473" s="303"/>
      <c r="AO473" s="303"/>
      <c r="AP473" s="303"/>
      <c r="AQ473" s="289">
        <f t="shared" si="61"/>
        <v>0</v>
      </c>
      <c r="AR473" s="303"/>
      <c r="AS473" s="303"/>
      <c r="AT473" s="329"/>
      <c r="AU473" s="329"/>
      <c r="AV473" s="329"/>
      <c r="AW473" s="329"/>
      <c r="AX473" s="329"/>
      <c r="AY473" s="139">
        <f t="shared" si="62"/>
        <v>0</v>
      </c>
      <c r="AZ473" s="303"/>
      <c r="BA473" s="303"/>
      <c r="BB473" s="303"/>
      <c r="BC473" s="303"/>
      <c r="BD473" s="303"/>
      <c r="BE473" s="303"/>
      <c r="BF473" s="303"/>
      <c r="BG473" s="353">
        <f t="shared" si="63"/>
        <v>0</v>
      </c>
      <c r="BH473" s="303"/>
      <c r="BI473" s="303"/>
      <c r="BJ473" s="354">
        <f t="shared" si="57"/>
        <v>0</v>
      </c>
      <c r="BK473" s="316" t="str">
        <f t="shared" si="56"/>
        <v>Desierto</v>
      </c>
    </row>
    <row r="474" spans="1:63" ht="25.5" x14ac:dyDescent="0.25">
      <c r="A474" s="324">
        <v>472</v>
      </c>
      <c r="B474" s="345" t="s">
        <v>2656</v>
      </c>
      <c r="C474" s="335" t="s">
        <v>2655</v>
      </c>
      <c r="D474" s="357" t="s">
        <v>448</v>
      </c>
      <c r="E474" s="347">
        <v>1</v>
      </c>
      <c r="F474" s="314"/>
      <c r="G474" s="314"/>
      <c r="H474" s="314"/>
      <c r="I474" s="314"/>
      <c r="J474" s="314"/>
      <c r="K474" s="29">
        <f t="shared" si="58"/>
        <v>0</v>
      </c>
      <c r="L474" s="406"/>
      <c r="M474" s="314"/>
      <c r="N474" s="314"/>
      <c r="O474" s="314"/>
      <c r="P474" s="314"/>
      <c r="Q474" s="314"/>
      <c r="R474" s="314"/>
      <c r="S474" s="314"/>
      <c r="T474" s="314"/>
      <c r="U474" s="314"/>
      <c r="V474" s="350"/>
      <c r="W474" s="350"/>
      <c r="X474" s="350"/>
      <c r="Y474" s="350"/>
      <c r="Z474" s="307"/>
      <c r="AA474" s="350">
        <f t="shared" si="59"/>
        <v>0</v>
      </c>
      <c r="AB474" s="307"/>
      <c r="AC474" s="307"/>
      <c r="AD474" s="303"/>
      <c r="AE474" s="303"/>
      <c r="AF474" s="303"/>
      <c r="AG474" s="303"/>
      <c r="AH474" s="314"/>
      <c r="AI474" s="297">
        <f t="shared" si="60"/>
        <v>0</v>
      </c>
      <c r="AJ474" s="303"/>
      <c r="AK474" s="303"/>
      <c r="AL474" s="303"/>
      <c r="AM474" s="303"/>
      <c r="AN474" s="303"/>
      <c r="AO474" s="303"/>
      <c r="AP474" s="303"/>
      <c r="AQ474" s="289">
        <f t="shared" si="61"/>
        <v>0</v>
      </c>
      <c r="AR474" s="303"/>
      <c r="AS474" s="303"/>
      <c r="AT474" s="329"/>
      <c r="AU474" s="329"/>
      <c r="AV474" s="329"/>
      <c r="AW474" s="329"/>
      <c r="AX474" s="329"/>
      <c r="AY474" s="139">
        <f t="shared" si="62"/>
        <v>0</v>
      </c>
      <c r="AZ474" s="303"/>
      <c r="BA474" s="303"/>
      <c r="BB474" s="303"/>
      <c r="BC474" s="303"/>
      <c r="BD474" s="303"/>
      <c r="BE474" s="303"/>
      <c r="BF474" s="303"/>
      <c r="BG474" s="353">
        <f t="shared" si="63"/>
        <v>0</v>
      </c>
      <c r="BH474" s="303"/>
      <c r="BI474" s="303"/>
      <c r="BJ474" s="354">
        <f t="shared" si="57"/>
        <v>0</v>
      </c>
      <c r="BK474" s="316" t="str">
        <f t="shared" si="56"/>
        <v>Desierto</v>
      </c>
    </row>
    <row r="475" spans="1:63" ht="25.5" x14ac:dyDescent="0.25">
      <c r="A475" s="324">
        <v>473</v>
      </c>
      <c r="B475" s="345" t="s">
        <v>2657</v>
      </c>
      <c r="C475" s="335" t="s">
        <v>2655</v>
      </c>
      <c r="D475" s="357" t="s">
        <v>448</v>
      </c>
      <c r="E475" s="347">
        <v>1</v>
      </c>
      <c r="F475" s="314"/>
      <c r="G475" s="314"/>
      <c r="H475" s="314"/>
      <c r="I475" s="314"/>
      <c r="J475" s="314"/>
      <c r="K475" s="29">
        <f t="shared" si="58"/>
        <v>0</v>
      </c>
      <c r="L475" s="406"/>
      <c r="M475" s="314"/>
      <c r="N475" s="314"/>
      <c r="O475" s="314"/>
      <c r="P475" s="314"/>
      <c r="Q475" s="314"/>
      <c r="R475" s="314"/>
      <c r="S475" s="314"/>
      <c r="T475" s="314"/>
      <c r="U475" s="314"/>
      <c r="V475" s="350"/>
      <c r="W475" s="350"/>
      <c r="X475" s="350"/>
      <c r="Y475" s="350"/>
      <c r="Z475" s="307"/>
      <c r="AA475" s="350">
        <f t="shared" si="59"/>
        <v>0</v>
      </c>
      <c r="AB475" s="307"/>
      <c r="AC475" s="307"/>
      <c r="AD475" s="303"/>
      <c r="AE475" s="303"/>
      <c r="AF475" s="303"/>
      <c r="AG475" s="303"/>
      <c r="AH475" s="314"/>
      <c r="AI475" s="297">
        <f t="shared" si="60"/>
        <v>0</v>
      </c>
      <c r="AJ475" s="303"/>
      <c r="AK475" s="303"/>
      <c r="AL475" s="303"/>
      <c r="AM475" s="303"/>
      <c r="AN475" s="303"/>
      <c r="AO475" s="303"/>
      <c r="AP475" s="303"/>
      <c r="AQ475" s="289">
        <f t="shared" si="61"/>
        <v>0</v>
      </c>
      <c r="AR475" s="303"/>
      <c r="AS475" s="303"/>
      <c r="AT475" s="303" t="s">
        <v>519</v>
      </c>
      <c r="AU475" s="303" t="s">
        <v>519</v>
      </c>
      <c r="AV475" s="303" t="s">
        <v>519</v>
      </c>
      <c r="AW475" s="303" t="s">
        <v>510</v>
      </c>
      <c r="AX475" s="303">
        <v>0</v>
      </c>
      <c r="AY475" s="139">
        <f t="shared" si="62"/>
        <v>0</v>
      </c>
      <c r="AZ475" s="303" t="s">
        <v>520</v>
      </c>
      <c r="BA475" s="301"/>
      <c r="BB475" s="303"/>
      <c r="BC475" s="303"/>
      <c r="BD475" s="303"/>
      <c r="BE475" s="303"/>
      <c r="BF475" s="303"/>
      <c r="BG475" s="353">
        <f t="shared" si="63"/>
        <v>0</v>
      </c>
      <c r="BH475" s="303"/>
      <c r="BI475" s="303"/>
      <c r="BJ475" s="354">
        <f t="shared" si="57"/>
        <v>0</v>
      </c>
      <c r="BK475" s="316" t="str">
        <f t="shared" si="56"/>
        <v>Desierto</v>
      </c>
    </row>
    <row r="476" spans="1:63" ht="25.5" x14ac:dyDescent="0.25">
      <c r="A476" s="324">
        <v>474</v>
      </c>
      <c r="B476" s="345" t="s">
        <v>2658</v>
      </c>
      <c r="C476" s="335" t="s">
        <v>2659</v>
      </c>
      <c r="D476" s="360" t="s">
        <v>140</v>
      </c>
      <c r="E476" s="347">
        <v>1</v>
      </c>
      <c r="F476" s="314" t="s">
        <v>510</v>
      </c>
      <c r="G476" s="314" t="s">
        <v>510</v>
      </c>
      <c r="H476" s="314" t="s">
        <v>510</v>
      </c>
      <c r="I476" s="314" t="s">
        <v>510</v>
      </c>
      <c r="J476" s="314">
        <v>40</v>
      </c>
      <c r="K476" s="29">
        <f t="shared" si="58"/>
        <v>40</v>
      </c>
      <c r="L476" s="406" t="s">
        <v>504</v>
      </c>
      <c r="M476" s="314"/>
      <c r="N476" s="314"/>
      <c r="O476" s="314"/>
      <c r="P476" s="314"/>
      <c r="Q476" s="314"/>
      <c r="R476" s="314"/>
      <c r="S476" s="314"/>
      <c r="T476" s="314"/>
      <c r="U476" s="314"/>
      <c r="V476" s="350"/>
      <c r="W476" s="350"/>
      <c r="X476" s="350"/>
      <c r="Y476" s="350"/>
      <c r="Z476" s="307"/>
      <c r="AA476" s="350">
        <f t="shared" si="59"/>
        <v>0</v>
      </c>
      <c r="AB476" s="307"/>
      <c r="AC476" s="307"/>
      <c r="AD476" s="303"/>
      <c r="AE476" s="303"/>
      <c r="AF476" s="303"/>
      <c r="AG476" s="303"/>
      <c r="AH476" s="314"/>
      <c r="AI476" s="297">
        <f t="shared" si="60"/>
        <v>0</v>
      </c>
      <c r="AJ476" s="303"/>
      <c r="AK476" s="303"/>
      <c r="AL476" s="303"/>
      <c r="AM476" s="303"/>
      <c r="AN476" s="303"/>
      <c r="AO476" s="303"/>
      <c r="AP476" s="303"/>
      <c r="AQ476" s="289">
        <f t="shared" si="61"/>
        <v>0</v>
      </c>
      <c r="AR476" s="303"/>
      <c r="AS476" s="303"/>
      <c r="AT476" s="303" t="s">
        <v>510</v>
      </c>
      <c r="AU476" s="303" t="s">
        <v>519</v>
      </c>
      <c r="AV476" s="303" t="s">
        <v>510</v>
      </c>
      <c r="AW476" s="303" t="s">
        <v>510</v>
      </c>
      <c r="AX476" s="303">
        <v>0</v>
      </c>
      <c r="AY476" s="139">
        <f t="shared" si="62"/>
        <v>0</v>
      </c>
      <c r="AZ476" s="303" t="s">
        <v>520</v>
      </c>
      <c r="BA476" s="301" t="s">
        <v>1425</v>
      </c>
      <c r="BB476" s="303"/>
      <c r="BC476" s="303"/>
      <c r="BD476" s="303"/>
      <c r="BE476" s="303"/>
      <c r="BF476" s="303"/>
      <c r="BG476" s="353">
        <f t="shared" si="63"/>
        <v>0</v>
      </c>
      <c r="BH476" s="303"/>
      <c r="BI476" s="303"/>
      <c r="BJ476" s="354">
        <f t="shared" si="57"/>
        <v>1</v>
      </c>
      <c r="BK476" s="316" t="str">
        <f t="shared" si="56"/>
        <v>Habilitado</v>
      </c>
    </row>
    <row r="477" spans="1:63" ht="114.75" x14ac:dyDescent="0.25">
      <c r="A477" s="324">
        <v>475</v>
      </c>
      <c r="B477" s="345" t="s">
        <v>2660</v>
      </c>
      <c r="C477" s="335" t="s">
        <v>2014</v>
      </c>
      <c r="D477" s="360" t="s">
        <v>140</v>
      </c>
      <c r="E477" s="347">
        <v>1</v>
      </c>
      <c r="F477" s="314" t="s">
        <v>510</v>
      </c>
      <c r="G477" s="314" t="s">
        <v>510</v>
      </c>
      <c r="H477" s="314" t="s">
        <v>510</v>
      </c>
      <c r="I477" s="314" t="s">
        <v>510</v>
      </c>
      <c r="J477" s="314">
        <v>40</v>
      </c>
      <c r="K477" s="29">
        <f t="shared" si="58"/>
        <v>40</v>
      </c>
      <c r="L477" s="406" t="s">
        <v>504</v>
      </c>
      <c r="M477" s="314"/>
      <c r="N477" s="314"/>
      <c r="O477" s="314"/>
      <c r="P477" s="314"/>
      <c r="Q477" s="314"/>
      <c r="R477" s="314"/>
      <c r="S477" s="314"/>
      <c r="T477" s="314"/>
      <c r="U477" s="314"/>
      <c r="V477" s="350" t="s">
        <v>519</v>
      </c>
      <c r="W477" s="350" t="s">
        <v>519</v>
      </c>
      <c r="X477" s="350" t="s">
        <v>519</v>
      </c>
      <c r="Y477" s="350" t="s">
        <v>510</v>
      </c>
      <c r="Z477" s="304">
        <v>0</v>
      </c>
      <c r="AA477" s="350">
        <f t="shared" si="59"/>
        <v>0</v>
      </c>
      <c r="AB477" s="307" t="s">
        <v>520</v>
      </c>
      <c r="AC477" s="302" t="s">
        <v>2661</v>
      </c>
      <c r="AD477" s="303"/>
      <c r="AE477" s="303"/>
      <c r="AF477" s="303"/>
      <c r="AG477" s="303"/>
      <c r="AH477" s="314"/>
      <c r="AI477" s="297">
        <f t="shared" si="60"/>
        <v>0</v>
      </c>
      <c r="AJ477" s="303"/>
      <c r="AK477" s="303"/>
      <c r="AL477" s="303"/>
      <c r="AM477" s="303"/>
      <c r="AN477" s="303"/>
      <c r="AO477" s="303"/>
      <c r="AP477" s="303"/>
      <c r="AQ477" s="289">
        <f t="shared" si="61"/>
        <v>0</v>
      </c>
      <c r="AR477" s="303"/>
      <c r="AS477" s="303"/>
      <c r="AT477" s="303" t="s">
        <v>510</v>
      </c>
      <c r="AU477" s="303" t="s">
        <v>510</v>
      </c>
      <c r="AV477" s="303" t="s">
        <v>510</v>
      </c>
      <c r="AW477" s="303" t="s">
        <v>510</v>
      </c>
      <c r="AX477" s="303">
        <v>40</v>
      </c>
      <c r="AY477" s="139">
        <f t="shared" si="62"/>
        <v>40</v>
      </c>
      <c r="AZ477" s="303" t="s">
        <v>504</v>
      </c>
      <c r="BA477" s="301"/>
      <c r="BB477" s="303"/>
      <c r="BC477" s="303"/>
      <c r="BD477" s="303"/>
      <c r="BE477" s="303"/>
      <c r="BF477" s="303"/>
      <c r="BG477" s="353">
        <f t="shared" si="63"/>
        <v>0</v>
      </c>
      <c r="BH477" s="303"/>
      <c r="BI477" s="303"/>
      <c r="BJ477" s="354">
        <f t="shared" si="57"/>
        <v>2</v>
      </c>
      <c r="BK477" s="316" t="str">
        <f t="shared" si="56"/>
        <v>Habilitado</v>
      </c>
    </row>
    <row r="478" spans="1:63" ht="38.25" x14ac:dyDescent="0.25">
      <c r="A478" s="324">
        <v>476</v>
      </c>
      <c r="B478" s="345" t="s">
        <v>2662</v>
      </c>
      <c r="C478" s="335" t="s">
        <v>2663</v>
      </c>
      <c r="D478" s="360" t="s">
        <v>140</v>
      </c>
      <c r="E478" s="347">
        <v>1</v>
      </c>
      <c r="F478" s="314" t="s">
        <v>510</v>
      </c>
      <c r="G478" s="314" t="s">
        <v>510</v>
      </c>
      <c r="H478" s="314" t="s">
        <v>510</v>
      </c>
      <c r="I478" s="314" t="s">
        <v>510</v>
      </c>
      <c r="J478" s="314">
        <v>40</v>
      </c>
      <c r="K478" s="29">
        <f t="shared" si="58"/>
        <v>40</v>
      </c>
      <c r="L478" s="406" t="s">
        <v>504</v>
      </c>
      <c r="M478" s="314"/>
      <c r="N478" s="314"/>
      <c r="O478" s="314"/>
      <c r="P478" s="314"/>
      <c r="Q478" s="314"/>
      <c r="R478" s="314"/>
      <c r="S478" s="314"/>
      <c r="T478" s="314"/>
      <c r="U478" s="314"/>
      <c r="V478" s="350"/>
      <c r="W478" s="350"/>
      <c r="X478" s="350"/>
      <c r="Y478" s="350"/>
      <c r="Z478" s="307"/>
      <c r="AA478" s="350">
        <f t="shared" si="59"/>
        <v>0</v>
      </c>
      <c r="AB478" s="307"/>
      <c r="AC478" s="307"/>
      <c r="AD478" s="303"/>
      <c r="AE478" s="303"/>
      <c r="AF478" s="303"/>
      <c r="AG478" s="303"/>
      <c r="AH478" s="314"/>
      <c r="AI478" s="297">
        <f t="shared" si="60"/>
        <v>0</v>
      </c>
      <c r="AJ478" s="303"/>
      <c r="AK478" s="301"/>
      <c r="AL478" s="303"/>
      <c r="AM478" s="303"/>
      <c r="AN478" s="303"/>
      <c r="AO478" s="303"/>
      <c r="AP478" s="303"/>
      <c r="AQ478" s="289">
        <f t="shared" si="61"/>
        <v>0</v>
      </c>
      <c r="AR478" s="303"/>
      <c r="AS478" s="303"/>
      <c r="AT478" s="329"/>
      <c r="AU478" s="329"/>
      <c r="AV478" s="329"/>
      <c r="AW478" s="329"/>
      <c r="AX478" s="329"/>
      <c r="AY478" s="139">
        <f t="shared" si="62"/>
        <v>0</v>
      </c>
      <c r="AZ478" s="303"/>
      <c r="BA478" s="301"/>
      <c r="BB478" s="303"/>
      <c r="BC478" s="303"/>
      <c r="BD478" s="303"/>
      <c r="BE478" s="303"/>
      <c r="BF478" s="303"/>
      <c r="BG478" s="353">
        <f t="shared" si="63"/>
        <v>0</v>
      </c>
      <c r="BH478" s="303"/>
      <c r="BI478" s="303"/>
      <c r="BJ478" s="354">
        <f t="shared" si="57"/>
        <v>1</v>
      </c>
      <c r="BK478" s="316" t="str">
        <f t="shared" si="56"/>
        <v>Habilitado</v>
      </c>
    </row>
    <row r="479" spans="1:63" ht="63.75" x14ac:dyDescent="0.25">
      <c r="A479" s="324">
        <v>477</v>
      </c>
      <c r="B479" s="345" t="s">
        <v>2664</v>
      </c>
      <c r="C479" s="357" t="s">
        <v>518</v>
      </c>
      <c r="D479" s="360" t="s">
        <v>1761</v>
      </c>
      <c r="E479" s="347">
        <v>1</v>
      </c>
      <c r="F479" s="314" t="s">
        <v>510</v>
      </c>
      <c r="G479" s="314" t="s">
        <v>510</v>
      </c>
      <c r="H479" s="314" t="s">
        <v>510</v>
      </c>
      <c r="I479" s="314" t="s">
        <v>510</v>
      </c>
      <c r="J479" s="314">
        <v>40</v>
      </c>
      <c r="K479" s="29">
        <f t="shared" si="58"/>
        <v>40</v>
      </c>
      <c r="L479" s="406" t="s">
        <v>504</v>
      </c>
      <c r="M479" s="314"/>
      <c r="N479" s="314"/>
      <c r="O479" s="314"/>
      <c r="P479" s="314"/>
      <c r="Q479" s="314"/>
      <c r="R479" s="314"/>
      <c r="S479" s="314"/>
      <c r="T479" s="314"/>
      <c r="U479" s="314"/>
      <c r="V479" s="350"/>
      <c r="W479" s="350"/>
      <c r="X479" s="350"/>
      <c r="Y479" s="350"/>
      <c r="Z479" s="307"/>
      <c r="AA479" s="350">
        <f t="shared" si="59"/>
        <v>0</v>
      </c>
      <c r="AB479" s="307"/>
      <c r="AC479" s="303"/>
      <c r="AD479" s="303" t="s">
        <v>510</v>
      </c>
      <c r="AE479" s="303" t="s">
        <v>510</v>
      </c>
      <c r="AF479" s="303" t="s">
        <v>510</v>
      </c>
      <c r="AG479" s="303" t="s">
        <v>510</v>
      </c>
      <c r="AH479" s="314">
        <v>0</v>
      </c>
      <c r="AI479" s="297">
        <f t="shared" si="60"/>
        <v>0</v>
      </c>
      <c r="AJ479" s="303" t="s">
        <v>504</v>
      </c>
      <c r="AK479" s="303"/>
      <c r="AL479" s="303"/>
      <c r="AM479" s="303"/>
      <c r="AN479" s="303"/>
      <c r="AO479" s="303"/>
      <c r="AP479" s="303"/>
      <c r="AQ479" s="289">
        <f t="shared" si="61"/>
        <v>0</v>
      </c>
      <c r="AR479" s="303"/>
      <c r="AS479" s="303"/>
      <c r="AT479" s="329"/>
      <c r="AU479" s="329"/>
      <c r="AV479" s="329"/>
      <c r="AW479" s="329"/>
      <c r="AX479" s="329"/>
      <c r="AY479" s="139">
        <f t="shared" si="62"/>
        <v>0</v>
      </c>
      <c r="AZ479" s="303"/>
      <c r="BA479" s="303"/>
      <c r="BB479" s="356" t="s">
        <v>510</v>
      </c>
      <c r="BC479" s="356" t="s">
        <v>519</v>
      </c>
      <c r="BD479" s="356" t="s">
        <v>510</v>
      </c>
      <c r="BE479" s="303" t="s">
        <v>510</v>
      </c>
      <c r="BF479" s="352">
        <v>0</v>
      </c>
      <c r="BG479" s="353">
        <f t="shared" si="63"/>
        <v>0</v>
      </c>
      <c r="BH479" s="303" t="s">
        <v>520</v>
      </c>
      <c r="BI479" s="301" t="s">
        <v>2665</v>
      </c>
      <c r="BJ479" s="354">
        <f t="shared" si="57"/>
        <v>2</v>
      </c>
      <c r="BK479" s="316" t="str">
        <f t="shared" si="56"/>
        <v>Habilitado</v>
      </c>
    </row>
    <row r="480" spans="1:63" ht="89.25" x14ac:dyDescent="0.25">
      <c r="A480" s="324">
        <v>478</v>
      </c>
      <c r="B480" s="345" t="s">
        <v>2666</v>
      </c>
      <c r="C480" s="335" t="s">
        <v>518</v>
      </c>
      <c r="D480" s="360" t="s">
        <v>1635</v>
      </c>
      <c r="E480" s="347">
        <v>1</v>
      </c>
      <c r="F480" s="314" t="s">
        <v>510</v>
      </c>
      <c r="G480" s="314" t="s">
        <v>510</v>
      </c>
      <c r="H480" s="314" t="s">
        <v>511</v>
      </c>
      <c r="I480" s="314" t="s">
        <v>510</v>
      </c>
      <c r="J480" s="314">
        <v>40</v>
      </c>
      <c r="K480" s="29">
        <f t="shared" si="58"/>
        <v>40</v>
      </c>
      <c r="L480" s="406" t="s">
        <v>504</v>
      </c>
      <c r="M480" s="314"/>
      <c r="N480" s="314"/>
      <c r="O480" s="314"/>
      <c r="P480" s="314"/>
      <c r="Q480" s="314"/>
      <c r="R480" s="314"/>
      <c r="S480" s="314"/>
      <c r="T480" s="314"/>
      <c r="U480" s="314"/>
      <c r="V480" s="350"/>
      <c r="W480" s="350"/>
      <c r="X480" s="350"/>
      <c r="Y480" s="350"/>
      <c r="Z480" s="307"/>
      <c r="AA480" s="350">
        <f t="shared" si="59"/>
        <v>0</v>
      </c>
      <c r="AB480" s="307"/>
      <c r="AC480" s="307"/>
      <c r="AD480" s="303"/>
      <c r="AE480" s="303"/>
      <c r="AF480" s="303"/>
      <c r="AG480" s="303"/>
      <c r="AH480" s="314"/>
      <c r="AI480" s="297">
        <f t="shared" si="60"/>
        <v>0</v>
      </c>
      <c r="AJ480" s="303"/>
      <c r="AK480" s="303"/>
      <c r="AL480" s="303"/>
      <c r="AM480" s="303"/>
      <c r="AN480" s="303"/>
      <c r="AO480" s="303"/>
      <c r="AP480" s="303"/>
      <c r="AQ480" s="289">
        <f t="shared" si="61"/>
        <v>0</v>
      </c>
      <c r="AR480" s="303"/>
      <c r="AS480" s="303"/>
      <c r="AT480" s="329"/>
      <c r="AU480" s="329"/>
      <c r="AV480" s="329"/>
      <c r="AW480" s="329"/>
      <c r="AX480" s="329"/>
      <c r="AY480" s="139">
        <f t="shared" si="62"/>
        <v>0</v>
      </c>
      <c r="AZ480" s="303"/>
      <c r="BA480" s="303"/>
      <c r="BB480" s="303"/>
      <c r="BC480" s="303"/>
      <c r="BD480" s="303"/>
      <c r="BE480" s="303"/>
      <c r="BF480" s="303"/>
      <c r="BG480" s="353">
        <f t="shared" si="63"/>
        <v>0</v>
      </c>
      <c r="BH480" s="303"/>
      <c r="BI480" s="303"/>
      <c r="BJ480" s="354">
        <f t="shared" si="57"/>
        <v>1</v>
      </c>
      <c r="BK480" s="316" t="str">
        <f t="shared" ref="BK480:BK543" si="64">IF(BJ480&gt;=1,"Habilitado","Desierto")</f>
        <v>Habilitado</v>
      </c>
    </row>
    <row r="481" spans="1:63" ht="229.5" x14ac:dyDescent="0.25">
      <c r="A481" s="324">
        <v>479</v>
      </c>
      <c r="B481" s="345" t="s">
        <v>2667</v>
      </c>
      <c r="C481" s="335" t="s">
        <v>518</v>
      </c>
      <c r="D481" s="360" t="s">
        <v>140</v>
      </c>
      <c r="E481" s="347">
        <v>1</v>
      </c>
      <c r="F481" s="314"/>
      <c r="G481" s="314"/>
      <c r="H481" s="314"/>
      <c r="I481" s="314"/>
      <c r="J481" s="314"/>
      <c r="K481" s="29">
        <f t="shared" si="58"/>
        <v>0</v>
      </c>
      <c r="L481" s="314"/>
      <c r="M481" s="314"/>
      <c r="N481" s="314"/>
      <c r="O481" s="314"/>
      <c r="P481" s="314"/>
      <c r="Q481" s="314"/>
      <c r="R481" s="314"/>
      <c r="S481" s="314"/>
      <c r="T481" s="314"/>
      <c r="U481" s="314"/>
      <c r="V481" s="350"/>
      <c r="W481" s="350"/>
      <c r="X481" s="350"/>
      <c r="Y481" s="350"/>
      <c r="Z481" s="307"/>
      <c r="AA481" s="350">
        <f t="shared" si="59"/>
        <v>0</v>
      </c>
      <c r="AB481" s="307"/>
      <c r="AC481" s="307"/>
      <c r="AD481" s="303"/>
      <c r="AE481" s="303"/>
      <c r="AF481" s="303"/>
      <c r="AG481" s="303"/>
      <c r="AH481" s="314"/>
      <c r="AI481" s="297">
        <f t="shared" si="60"/>
        <v>0</v>
      </c>
      <c r="AJ481" s="303"/>
      <c r="AK481" s="303"/>
      <c r="AL481" s="303"/>
      <c r="AM481" s="303"/>
      <c r="AN481" s="303"/>
      <c r="AO481" s="303"/>
      <c r="AP481" s="303"/>
      <c r="AQ481" s="289">
        <f t="shared" si="61"/>
        <v>0</v>
      </c>
      <c r="AR481" s="303"/>
      <c r="AS481" s="303"/>
      <c r="AT481" s="329"/>
      <c r="AU481" s="329"/>
      <c r="AV481" s="329"/>
      <c r="AW481" s="329"/>
      <c r="AX481" s="329"/>
      <c r="AY481" s="139">
        <f t="shared" si="62"/>
        <v>0</v>
      </c>
      <c r="AZ481" s="303"/>
      <c r="BA481" s="303"/>
      <c r="BB481" s="303"/>
      <c r="BC481" s="303"/>
      <c r="BD481" s="303"/>
      <c r="BE481" s="303"/>
      <c r="BF481" s="303"/>
      <c r="BG481" s="353">
        <f t="shared" si="63"/>
        <v>0</v>
      </c>
      <c r="BH481" s="303"/>
      <c r="BI481" s="303"/>
      <c r="BJ481" s="354">
        <f t="shared" si="57"/>
        <v>0</v>
      </c>
      <c r="BK481" s="316" t="str">
        <f t="shared" si="64"/>
        <v>Desierto</v>
      </c>
    </row>
    <row r="482" spans="1:63" ht="75" customHeight="1" x14ac:dyDescent="0.25">
      <c r="A482" s="324">
        <v>480</v>
      </c>
      <c r="B482" s="345" t="s">
        <v>2668</v>
      </c>
      <c r="C482" s="335" t="s">
        <v>2669</v>
      </c>
      <c r="D482" s="360" t="s">
        <v>140</v>
      </c>
      <c r="E482" s="347">
        <v>1</v>
      </c>
      <c r="F482" s="314" t="s">
        <v>510</v>
      </c>
      <c r="G482" s="314" t="s">
        <v>510</v>
      </c>
      <c r="H482" s="314" t="s">
        <v>510</v>
      </c>
      <c r="I482" s="314" t="s">
        <v>510</v>
      </c>
      <c r="J482" s="314">
        <v>40</v>
      </c>
      <c r="K482" s="29">
        <f t="shared" si="58"/>
        <v>40</v>
      </c>
      <c r="L482" s="406" t="s">
        <v>504</v>
      </c>
      <c r="M482" s="407"/>
      <c r="N482" s="407"/>
      <c r="O482" s="407"/>
      <c r="P482" s="407"/>
      <c r="Q482" s="407"/>
      <c r="R482" s="407"/>
      <c r="S482" s="407"/>
      <c r="T482" s="407"/>
      <c r="U482" s="407"/>
      <c r="V482" s="350"/>
      <c r="W482" s="350"/>
      <c r="X482" s="350"/>
      <c r="Y482" s="350"/>
      <c r="Z482" s="307"/>
      <c r="AA482" s="350">
        <f t="shared" si="59"/>
        <v>0</v>
      </c>
      <c r="AB482" s="307"/>
      <c r="AC482" s="307"/>
      <c r="AD482" s="303" t="s">
        <v>510</v>
      </c>
      <c r="AE482" s="303" t="s">
        <v>510</v>
      </c>
      <c r="AF482" s="303" t="s">
        <v>510</v>
      </c>
      <c r="AG482" s="303" t="s">
        <v>510</v>
      </c>
      <c r="AH482" s="314">
        <v>0</v>
      </c>
      <c r="AI482" s="297">
        <f t="shared" si="60"/>
        <v>0</v>
      </c>
      <c r="AJ482" s="303" t="s">
        <v>504</v>
      </c>
      <c r="AK482" s="301"/>
      <c r="AL482" s="303"/>
      <c r="AM482" s="303"/>
      <c r="AN482" s="303"/>
      <c r="AO482" s="303"/>
      <c r="AP482" s="303"/>
      <c r="AQ482" s="289">
        <f t="shared" si="61"/>
        <v>0</v>
      </c>
      <c r="AR482" s="303"/>
      <c r="AS482" s="303"/>
      <c r="AT482" s="329"/>
      <c r="AU482" s="329"/>
      <c r="AV482" s="329"/>
      <c r="AW482" s="329"/>
      <c r="AX482" s="329"/>
      <c r="AY482" s="139">
        <f t="shared" si="62"/>
        <v>0</v>
      </c>
      <c r="AZ482" s="303"/>
      <c r="BA482" s="303"/>
      <c r="BB482" s="356" t="s">
        <v>510</v>
      </c>
      <c r="BC482" s="356" t="s">
        <v>510</v>
      </c>
      <c r="BD482" s="356" t="s">
        <v>510</v>
      </c>
      <c r="BE482" s="303" t="s">
        <v>510</v>
      </c>
      <c r="BF482" s="352">
        <v>0</v>
      </c>
      <c r="BG482" s="353">
        <f t="shared" si="63"/>
        <v>0</v>
      </c>
      <c r="BH482" s="303" t="s">
        <v>504</v>
      </c>
      <c r="BI482" s="304"/>
      <c r="BJ482" s="354">
        <f t="shared" si="57"/>
        <v>3</v>
      </c>
      <c r="BK482" s="316" t="str">
        <f t="shared" si="64"/>
        <v>Habilitado</v>
      </c>
    </row>
    <row r="483" spans="1:63" ht="232.5" customHeight="1" x14ac:dyDescent="0.25">
      <c r="A483" s="324">
        <v>481</v>
      </c>
      <c r="B483" s="345" t="s">
        <v>2670</v>
      </c>
      <c r="C483" s="335" t="s">
        <v>518</v>
      </c>
      <c r="D483" s="360" t="s">
        <v>1819</v>
      </c>
      <c r="E483" s="347">
        <v>1</v>
      </c>
      <c r="F483" s="314" t="s">
        <v>510</v>
      </c>
      <c r="G483" s="314" t="s">
        <v>519</v>
      </c>
      <c r="H483" s="314" t="s">
        <v>510</v>
      </c>
      <c r="I483" s="314" t="s">
        <v>510</v>
      </c>
      <c r="J483" s="406">
        <v>0</v>
      </c>
      <c r="K483" s="29">
        <f t="shared" si="58"/>
        <v>0</v>
      </c>
      <c r="L483" s="314" t="s">
        <v>520</v>
      </c>
      <c r="M483" s="407" t="s">
        <v>2671</v>
      </c>
      <c r="N483" s="407"/>
      <c r="O483" s="407"/>
      <c r="P483" s="407"/>
      <c r="Q483" s="407"/>
      <c r="R483" s="407"/>
      <c r="S483" s="407"/>
      <c r="T483" s="407"/>
      <c r="U483" s="407"/>
      <c r="V483" s="350"/>
      <c r="W483" s="350"/>
      <c r="X483" s="350"/>
      <c r="Y483" s="350"/>
      <c r="Z483" s="307"/>
      <c r="AA483" s="350">
        <f t="shared" si="59"/>
        <v>0</v>
      </c>
      <c r="AB483" s="307"/>
      <c r="AC483" s="307"/>
      <c r="AD483" s="303"/>
      <c r="AE483" s="303"/>
      <c r="AF483" s="303"/>
      <c r="AG483" s="303"/>
      <c r="AH483" s="314"/>
      <c r="AI483" s="297">
        <f t="shared" si="60"/>
        <v>0</v>
      </c>
      <c r="AJ483" s="303"/>
      <c r="AK483" s="303"/>
      <c r="AL483" s="303"/>
      <c r="AM483" s="303"/>
      <c r="AN483" s="303"/>
      <c r="AO483" s="303"/>
      <c r="AP483" s="303"/>
      <c r="AQ483" s="289">
        <f t="shared" si="61"/>
        <v>0</v>
      </c>
      <c r="AR483" s="303"/>
      <c r="AS483" s="303"/>
      <c r="AT483" s="329"/>
      <c r="AU483" s="329"/>
      <c r="AV483" s="329"/>
      <c r="AW483" s="329"/>
      <c r="AX483" s="329"/>
      <c r="AY483" s="139">
        <f t="shared" si="62"/>
        <v>0</v>
      </c>
      <c r="AZ483" s="303"/>
      <c r="BA483" s="301"/>
      <c r="BB483" s="303"/>
      <c r="BC483" s="303"/>
      <c r="BD483" s="303"/>
      <c r="BE483" s="303"/>
      <c r="BF483" s="303"/>
      <c r="BG483" s="353">
        <f t="shared" si="63"/>
        <v>0</v>
      </c>
      <c r="BH483" s="303"/>
      <c r="BI483" s="303"/>
      <c r="BJ483" s="354">
        <f t="shared" si="57"/>
        <v>0</v>
      </c>
      <c r="BK483" s="316" t="str">
        <f t="shared" si="64"/>
        <v>Desierto</v>
      </c>
    </row>
    <row r="484" spans="1:63" ht="102" x14ac:dyDescent="0.25">
      <c r="A484" s="324">
        <v>482</v>
      </c>
      <c r="B484" s="345" t="s">
        <v>2672</v>
      </c>
      <c r="C484" s="335" t="s">
        <v>518</v>
      </c>
      <c r="D484" s="360" t="s">
        <v>140</v>
      </c>
      <c r="E484" s="347">
        <v>1</v>
      </c>
      <c r="F484" s="314" t="s">
        <v>510</v>
      </c>
      <c r="G484" s="314" t="s">
        <v>510</v>
      </c>
      <c r="H484" s="314" t="s">
        <v>510</v>
      </c>
      <c r="I484" s="314" t="s">
        <v>510</v>
      </c>
      <c r="J484" s="314">
        <v>40</v>
      </c>
      <c r="K484" s="29">
        <f t="shared" si="58"/>
        <v>40</v>
      </c>
      <c r="L484" s="406" t="s">
        <v>504</v>
      </c>
      <c r="M484" s="407"/>
      <c r="N484" s="407"/>
      <c r="O484" s="407"/>
      <c r="P484" s="407"/>
      <c r="Q484" s="407"/>
      <c r="R484" s="407"/>
      <c r="S484" s="407"/>
      <c r="T484" s="407"/>
      <c r="U484" s="407"/>
      <c r="V484" s="350"/>
      <c r="W484" s="350"/>
      <c r="X484" s="350"/>
      <c r="Y484" s="350"/>
      <c r="Z484" s="307"/>
      <c r="AA484" s="350">
        <f t="shared" si="59"/>
        <v>0</v>
      </c>
      <c r="AB484" s="307"/>
      <c r="AC484" s="307"/>
      <c r="AD484" s="303" t="s">
        <v>510</v>
      </c>
      <c r="AE484" s="303" t="s">
        <v>519</v>
      </c>
      <c r="AF484" s="303" t="s">
        <v>510</v>
      </c>
      <c r="AG484" s="303" t="s">
        <v>510</v>
      </c>
      <c r="AH484" s="314">
        <v>0</v>
      </c>
      <c r="AI484" s="297">
        <f t="shared" si="60"/>
        <v>0</v>
      </c>
      <c r="AJ484" s="303" t="s">
        <v>520</v>
      </c>
      <c r="AK484" s="302" t="s">
        <v>2673</v>
      </c>
      <c r="AL484" s="303"/>
      <c r="AM484" s="303"/>
      <c r="AN484" s="303"/>
      <c r="AO484" s="303"/>
      <c r="AP484" s="303"/>
      <c r="AQ484" s="289">
        <f t="shared" si="61"/>
        <v>0</v>
      </c>
      <c r="AR484" s="303"/>
      <c r="AS484" s="303"/>
      <c r="AT484" s="329"/>
      <c r="AU484" s="329"/>
      <c r="AV484" s="329"/>
      <c r="AW484" s="329"/>
      <c r="AX484" s="329"/>
      <c r="AY484" s="139">
        <f t="shared" si="62"/>
        <v>0</v>
      </c>
      <c r="AZ484" s="303"/>
      <c r="BA484" s="301"/>
      <c r="BB484" s="356" t="s">
        <v>510</v>
      </c>
      <c r="BC484" s="356" t="s">
        <v>519</v>
      </c>
      <c r="BD484" s="356" t="s">
        <v>519</v>
      </c>
      <c r="BE484" s="303" t="s">
        <v>510</v>
      </c>
      <c r="BF484" s="352">
        <v>0</v>
      </c>
      <c r="BG484" s="353">
        <f t="shared" si="63"/>
        <v>0</v>
      </c>
      <c r="BH484" s="303" t="s">
        <v>520</v>
      </c>
      <c r="BI484" s="381" t="s">
        <v>2674</v>
      </c>
      <c r="BJ484" s="354">
        <f t="shared" si="57"/>
        <v>1</v>
      </c>
      <c r="BK484" s="316" t="str">
        <f t="shared" si="64"/>
        <v>Habilitado</v>
      </c>
    </row>
    <row r="485" spans="1:63" ht="102" x14ac:dyDescent="0.25">
      <c r="A485" s="324">
        <v>483</v>
      </c>
      <c r="B485" s="345" t="s">
        <v>2675</v>
      </c>
      <c r="C485" s="335" t="s">
        <v>518</v>
      </c>
      <c r="D485" s="360" t="s">
        <v>140</v>
      </c>
      <c r="E485" s="347">
        <v>1</v>
      </c>
      <c r="F485" s="314" t="s">
        <v>510</v>
      </c>
      <c r="G485" s="314" t="s">
        <v>510</v>
      </c>
      <c r="H485" s="314" t="s">
        <v>510</v>
      </c>
      <c r="I485" s="314" t="s">
        <v>510</v>
      </c>
      <c r="J485" s="314">
        <v>40</v>
      </c>
      <c r="K485" s="29">
        <f t="shared" si="58"/>
        <v>40</v>
      </c>
      <c r="L485" s="406" t="s">
        <v>504</v>
      </c>
      <c r="M485" s="407"/>
      <c r="N485" s="407"/>
      <c r="O485" s="407"/>
      <c r="P485" s="407"/>
      <c r="Q485" s="407"/>
      <c r="R485" s="407"/>
      <c r="S485" s="407"/>
      <c r="T485" s="407"/>
      <c r="U485" s="407"/>
      <c r="V485" s="350"/>
      <c r="W485" s="350"/>
      <c r="X485" s="350"/>
      <c r="Y485" s="350"/>
      <c r="Z485" s="307"/>
      <c r="AA485" s="350">
        <f t="shared" si="59"/>
        <v>0</v>
      </c>
      <c r="AB485" s="307"/>
      <c r="AC485" s="307"/>
      <c r="AD485" s="303" t="s">
        <v>510</v>
      </c>
      <c r="AE485" s="303" t="s">
        <v>519</v>
      </c>
      <c r="AF485" s="303" t="s">
        <v>510</v>
      </c>
      <c r="AG485" s="303" t="s">
        <v>510</v>
      </c>
      <c r="AH485" s="314">
        <v>0</v>
      </c>
      <c r="AI485" s="297">
        <f t="shared" si="60"/>
        <v>0</v>
      </c>
      <c r="AJ485" s="303" t="s">
        <v>520</v>
      </c>
      <c r="AK485" s="302" t="s">
        <v>2676</v>
      </c>
      <c r="AL485" s="303"/>
      <c r="AM485" s="303"/>
      <c r="AN485" s="303"/>
      <c r="AO485" s="303"/>
      <c r="AP485" s="303"/>
      <c r="AQ485" s="289">
        <f t="shared" si="61"/>
        <v>0</v>
      </c>
      <c r="AR485" s="303"/>
      <c r="AS485" s="303"/>
      <c r="AT485" s="303" t="s">
        <v>510</v>
      </c>
      <c r="AU485" s="303" t="s">
        <v>510</v>
      </c>
      <c r="AV485" s="303" t="s">
        <v>519</v>
      </c>
      <c r="AW485" s="303" t="s">
        <v>510</v>
      </c>
      <c r="AX485" s="303">
        <v>0</v>
      </c>
      <c r="AY485" s="139">
        <f t="shared" si="62"/>
        <v>0</v>
      </c>
      <c r="AZ485" s="303" t="s">
        <v>520</v>
      </c>
      <c r="BA485" s="301" t="s">
        <v>2677</v>
      </c>
      <c r="BB485" s="356" t="s">
        <v>510</v>
      </c>
      <c r="BC485" s="356" t="s">
        <v>519</v>
      </c>
      <c r="BD485" s="356" t="s">
        <v>510</v>
      </c>
      <c r="BE485" s="303" t="s">
        <v>510</v>
      </c>
      <c r="BF485" s="352">
        <v>0</v>
      </c>
      <c r="BG485" s="353">
        <f t="shared" si="63"/>
        <v>0</v>
      </c>
      <c r="BH485" s="303" t="s">
        <v>520</v>
      </c>
      <c r="BI485" s="401" t="s">
        <v>2676</v>
      </c>
      <c r="BJ485" s="354">
        <f t="shared" si="57"/>
        <v>1</v>
      </c>
      <c r="BK485" s="316" t="str">
        <f t="shared" si="64"/>
        <v>Habilitado</v>
      </c>
    </row>
    <row r="486" spans="1:63" ht="118.5" customHeight="1" x14ac:dyDescent="0.25">
      <c r="A486" s="324">
        <v>484</v>
      </c>
      <c r="B486" s="345" t="s">
        <v>2678</v>
      </c>
      <c r="C486" s="335" t="s">
        <v>518</v>
      </c>
      <c r="D486" s="360" t="s">
        <v>1819</v>
      </c>
      <c r="E486" s="347">
        <v>1</v>
      </c>
      <c r="F486" s="314" t="s">
        <v>510</v>
      </c>
      <c r="G486" s="314" t="s">
        <v>510</v>
      </c>
      <c r="H486" s="314" t="s">
        <v>510</v>
      </c>
      <c r="I486" s="314" t="s">
        <v>510</v>
      </c>
      <c r="J486" s="406">
        <v>0</v>
      </c>
      <c r="K486" s="29">
        <f t="shared" si="58"/>
        <v>0</v>
      </c>
      <c r="L486" s="314" t="s">
        <v>504</v>
      </c>
      <c r="M486" s="407"/>
      <c r="N486" s="407"/>
      <c r="O486" s="407"/>
      <c r="P486" s="407"/>
      <c r="Q486" s="407"/>
      <c r="R486" s="407"/>
      <c r="S486" s="407"/>
      <c r="T486" s="407"/>
      <c r="U486" s="407"/>
      <c r="V486" s="350"/>
      <c r="W486" s="350"/>
      <c r="X486" s="350"/>
      <c r="Y486" s="350"/>
      <c r="Z486" s="307"/>
      <c r="AA486" s="350">
        <f t="shared" si="59"/>
        <v>0</v>
      </c>
      <c r="AB486" s="307"/>
      <c r="AC486" s="307"/>
      <c r="AD486" s="303"/>
      <c r="AE486" s="303"/>
      <c r="AF486" s="303"/>
      <c r="AG486" s="303"/>
      <c r="AH486" s="314"/>
      <c r="AI486" s="297">
        <f t="shared" si="60"/>
        <v>0</v>
      </c>
      <c r="AJ486" s="303"/>
      <c r="AK486" s="303"/>
      <c r="AL486" s="303"/>
      <c r="AM486" s="303"/>
      <c r="AN486" s="303"/>
      <c r="AO486" s="303"/>
      <c r="AP486" s="303"/>
      <c r="AQ486" s="289">
        <f t="shared" si="61"/>
        <v>0</v>
      </c>
      <c r="AR486" s="303"/>
      <c r="AS486" s="303"/>
      <c r="AT486" s="329"/>
      <c r="AU486" s="329"/>
      <c r="AV486" s="329"/>
      <c r="AW486" s="329"/>
      <c r="AX486" s="329"/>
      <c r="AY486" s="139">
        <f t="shared" si="62"/>
        <v>0</v>
      </c>
      <c r="AZ486" s="303"/>
      <c r="BA486" s="303"/>
      <c r="BB486" s="303"/>
      <c r="BC486" s="303"/>
      <c r="BD486" s="303"/>
      <c r="BE486" s="303"/>
      <c r="BF486" s="303"/>
      <c r="BG486" s="353">
        <f t="shared" si="63"/>
        <v>0</v>
      </c>
      <c r="BH486" s="303"/>
      <c r="BI486" s="303"/>
      <c r="BJ486" s="354">
        <f t="shared" si="57"/>
        <v>1</v>
      </c>
      <c r="BK486" s="316" t="str">
        <f t="shared" si="64"/>
        <v>Habilitado</v>
      </c>
    </row>
    <row r="487" spans="1:63" ht="25.5" x14ac:dyDescent="0.25">
      <c r="A487" s="324">
        <v>485</v>
      </c>
      <c r="B487" s="345" t="s">
        <v>2679</v>
      </c>
      <c r="C487" s="335" t="s">
        <v>518</v>
      </c>
      <c r="D487" s="360" t="s">
        <v>140</v>
      </c>
      <c r="E487" s="347">
        <v>1</v>
      </c>
      <c r="F487" s="314" t="s">
        <v>510</v>
      </c>
      <c r="G487" s="314" t="s">
        <v>510</v>
      </c>
      <c r="H487" s="314" t="s">
        <v>510</v>
      </c>
      <c r="I487" s="314" t="s">
        <v>510</v>
      </c>
      <c r="J487" s="314">
        <v>40</v>
      </c>
      <c r="K487" s="29">
        <f t="shared" si="58"/>
        <v>40</v>
      </c>
      <c r="L487" s="406" t="s">
        <v>504</v>
      </c>
      <c r="M487" s="314"/>
      <c r="N487" s="314"/>
      <c r="O487" s="314"/>
      <c r="P487" s="314"/>
      <c r="Q487" s="314"/>
      <c r="R487" s="314"/>
      <c r="S487" s="314"/>
      <c r="T487" s="314"/>
      <c r="U487" s="314"/>
      <c r="V487" s="350"/>
      <c r="W487" s="350"/>
      <c r="X487" s="350"/>
      <c r="Y487" s="350"/>
      <c r="Z487" s="307"/>
      <c r="AA487" s="350">
        <f t="shared" si="59"/>
        <v>0</v>
      </c>
      <c r="AB487" s="307"/>
      <c r="AC487" s="307"/>
      <c r="AD487" s="303"/>
      <c r="AE487" s="303"/>
      <c r="AF487" s="303"/>
      <c r="AG487" s="303"/>
      <c r="AH487" s="314"/>
      <c r="AI487" s="297">
        <f t="shared" si="60"/>
        <v>0</v>
      </c>
      <c r="AJ487" s="303"/>
      <c r="AK487" s="303"/>
      <c r="AL487" s="303"/>
      <c r="AM487" s="303"/>
      <c r="AN487" s="303"/>
      <c r="AO487" s="303"/>
      <c r="AP487" s="303"/>
      <c r="AQ487" s="289">
        <f t="shared" si="61"/>
        <v>0</v>
      </c>
      <c r="AR487" s="303"/>
      <c r="AS487" s="303"/>
      <c r="AT487" s="329"/>
      <c r="AU487" s="329"/>
      <c r="AV487" s="329"/>
      <c r="AW487" s="329"/>
      <c r="AX487" s="329"/>
      <c r="AY487" s="139">
        <f t="shared" si="62"/>
        <v>0</v>
      </c>
      <c r="AZ487" s="303"/>
      <c r="BA487" s="303"/>
      <c r="BB487" s="303"/>
      <c r="BC487" s="303"/>
      <c r="BD487" s="303"/>
      <c r="BE487" s="303"/>
      <c r="BF487" s="303"/>
      <c r="BG487" s="353">
        <f t="shared" si="63"/>
        <v>0</v>
      </c>
      <c r="BH487" s="303"/>
      <c r="BI487" s="301"/>
      <c r="BJ487" s="354">
        <f t="shared" si="57"/>
        <v>1</v>
      </c>
      <c r="BK487" s="316" t="str">
        <f t="shared" si="64"/>
        <v>Habilitado</v>
      </c>
    </row>
    <row r="488" spans="1:63" ht="25.5" x14ac:dyDescent="0.25">
      <c r="A488" s="324">
        <v>486</v>
      </c>
      <c r="B488" s="345" t="s">
        <v>2680</v>
      </c>
      <c r="C488" s="335" t="s">
        <v>518</v>
      </c>
      <c r="D488" s="360" t="s">
        <v>140</v>
      </c>
      <c r="E488" s="347">
        <v>1</v>
      </c>
      <c r="F488" s="314" t="s">
        <v>510</v>
      </c>
      <c r="G488" s="314" t="s">
        <v>510</v>
      </c>
      <c r="H488" s="314" t="s">
        <v>511</v>
      </c>
      <c r="I488" s="314" t="s">
        <v>510</v>
      </c>
      <c r="J488" s="314">
        <v>40</v>
      </c>
      <c r="K488" s="29">
        <f t="shared" si="58"/>
        <v>40</v>
      </c>
      <c r="L488" s="406" t="s">
        <v>504</v>
      </c>
      <c r="M488" s="314"/>
      <c r="N488" s="314"/>
      <c r="O488" s="314"/>
      <c r="P488" s="314"/>
      <c r="Q488" s="314"/>
      <c r="R488" s="314"/>
      <c r="S488" s="314"/>
      <c r="T488" s="314"/>
      <c r="U488" s="314"/>
      <c r="V488" s="350"/>
      <c r="W488" s="350"/>
      <c r="X488" s="350"/>
      <c r="Y488" s="350"/>
      <c r="Z488" s="307"/>
      <c r="AA488" s="350">
        <f t="shared" si="59"/>
        <v>0</v>
      </c>
      <c r="AB488" s="307"/>
      <c r="AC488" s="307"/>
      <c r="AD488" s="303"/>
      <c r="AE488" s="303"/>
      <c r="AF488" s="303"/>
      <c r="AG488" s="303"/>
      <c r="AH488" s="314"/>
      <c r="AI488" s="297">
        <f t="shared" si="60"/>
        <v>0</v>
      </c>
      <c r="AJ488" s="303"/>
      <c r="AK488" s="303"/>
      <c r="AL488" s="303"/>
      <c r="AM488" s="303"/>
      <c r="AN488" s="303"/>
      <c r="AO488" s="303"/>
      <c r="AP488" s="303"/>
      <c r="AQ488" s="289">
        <f t="shared" si="61"/>
        <v>0</v>
      </c>
      <c r="AR488" s="314"/>
      <c r="AS488" s="314"/>
      <c r="AT488" s="329"/>
      <c r="AU488" s="329"/>
      <c r="AV488" s="329"/>
      <c r="AW488" s="329"/>
      <c r="AX488" s="329"/>
      <c r="AY488" s="139">
        <f t="shared" si="62"/>
        <v>0</v>
      </c>
      <c r="AZ488" s="303"/>
      <c r="BA488" s="303"/>
      <c r="BB488" s="303"/>
      <c r="BC488" s="303"/>
      <c r="BD488" s="303"/>
      <c r="BE488" s="303"/>
      <c r="BF488" s="303"/>
      <c r="BG488" s="353">
        <f t="shared" si="63"/>
        <v>0</v>
      </c>
      <c r="BH488" s="303"/>
      <c r="BI488" s="301"/>
      <c r="BJ488" s="354">
        <f t="shared" si="57"/>
        <v>1</v>
      </c>
      <c r="BK488" s="316" t="str">
        <f t="shared" si="64"/>
        <v>Habilitado</v>
      </c>
    </row>
    <row r="489" spans="1:63" ht="25.5" x14ac:dyDescent="0.25">
      <c r="A489" s="324">
        <v>487</v>
      </c>
      <c r="B489" s="345" t="s">
        <v>2681</v>
      </c>
      <c r="C489" s="335" t="s">
        <v>518</v>
      </c>
      <c r="D489" s="360" t="s">
        <v>140</v>
      </c>
      <c r="E489" s="347">
        <v>1</v>
      </c>
      <c r="F489" s="314" t="s">
        <v>510</v>
      </c>
      <c r="G489" s="314" t="s">
        <v>510</v>
      </c>
      <c r="H489" s="314" t="s">
        <v>511</v>
      </c>
      <c r="I489" s="314" t="s">
        <v>510</v>
      </c>
      <c r="J489" s="314">
        <v>40</v>
      </c>
      <c r="K489" s="29">
        <f t="shared" si="58"/>
        <v>40</v>
      </c>
      <c r="L489" s="406" t="s">
        <v>504</v>
      </c>
      <c r="M489" s="314"/>
      <c r="N489" s="314"/>
      <c r="O489" s="314"/>
      <c r="P489" s="314"/>
      <c r="Q489" s="314"/>
      <c r="R489" s="314"/>
      <c r="S489" s="314"/>
      <c r="T489" s="314"/>
      <c r="U489" s="314"/>
      <c r="V489" s="350"/>
      <c r="W489" s="350"/>
      <c r="X489" s="350"/>
      <c r="Y489" s="350"/>
      <c r="Z489" s="307"/>
      <c r="AA489" s="350">
        <f t="shared" si="59"/>
        <v>0</v>
      </c>
      <c r="AB489" s="307"/>
      <c r="AC489" s="307"/>
      <c r="AD489" s="303"/>
      <c r="AE489" s="303"/>
      <c r="AF489" s="303"/>
      <c r="AG489" s="303"/>
      <c r="AH489" s="314"/>
      <c r="AI489" s="297">
        <f t="shared" si="60"/>
        <v>0</v>
      </c>
      <c r="AJ489" s="303"/>
      <c r="AK489" s="303"/>
      <c r="AL489" s="303"/>
      <c r="AM489" s="303"/>
      <c r="AN489" s="303"/>
      <c r="AO489" s="303"/>
      <c r="AP489" s="303"/>
      <c r="AQ489" s="289">
        <f t="shared" si="61"/>
        <v>0</v>
      </c>
      <c r="AR489" s="314"/>
      <c r="AS489" s="314"/>
      <c r="AT489" s="329"/>
      <c r="AU489" s="329"/>
      <c r="AV489" s="329"/>
      <c r="AW489" s="329"/>
      <c r="AX489" s="329"/>
      <c r="AY489" s="139">
        <f t="shared" si="62"/>
        <v>0</v>
      </c>
      <c r="AZ489" s="303"/>
      <c r="BA489" s="303"/>
      <c r="BB489" s="303"/>
      <c r="BC489" s="303"/>
      <c r="BD489" s="303"/>
      <c r="BE489" s="303"/>
      <c r="BF489" s="303"/>
      <c r="BG489" s="353">
        <f t="shared" si="63"/>
        <v>0</v>
      </c>
      <c r="BH489" s="303"/>
      <c r="BI489" s="301"/>
      <c r="BJ489" s="354">
        <f t="shared" si="57"/>
        <v>1</v>
      </c>
      <c r="BK489" s="316" t="str">
        <f t="shared" si="64"/>
        <v>Habilitado</v>
      </c>
    </row>
    <row r="490" spans="1:63" ht="25.5" x14ac:dyDescent="0.25">
      <c r="A490" s="324">
        <v>488</v>
      </c>
      <c r="B490" s="345" t="s">
        <v>2682</v>
      </c>
      <c r="C490" s="335" t="s">
        <v>518</v>
      </c>
      <c r="D490" s="360" t="s">
        <v>140</v>
      </c>
      <c r="E490" s="347">
        <v>1</v>
      </c>
      <c r="F490" s="314"/>
      <c r="G490" s="314"/>
      <c r="H490" s="314"/>
      <c r="I490" s="314"/>
      <c r="J490" s="314"/>
      <c r="K490" s="29">
        <f t="shared" si="58"/>
        <v>0</v>
      </c>
      <c r="L490" s="314"/>
      <c r="M490" s="314"/>
      <c r="N490" s="314"/>
      <c r="O490" s="314"/>
      <c r="P490" s="314"/>
      <c r="Q490" s="314"/>
      <c r="R490" s="314"/>
      <c r="S490" s="314"/>
      <c r="T490" s="314"/>
      <c r="U490" s="314"/>
      <c r="V490" s="350"/>
      <c r="W490" s="350"/>
      <c r="X490" s="350"/>
      <c r="Y490" s="350"/>
      <c r="Z490" s="307"/>
      <c r="AA490" s="350">
        <f t="shared" si="59"/>
        <v>0</v>
      </c>
      <c r="AB490" s="307"/>
      <c r="AC490" s="307"/>
      <c r="AD490" s="303"/>
      <c r="AE490" s="303"/>
      <c r="AF490" s="303"/>
      <c r="AG490" s="303"/>
      <c r="AH490" s="314"/>
      <c r="AI490" s="297">
        <f t="shared" si="60"/>
        <v>0</v>
      </c>
      <c r="AJ490" s="303"/>
      <c r="AK490" s="303"/>
      <c r="AL490" s="303"/>
      <c r="AM490" s="303"/>
      <c r="AN490" s="303"/>
      <c r="AO490" s="303"/>
      <c r="AP490" s="303"/>
      <c r="AQ490" s="289">
        <f t="shared" si="61"/>
        <v>0</v>
      </c>
      <c r="AR490" s="314"/>
      <c r="AS490" s="314"/>
      <c r="AT490" s="329"/>
      <c r="AU490" s="329"/>
      <c r="AV490" s="329"/>
      <c r="AW490" s="329"/>
      <c r="AX490" s="329"/>
      <c r="AY490" s="139">
        <f t="shared" si="62"/>
        <v>0</v>
      </c>
      <c r="AZ490" s="303"/>
      <c r="BA490" s="303"/>
      <c r="BB490" s="303"/>
      <c r="BC490" s="303"/>
      <c r="BD490" s="303"/>
      <c r="BE490" s="303"/>
      <c r="BF490" s="303"/>
      <c r="BG490" s="353">
        <f t="shared" si="63"/>
        <v>0</v>
      </c>
      <c r="BH490" s="303"/>
      <c r="BI490" s="303"/>
      <c r="BJ490" s="354">
        <f t="shared" si="57"/>
        <v>0</v>
      </c>
      <c r="BK490" s="316" t="str">
        <f t="shared" si="64"/>
        <v>Desierto</v>
      </c>
    </row>
    <row r="491" spans="1:63" ht="38.25" x14ac:dyDescent="0.25">
      <c r="A491" s="324">
        <v>489</v>
      </c>
      <c r="B491" s="345" t="s">
        <v>2683</v>
      </c>
      <c r="C491" s="335" t="s">
        <v>2684</v>
      </c>
      <c r="D491" s="360" t="s">
        <v>140</v>
      </c>
      <c r="E491" s="347">
        <v>1</v>
      </c>
      <c r="F491" s="314"/>
      <c r="G491" s="314"/>
      <c r="H491" s="314"/>
      <c r="I491" s="314"/>
      <c r="J491" s="314"/>
      <c r="K491" s="29">
        <f t="shared" si="58"/>
        <v>0</v>
      </c>
      <c r="L491" s="314"/>
      <c r="M491" s="314"/>
      <c r="N491" s="314"/>
      <c r="O491" s="314"/>
      <c r="P491" s="314"/>
      <c r="Q491" s="314"/>
      <c r="R491" s="314"/>
      <c r="S491" s="314"/>
      <c r="T491" s="314"/>
      <c r="U491" s="314"/>
      <c r="V491" s="350"/>
      <c r="W491" s="350"/>
      <c r="X491" s="350"/>
      <c r="Y491" s="350"/>
      <c r="Z491" s="307"/>
      <c r="AA491" s="350">
        <f t="shared" si="59"/>
        <v>0</v>
      </c>
      <c r="AB491" s="307"/>
      <c r="AC491" s="307"/>
      <c r="AD491" s="303"/>
      <c r="AE491" s="303"/>
      <c r="AF491" s="303"/>
      <c r="AG491" s="303"/>
      <c r="AH491" s="314"/>
      <c r="AI491" s="297">
        <f t="shared" si="60"/>
        <v>0</v>
      </c>
      <c r="AJ491" s="303"/>
      <c r="AK491" s="303"/>
      <c r="AL491" s="303"/>
      <c r="AM491" s="303"/>
      <c r="AN491" s="303"/>
      <c r="AO491" s="303"/>
      <c r="AP491" s="303"/>
      <c r="AQ491" s="289">
        <f t="shared" si="61"/>
        <v>0</v>
      </c>
      <c r="AR491" s="303"/>
      <c r="AS491" s="303"/>
      <c r="AT491" s="329"/>
      <c r="AU491" s="329"/>
      <c r="AV491" s="329"/>
      <c r="AW491" s="329"/>
      <c r="AX491" s="329"/>
      <c r="AY491" s="139">
        <f t="shared" si="62"/>
        <v>0</v>
      </c>
      <c r="AZ491" s="303"/>
      <c r="BA491" s="303"/>
      <c r="BB491" s="303"/>
      <c r="BC491" s="303"/>
      <c r="BD491" s="303"/>
      <c r="BE491" s="303"/>
      <c r="BF491" s="303"/>
      <c r="BG491" s="353">
        <f t="shared" si="63"/>
        <v>0</v>
      </c>
      <c r="BH491" s="303"/>
      <c r="BI491" s="303"/>
      <c r="BJ491" s="354">
        <f t="shared" si="57"/>
        <v>0</v>
      </c>
      <c r="BK491" s="316" t="str">
        <f t="shared" si="64"/>
        <v>Desierto</v>
      </c>
    </row>
    <row r="492" spans="1:63" x14ac:dyDescent="0.25">
      <c r="A492" s="324">
        <v>490</v>
      </c>
      <c r="B492" s="345" t="s">
        <v>2685</v>
      </c>
      <c r="C492" s="335" t="s">
        <v>518</v>
      </c>
      <c r="D492" s="360" t="s">
        <v>140</v>
      </c>
      <c r="E492" s="347">
        <v>1</v>
      </c>
      <c r="F492" s="314"/>
      <c r="G492" s="314"/>
      <c r="H492" s="314"/>
      <c r="I492" s="314"/>
      <c r="J492" s="314"/>
      <c r="K492" s="29">
        <f t="shared" si="58"/>
        <v>0</v>
      </c>
      <c r="L492" s="314"/>
      <c r="M492" s="314"/>
      <c r="N492" s="314"/>
      <c r="O492" s="314"/>
      <c r="P492" s="314"/>
      <c r="Q492" s="314"/>
      <c r="R492" s="314"/>
      <c r="S492" s="314"/>
      <c r="T492" s="314"/>
      <c r="U492" s="314"/>
      <c r="V492" s="350"/>
      <c r="W492" s="350"/>
      <c r="X492" s="350"/>
      <c r="Y492" s="350"/>
      <c r="Z492" s="307"/>
      <c r="AA492" s="350">
        <f t="shared" si="59"/>
        <v>0</v>
      </c>
      <c r="AB492" s="307"/>
      <c r="AC492" s="307"/>
      <c r="AD492" s="303"/>
      <c r="AE492" s="303"/>
      <c r="AF492" s="303"/>
      <c r="AG492" s="303"/>
      <c r="AH492" s="314"/>
      <c r="AI492" s="297">
        <f t="shared" si="60"/>
        <v>0</v>
      </c>
      <c r="AJ492" s="303"/>
      <c r="AK492" s="303"/>
      <c r="AL492" s="303"/>
      <c r="AM492" s="303"/>
      <c r="AN492" s="303"/>
      <c r="AO492" s="303"/>
      <c r="AP492" s="303"/>
      <c r="AQ492" s="289">
        <f t="shared" si="61"/>
        <v>0</v>
      </c>
      <c r="AR492" s="303"/>
      <c r="AS492" s="303"/>
      <c r="AT492" s="329"/>
      <c r="AU492" s="329"/>
      <c r="AV492" s="329"/>
      <c r="AW492" s="329"/>
      <c r="AX492" s="329"/>
      <c r="AY492" s="139">
        <f t="shared" si="62"/>
        <v>0</v>
      </c>
      <c r="AZ492" s="303"/>
      <c r="BA492" s="303"/>
      <c r="BB492" s="303"/>
      <c r="BC492" s="303"/>
      <c r="BD492" s="303"/>
      <c r="BE492" s="303"/>
      <c r="BF492" s="303"/>
      <c r="BG492" s="353">
        <f t="shared" si="63"/>
        <v>0</v>
      </c>
      <c r="BH492" s="303"/>
      <c r="BI492" s="301"/>
      <c r="BJ492" s="354">
        <f t="shared" si="57"/>
        <v>0</v>
      </c>
      <c r="BK492" s="316" t="str">
        <f t="shared" si="64"/>
        <v>Desierto</v>
      </c>
    </row>
    <row r="493" spans="1:63" ht="25.5" x14ac:dyDescent="0.25">
      <c r="A493" s="324">
        <v>491</v>
      </c>
      <c r="B493" s="345" t="s">
        <v>2686</v>
      </c>
      <c r="C493" s="335" t="s">
        <v>518</v>
      </c>
      <c r="D493" s="357" t="s">
        <v>140</v>
      </c>
      <c r="E493" s="347">
        <v>1</v>
      </c>
      <c r="F493" s="314" t="s">
        <v>510</v>
      </c>
      <c r="G493" s="314" t="s">
        <v>510</v>
      </c>
      <c r="H493" s="314" t="s">
        <v>511</v>
      </c>
      <c r="I493" s="314" t="s">
        <v>510</v>
      </c>
      <c r="J493" s="314">
        <v>40</v>
      </c>
      <c r="K493" s="29">
        <f t="shared" si="58"/>
        <v>40</v>
      </c>
      <c r="L493" s="406" t="s">
        <v>504</v>
      </c>
      <c r="M493" s="314"/>
      <c r="N493" s="314"/>
      <c r="O493" s="314"/>
      <c r="P493" s="314"/>
      <c r="Q493" s="314"/>
      <c r="R493" s="314"/>
      <c r="S493" s="314"/>
      <c r="T493" s="314"/>
      <c r="U493" s="314"/>
      <c r="V493" s="350"/>
      <c r="W493" s="350"/>
      <c r="X493" s="350"/>
      <c r="Y493" s="350"/>
      <c r="Z493" s="307"/>
      <c r="AA493" s="350">
        <f t="shared" si="59"/>
        <v>0</v>
      </c>
      <c r="AB493" s="307"/>
      <c r="AC493" s="307"/>
      <c r="AD493" s="303"/>
      <c r="AE493" s="303"/>
      <c r="AF493" s="303"/>
      <c r="AG493" s="303"/>
      <c r="AH493" s="314"/>
      <c r="AI493" s="297">
        <f t="shared" si="60"/>
        <v>0</v>
      </c>
      <c r="AJ493" s="303"/>
      <c r="AK493" s="303"/>
      <c r="AL493" s="303"/>
      <c r="AM493" s="303"/>
      <c r="AN493" s="303"/>
      <c r="AO493" s="303"/>
      <c r="AP493" s="303"/>
      <c r="AQ493" s="289">
        <f t="shared" si="61"/>
        <v>0</v>
      </c>
      <c r="AR493" s="303"/>
      <c r="AS493" s="303"/>
      <c r="AT493" s="329"/>
      <c r="AU493" s="329"/>
      <c r="AV493" s="329"/>
      <c r="AW493" s="329"/>
      <c r="AX493" s="329"/>
      <c r="AY493" s="139">
        <f t="shared" si="62"/>
        <v>0</v>
      </c>
      <c r="AZ493" s="303"/>
      <c r="BA493" s="303"/>
      <c r="BB493" s="303"/>
      <c r="BC493" s="303"/>
      <c r="BD493" s="303"/>
      <c r="BE493" s="303"/>
      <c r="BF493" s="303"/>
      <c r="BG493" s="353">
        <f t="shared" si="63"/>
        <v>0</v>
      </c>
      <c r="BH493" s="303"/>
      <c r="BI493" s="303"/>
      <c r="BJ493" s="354">
        <f t="shared" si="57"/>
        <v>1</v>
      </c>
      <c r="BK493" s="316" t="str">
        <f t="shared" si="64"/>
        <v>Habilitado</v>
      </c>
    </row>
    <row r="494" spans="1:63" x14ac:dyDescent="0.25">
      <c r="A494" s="324">
        <v>492</v>
      </c>
      <c r="B494" s="345" t="s">
        <v>2687</v>
      </c>
      <c r="C494" s="335" t="s">
        <v>518</v>
      </c>
      <c r="D494" s="360" t="s">
        <v>140</v>
      </c>
      <c r="E494" s="347">
        <v>1</v>
      </c>
      <c r="F494" s="314" t="s">
        <v>510</v>
      </c>
      <c r="G494" s="314" t="s">
        <v>510</v>
      </c>
      <c r="H494" s="314" t="s">
        <v>511</v>
      </c>
      <c r="I494" s="314" t="s">
        <v>510</v>
      </c>
      <c r="J494" s="314">
        <v>40</v>
      </c>
      <c r="K494" s="29">
        <f t="shared" si="58"/>
        <v>40</v>
      </c>
      <c r="L494" s="406" t="s">
        <v>504</v>
      </c>
      <c r="M494" s="314"/>
      <c r="N494" s="314"/>
      <c r="O494" s="314"/>
      <c r="P494" s="314"/>
      <c r="Q494" s="314"/>
      <c r="R494" s="314"/>
      <c r="S494" s="314"/>
      <c r="T494" s="314"/>
      <c r="U494" s="314"/>
      <c r="V494" s="350"/>
      <c r="W494" s="350"/>
      <c r="X494" s="350"/>
      <c r="Y494" s="350"/>
      <c r="Z494" s="307"/>
      <c r="AA494" s="350">
        <f t="shared" si="59"/>
        <v>0</v>
      </c>
      <c r="AB494" s="307"/>
      <c r="AC494" s="307"/>
      <c r="AD494" s="303"/>
      <c r="AE494" s="303"/>
      <c r="AF494" s="303"/>
      <c r="AG494" s="303"/>
      <c r="AH494" s="314"/>
      <c r="AI494" s="297">
        <f t="shared" si="60"/>
        <v>0</v>
      </c>
      <c r="AJ494" s="303"/>
      <c r="AK494" s="303"/>
      <c r="AL494" s="303"/>
      <c r="AM494" s="303"/>
      <c r="AN494" s="303"/>
      <c r="AO494" s="303"/>
      <c r="AP494" s="303"/>
      <c r="AQ494" s="289">
        <f t="shared" si="61"/>
        <v>0</v>
      </c>
      <c r="AR494" s="303"/>
      <c r="AS494" s="303"/>
      <c r="AT494" s="329"/>
      <c r="AU494" s="329"/>
      <c r="AV494" s="329"/>
      <c r="AW494" s="329"/>
      <c r="AX494" s="329"/>
      <c r="AY494" s="139">
        <f t="shared" si="62"/>
        <v>0</v>
      </c>
      <c r="AZ494" s="303"/>
      <c r="BA494" s="303"/>
      <c r="BB494" s="303"/>
      <c r="BC494" s="303"/>
      <c r="BD494" s="303"/>
      <c r="BE494" s="303"/>
      <c r="BF494" s="303"/>
      <c r="BG494" s="353">
        <f t="shared" si="63"/>
        <v>0</v>
      </c>
      <c r="BH494" s="303"/>
      <c r="BI494" s="303"/>
      <c r="BJ494" s="354">
        <f t="shared" si="57"/>
        <v>1</v>
      </c>
      <c r="BK494" s="316" t="str">
        <f t="shared" si="64"/>
        <v>Habilitado</v>
      </c>
    </row>
    <row r="495" spans="1:63" ht="25.5" x14ac:dyDescent="0.25">
      <c r="A495" s="324">
        <v>493</v>
      </c>
      <c r="B495" s="345" t="s">
        <v>2688</v>
      </c>
      <c r="C495" s="335" t="s">
        <v>2145</v>
      </c>
      <c r="D495" s="360" t="s">
        <v>140</v>
      </c>
      <c r="E495" s="347">
        <v>1</v>
      </c>
      <c r="F495" s="314" t="s">
        <v>510</v>
      </c>
      <c r="G495" s="314" t="s">
        <v>510</v>
      </c>
      <c r="H495" s="314" t="s">
        <v>511</v>
      </c>
      <c r="I495" s="314" t="s">
        <v>510</v>
      </c>
      <c r="J495" s="314">
        <v>40</v>
      </c>
      <c r="K495" s="29">
        <f t="shared" si="58"/>
        <v>40</v>
      </c>
      <c r="L495" s="406" t="s">
        <v>504</v>
      </c>
      <c r="M495" s="314"/>
      <c r="N495" s="314"/>
      <c r="O495" s="314"/>
      <c r="P495" s="314"/>
      <c r="Q495" s="314"/>
      <c r="R495" s="314"/>
      <c r="S495" s="314"/>
      <c r="T495" s="314"/>
      <c r="U495" s="314"/>
      <c r="V495" s="350"/>
      <c r="W495" s="350"/>
      <c r="X495" s="350"/>
      <c r="Y495" s="350"/>
      <c r="Z495" s="307"/>
      <c r="AA495" s="350">
        <f t="shared" si="59"/>
        <v>0</v>
      </c>
      <c r="AB495" s="307"/>
      <c r="AC495" s="307"/>
      <c r="AD495" s="303"/>
      <c r="AE495" s="303"/>
      <c r="AF495" s="303"/>
      <c r="AG495" s="303"/>
      <c r="AH495" s="314"/>
      <c r="AI495" s="297">
        <f t="shared" si="60"/>
        <v>0</v>
      </c>
      <c r="AJ495" s="303"/>
      <c r="AK495" s="303"/>
      <c r="AL495" s="303"/>
      <c r="AM495" s="303"/>
      <c r="AN495" s="303"/>
      <c r="AO495" s="303"/>
      <c r="AP495" s="303"/>
      <c r="AQ495" s="289">
        <f t="shared" si="61"/>
        <v>0</v>
      </c>
      <c r="AR495" s="303"/>
      <c r="AS495" s="303"/>
      <c r="AT495" s="329"/>
      <c r="AU495" s="329"/>
      <c r="AV495" s="329"/>
      <c r="AW495" s="329"/>
      <c r="AX495" s="329"/>
      <c r="AY495" s="139">
        <f t="shared" si="62"/>
        <v>0</v>
      </c>
      <c r="AZ495" s="303"/>
      <c r="BA495" s="303"/>
      <c r="BB495" s="303"/>
      <c r="BC495" s="303"/>
      <c r="BD495" s="303"/>
      <c r="BE495" s="303"/>
      <c r="BF495" s="303"/>
      <c r="BG495" s="353">
        <f t="shared" si="63"/>
        <v>0</v>
      </c>
      <c r="BH495" s="303"/>
      <c r="BI495" s="303"/>
      <c r="BJ495" s="354">
        <f t="shared" si="57"/>
        <v>1</v>
      </c>
      <c r="BK495" s="316" t="str">
        <f t="shared" si="64"/>
        <v>Habilitado</v>
      </c>
    </row>
    <row r="496" spans="1:63" x14ac:dyDescent="0.25">
      <c r="A496" s="324">
        <v>494</v>
      </c>
      <c r="B496" s="345" t="s">
        <v>2689</v>
      </c>
      <c r="C496" s="335" t="s">
        <v>2690</v>
      </c>
      <c r="D496" s="360" t="s">
        <v>140</v>
      </c>
      <c r="E496" s="347">
        <v>1</v>
      </c>
      <c r="F496" s="314" t="s">
        <v>510</v>
      </c>
      <c r="G496" s="314" t="s">
        <v>510</v>
      </c>
      <c r="H496" s="314" t="s">
        <v>511</v>
      </c>
      <c r="I496" s="314" t="s">
        <v>510</v>
      </c>
      <c r="J496" s="314">
        <v>40</v>
      </c>
      <c r="K496" s="29">
        <f t="shared" si="58"/>
        <v>40</v>
      </c>
      <c r="L496" s="406" t="s">
        <v>504</v>
      </c>
      <c r="M496" s="314"/>
      <c r="N496" s="314"/>
      <c r="O496" s="314"/>
      <c r="P496" s="314"/>
      <c r="Q496" s="314"/>
      <c r="R496" s="314"/>
      <c r="S496" s="314"/>
      <c r="T496" s="314"/>
      <c r="U496" s="314"/>
      <c r="V496" s="350"/>
      <c r="W496" s="350"/>
      <c r="X496" s="350"/>
      <c r="Y496" s="350"/>
      <c r="Z496" s="307"/>
      <c r="AA496" s="350">
        <f t="shared" si="59"/>
        <v>0</v>
      </c>
      <c r="AB496" s="307"/>
      <c r="AC496" s="307"/>
      <c r="AD496" s="303"/>
      <c r="AE496" s="303"/>
      <c r="AF496" s="303"/>
      <c r="AG496" s="303"/>
      <c r="AH496" s="314"/>
      <c r="AI496" s="297">
        <f t="shared" si="60"/>
        <v>0</v>
      </c>
      <c r="AJ496" s="303"/>
      <c r="AK496" s="303"/>
      <c r="AL496" s="303"/>
      <c r="AM496" s="303"/>
      <c r="AN496" s="303"/>
      <c r="AO496" s="303"/>
      <c r="AP496" s="303"/>
      <c r="AQ496" s="289">
        <f t="shared" si="61"/>
        <v>0</v>
      </c>
      <c r="AR496" s="303"/>
      <c r="AS496" s="303"/>
      <c r="AT496" s="329"/>
      <c r="AU496" s="329"/>
      <c r="AV496" s="329"/>
      <c r="AW496" s="329"/>
      <c r="AX496" s="329"/>
      <c r="AY496" s="139">
        <f t="shared" si="62"/>
        <v>0</v>
      </c>
      <c r="AZ496" s="303"/>
      <c r="BA496" s="303"/>
      <c r="BB496" s="303"/>
      <c r="BC496" s="303"/>
      <c r="BD496" s="303"/>
      <c r="BE496" s="303"/>
      <c r="BF496" s="303"/>
      <c r="BG496" s="353">
        <f t="shared" si="63"/>
        <v>0</v>
      </c>
      <c r="BH496" s="303"/>
      <c r="BI496" s="303"/>
      <c r="BJ496" s="354">
        <f t="shared" si="57"/>
        <v>1</v>
      </c>
      <c r="BK496" s="316" t="str">
        <f t="shared" si="64"/>
        <v>Habilitado</v>
      </c>
    </row>
    <row r="497" spans="1:63" x14ac:dyDescent="0.25">
      <c r="A497" s="324">
        <v>495</v>
      </c>
      <c r="B497" s="345" t="s">
        <v>2691</v>
      </c>
      <c r="C497" s="335" t="s">
        <v>518</v>
      </c>
      <c r="D497" s="360" t="s">
        <v>140</v>
      </c>
      <c r="E497" s="347">
        <v>1</v>
      </c>
      <c r="F497" s="314" t="s">
        <v>510</v>
      </c>
      <c r="G497" s="314" t="s">
        <v>510</v>
      </c>
      <c r="H497" s="314" t="s">
        <v>510</v>
      </c>
      <c r="I497" s="314" t="s">
        <v>510</v>
      </c>
      <c r="J497" s="314">
        <v>40</v>
      </c>
      <c r="K497" s="29">
        <f t="shared" si="58"/>
        <v>40</v>
      </c>
      <c r="L497" s="406" t="s">
        <v>504</v>
      </c>
      <c r="M497" s="314"/>
      <c r="N497" s="314"/>
      <c r="O497" s="314"/>
      <c r="P497" s="314"/>
      <c r="Q497" s="314"/>
      <c r="R497" s="314"/>
      <c r="S497" s="314"/>
      <c r="T497" s="314"/>
      <c r="U497" s="314"/>
      <c r="V497" s="350"/>
      <c r="W497" s="350"/>
      <c r="X497" s="350"/>
      <c r="Y497" s="350"/>
      <c r="Z497" s="307"/>
      <c r="AA497" s="350">
        <f t="shared" si="59"/>
        <v>0</v>
      </c>
      <c r="AB497" s="307"/>
      <c r="AC497" s="307"/>
      <c r="AD497" s="303" t="s">
        <v>510</v>
      </c>
      <c r="AE497" s="303" t="s">
        <v>510</v>
      </c>
      <c r="AF497" s="303" t="s">
        <v>510</v>
      </c>
      <c r="AG497" s="303" t="s">
        <v>510</v>
      </c>
      <c r="AH497" s="314">
        <v>0</v>
      </c>
      <c r="AI497" s="297">
        <f t="shared" si="60"/>
        <v>0</v>
      </c>
      <c r="AJ497" s="303" t="s">
        <v>504</v>
      </c>
      <c r="AK497" s="301"/>
      <c r="AL497" s="303"/>
      <c r="AM497" s="303"/>
      <c r="AN497" s="303"/>
      <c r="AO497" s="303"/>
      <c r="AP497" s="303"/>
      <c r="AQ497" s="289">
        <f t="shared" si="61"/>
        <v>0</v>
      </c>
      <c r="AR497" s="303"/>
      <c r="AS497" s="303"/>
      <c r="AT497" s="329"/>
      <c r="AU497" s="329"/>
      <c r="AV497" s="329"/>
      <c r="AW497" s="329"/>
      <c r="AX497" s="329"/>
      <c r="AY497" s="139">
        <f t="shared" si="62"/>
        <v>0</v>
      </c>
      <c r="AZ497" s="303"/>
      <c r="BA497" s="303"/>
      <c r="BB497" s="356" t="s">
        <v>510</v>
      </c>
      <c r="BC497" s="356" t="s">
        <v>510</v>
      </c>
      <c r="BD497" s="356" t="s">
        <v>510</v>
      </c>
      <c r="BE497" s="303" t="s">
        <v>510</v>
      </c>
      <c r="BF497" s="367">
        <v>0</v>
      </c>
      <c r="BG497" s="353">
        <f t="shared" si="63"/>
        <v>0</v>
      </c>
      <c r="BH497" s="304" t="s">
        <v>504</v>
      </c>
      <c r="BI497" s="301"/>
      <c r="BJ497" s="354">
        <f t="shared" si="57"/>
        <v>3</v>
      </c>
      <c r="BK497" s="316" t="str">
        <f t="shared" si="64"/>
        <v>Habilitado</v>
      </c>
    </row>
    <row r="498" spans="1:63" ht="25.5" x14ac:dyDescent="0.25">
      <c r="A498" s="324">
        <v>496</v>
      </c>
      <c r="B498" s="345" t="s">
        <v>2692</v>
      </c>
      <c r="C498" s="335" t="s">
        <v>2693</v>
      </c>
      <c r="D498" s="360" t="s">
        <v>140</v>
      </c>
      <c r="E498" s="347">
        <v>1</v>
      </c>
      <c r="F498" s="314" t="s">
        <v>510</v>
      </c>
      <c r="G498" s="314" t="s">
        <v>510</v>
      </c>
      <c r="H498" s="314" t="s">
        <v>510</v>
      </c>
      <c r="I498" s="314" t="s">
        <v>510</v>
      </c>
      <c r="J498" s="314">
        <v>40</v>
      </c>
      <c r="K498" s="29">
        <f t="shared" si="58"/>
        <v>40</v>
      </c>
      <c r="L498" s="406" t="s">
        <v>504</v>
      </c>
      <c r="M498" s="314"/>
      <c r="N498" s="314"/>
      <c r="O498" s="314"/>
      <c r="P498" s="314"/>
      <c r="Q498" s="314"/>
      <c r="R498" s="314"/>
      <c r="S498" s="314"/>
      <c r="T498" s="314"/>
      <c r="U498" s="314"/>
      <c r="V498" s="350"/>
      <c r="W498" s="350"/>
      <c r="X498" s="350"/>
      <c r="Y498" s="350"/>
      <c r="Z498" s="307"/>
      <c r="AA498" s="350">
        <f t="shared" si="59"/>
        <v>0</v>
      </c>
      <c r="AB498" s="307"/>
      <c r="AC498" s="307"/>
      <c r="AD498" s="303"/>
      <c r="AE498" s="303"/>
      <c r="AF498" s="303"/>
      <c r="AG498" s="303"/>
      <c r="AH498" s="314"/>
      <c r="AI498" s="297">
        <f t="shared" si="60"/>
        <v>0</v>
      </c>
      <c r="AJ498" s="303"/>
      <c r="AK498" s="303"/>
      <c r="AL498" s="303"/>
      <c r="AM498" s="303"/>
      <c r="AN498" s="303"/>
      <c r="AO498" s="303"/>
      <c r="AP498" s="303"/>
      <c r="AQ498" s="289">
        <f t="shared" si="61"/>
        <v>0</v>
      </c>
      <c r="AR498" s="303"/>
      <c r="AS498" s="303"/>
      <c r="AT498" s="329"/>
      <c r="AU498" s="329"/>
      <c r="AV498" s="329"/>
      <c r="AW498" s="329"/>
      <c r="AX498" s="329"/>
      <c r="AY498" s="139">
        <f t="shared" si="62"/>
        <v>0</v>
      </c>
      <c r="AZ498" s="303"/>
      <c r="BA498" s="303"/>
      <c r="BB498" s="303"/>
      <c r="BC498" s="303"/>
      <c r="BD498" s="303"/>
      <c r="BE498" s="303"/>
      <c r="BF498" s="303"/>
      <c r="BG498" s="353">
        <f t="shared" si="63"/>
        <v>0</v>
      </c>
      <c r="BH498" s="303"/>
      <c r="BI498" s="303"/>
      <c r="BJ498" s="354">
        <f t="shared" si="57"/>
        <v>1</v>
      </c>
      <c r="BK498" s="316" t="str">
        <f t="shared" si="64"/>
        <v>Habilitado</v>
      </c>
    </row>
    <row r="499" spans="1:63" ht="25.5" x14ac:dyDescent="0.25">
      <c r="A499" s="324">
        <v>497</v>
      </c>
      <c r="B499" s="345" t="s">
        <v>2694</v>
      </c>
      <c r="C499" s="335" t="s">
        <v>2695</v>
      </c>
      <c r="D499" s="357" t="s">
        <v>1556</v>
      </c>
      <c r="E499" s="347">
        <v>1</v>
      </c>
      <c r="F499" s="314" t="s">
        <v>510</v>
      </c>
      <c r="G499" s="314" t="s">
        <v>510</v>
      </c>
      <c r="H499" s="314" t="s">
        <v>511</v>
      </c>
      <c r="I499" s="314" t="s">
        <v>510</v>
      </c>
      <c r="J499" s="314">
        <v>40</v>
      </c>
      <c r="K499" s="29">
        <f t="shared" si="58"/>
        <v>40</v>
      </c>
      <c r="L499" s="406" t="s">
        <v>504</v>
      </c>
      <c r="M499" s="314"/>
      <c r="N499" s="314"/>
      <c r="O499" s="314"/>
      <c r="P499" s="314"/>
      <c r="Q499" s="314"/>
      <c r="R499" s="314"/>
      <c r="S499" s="314"/>
      <c r="T499" s="314"/>
      <c r="U499" s="314"/>
      <c r="V499" s="350"/>
      <c r="W499" s="350"/>
      <c r="X499" s="350"/>
      <c r="Y499" s="350"/>
      <c r="Z499" s="307"/>
      <c r="AA499" s="350">
        <f t="shared" si="59"/>
        <v>0</v>
      </c>
      <c r="AB499" s="307"/>
      <c r="AC499" s="307"/>
      <c r="AD499" s="303"/>
      <c r="AE499" s="303"/>
      <c r="AF499" s="303"/>
      <c r="AG499" s="303"/>
      <c r="AH499" s="314"/>
      <c r="AI499" s="297">
        <f t="shared" si="60"/>
        <v>0</v>
      </c>
      <c r="AJ499" s="303"/>
      <c r="AK499" s="303"/>
      <c r="AL499" s="303"/>
      <c r="AM499" s="303"/>
      <c r="AN499" s="303"/>
      <c r="AO499" s="303"/>
      <c r="AP499" s="303"/>
      <c r="AQ499" s="289">
        <f t="shared" si="61"/>
        <v>0</v>
      </c>
      <c r="AR499" s="314"/>
      <c r="AS499" s="314"/>
      <c r="AT499" s="329"/>
      <c r="AU499" s="329"/>
      <c r="AV499" s="329"/>
      <c r="AW499" s="329"/>
      <c r="AX499" s="329"/>
      <c r="AY499" s="139">
        <f t="shared" si="62"/>
        <v>0</v>
      </c>
      <c r="AZ499" s="303"/>
      <c r="BA499" s="303"/>
      <c r="BB499" s="303"/>
      <c r="BC499" s="303"/>
      <c r="BD499" s="303"/>
      <c r="BE499" s="303"/>
      <c r="BF499" s="303"/>
      <c r="BG499" s="353">
        <f t="shared" si="63"/>
        <v>0</v>
      </c>
      <c r="BH499" s="303"/>
      <c r="BI499" s="303"/>
      <c r="BJ499" s="354">
        <f t="shared" si="57"/>
        <v>1</v>
      </c>
      <c r="BK499" s="316" t="str">
        <f t="shared" si="64"/>
        <v>Habilitado</v>
      </c>
    </row>
    <row r="500" spans="1:63" ht="25.5" x14ac:dyDescent="0.25">
      <c r="A500" s="324">
        <v>498</v>
      </c>
      <c r="B500" s="345" t="s">
        <v>2696</v>
      </c>
      <c r="C500" s="335" t="s">
        <v>2697</v>
      </c>
      <c r="D500" s="360" t="s">
        <v>1769</v>
      </c>
      <c r="E500" s="347">
        <v>1</v>
      </c>
      <c r="F500" s="314" t="s">
        <v>510</v>
      </c>
      <c r="G500" s="314" t="s">
        <v>510</v>
      </c>
      <c r="H500" s="314" t="s">
        <v>511</v>
      </c>
      <c r="I500" s="314" t="s">
        <v>510</v>
      </c>
      <c r="J500" s="314">
        <v>40</v>
      </c>
      <c r="K500" s="29">
        <f t="shared" si="58"/>
        <v>40</v>
      </c>
      <c r="L500" s="406" t="s">
        <v>504</v>
      </c>
      <c r="M500" s="314"/>
      <c r="N500" s="314"/>
      <c r="O500" s="314"/>
      <c r="P500" s="314"/>
      <c r="Q500" s="314"/>
      <c r="R500" s="314"/>
      <c r="S500" s="314"/>
      <c r="T500" s="314"/>
      <c r="U500" s="314"/>
      <c r="V500" s="350"/>
      <c r="W500" s="350"/>
      <c r="X500" s="350"/>
      <c r="Y500" s="350"/>
      <c r="Z500" s="307"/>
      <c r="AA500" s="350">
        <f t="shared" si="59"/>
        <v>0</v>
      </c>
      <c r="AB500" s="307"/>
      <c r="AC500" s="307"/>
      <c r="AD500" s="303"/>
      <c r="AE500" s="303"/>
      <c r="AF500" s="303"/>
      <c r="AG500" s="303"/>
      <c r="AH500" s="314"/>
      <c r="AI500" s="297">
        <f t="shared" si="60"/>
        <v>0</v>
      </c>
      <c r="AJ500" s="303"/>
      <c r="AK500" s="303"/>
      <c r="AL500" s="303"/>
      <c r="AM500" s="303"/>
      <c r="AN500" s="303"/>
      <c r="AO500" s="303"/>
      <c r="AP500" s="303"/>
      <c r="AQ500" s="289">
        <f t="shared" si="61"/>
        <v>0</v>
      </c>
      <c r="AR500" s="303"/>
      <c r="AS500" s="303"/>
      <c r="AT500" s="329"/>
      <c r="AU500" s="329"/>
      <c r="AV500" s="329"/>
      <c r="AW500" s="329"/>
      <c r="AX500" s="329"/>
      <c r="AY500" s="139">
        <f t="shared" si="62"/>
        <v>0</v>
      </c>
      <c r="AZ500" s="303"/>
      <c r="BA500" s="303"/>
      <c r="BB500" s="303"/>
      <c r="BC500" s="303"/>
      <c r="BD500" s="303"/>
      <c r="BE500" s="303"/>
      <c r="BF500" s="303"/>
      <c r="BG500" s="353">
        <f t="shared" si="63"/>
        <v>0</v>
      </c>
      <c r="BH500" s="303"/>
      <c r="BI500" s="303"/>
      <c r="BJ500" s="354">
        <f t="shared" si="57"/>
        <v>1</v>
      </c>
      <c r="BK500" s="316" t="str">
        <f t="shared" si="64"/>
        <v>Habilitado</v>
      </c>
    </row>
    <row r="501" spans="1:63" x14ac:dyDescent="0.25">
      <c r="A501" s="324">
        <v>499</v>
      </c>
      <c r="B501" s="345" t="s">
        <v>2698</v>
      </c>
      <c r="C501" s="335" t="s">
        <v>2699</v>
      </c>
      <c r="D501" s="357" t="s">
        <v>1773</v>
      </c>
      <c r="E501" s="347">
        <v>1</v>
      </c>
      <c r="F501" s="314" t="s">
        <v>510</v>
      </c>
      <c r="G501" s="314" t="s">
        <v>510</v>
      </c>
      <c r="H501" s="314" t="s">
        <v>510</v>
      </c>
      <c r="I501" s="314" t="s">
        <v>510</v>
      </c>
      <c r="J501" s="314">
        <v>40</v>
      </c>
      <c r="K501" s="29">
        <f t="shared" si="58"/>
        <v>40</v>
      </c>
      <c r="L501" s="406" t="s">
        <v>504</v>
      </c>
      <c r="M501" s="314"/>
      <c r="N501" s="314"/>
      <c r="O501" s="314"/>
      <c r="P501" s="314"/>
      <c r="Q501" s="314"/>
      <c r="R501" s="314"/>
      <c r="S501" s="314"/>
      <c r="T501" s="314"/>
      <c r="U501" s="314"/>
      <c r="V501" s="350"/>
      <c r="W501" s="350"/>
      <c r="X501" s="350"/>
      <c r="Y501" s="350"/>
      <c r="Z501" s="307"/>
      <c r="AA501" s="350">
        <f t="shared" si="59"/>
        <v>0</v>
      </c>
      <c r="AB501" s="307"/>
      <c r="AC501" s="307"/>
      <c r="AD501" s="303"/>
      <c r="AE501" s="303"/>
      <c r="AF501" s="303"/>
      <c r="AG501" s="303"/>
      <c r="AH501" s="314"/>
      <c r="AI501" s="297">
        <f t="shared" si="60"/>
        <v>0</v>
      </c>
      <c r="AJ501" s="303"/>
      <c r="AK501" s="303"/>
      <c r="AL501" s="303"/>
      <c r="AM501" s="303"/>
      <c r="AN501" s="303"/>
      <c r="AO501" s="303"/>
      <c r="AP501" s="303"/>
      <c r="AQ501" s="289">
        <f t="shared" si="61"/>
        <v>0</v>
      </c>
      <c r="AR501" s="303"/>
      <c r="AS501" s="303"/>
      <c r="AT501" s="329"/>
      <c r="AU501" s="329"/>
      <c r="AV501" s="329"/>
      <c r="AW501" s="329"/>
      <c r="AX501" s="329"/>
      <c r="AY501" s="139">
        <f t="shared" si="62"/>
        <v>0</v>
      </c>
      <c r="AZ501" s="303"/>
      <c r="BA501" s="303"/>
      <c r="BB501" s="303"/>
      <c r="BC501" s="303"/>
      <c r="BD501" s="303"/>
      <c r="BE501" s="303"/>
      <c r="BF501" s="303"/>
      <c r="BG501" s="353">
        <f t="shared" si="63"/>
        <v>0</v>
      </c>
      <c r="BH501" s="303"/>
      <c r="BI501" s="303"/>
      <c r="BJ501" s="354">
        <f t="shared" si="57"/>
        <v>1</v>
      </c>
      <c r="BK501" s="316" t="str">
        <f t="shared" si="64"/>
        <v>Habilitado</v>
      </c>
    </row>
    <row r="502" spans="1:63" ht="76.5" x14ac:dyDescent="0.25">
      <c r="A502" s="324">
        <v>500</v>
      </c>
      <c r="B502" s="345" t="s">
        <v>2700</v>
      </c>
      <c r="C502" s="357" t="s">
        <v>2701</v>
      </c>
      <c r="D502" s="360" t="s">
        <v>1525</v>
      </c>
      <c r="E502" s="347">
        <v>1</v>
      </c>
      <c r="F502" s="314" t="s">
        <v>510</v>
      </c>
      <c r="G502" s="314" t="s">
        <v>510</v>
      </c>
      <c r="H502" s="314" t="s">
        <v>510</v>
      </c>
      <c r="I502" s="314" t="s">
        <v>510</v>
      </c>
      <c r="J502" s="314">
        <v>40</v>
      </c>
      <c r="K502" s="29">
        <f t="shared" si="58"/>
        <v>40</v>
      </c>
      <c r="L502" s="406" t="s">
        <v>504</v>
      </c>
      <c r="M502" s="314"/>
      <c r="N502" s="314"/>
      <c r="O502" s="314"/>
      <c r="P502" s="314"/>
      <c r="Q502" s="314"/>
      <c r="R502" s="314"/>
      <c r="S502" s="314"/>
      <c r="T502" s="314"/>
      <c r="U502" s="314"/>
      <c r="V502" s="350"/>
      <c r="W502" s="350"/>
      <c r="X502" s="350"/>
      <c r="Y502" s="350"/>
      <c r="Z502" s="307"/>
      <c r="AA502" s="350">
        <f t="shared" si="59"/>
        <v>0</v>
      </c>
      <c r="AB502" s="307"/>
      <c r="AC502" s="303"/>
      <c r="AD502" s="303"/>
      <c r="AE502" s="303"/>
      <c r="AF502" s="303"/>
      <c r="AG502" s="303"/>
      <c r="AH502" s="314"/>
      <c r="AI502" s="297">
        <f t="shared" si="60"/>
        <v>0</v>
      </c>
      <c r="AJ502" s="303"/>
      <c r="AK502" s="303"/>
      <c r="AL502" s="303"/>
      <c r="AM502" s="303"/>
      <c r="AN502" s="303"/>
      <c r="AO502" s="303"/>
      <c r="AP502" s="303"/>
      <c r="AQ502" s="289">
        <f t="shared" si="61"/>
        <v>0</v>
      </c>
      <c r="AR502" s="303"/>
      <c r="AS502" s="303"/>
      <c r="AT502" s="303" t="s">
        <v>510</v>
      </c>
      <c r="AU502" s="303" t="s">
        <v>510</v>
      </c>
      <c r="AV502" s="303" t="s">
        <v>510</v>
      </c>
      <c r="AW502" s="303" t="s">
        <v>510</v>
      </c>
      <c r="AX502" s="303">
        <v>40</v>
      </c>
      <c r="AY502" s="139">
        <f t="shared" si="62"/>
        <v>40</v>
      </c>
      <c r="AZ502" s="303" t="s">
        <v>504</v>
      </c>
      <c r="BA502" s="301"/>
      <c r="BB502" s="303"/>
      <c r="BC502" s="303"/>
      <c r="BD502" s="303"/>
      <c r="BE502" s="303"/>
      <c r="BF502" s="303"/>
      <c r="BG502" s="353">
        <f t="shared" si="63"/>
        <v>0</v>
      </c>
      <c r="BH502" s="303"/>
      <c r="BI502" s="303"/>
      <c r="BJ502" s="354">
        <f t="shared" si="57"/>
        <v>2</v>
      </c>
      <c r="BK502" s="316" t="str">
        <f t="shared" si="64"/>
        <v>Habilitado</v>
      </c>
    </row>
    <row r="503" spans="1:63" ht="25.5" x14ac:dyDescent="0.25">
      <c r="A503" s="324">
        <v>501</v>
      </c>
      <c r="B503" s="345" t="s">
        <v>2702</v>
      </c>
      <c r="C503" s="335" t="s">
        <v>2703</v>
      </c>
      <c r="D503" s="360" t="s">
        <v>1525</v>
      </c>
      <c r="E503" s="347">
        <v>1</v>
      </c>
      <c r="F503" s="314" t="s">
        <v>510</v>
      </c>
      <c r="G503" s="314" t="s">
        <v>510</v>
      </c>
      <c r="H503" s="314" t="s">
        <v>510</v>
      </c>
      <c r="I503" s="314" t="s">
        <v>510</v>
      </c>
      <c r="J503" s="314">
        <v>40</v>
      </c>
      <c r="K503" s="29">
        <f t="shared" si="58"/>
        <v>40</v>
      </c>
      <c r="L503" s="406" t="s">
        <v>504</v>
      </c>
      <c r="M503" s="314"/>
      <c r="N503" s="314"/>
      <c r="O503" s="314"/>
      <c r="P503" s="314"/>
      <c r="Q503" s="314"/>
      <c r="R503" s="314"/>
      <c r="S503" s="314"/>
      <c r="T503" s="314"/>
      <c r="U503" s="314"/>
      <c r="V503" s="350"/>
      <c r="W503" s="350"/>
      <c r="X503" s="350"/>
      <c r="Y503" s="350"/>
      <c r="Z503" s="307"/>
      <c r="AA503" s="350">
        <f t="shared" si="59"/>
        <v>0</v>
      </c>
      <c r="AB503" s="307"/>
      <c r="AC503" s="307"/>
      <c r="AD503" s="303"/>
      <c r="AE503" s="303"/>
      <c r="AF503" s="303"/>
      <c r="AG503" s="303"/>
      <c r="AH503" s="314"/>
      <c r="AI503" s="297">
        <f t="shared" si="60"/>
        <v>0</v>
      </c>
      <c r="AJ503" s="303"/>
      <c r="AK503" s="303"/>
      <c r="AL503" s="303"/>
      <c r="AM503" s="303"/>
      <c r="AN503" s="303"/>
      <c r="AO503" s="303"/>
      <c r="AP503" s="303"/>
      <c r="AQ503" s="289">
        <f t="shared" si="61"/>
        <v>0</v>
      </c>
      <c r="AR503" s="303"/>
      <c r="AS503" s="303"/>
      <c r="AT503" s="329"/>
      <c r="AU503" s="329"/>
      <c r="AV503" s="329"/>
      <c r="AW503" s="329"/>
      <c r="AX503" s="329"/>
      <c r="AY503" s="139">
        <f t="shared" si="62"/>
        <v>0</v>
      </c>
      <c r="AZ503" s="303"/>
      <c r="BA503" s="303"/>
      <c r="BB503" s="303"/>
      <c r="BC503" s="303"/>
      <c r="BD503" s="303"/>
      <c r="BE503" s="303"/>
      <c r="BF503" s="303"/>
      <c r="BG503" s="353">
        <f t="shared" si="63"/>
        <v>0</v>
      </c>
      <c r="BH503" s="303"/>
      <c r="BI503" s="303"/>
      <c r="BJ503" s="354">
        <f t="shared" si="57"/>
        <v>1</v>
      </c>
      <c r="BK503" s="316" t="str">
        <f t="shared" si="64"/>
        <v>Habilitado</v>
      </c>
    </row>
    <row r="504" spans="1:63" ht="89.25" x14ac:dyDescent="0.25">
      <c r="A504" s="324">
        <v>502</v>
      </c>
      <c r="B504" s="345" t="s">
        <v>2704</v>
      </c>
      <c r="C504" s="357" t="s">
        <v>2705</v>
      </c>
      <c r="D504" s="360" t="s">
        <v>1525</v>
      </c>
      <c r="E504" s="347">
        <v>1</v>
      </c>
      <c r="F504" s="314" t="s">
        <v>510</v>
      </c>
      <c r="G504" s="314" t="s">
        <v>510</v>
      </c>
      <c r="H504" s="314" t="s">
        <v>510</v>
      </c>
      <c r="I504" s="314" t="s">
        <v>510</v>
      </c>
      <c r="J504" s="314">
        <v>40</v>
      </c>
      <c r="K504" s="29">
        <f t="shared" si="58"/>
        <v>40</v>
      </c>
      <c r="L504" s="406" t="s">
        <v>504</v>
      </c>
      <c r="M504" s="314"/>
      <c r="N504" s="314"/>
      <c r="O504" s="314"/>
      <c r="P504" s="314"/>
      <c r="Q504" s="314"/>
      <c r="R504" s="314"/>
      <c r="S504" s="314"/>
      <c r="T504" s="314"/>
      <c r="U504" s="314"/>
      <c r="V504" s="350"/>
      <c r="W504" s="350"/>
      <c r="X504" s="350"/>
      <c r="Y504" s="350"/>
      <c r="Z504" s="307"/>
      <c r="AA504" s="350">
        <f t="shared" si="59"/>
        <v>0</v>
      </c>
      <c r="AB504" s="307"/>
      <c r="AC504" s="303"/>
      <c r="AD504" s="303"/>
      <c r="AE504" s="303"/>
      <c r="AF504" s="303"/>
      <c r="AG504" s="303"/>
      <c r="AH504" s="314"/>
      <c r="AI504" s="297">
        <f t="shared" si="60"/>
        <v>0</v>
      </c>
      <c r="AJ504" s="303"/>
      <c r="AK504" s="303"/>
      <c r="AL504" s="303"/>
      <c r="AM504" s="303"/>
      <c r="AN504" s="303"/>
      <c r="AO504" s="303"/>
      <c r="AP504" s="303"/>
      <c r="AQ504" s="289">
        <f t="shared" si="61"/>
        <v>0</v>
      </c>
      <c r="AR504" s="303"/>
      <c r="AS504" s="303"/>
      <c r="AT504" s="303" t="s">
        <v>510</v>
      </c>
      <c r="AU504" s="303" t="s">
        <v>510</v>
      </c>
      <c r="AV504" s="303" t="s">
        <v>510</v>
      </c>
      <c r="AW504" s="303" t="s">
        <v>510</v>
      </c>
      <c r="AX504" s="303">
        <v>40</v>
      </c>
      <c r="AY504" s="139">
        <f t="shared" si="62"/>
        <v>40</v>
      </c>
      <c r="AZ504" s="303" t="s">
        <v>504</v>
      </c>
      <c r="BA504" s="301"/>
      <c r="BB504" s="303"/>
      <c r="BC504" s="303"/>
      <c r="BD504" s="303"/>
      <c r="BE504" s="303"/>
      <c r="BF504" s="303"/>
      <c r="BG504" s="353">
        <f t="shared" si="63"/>
        <v>0</v>
      </c>
      <c r="BH504" s="303"/>
      <c r="BI504" s="303"/>
      <c r="BJ504" s="354">
        <f t="shared" si="57"/>
        <v>2</v>
      </c>
      <c r="BK504" s="316" t="str">
        <f t="shared" si="64"/>
        <v>Habilitado</v>
      </c>
    </row>
    <row r="505" spans="1:63" ht="76.5" x14ac:dyDescent="0.25">
      <c r="A505" s="324">
        <v>503</v>
      </c>
      <c r="B505" s="345" t="s">
        <v>2706</v>
      </c>
      <c r="C505" s="335" t="s">
        <v>2707</v>
      </c>
      <c r="D505" s="357" t="s">
        <v>1783</v>
      </c>
      <c r="E505" s="347">
        <v>1</v>
      </c>
      <c r="F505" s="314" t="s">
        <v>510</v>
      </c>
      <c r="G505" s="314" t="s">
        <v>510</v>
      </c>
      <c r="H505" s="314" t="s">
        <v>510</v>
      </c>
      <c r="I505" s="314" t="s">
        <v>510</v>
      </c>
      <c r="J505" s="314">
        <v>40</v>
      </c>
      <c r="K505" s="29">
        <f t="shared" si="58"/>
        <v>40</v>
      </c>
      <c r="L505" s="406" t="s">
        <v>504</v>
      </c>
      <c r="M505" s="314"/>
      <c r="N505" s="314"/>
      <c r="O505" s="314"/>
      <c r="P505" s="314"/>
      <c r="Q505" s="314"/>
      <c r="R505" s="314"/>
      <c r="S505" s="314"/>
      <c r="T505" s="314"/>
      <c r="U505" s="314"/>
      <c r="V505" s="350"/>
      <c r="W505" s="350"/>
      <c r="X505" s="350"/>
      <c r="Y505" s="350"/>
      <c r="Z505" s="307"/>
      <c r="AA505" s="350">
        <f t="shared" si="59"/>
        <v>0</v>
      </c>
      <c r="AB505" s="307"/>
      <c r="AC505" s="307"/>
      <c r="AD505" s="303"/>
      <c r="AE505" s="303"/>
      <c r="AF505" s="303"/>
      <c r="AG505" s="303"/>
      <c r="AH505" s="314"/>
      <c r="AI505" s="297">
        <f t="shared" si="60"/>
        <v>0</v>
      </c>
      <c r="AJ505" s="303"/>
      <c r="AK505" s="303"/>
      <c r="AL505" s="303"/>
      <c r="AM505" s="303"/>
      <c r="AN505" s="303"/>
      <c r="AO505" s="303"/>
      <c r="AP505" s="303"/>
      <c r="AQ505" s="289">
        <f t="shared" si="61"/>
        <v>0</v>
      </c>
      <c r="AR505" s="303"/>
      <c r="AS505" s="303"/>
      <c r="AT505" s="329"/>
      <c r="AU505" s="329"/>
      <c r="AV505" s="329"/>
      <c r="AW505" s="329"/>
      <c r="AX505" s="329"/>
      <c r="AY505" s="139">
        <f t="shared" si="62"/>
        <v>0</v>
      </c>
      <c r="AZ505" s="303"/>
      <c r="BA505" s="303"/>
      <c r="BB505" s="303"/>
      <c r="BC505" s="303"/>
      <c r="BD505" s="303"/>
      <c r="BE505" s="303"/>
      <c r="BF505" s="303"/>
      <c r="BG505" s="353">
        <f t="shared" si="63"/>
        <v>0</v>
      </c>
      <c r="BH505" s="303"/>
      <c r="BI505" s="303"/>
      <c r="BJ505" s="354">
        <f t="shared" si="57"/>
        <v>1</v>
      </c>
      <c r="BK505" s="316" t="str">
        <f t="shared" si="64"/>
        <v>Habilitado</v>
      </c>
    </row>
    <row r="506" spans="1:63" ht="25.5" x14ac:dyDescent="0.25">
      <c r="A506" s="324">
        <v>504</v>
      </c>
      <c r="B506" s="345" t="s">
        <v>2708</v>
      </c>
      <c r="C506" s="335" t="s">
        <v>2709</v>
      </c>
      <c r="D506" s="360" t="s">
        <v>2710</v>
      </c>
      <c r="E506" s="347">
        <v>1</v>
      </c>
      <c r="F506" s="314"/>
      <c r="G506" s="314"/>
      <c r="H506" s="314"/>
      <c r="I506" s="314"/>
      <c r="J506" s="314"/>
      <c r="K506" s="29">
        <f t="shared" si="58"/>
        <v>0</v>
      </c>
      <c r="L506" s="314"/>
      <c r="M506" s="314"/>
      <c r="N506" s="314"/>
      <c r="O506" s="314"/>
      <c r="P506" s="314"/>
      <c r="Q506" s="314"/>
      <c r="R506" s="314"/>
      <c r="S506" s="314"/>
      <c r="T506" s="314"/>
      <c r="U506" s="314"/>
      <c r="V506" s="350"/>
      <c r="W506" s="350"/>
      <c r="X506" s="350"/>
      <c r="Y506" s="350"/>
      <c r="Z506" s="307"/>
      <c r="AA506" s="350">
        <f t="shared" si="59"/>
        <v>0</v>
      </c>
      <c r="AB506" s="307"/>
      <c r="AC506" s="307"/>
      <c r="AD506" s="303"/>
      <c r="AE506" s="303"/>
      <c r="AF506" s="303"/>
      <c r="AG506" s="303"/>
      <c r="AH506" s="314"/>
      <c r="AI506" s="297">
        <f t="shared" si="60"/>
        <v>0</v>
      </c>
      <c r="AJ506" s="303"/>
      <c r="AK506" s="303"/>
      <c r="AL506" s="303"/>
      <c r="AM506" s="303"/>
      <c r="AN506" s="303"/>
      <c r="AO506" s="303"/>
      <c r="AP506" s="303"/>
      <c r="AQ506" s="289">
        <f t="shared" si="61"/>
        <v>0</v>
      </c>
      <c r="AR506" s="303"/>
      <c r="AS506" s="303"/>
      <c r="AT506" s="303" t="s">
        <v>510</v>
      </c>
      <c r="AU506" s="303" t="s">
        <v>510</v>
      </c>
      <c r="AV506" s="303" t="s">
        <v>510</v>
      </c>
      <c r="AW506" s="303" t="s">
        <v>510</v>
      </c>
      <c r="AX506" s="303">
        <v>40</v>
      </c>
      <c r="AY506" s="139">
        <f t="shared" si="62"/>
        <v>40</v>
      </c>
      <c r="AZ506" s="303" t="s">
        <v>504</v>
      </c>
      <c r="BA506" s="301"/>
      <c r="BB506" s="303"/>
      <c r="BC506" s="303"/>
      <c r="BD506" s="303"/>
      <c r="BE506" s="303"/>
      <c r="BF506" s="303"/>
      <c r="BG506" s="353">
        <f t="shared" si="63"/>
        <v>0</v>
      </c>
      <c r="BH506" s="303"/>
      <c r="BI506" s="303"/>
      <c r="BJ506" s="354">
        <f t="shared" si="57"/>
        <v>1</v>
      </c>
      <c r="BK506" s="316" t="str">
        <f t="shared" si="64"/>
        <v>Habilitado</v>
      </c>
    </row>
    <row r="507" spans="1:63" ht="25.5" x14ac:dyDescent="0.25">
      <c r="A507" s="324">
        <v>505</v>
      </c>
      <c r="B507" s="345" t="s">
        <v>2711</v>
      </c>
      <c r="C507" s="335" t="s">
        <v>2712</v>
      </c>
      <c r="D507" s="357" t="s">
        <v>1576</v>
      </c>
      <c r="E507" s="347">
        <v>1</v>
      </c>
      <c r="F507" s="314" t="s">
        <v>510</v>
      </c>
      <c r="G507" s="314" t="s">
        <v>510</v>
      </c>
      <c r="H507" s="314" t="s">
        <v>510</v>
      </c>
      <c r="I507" s="314" t="s">
        <v>510</v>
      </c>
      <c r="J507" s="314">
        <v>40</v>
      </c>
      <c r="K507" s="29">
        <f t="shared" si="58"/>
        <v>40</v>
      </c>
      <c r="L507" s="406" t="s">
        <v>504</v>
      </c>
      <c r="M507" s="314"/>
      <c r="N507" s="314"/>
      <c r="O507" s="314"/>
      <c r="P507" s="314"/>
      <c r="Q507" s="314"/>
      <c r="R507" s="314"/>
      <c r="S507" s="314"/>
      <c r="T507" s="314"/>
      <c r="U507" s="314"/>
      <c r="V507" s="350"/>
      <c r="W507" s="350"/>
      <c r="X507" s="350"/>
      <c r="Y507" s="350"/>
      <c r="Z507" s="307"/>
      <c r="AA507" s="350">
        <f t="shared" si="59"/>
        <v>0</v>
      </c>
      <c r="AB507" s="307"/>
      <c r="AC507" s="307"/>
      <c r="AD507" s="303"/>
      <c r="AE507" s="303"/>
      <c r="AF507" s="303"/>
      <c r="AG507" s="303"/>
      <c r="AH507" s="314"/>
      <c r="AI507" s="297">
        <f t="shared" si="60"/>
        <v>0</v>
      </c>
      <c r="AJ507" s="303"/>
      <c r="AK507" s="303"/>
      <c r="AL507" s="303"/>
      <c r="AM507" s="303"/>
      <c r="AN507" s="303"/>
      <c r="AO507" s="303"/>
      <c r="AP507" s="303"/>
      <c r="AQ507" s="289">
        <f t="shared" si="61"/>
        <v>0</v>
      </c>
      <c r="AR507" s="303"/>
      <c r="AS507" s="303"/>
      <c r="AT507" s="329"/>
      <c r="AU507" s="329"/>
      <c r="AV507" s="329"/>
      <c r="AW507" s="329"/>
      <c r="AX507" s="329"/>
      <c r="AY507" s="139">
        <f t="shared" si="62"/>
        <v>0</v>
      </c>
      <c r="AZ507" s="303" t="s">
        <v>520</v>
      </c>
      <c r="BA507" s="303" t="s">
        <v>2713</v>
      </c>
      <c r="BB507" s="304"/>
      <c r="BC507" s="304"/>
      <c r="BD507" s="304"/>
      <c r="BE507" s="304"/>
      <c r="BF507" s="304"/>
      <c r="BG507" s="353">
        <f t="shared" si="63"/>
        <v>0</v>
      </c>
      <c r="BH507" s="304"/>
      <c r="BI507" s="304"/>
      <c r="BJ507" s="354">
        <f t="shared" si="57"/>
        <v>1</v>
      </c>
      <c r="BK507" s="316" t="str">
        <f t="shared" si="64"/>
        <v>Habilitado</v>
      </c>
    </row>
    <row r="508" spans="1:63" x14ac:dyDescent="0.25">
      <c r="A508" s="324">
        <v>506</v>
      </c>
      <c r="B508" s="345" t="s">
        <v>2714</v>
      </c>
      <c r="C508" s="335" t="s">
        <v>2715</v>
      </c>
      <c r="D508" s="360" t="s">
        <v>2716</v>
      </c>
      <c r="E508" s="347">
        <v>1</v>
      </c>
      <c r="F508" s="314" t="s">
        <v>510</v>
      </c>
      <c r="G508" s="314" t="s">
        <v>510</v>
      </c>
      <c r="H508" s="314" t="s">
        <v>510</v>
      </c>
      <c r="I508" s="314" t="s">
        <v>510</v>
      </c>
      <c r="J508" s="314">
        <v>40</v>
      </c>
      <c r="K508" s="29">
        <f t="shared" si="58"/>
        <v>40</v>
      </c>
      <c r="L508" s="406" t="s">
        <v>504</v>
      </c>
      <c r="M508" s="314"/>
      <c r="N508" s="314"/>
      <c r="O508" s="314"/>
      <c r="P508" s="314"/>
      <c r="Q508" s="314"/>
      <c r="R508" s="314"/>
      <c r="S508" s="314"/>
      <c r="T508" s="314"/>
      <c r="U508" s="314"/>
      <c r="V508" s="350"/>
      <c r="W508" s="350"/>
      <c r="X508" s="350"/>
      <c r="Y508" s="350"/>
      <c r="Z508" s="307"/>
      <c r="AA508" s="350">
        <f t="shared" si="59"/>
        <v>0</v>
      </c>
      <c r="AB508" s="307"/>
      <c r="AC508" s="307"/>
      <c r="AD508" s="303"/>
      <c r="AE508" s="303"/>
      <c r="AF508" s="303"/>
      <c r="AG508" s="303"/>
      <c r="AH508" s="314"/>
      <c r="AI508" s="297">
        <f t="shared" si="60"/>
        <v>0</v>
      </c>
      <c r="AJ508" s="303"/>
      <c r="AK508" s="303"/>
      <c r="AL508" s="303"/>
      <c r="AM508" s="303"/>
      <c r="AN508" s="303"/>
      <c r="AO508" s="303"/>
      <c r="AP508" s="303"/>
      <c r="AQ508" s="289">
        <f t="shared" si="61"/>
        <v>0</v>
      </c>
      <c r="AR508" s="303"/>
      <c r="AS508" s="303"/>
      <c r="AT508" s="329"/>
      <c r="AU508" s="329"/>
      <c r="AV508" s="329"/>
      <c r="AW508" s="329"/>
      <c r="AX508" s="329"/>
      <c r="AY508" s="139">
        <f t="shared" si="62"/>
        <v>0</v>
      </c>
      <c r="AZ508" s="303"/>
      <c r="BA508" s="303"/>
      <c r="BB508" s="303"/>
      <c r="BC508" s="303"/>
      <c r="BD508" s="303"/>
      <c r="BE508" s="303"/>
      <c r="BF508" s="303"/>
      <c r="BG508" s="353">
        <f t="shared" si="63"/>
        <v>0</v>
      </c>
      <c r="BH508" s="303"/>
      <c r="BI508" s="303"/>
      <c r="BJ508" s="354">
        <f t="shared" si="57"/>
        <v>1</v>
      </c>
      <c r="BK508" s="316" t="str">
        <f t="shared" si="64"/>
        <v>Habilitado</v>
      </c>
    </row>
    <row r="509" spans="1:63" ht="114.75" x14ac:dyDescent="0.25">
      <c r="A509" s="324">
        <v>507</v>
      </c>
      <c r="B509" s="345" t="s">
        <v>2717</v>
      </c>
      <c r="C509" s="335" t="s">
        <v>518</v>
      </c>
      <c r="D509" s="360" t="s">
        <v>1061</v>
      </c>
      <c r="E509" s="347">
        <v>1</v>
      </c>
      <c r="F509" s="314" t="s">
        <v>510</v>
      </c>
      <c r="G509" s="314" t="s">
        <v>510</v>
      </c>
      <c r="H509" s="314" t="s">
        <v>510</v>
      </c>
      <c r="I509" s="314" t="s">
        <v>510</v>
      </c>
      <c r="J509" s="314">
        <v>40</v>
      </c>
      <c r="K509" s="29">
        <f t="shared" si="58"/>
        <v>40</v>
      </c>
      <c r="L509" s="406" t="s">
        <v>504</v>
      </c>
      <c r="M509" s="314"/>
      <c r="N509" s="314"/>
      <c r="O509" s="314"/>
      <c r="P509" s="314"/>
      <c r="Q509" s="314"/>
      <c r="R509" s="314"/>
      <c r="S509" s="314"/>
      <c r="T509" s="314"/>
      <c r="U509" s="314"/>
      <c r="V509" s="350" t="s">
        <v>510</v>
      </c>
      <c r="W509" s="350" t="s">
        <v>519</v>
      </c>
      <c r="X509" s="350" t="s">
        <v>510</v>
      </c>
      <c r="Y509" s="350" t="s">
        <v>510</v>
      </c>
      <c r="Z509" s="304">
        <v>0</v>
      </c>
      <c r="AA509" s="350">
        <f t="shared" si="59"/>
        <v>0</v>
      </c>
      <c r="AB509" s="307" t="s">
        <v>520</v>
      </c>
      <c r="AC509" s="306" t="s">
        <v>2718</v>
      </c>
      <c r="AD509" s="303"/>
      <c r="AE509" s="303"/>
      <c r="AF509" s="303"/>
      <c r="AG509" s="303"/>
      <c r="AH509" s="314"/>
      <c r="AI509" s="297">
        <f t="shared" si="60"/>
        <v>0</v>
      </c>
      <c r="AJ509" s="303"/>
      <c r="AK509" s="303"/>
      <c r="AL509" s="303"/>
      <c r="AM509" s="303"/>
      <c r="AN509" s="303"/>
      <c r="AO509" s="303"/>
      <c r="AP509" s="303"/>
      <c r="AQ509" s="289">
        <f t="shared" si="61"/>
        <v>0</v>
      </c>
      <c r="AR509" s="303"/>
      <c r="AS509" s="303"/>
      <c r="AT509" s="303" t="s">
        <v>510</v>
      </c>
      <c r="AU509" s="303" t="s">
        <v>510</v>
      </c>
      <c r="AV509" s="303" t="s">
        <v>510</v>
      </c>
      <c r="AW509" s="303" t="s">
        <v>510</v>
      </c>
      <c r="AX509" s="303">
        <v>40</v>
      </c>
      <c r="AY509" s="139">
        <f t="shared" si="62"/>
        <v>40</v>
      </c>
      <c r="AZ509" s="303" t="s">
        <v>504</v>
      </c>
      <c r="BA509" s="301"/>
      <c r="BB509" s="303"/>
      <c r="BC509" s="303"/>
      <c r="BD509" s="303"/>
      <c r="BE509" s="303"/>
      <c r="BF509" s="303"/>
      <c r="BG509" s="353">
        <f t="shared" si="63"/>
        <v>0</v>
      </c>
      <c r="BH509" s="303"/>
      <c r="BI509" s="303"/>
      <c r="BJ509" s="354">
        <f t="shared" si="57"/>
        <v>2</v>
      </c>
      <c r="BK509" s="316" t="str">
        <f t="shared" si="64"/>
        <v>Habilitado</v>
      </c>
    </row>
    <row r="510" spans="1:63" ht="25.5" x14ac:dyDescent="0.25">
      <c r="A510" s="324">
        <v>508</v>
      </c>
      <c r="B510" s="345" t="s">
        <v>2719</v>
      </c>
      <c r="C510" s="357" t="s">
        <v>2720</v>
      </c>
      <c r="D510" s="360" t="s">
        <v>140</v>
      </c>
      <c r="E510" s="347">
        <v>1</v>
      </c>
      <c r="F510" s="314" t="s">
        <v>510</v>
      </c>
      <c r="G510" s="314" t="s">
        <v>510</v>
      </c>
      <c r="H510" s="314" t="s">
        <v>510</v>
      </c>
      <c r="I510" s="314" t="s">
        <v>510</v>
      </c>
      <c r="J510" s="314">
        <v>40</v>
      </c>
      <c r="K510" s="29">
        <f t="shared" si="58"/>
        <v>40</v>
      </c>
      <c r="L510" s="406" t="s">
        <v>504</v>
      </c>
      <c r="M510" s="314"/>
      <c r="N510" s="314"/>
      <c r="O510" s="314"/>
      <c r="P510" s="314"/>
      <c r="Q510" s="314"/>
      <c r="R510" s="314"/>
      <c r="S510" s="314"/>
      <c r="T510" s="314"/>
      <c r="U510" s="314"/>
      <c r="V510" s="350" t="s">
        <v>510</v>
      </c>
      <c r="W510" s="350" t="s">
        <v>510</v>
      </c>
      <c r="X510" s="350" t="s">
        <v>510</v>
      </c>
      <c r="Y510" s="350" t="s">
        <v>510</v>
      </c>
      <c r="Z510" s="304">
        <v>20</v>
      </c>
      <c r="AA510" s="350">
        <f t="shared" si="59"/>
        <v>20</v>
      </c>
      <c r="AB510" s="307" t="s">
        <v>504</v>
      </c>
      <c r="AC510" s="306"/>
      <c r="AD510" s="303"/>
      <c r="AE510" s="303"/>
      <c r="AF510" s="303"/>
      <c r="AG510" s="303"/>
      <c r="AH510" s="314"/>
      <c r="AI510" s="297">
        <f t="shared" si="60"/>
        <v>0</v>
      </c>
      <c r="AJ510" s="303"/>
      <c r="AK510" s="303"/>
      <c r="AL510" s="303"/>
      <c r="AM510" s="303"/>
      <c r="AN510" s="303"/>
      <c r="AO510" s="303"/>
      <c r="AP510" s="303"/>
      <c r="AQ510" s="289">
        <f t="shared" si="61"/>
        <v>0</v>
      </c>
      <c r="AR510" s="303"/>
      <c r="AS510" s="303"/>
      <c r="AT510" s="303" t="s">
        <v>510</v>
      </c>
      <c r="AU510" s="303" t="s">
        <v>510</v>
      </c>
      <c r="AV510" s="303" t="s">
        <v>510</v>
      </c>
      <c r="AW510" s="303" t="s">
        <v>510</v>
      </c>
      <c r="AX510" s="303">
        <v>40</v>
      </c>
      <c r="AY510" s="139">
        <f t="shared" si="62"/>
        <v>40</v>
      </c>
      <c r="AZ510" s="303" t="s">
        <v>504</v>
      </c>
      <c r="BA510" s="301"/>
      <c r="BB510" s="303"/>
      <c r="BC510" s="303"/>
      <c r="BD510" s="303"/>
      <c r="BE510" s="303"/>
      <c r="BF510" s="303"/>
      <c r="BG510" s="353">
        <f t="shared" si="63"/>
        <v>0</v>
      </c>
      <c r="BH510" s="303"/>
      <c r="BI510" s="303"/>
      <c r="BJ510" s="354">
        <f t="shared" si="57"/>
        <v>3</v>
      </c>
      <c r="BK510" s="316" t="str">
        <f t="shared" si="64"/>
        <v>Habilitado</v>
      </c>
    </row>
    <row r="511" spans="1:63" ht="25.5" x14ac:dyDescent="0.25">
      <c r="A511" s="324">
        <v>509</v>
      </c>
      <c r="B511" s="345" t="s">
        <v>2721</v>
      </c>
      <c r="C511" s="335" t="s">
        <v>2722</v>
      </c>
      <c r="D511" s="360" t="s">
        <v>1061</v>
      </c>
      <c r="E511" s="347">
        <v>1</v>
      </c>
      <c r="F511" s="314"/>
      <c r="G511" s="314"/>
      <c r="H511" s="314"/>
      <c r="I511" s="314"/>
      <c r="J511" s="314"/>
      <c r="K511" s="29">
        <f t="shared" si="58"/>
        <v>0</v>
      </c>
      <c r="L511" s="314"/>
      <c r="M511" s="314"/>
      <c r="N511" s="314"/>
      <c r="O511" s="314"/>
      <c r="P511" s="314"/>
      <c r="Q511" s="314"/>
      <c r="R511" s="314"/>
      <c r="S511" s="314"/>
      <c r="T511" s="314"/>
      <c r="U511" s="314"/>
      <c r="V511" s="350"/>
      <c r="W511" s="350"/>
      <c r="X511" s="350"/>
      <c r="Y511" s="350"/>
      <c r="Z511" s="307"/>
      <c r="AA511" s="350">
        <f t="shared" si="59"/>
        <v>0</v>
      </c>
      <c r="AB511" s="307"/>
      <c r="AC511" s="307"/>
      <c r="AD511" s="303"/>
      <c r="AE511" s="303"/>
      <c r="AF511" s="303"/>
      <c r="AG511" s="303"/>
      <c r="AH511" s="314"/>
      <c r="AI511" s="297">
        <f t="shared" si="60"/>
        <v>0</v>
      </c>
      <c r="AJ511" s="303"/>
      <c r="AK511" s="303"/>
      <c r="AL511" s="303"/>
      <c r="AM511" s="303"/>
      <c r="AN511" s="303"/>
      <c r="AO511" s="303"/>
      <c r="AP511" s="303"/>
      <c r="AQ511" s="289">
        <f t="shared" si="61"/>
        <v>0</v>
      </c>
      <c r="AR511" s="303"/>
      <c r="AS511" s="303"/>
      <c r="AT511" s="329"/>
      <c r="AU511" s="329"/>
      <c r="AV511" s="329"/>
      <c r="AW511" s="329"/>
      <c r="AX511" s="329"/>
      <c r="AY511" s="139">
        <f t="shared" si="62"/>
        <v>0</v>
      </c>
      <c r="AZ511" s="303"/>
      <c r="BA511" s="303"/>
      <c r="BB511" s="303" t="s">
        <v>510</v>
      </c>
      <c r="BC511" s="303" t="s">
        <v>519</v>
      </c>
      <c r="BD511" s="303" t="s">
        <v>510</v>
      </c>
      <c r="BE511" s="303" t="s">
        <v>510</v>
      </c>
      <c r="BF511" s="352">
        <v>0</v>
      </c>
      <c r="BG511" s="353">
        <f t="shared" si="63"/>
        <v>0</v>
      </c>
      <c r="BH511" s="303" t="s">
        <v>520</v>
      </c>
      <c r="BI511" s="301" t="s">
        <v>2723</v>
      </c>
      <c r="BJ511" s="354">
        <f t="shared" si="57"/>
        <v>0</v>
      </c>
      <c r="BK511" s="316" t="str">
        <f t="shared" si="64"/>
        <v>Desierto</v>
      </c>
    </row>
    <row r="512" spans="1:63" ht="25.5" x14ac:dyDescent="0.25">
      <c r="A512" s="324">
        <v>510</v>
      </c>
      <c r="B512" s="345" t="s">
        <v>2724</v>
      </c>
      <c r="C512" s="335" t="s">
        <v>518</v>
      </c>
      <c r="D512" s="357" t="s">
        <v>140</v>
      </c>
      <c r="E512" s="347">
        <v>1</v>
      </c>
      <c r="F512" s="314"/>
      <c r="G512" s="314"/>
      <c r="H512" s="314"/>
      <c r="I512" s="314"/>
      <c r="J512" s="314"/>
      <c r="K512" s="29">
        <f t="shared" si="58"/>
        <v>0</v>
      </c>
      <c r="L512" s="314"/>
      <c r="M512" s="314"/>
      <c r="N512" s="314"/>
      <c r="O512" s="314"/>
      <c r="P512" s="314"/>
      <c r="Q512" s="314"/>
      <c r="R512" s="314"/>
      <c r="S512" s="314"/>
      <c r="T512" s="314"/>
      <c r="U512" s="314"/>
      <c r="V512" s="350"/>
      <c r="W512" s="350"/>
      <c r="X512" s="350"/>
      <c r="Y512" s="350"/>
      <c r="Z512" s="307"/>
      <c r="AA512" s="350">
        <f t="shared" si="59"/>
        <v>0</v>
      </c>
      <c r="AB512" s="307"/>
      <c r="AC512" s="307"/>
      <c r="AD512" s="303"/>
      <c r="AE512" s="303"/>
      <c r="AF512" s="303"/>
      <c r="AG512" s="303"/>
      <c r="AH512" s="314"/>
      <c r="AI512" s="297">
        <f t="shared" si="60"/>
        <v>0</v>
      </c>
      <c r="AJ512" s="303"/>
      <c r="AK512" s="303"/>
      <c r="AL512" s="303"/>
      <c r="AM512" s="303"/>
      <c r="AN512" s="303"/>
      <c r="AO512" s="303"/>
      <c r="AP512" s="303"/>
      <c r="AQ512" s="289">
        <f t="shared" si="61"/>
        <v>0</v>
      </c>
      <c r="AR512" s="303"/>
      <c r="AS512" s="303"/>
      <c r="AT512" s="303" t="s">
        <v>510</v>
      </c>
      <c r="AU512" s="303" t="s">
        <v>510</v>
      </c>
      <c r="AV512" s="303" t="s">
        <v>510</v>
      </c>
      <c r="AW512" s="303" t="s">
        <v>510</v>
      </c>
      <c r="AX512" s="314">
        <v>40</v>
      </c>
      <c r="AY512" s="139">
        <f t="shared" si="62"/>
        <v>40</v>
      </c>
      <c r="AZ512" s="303" t="s">
        <v>504</v>
      </c>
      <c r="BA512" s="301"/>
      <c r="BB512" s="303"/>
      <c r="BC512" s="303"/>
      <c r="BD512" s="303"/>
      <c r="BE512" s="303"/>
      <c r="BF512" s="303"/>
      <c r="BG512" s="353">
        <f t="shared" si="63"/>
        <v>0</v>
      </c>
      <c r="BH512" s="303"/>
      <c r="BI512" s="303"/>
      <c r="BJ512" s="354">
        <f t="shared" si="57"/>
        <v>1</v>
      </c>
      <c r="BK512" s="316" t="str">
        <f t="shared" si="64"/>
        <v>Habilitado</v>
      </c>
    </row>
    <row r="513" spans="1:63" x14ac:dyDescent="0.25">
      <c r="A513" s="324">
        <v>511</v>
      </c>
      <c r="B513" s="345" t="s">
        <v>2725</v>
      </c>
      <c r="C513" s="335" t="s">
        <v>2726</v>
      </c>
      <c r="D513" s="360" t="s">
        <v>2727</v>
      </c>
      <c r="E513" s="347">
        <v>1</v>
      </c>
      <c r="F513" s="314" t="s">
        <v>510</v>
      </c>
      <c r="G513" s="314" t="s">
        <v>510</v>
      </c>
      <c r="H513" s="314" t="s">
        <v>510</v>
      </c>
      <c r="I513" s="314" t="s">
        <v>510</v>
      </c>
      <c r="J513" s="314">
        <v>40</v>
      </c>
      <c r="K513" s="29">
        <f t="shared" si="58"/>
        <v>40</v>
      </c>
      <c r="L513" s="406" t="s">
        <v>504</v>
      </c>
      <c r="M513" s="314"/>
      <c r="N513" s="314"/>
      <c r="O513" s="314"/>
      <c r="P513" s="314"/>
      <c r="Q513" s="314"/>
      <c r="R513" s="314"/>
      <c r="S513" s="314"/>
      <c r="T513" s="314"/>
      <c r="U513" s="314"/>
      <c r="V513" s="350"/>
      <c r="W513" s="350"/>
      <c r="X513" s="350"/>
      <c r="Y513" s="350"/>
      <c r="Z513" s="307"/>
      <c r="AA513" s="350">
        <f t="shared" si="59"/>
        <v>0</v>
      </c>
      <c r="AB513" s="307"/>
      <c r="AC513" s="307"/>
      <c r="AD513" s="303"/>
      <c r="AE513" s="303"/>
      <c r="AF513" s="303"/>
      <c r="AG513" s="303"/>
      <c r="AH513" s="314"/>
      <c r="AI513" s="297">
        <f t="shared" si="60"/>
        <v>0</v>
      </c>
      <c r="AJ513" s="303"/>
      <c r="AK513" s="303"/>
      <c r="AL513" s="303"/>
      <c r="AM513" s="303"/>
      <c r="AN513" s="303"/>
      <c r="AO513" s="303"/>
      <c r="AP513" s="303"/>
      <c r="AQ513" s="289">
        <f t="shared" si="61"/>
        <v>0</v>
      </c>
      <c r="AR513" s="303"/>
      <c r="AS513" s="303"/>
      <c r="AT513" s="329"/>
      <c r="AU513" s="329"/>
      <c r="AV513" s="329"/>
      <c r="AW513" s="329"/>
      <c r="AX513" s="329"/>
      <c r="AY513" s="139">
        <f t="shared" si="62"/>
        <v>0</v>
      </c>
      <c r="AZ513" s="303"/>
      <c r="BA513" s="303"/>
      <c r="BB513" s="303"/>
      <c r="BC513" s="303"/>
      <c r="BD513" s="303"/>
      <c r="BE513" s="303"/>
      <c r="BF513" s="303"/>
      <c r="BG513" s="353">
        <f t="shared" si="63"/>
        <v>0</v>
      </c>
      <c r="BH513" s="303"/>
      <c r="BI513" s="303"/>
      <c r="BJ513" s="354">
        <f t="shared" si="57"/>
        <v>1</v>
      </c>
      <c r="BK513" s="316" t="str">
        <f t="shared" si="64"/>
        <v>Habilitado</v>
      </c>
    </row>
    <row r="514" spans="1:63" ht="25.5" x14ac:dyDescent="0.25">
      <c r="A514" s="324">
        <v>512</v>
      </c>
      <c r="B514" s="345" t="s">
        <v>2728</v>
      </c>
      <c r="C514" s="335" t="s">
        <v>2729</v>
      </c>
      <c r="D514" s="360" t="s">
        <v>1862</v>
      </c>
      <c r="E514" s="347">
        <v>1</v>
      </c>
      <c r="F514" s="314" t="s">
        <v>510</v>
      </c>
      <c r="G514" s="314" t="s">
        <v>510</v>
      </c>
      <c r="H514" s="314" t="s">
        <v>510</v>
      </c>
      <c r="I514" s="314" t="s">
        <v>510</v>
      </c>
      <c r="J514" s="314">
        <v>40</v>
      </c>
      <c r="K514" s="29">
        <f t="shared" si="58"/>
        <v>40</v>
      </c>
      <c r="L514" s="406" t="s">
        <v>504</v>
      </c>
      <c r="M514" s="314"/>
      <c r="N514" s="314"/>
      <c r="O514" s="314"/>
      <c r="P514" s="314"/>
      <c r="Q514" s="314"/>
      <c r="R514" s="314"/>
      <c r="S514" s="314"/>
      <c r="T514" s="314"/>
      <c r="U514" s="314"/>
      <c r="V514" s="350"/>
      <c r="W514" s="350"/>
      <c r="X514" s="350"/>
      <c r="Y514" s="350"/>
      <c r="Z514" s="307"/>
      <c r="AA514" s="350">
        <f t="shared" si="59"/>
        <v>0</v>
      </c>
      <c r="AB514" s="307"/>
      <c r="AC514" s="307"/>
      <c r="AD514" s="303"/>
      <c r="AE514" s="303"/>
      <c r="AF514" s="303"/>
      <c r="AG514" s="303"/>
      <c r="AH514" s="314"/>
      <c r="AI514" s="297">
        <f t="shared" si="60"/>
        <v>0</v>
      </c>
      <c r="AJ514" s="303"/>
      <c r="AK514" s="303"/>
      <c r="AL514" s="303"/>
      <c r="AM514" s="303"/>
      <c r="AN514" s="303"/>
      <c r="AO514" s="303"/>
      <c r="AP514" s="303"/>
      <c r="AQ514" s="289">
        <f t="shared" si="61"/>
        <v>0</v>
      </c>
      <c r="AR514" s="303"/>
      <c r="AS514" s="303"/>
      <c r="AT514" s="303" t="s">
        <v>510</v>
      </c>
      <c r="AU514" s="303" t="s">
        <v>510</v>
      </c>
      <c r="AV514" s="303" t="s">
        <v>510</v>
      </c>
      <c r="AW514" s="303" t="s">
        <v>510</v>
      </c>
      <c r="AX514" s="303">
        <v>40</v>
      </c>
      <c r="AY514" s="139">
        <f t="shared" si="62"/>
        <v>40</v>
      </c>
      <c r="AZ514" s="303" t="s">
        <v>504</v>
      </c>
      <c r="BA514" s="301"/>
      <c r="BB514" s="303"/>
      <c r="BC514" s="303"/>
      <c r="BD514" s="303"/>
      <c r="BE514" s="303"/>
      <c r="BF514" s="303"/>
      <c r="BG514" s="353">
        <f t="shared" si="63"/>
        <v>0</v>
      </c>
      <c r="BH514" s="303"/>
      <c r="BI514" s="303"/>
      <c r="BJ514" s="354">
        <f t="shared" si="57"/>
        <v>2</v>
      </c>
      <c r="BK514" s="316" t="str">
        <f t="shared" si="64"/>
        <v>Habilitado</v>
      </c>
    </row>
    <row r="515" spans="1:63" ht="25.5" x14ac:dyDescent="0.25">
      <c r="A515" s="324">
        <v>513</v>
      </c>
      <c r="B515" s="345" t="s">
        <v>2730</v>
      </c>
      <c r="C515" s="335" t="s">
        <v>2731</v>
      </c>
      <c r="D515" s="360" t="s">
        <v>2732</v>
      </c>
      <c r="E515" s="347">
        <v>1</v>
      </c>
      <c r="F515" s="314" t="s">
        <v>510</v>
      </c>
      <c r="G515" s="314" t="s">
        <v>510</v>
      </c>
      <c r="H515" s="314" t="s">
        <v>510</v>
      </c>
      <c r="I515" s="314" t="s">
        <v>510</v>
      </c>
      <c r="J515" s="314">
        <v>40</v>
      </c>
      <c r="K515" s="29">
        <f t="shared" si="58"/>
        <v>40</v>
      </c>
      <c r="L515" s="406" t="s">
        <v>504</v>
      </c>
      <c r="M515" s="314"/>
      <c r="N515" s="314"/>
      <c r="O515" s="314"/>
      <c r="P515" s="314"/>
      <c r="Q515" s="314"/>
      <c r="R515" s="314"/>
      <c r="S515" s="314"/>
      <c r="T515" s="314"/>
      <c r="U515" s="314"/>
      <c r="V515" s="350"/>
      <c r="W515" s="350"/>
      <c r="X515" s="350"/>
      <c r="Y515" s="350"/>
      <c r="Z515" s="307"/>
      <c r="AA515" s="350">
        <f t="shared" si="59"/>
        <v>0</v>
      </c>
      <c r="AB515" s="307"/>
      <c r="AC515" s="307"/>
      <c r="AD515" s="303"/>
      <c r="AE515" s="303"/>
      <c r="AF515" s="303"/>
      <c r="AG515" s="303"/>
      <c r="AH515" s="314"/>
      <c r="AI515" s="297">
        <f t="shared" si="60"/>
        <v>0</v>
      </c>
      <c r="AJ515" s="303"/>
      <c r="AK515" s="303"/>
      <c r="AL515" s="303"/>
      <c r="AM515" s="303"/>
      <c r="AN515" s="303"/>
      <c r="AO515" s="303"/>
      <c r="AP515" s="303"/>
      <c r="AQ515" s="289">
        <f t="shared" si="61"/>
        <v>0</v>
      </c>
      <c r="AR515" s="303"/>
      <c r="AS515" s="303"/>
      <c r="AT515" s="303" t="s">
        <v>510</v>
      </c>
      <c r="AU515" s="303" t="s">
        <v>510</v>
      </c>
      <c r="AV515" s="303" t="s">
        <v>510</v>
      </c>
      <c r="AW515" s="303" t="s">
        <v>510</v>
      </c>
      <c r="AX515" s="303">
        <v>40</v>
      </c>
      <c r="AY515" s="139">
        <f t="shared" si="62"/>
        <v>40</v>
      </c>
      <c r="AZ515" s="303" t="s">
        <v>504</v>
      </c>
      <c r="BA515" s="301"/>
      <c r="BB515" s="303"/>
      <c r="BC515" s="303"/>
      <c r="BD515" s="303"/>
      <c r="BE515" s="303"/>
      <c r="BF515" s="303"/>
      <c r="BG515" s="353">
        <f t="shared" si="63"/>
        <v>0</v>
      </c>
      <c r="BH515" s="303"/>
      <c r="BI515" s="303"/>
      <c r="BJ515" s="354">
        <f t="shared" ref="BJ515:BJ568" si="65">COUNTIF(L515,"Habilitado")+COUNTIF(T515,"Habilitado")+COUNTIF(AB515,"Habilitado")+COUNTIF(AJ515,"Habilitado")+COUNTIF(AR515,"Habilitado")+COUNTIF(AZ515,"Habilitado")+COUNTIF(BH515,"Habilitado")</f>
        <v>2</v>
      </c>
      <c r="BK515" s="316" t="str">
        <f t="shared" si="64"/>
        <v>Habilitado</v>
      </c>
    </row>
    <row r="516" spans="1:63" ht="63.75" x14ac:dyDescent="0.25">
      <c r="A516" s="324">
        <v>514</v>
      </c>
      <c r="B516" s="345" t="s">
        <v>2733</v>
      </c>
      <c r="C516" s="335" t="s">
        <v>2734</v>
      </c>
      <c r="D516" s="357" t="s">
        <v>1773</v>
      </c>
      <c r="E516" s="347">
        <v>1</v>
      </c>
      <c r="F516" s="314" t="s">
        <v>510</v>
      </c>
      <c r="G516" s="314" t="s">
        <v>510</v>
      </c>
      <c r="H516" s="314" t="s">
        <v>510</v>
      </c>
      <c r="I516" s="314" t="s">
        <v>510</v>
      </c>
      <c r="J516" s="314">
        <v>40</v>
      </c>
      <c r="K516" s="29">
        <f t="shared" ref="K516:K568" si="66">+J516</f>
        <v>40</v>
      </c>
      <c r="L516" s="406" t="s">
        <v>504</v>
      </c>
      <c r="M516" s="314"/>
      <c r="N516" s="314"/>
      <c r="O516" s="314"/>
      <c r="P516" s="314"/>
      <c r="Q516" s="314"/>
      <c r="R516" s="314"/>
      <c r="S516" s="314"/>
      <c r="T516" s="314"/>
      <c r="U516" s="314"/>
      <c r="V516" s="350"/>
      <c r="W516" s="350"/>
      <c r="X516" s="350"/>
      <c r="Y516" s="350"/>
      <c r="Z516" s="307"/>
      <c r="AA516" s="350">
        <f t="shared" ref="AA516:AA568" si="67">(Z516)</f>
        <v>0</v>
      </c>
      <c r="AB516" s="307"/>
      <c r="AC516" s="307"/>
      <c r="AD516" s="303"/>
      <c r="AE516" s="303"/>
      <c r="AF516" s="303"/>
      <c r="AG516" s="303"/>
      <c r="AH516" s="314"/>
      <c r="AI516" s="297">
        <f t="shared" ref="AI516:AI568" si="68">+AH516</f>
        <v>0</v>
      </c>
      <c r="AJ516" s="303"/>
      <c r="AK516" s="303"/>
      <c r="AL516" s="303"/>
      <c r="AM516" s="303"/>
      <c r="AN516" s="303"/>
      <c r="AO516" s="303"/>
      <c r="AP516" s="303"/>
      <c r="AQ516" s="289">
        <f t="shared" ref="AQ516:AQ568" si="69">+AP516</f>
        <v>0</v>
      </c>
      <c r="AR516" s="303"/>
      <c r="AS516" s="303"/>
      <c r="AT516" s="303" t="s">
        <v>510</v>
      </c>
      <c r="AU516" s="303" t="s">
        <v>510</v>
      </c>
      <c r="AV516" s="303" t="s">
        <v>510</v>
      </c>
      <c r="AW516" s="303" t="s">
        <v>510</v>
      </c>
      <c r="AX516" s="303">
        <v>40</v>
      </c>
      <c r="AY516" s="139">
        <f t="shared" ref="AY516:AY568" si="70">+AX516</f>
        <v>40</v>
      </c>
      <c r="AZ516" s="303" t="s">
        <v>504</v>
      </c>
      <c r="BA516" s="301"/>
      <c r="BB516" s="304"/>
      <c r="BC516" s="304"/>
      <c r="BD516" s="304"/>
      <c r="BE516" s="304"/>
      <c r="BF516" s="304"/>
      <c r="BG516" s="353">
        <f t="shared" ref="BG516:BG568" si="71">+BF516</f>
        <v>0</v>
      </c>
      <c r="BH516" s="304"/>
      <c r="BI516" s="304"/>
      <c r="BJ516" s="354">
        <f t="shared" si="65"/>
        <v>2</v>
      </c>
      <c r="BK516" s="316" t="str">
        <f t="shared" si="64"/>
        <v>Habilitado</v>
      </c>
    </row>
    <row r="517" spans="1:63" x14ac:dyDescent="0.25">
      <c r="A517" s="324">
        <v>515</v>
      </c>
      <c r="B517" s="345" t="s">
        <v>2735</v>
      </c>
      <c r="C517" s="335" t="s">
        <v>2736</v>
      </c>
      <c r="D517" s="360" t="s">
        <v>2737</v>
      </c>
      <c r="E517" s="347">
        <v>1</v>
      </c>
      <c r="F517" s="314"/>
      <c r="G517" s="314"/>
      <c r="H517" s="314"/>
      <c r="I517" s="314"/>
      <c r="J517" s="314"/>
      <c r="K517" s="29">
        <f t="shared" si="66"/>
        <v>0</v>
      </c>
      <c r="L517" s="314"/>
      <c r="M517" s="314"/>
      <c r="N517" s="314"/>
      <c r="O517" s="314"/>
      <c r="P517" s="314"/>
      <c r="Q517" s="314"/>
      <c r="R517" s="314"/>
      <c r="S517" s="314"/>
      <c r="T517" s="314"/>
      <c r="U517" s="314"/>
      <c r="V517" s="350"/>
      <c r="W517" s="350"/>
      <c r="X517" s="350"/>
      <c r="Y517" s="350"/>
      <c r="Z517" s="307"/>
      <c r="AA517" s="350">
        <f t="shared" si="67"/>
        <v>0</v>
      </c>
      <c r="AB517" s="307"/>
      <c r="AC517" s="307"/>
      <c r="AD517" s="303"/>
      <c r="AE517" s="303"/>
      <c r="AF517" s="303"/>
      <c r="AG517" s="303"/>
      <c r="AH517" s="314"/>
      <c r="AI517" s="297">
        <f t="shared" si="68"/>
        <v>0</v>
      </c>
      <c r="AJ517" s="303"/>
      <c r="AK517" s="303"/>
      <c r="AL517" s="303"/>
      <c r="AM517" s="303"/>
      <c r="AN517" s="303"/>
      <c r="AO517" s="303"/>
      <c r="AP517" s="303"/>
      <c r="AQ517" s="289">
        <f t="shared" si="69"/>
        <v>0</v>
      </c>
      <c r="AR517" s="303"/>
      <c r="AS517" s="303"/>
      <c r="AT517" s="303" t="s">
        <v>510</v>
      </c>
      <c r="AU517" s="303" t="s">
        <v>510</v>
      </c>
      <c r="AV517" s="303" t="s">
        <v>510</v>
      </c>
      <c r="AW517" s="303" t="s">
        <v>510</v>
      </c>
      <c r="AX517" s="303">
        <v>40</v>
      </c>
      <c r="AY517" s="139">
        <f t="shared" si="70"/>
        <v>40</v>
      </c>
      <c r="AZ517" s="303" t="s">
        <v>504</v>
      </c>
      <c r="BA517" s="301"/>
      <c r="BB517" s="303"/>
      <c r="BC517" s="303"/>
      <c r="BD517" s="303"/>
      <c r="BE517" s="303"/>
      <c r="BF517" s="303"/>
      <c r="BG517" s="353">
        <f t="shared" si="71"/>
        <v>0</v>
      </c>
      <c r="BH517" s="303"/>
      <c r="BI517" s="303"/>
      <c r="BJ517" s="354">
        <f t="shared" si="65"/>
        <v>1</v>
      </c>
      <c r="BK517" s="316" t="str">
        <f t="shared" si="64"/>
        <v>Habilitado</v>
      </c>
    </row>
    <row r="518" spans="1:63" ht="25.5" x14ac:dyDescent="0.25">
      <c r="A518" s="324">
        <v>516</v>
      </c>
      <c r="B518" s="345" t="s">
        <v>2738</v>
      </c>
      <c r="C518" s="335" t="s">
        <v>2739</v>
      </c>
      <c r="D518" s="357" t="s">
        <v>1773</v>
      </c>
      <c r="E518" s="347">
        <v>1</v>
      </c>
      <c r="F518" s="314" t="s">
        <v>510</v>
      </c>
      <c r="G518" s="314" t="s">
        <v>510</v>
      </c>
      <c r="H518" s="314" t="s">
        <v>510</v>
      </c>
      <c r="I518" s="314" t="s">
        <v>510</v>
      </c>
      <c r="J518" s="314">
        <v>40</v>
      </c>
      <c r="K518" s="29">
        <f t="shared" si="66"/>
        <v>40</v>
      </c>
      <c r="L518" s="406" t="s">
        <v>504</v>
      </c>
      <c r="M518" s="314"/>
      <c r="N518" s="314"/>
      <c r="O518" s="314"/>
      <c r="P518" s="314"/>
      <c r="Q518" s="314"/>
      <c r="R518" s="314"/>
      <c r="S518" s="314"/>
      <c r="T518" s="314"/>
      <c r="U518" s="314"/>
      <c r="V518" s="350"/>
      <c r="W518" s="350"/>
      <c r="X518" s="350"/>
      <c r="Y518" s="350"/>
      <c r="Z518" s="307"/>
      <c r="AA518" s="350">
        <f t="shared" si="67"/>
        <v>0</v>
      </c>
      <c r="AB518" s="307"/>
      <c r="AC518" s="307"/>
      <c r="AD518" s="303"/>
      <c r="AE518" s="303"/>
      <c r="AF518" s="303"/>
      <c r="AG518" s="303"/>
      <c r="AH518" s="314"/>
      <c r="AI518" s="297">
        <f t="shared" si="68"/>
        <v>0</v>
      </c>
      <c r="AJ518" s="303"/>
      <c r="AK518" s="303"/>
      <c r="AL518" s="303"/>
      <c r="AM518" s="303"/>
      <c r="AN518" s="303"/>
      <c r="AO518" s="303"/>
      <c r="AP518" s="303"/>
      <c r="AQ518" s="289">
        <f t="shared" si="69"/>
        <v>0</v>
      </c>
      <c r="AR518" s="303"/>
      <c r="AS518" s="303"/>
      <c r="AT518" s="329"/>
      <c r="AU518" s="329"/>
      <c r="AV518" s="329"/>
      <c r="AW518" s="329"/>
      <c r="AX518" s="329"/>
      <c r="AY518" s="139">
        <f t="shared" si="70"/>
        <v>0</v>
      </c>
      <c r="AZ518" s="303"/>
      <c r="BA518" s="303"/>
      <c r="BB518" s="303"/>
      <c r="BC518" s="303"/>
      <c r="BD518" s="303"/>
      <c r="BE518" s="303"/>
      <c r="BF518" s="303"/>
      <c r="BG518" s="353">
        <f t="shared" si="71"/>
        <v>0</v>
      </c>
      <c r="BH518" s="303"/>
      <c r="BI518" s="303"/>
      <c r="BJ518" s="354">
        <f t="shared" si="65"/>
        <v>1</v>
      </c>
      <c r="BK518" s="316" t="str">
        <f t="shared" si="64"/>
        <v>Habilitado</v>
      </c>
    </row>
    <row r="519" spans="1:63" ht="30.75" customHeight="1" x14ac:dyDescent="0.25">
      <c r="A519" s="324">
        <v>517</v>
      </c>
      <c r="B519" s="345" t="s">
        <v>2740</v>
      </c>
      <c r="C519" s="335" t="s">
        <v>2741</v>
      </c>
      <c r="D519" s="360" t="s">
        <v>2742</v>
      </c>
      <c r="E519" s="347">
        <v>1</v>
      </c>
      <c r="F519" s="314" t="s">
        <v>510</v>
      </c>
      <c r="G519" s="314" t="s">
        <v>510</v>
      </c>
      <c r="H519" s="314" t="s">
        <v>510</v>
      </c>
      <c r="I519" s="314" t="s">
        <v>510</v>
      </c>
      <c r="J519" s="314">
        <v>40</v>
      </c>
      <c r="K519" s="29">
        <f t="shared" si="66"/>
        <v>40</v>
      </c>
      <c r="L519" s="406" t="s">
        <v>504</v>
      </c>
      <c r="M519" s="314"/>
      <c r="N519" s="314"/>
      <c r="O519" s="314"/>
      <c r="P519" s="314"/>
      <c r="Q519" s="314"/>
      <c r="R519" s="314"/>
      <c r="S519" s="314"/>
      <c r="T519" s="314"/>
      <c r="U519" s="314"/>
      <c r="V519" s="350"/>
      <c r="W519" s="350"/>
      <c r="X519" s="350"/>
      <c r="Y519" s="350"/>
      <c r="Z519" s="307"/>
      <c r="AA519" s="350">
        <f t="shared" si="67"/>
        <v>0</v>
      </c>
      <c r="AB519" s="307"/>
      <c r="AC519" s="307"/>
      <c r="AD519" s="303"/>
      <c r="AE519" s="303"/>
      <c r="AF519" s="303"/>
      <c r="AG519" s="303"/>
      <c r="AH519" s="314"/>
      <c r="AI519" s="297">
        <f t="shared" si="68"/>
        <v>0</v>
      </c>
      <c r="AJ519" s="303"/>
      <c r="AK519" s="303"/>
      <c r="AL519" s="303"/>
      <c r="AM519" s="303"/>
      <c r="AN519" s="303"/>
      <c r="AO519" s="303"/>
      <c r="AP519" s="303"/>
      <c r="AQ519" s="289">
        <f t="shared" si="69"/>
        <v>0</v>
      </c>
      <c r="AR519" s="303"/>
      <c r="AS519" s="303"/>
      <c r="AT519" s="329"/>
      <c r="AU519" s="329"/>
      <c r="AV519" s="329"/>
      <c r="AW519" s="329"/>
      <c r="AX519" s="329"/>
      <c r="AY519" s="139">
        <f t="shared" si="70"/>
        <v>0</v>
      </c>
      <c r="AZ519" s="303"/>
      <c r="BA519" s="303"/>
      <c r="BB519" s="303"/>
      <c r="BC519" s="303"/>
      <c r="BD519" s="303"/>
      <c r="BE519" s="303"/>
      <c r="BF519" s="303"/>
      <c r="BG519" s="353">
        <f t="shared" si="71"/>
        <v>0</v>
      </c>
      <c r="BH519" s="303"/>
      <c r="BI519" s="303"/>
      <c r="BJ519" s="354">
        <f t="shared" si="65"/>
        <v>1</v>
      </c>
      <c r="BK519" s="316" t="str">
        <f t="shared" si="64"/>
        <v>Habilitado</v>
      </c>
    </row>
    <row r="520" spans="1:63" ht="25.5" x14ac:dyDescent="0.25">
      <c r="A520" s="324">
        <v>518</v>
      </c>
      <c r="B520" s="345" t="s">
        <v>2743</v>
      </c>
      <c r="C520" s="335" t="s">
        <v>2744</v>
      </c>
      <c r="D520" s="360" t="s">
        <v>1741</v>
      </c>
      <c r="E520" s="347">
        <v>1</v>
      </c>
      <c r="F520" s="314" t="s">
        <v>510</v>
      </c>
      <c r="G520" s="314" t="s">
        <v>510</v>
      </c>
      <c r="H520" s="314" t="s">
        <v>510</v>
      </c>
      <c r="I520" s="314" t="s">
        <v>510</v>
      </c>
      <c r="J520" s="314">
        <v>40</v>
      </c>
      <c r="K520" s="29">
        <f t="shared" si="66"/>
        <v>40</v>
      </c>
      <c r="L520" s="406" t="s">
        <v>504</v>
      </c>
      <c r="M520" s="314"/>
      <c r="N520" s="314"/>
      <c r="O520" s="314"/>
      <c r="P520" s="314"/>
      <c r="Q520" s="314"/>
      <c r="R520" s="314"/>
      <c r="S520" s="314"/>
      <c r="T520" s="314"/>
      <c r="U520" s="314"/>
      <c r="V520" s="350"/>
      <c r="W520" s="350"/>
      <c r="X520" s="350"/>
      <c r="Y520" s="350"/>
      <c r="Z520" s="307"/>
      <c r="AA520" s="350">
        <f t="shared" si="67"/>
        <v>0</v>
      </c>
      <c r="AB520" s="307"/>
      <c r="AC520" s="307"/>
      <c r="AD520" s="303"/>
      <c r="AE520" s="303"/>
      <c r="AF520" s="303"/>
      <c r="AG520" s="303"/>
      <c r="AH520" s="314"/>
      <c r="AI520" s="297">
        <f t="shared" si="68"/>
        <v>0</v>
      </c>
      <c r="AJ520" s="303"/>
      <c r="AK520" s="303"/>
      <c r="AL520" s="303"/>
      <c r="AM520" s="303"/>
      <c r="AN520" s="303"/>
      <c r="AO520" s="303"/>
      <c r="AP520" s="303"/>
      <c r="AQ520" s="289">
        <f t="shared" si="69"/>
        <v>0</v>
      </c>
      <c r="AR520" s="303"/>
      <c r="AS520" s="303"/>
      <c r="AT520" s="329"/>
      <c r="AU520" s="329"/>
      <c r="AV520" s="329"/>
      <c r="AW520" s="329"/>
      <c r="AX520" s="329"/>
      <c r="AY520" s="139">
        <f t="shared" si="70"/>
        <v>0</v>
      </c>
      <c r="AZ520" s="303"/>
      <c r="BA520" s="303"/>
      <c r="BB520" s="303"/>
      <c r="BC520" s="303"/>
      <c r="BD520" s="303"/>
      <c r="BE520" s="303"/>
      <c r="BF520" s="303"/>
      <c r="BG520" s="353">
        <f t="shared" si="71"/>
        <v>0</v>
      </c>
      <c r="BH520" s="303"/>
      <c r="BI520" s="303"/>
      <c r="BJ520" s="354">
        <f t="shared" si="65"/>
        <v>1</v>
      </c>
      <c r="BK520" s="316" t="str">
        <f t="shared" si="64"/>
        <v>Habilitado</v>
      </c>
    </row>
    <row r="521" spans="1:63" ht="63.75" x14ac:dyDescent="0.25">
      <c r="A521" s="324">
        <v>519</v>
      </c>
      <c r="B521" s="345" t="s">
        <v>2745</v>
      </c>
      <c r="C521" s="335" t="s">
        <v>2746</v>
      </c>
      <c r="D521" s="360" t="s">
        <v>1061</v>
      </c>
      <c r="E521" s="347">
        <v>1</v>
      </c>
      <c r="F521" s="314"/>
      <c r="G521" s="314"/>
      <c r="H521" s="314"/>
      <c r="I521" s="314"/>
      <c r="J521" s="314"/>
      <c r="K521" s="29">
        <f t="shared" si="66"/>
        <v>0</v>
      </c>
      <c r="L521" s="314"/>
      <c r="M521" s="314"/>
      <c r="N521" s="314"/>
      <c r="O521" s="314"/>
      <c r="P521" s="314"/>
      <c r="Q521" s="314"/>
      <c r="R521" s="314"/>
      <c r="S521" s="314"/>
      <c r="T521" s="314"/>
      <c r="U521" s="314"/>
      <c r="V521" s="350"/>
      <c r="W521" s="350"/>
      <c r="X521" s="350"/>
      <c r="Y521" s="350"/>
      <c r="Z521" s="307"/>
      <c r="AA521" s="350">
        <f t="shared" si="67"/>
        <v>0</v>
      </c>
      <c r="AB521" s="307"/>
      <c r="AC521" s="307"/>
      <c r="AD521" s="303"/>
      <c r="AE521" s="303"/>
      <c r="AF521" s="303"/>
      <c r="AG521" s="303"/>
      <c r="AH521" s="314"/>
      <c r="AI521" s="297">
        <f t="shared" si="68"/>
        <v>0</v>
      </c>
      <c r="AJ521" s="303"/>
      <c r="AK521" s="303"/>
      <c r="AL521" s="303"/>
      <c r="AM521" s="303"/>
      <c r="AN521" s="303"/>
      <c r="AO521" s="303"/>
      <c r="AP521" s="303"/>
      <c r="AQ521" s="289">
        <f t="shared" si="69"/>
        <v>0</v>
      </c>
      <c r="AR521" s="303"/>
      <c r="AS521" s="303"/>
      <c r="AT521" s="329"/>
      <c r="AU521" s="329"/>
      <c r="AV521" s="329"/>
      <c r="AW521" s="329"/>
      <c r="AX521" s="329"/>
      <c r="AY521" s="139">
        <f t="shared" si="70"/>
        <v>0</v>
      </c>
      <c r="AZ521" s="303"/>
      <c r="BA521" s="303"/>
      <c r="BB521" s="303"/>
      <c r="BC521" s="303"/>
      <c r="BD521" s="303"/>
      <c r="BE521" s="303"/>
      <c r="BF521" s="303"/>
      <c r="BG521" s="353">
        <f t="shared" si="71"/>
        <v>0</v>
      </c>
      <c r="BH521" s="303"/>
      <c r="BI521" s="303"/>
      <c r="BJ521" s="354">
        <f t="shared" si="65"/>
        <v>0</v>
      </c>
      <c r="BK521" s="316" t="str">
        <f t="shared" si="64"/>
        <v>Desierto</v>
      </c>
    </row>
    <row r="522" spans="1:63" ht="63.75" x14ac:dyDescent="0.25">
      <c r="A522" s="324">
        <v>520</v>
      </c>
      <c r="B522" s="345" t="s">
        <v>2747</v>
      </c>
      <c r="C522" s="335" t="s">
        <v>2746</v>
      </c>
      <c r="D522" s="360" t="s">
        <v>1848</v>
      </c>
      <c r="E522" s="347">
        <v>1</v>
      </c>
      <c r="F522" s="314" t="s">
        <v>510</v>
      </c>
      <c r="G522" s="314" t="s">
        <v>510</v>
      </c>
      <c r="H522" s="314" t="s">
        <v>519</v>
      </c>
      <c r="I522" s="314" t="s">
        <v>510</v>
      </c>
      <c r="J522" s="314">
        <v>0</v>
      </c>
      <c r="K522" s="29">
        <f t="shared" si="66"/>
        <v>0</v>
      </c>
      <c r="L522" s="314" t="s">
        <v>520</v>
      </c>
      <c r="M522" s="314" t="s">
        <v>2748</v>
      </c>
      <c r="N522" s="314"/>
      <c r="O522" s="314"/>
      <c r="P522" s="314"/>
      <c r="Q522" s="314"/>
      <c r="R522" s="314"/>
      <c r="S522" s="314"/>
      <c r="T522" s="314"/>
      <c r="U522" s="314"/>
      <c r="V522" s="350"/>
      <c r="W522" s="350"/>
      <c r="X522" s="350"/>
      <c r="Y522" s="350"/>
      <c r="Z522" s="307"/>
      <c r="AA522" s="350">
        <f t="shared" si="67"/>
        <v>0</v>
      </c>
      <c r="AB522" s="307"/>
      <c r="AC522" s="307"/>
      <c r="AD522" s="303"/>
      <c r="AE522" s="303"/>
      <c r="AF522" s="303"/>
      <c r="AG522" s="303"/>
      <c r="AH522" s="314"/>
      <c r="AI522" s="297">
        <f t="shared" si="68"/>
        <v>0</v>
      </c>
      <c r="AJ522" s="303"/>
      <c r="AK522" s="303"/>
      <c r="AL522" s="303"/>
      <c r="AM522" s="303"/>
      <c r="AN522" s="303"/>
      <c r="AO522" s="303"/>
      <c r="AP522" s="303"/>
      <c r="AQ522" s="289">
        <f t="shared" si="69"/>
        <v>0</v>
      </c>
      <c r="AR522" s="314"/>
      <c r="AS522" s="314"/>
      <c r="AT522" s="329"/>
      <c r="AU522" s="329"/>
      <c r="AV522" s="329"/>
      <c r="AW522" s="329"/>
      <c r="AX522" s="329"/>
      <c r="AY522" s="139">
        <f t="shared" si="70"/>
        <v>0</v>
      </c>
      <c r="AZ522" s="303"/>
      <c r="BA522" s="303"/>
      <c r="BB522" s="303"/>
      <c r="BC522" s="303"/>
      <c r="BD522" s="303"/>
      <c r="BE522" s="303"/>
      <c r="BF522" s="303"/>
      <c r="BG522" s="353">
        <f t="shared" si="71"/>
        <v>0</v>
      </c>
      <c r="BH522" s="303"/>
      <c r="BI522" s="303"/>
      <c r="BJ522" s="354">
        <f t="shared" si="65"/>
        <v>0</v>
      </c>
      <c r="BK522" s="316" t="str">
        <f t="shared" si="64"/>
        <v>Desierto</v>
      </c>
    </row>
    <row r="523" spans="1:63" x14ac:dyDescent="0.25">
      <c r="A523" s="324">
        <v>521</v>
      </c>
      <c r="B523" s="345" t="s">
        <v>2749</v>
      </c>
      <c r="C523" s="335" t="s">
        <v>518</v>
      </c>
      <c r="D523" s="360" t="s">
        <v>1061</v>
      </c>
      <c r="E523" s="347">
        <v>1</v>
      </c>
      <c r="F523" s="314" t="s">
        <v>510</v>
      </c>
      <c r="G523" s="314" t="s">
        <v>510</v>
      </c>
      <c r="H523" s="314" t="s">
        <v>510</v>
      </c>
      <c r="I523" s="314" t="s">
        <v>510</v>
      </c>
      <c r="J523" s="314">
        <v>40</v>
      </c>
      <c r="K523" s="29">
        <f t="shared" si="66"/>
        <v>40</v>
      </c>
      <c r="L523" s="406" t="s">
        <v>504</v>
      </c>
      <c r="M523" s="314"/>
      <c r="N523" s="314"/>
      <c r="O523" s="314"/>
      <c r="P523" s="314"/>
      <c r="Q523" s="314"/>
      <c r="R523" s="314"/>
      <c r="S523" s="314"/>
      <c r="T523" s="314"/>
      <c r="U523" s="314"/>
      <c r="V523" s="350"/>
      <c r="W523" s="350"/>
      <c r="X523" s="350"/>
      <c r="Y523" s="350"/>
      <c r="Z523" s="307"/>
      <c r="AA523" s="350">
        <f t="shared" si="67"/>
        <v>0</v>
      </c>
      <c r="AB523" s="307"/>
      <c r="AC523" s="307"/>
      <c r="AD523" s="303"/>
      <c r="AE523" s="303"/>
      <c r="AF523" s="303"/>
      <c r="AG523" s="303"/>
      <c r="AH523" s="314"/>
      <c r="AI523" s="297">
        <f t="shared" si="68"/>
        <v>0</v>
      </c>
      <c r="AJ523" s="303"/>
      <c r="AK523" s="303"/>
      <c r="AL523" s="303"/>
      <c r="AM523" s="303"/>
      <c r="AN523" s="303"/>
      <c r="AO523" s="303"/>
      <c r="AP523" s="303"/>
      <c r="AQ523" s="289">
        <f t="shared" si="69"/>
        <v>0</v>
      </c>
      <c r="AR523" s="314"/>
      <c r="AS523" s="314"/>
      <c r="AT523" s="303" t="s">
        <v>510</v>
      </c>
      <c r="AU523" s="303" t="s">
        <v>510</v>
      </c>
      <c r="AV523" s="303" t="s">
        <v>510</v>
      </c>
      <c r="AW523" s="303" t="s">
        <v>510</v>
      </c>
      <c r="AX523" s="314">
        <v>40</v>
      </c>
      <c r="AY523" s="139">
        <f t="shared" si="70"/>
        <v>40</v>
      </c>
      <c r="AZ523" s="303" t="s">
        <v>504</v>
      </c>
      <c r="BA523" s="301"/>
      <c r="BB523" s="303"/>
      <c r="BC523" s="303"/>
      <c r="BD523" s="303"/>
      <c r="BE523" s="303"/>
      <c r="BF523" s="303"/>
      <c r="BG523" s="353">
        <f t="shared" si="71"/>
        <v>0</v>
      </c>
      <c r="BH523" s="303"/>
      <c r="BI523" s="303"/>
      <c r="BJ523" s="354">
        <f t="shared" si="65"/>
        <v>2</v>
      </c>
      <c r="BK523" s="316" t="str">
        <f t="shared" si="64"/>
        <v>Habilitado</v>
      </c>
    </row>
    <row r="524" spans="1:63" ht="89.25" x14ac:dyDescent="0.25">
      <c r="A524" s="324">
        <v>522</v>
      </c>
      <c r="B524" s="325" t="s">
        <v>2750</v>
      </c>
      <c r="C524" s="325" t="s">
        <v>2751</v>
      </c>
      <c r="D524" s="325" t="s">
        <v>1773</v>
      </c>
      <c r="E524" s="362">
        <v>1</v>
      </c>
      <c r="F524" s="406"/>
      <c r="G524" s="406"/>
      <c r="H524" s="406"/>
      <c r="I524" s="406"/>
      <c r="J524" s="406"/>
      <c r="K524" s="29">
        <f t="shared" si="66"/>
        <v>0</v>
      </c>
      <c r="L524" s="406"/>
      <c r="M524" s="406" t="s">
        <v>551</v>
      </c>
      <c r="N524" s="406"/>
      <c r="O524" s="406"/>
      <c r="P524" s="406"/>
      <c r="Q524" s="406"/>
      <c r="R524" s="406"/>
      <c r="S524" s="406"/>
      <c r="T524" s="406"/>
      <c r="U524" s="406"/>
      <c r="V524" s="350"/>
      <c r="W524" s="350"/>
      <c r="X524" s="350"/>
      <c r="Y524" s="350"/>
      <c r="Z524" s="307"/>
      <c r="AA524" s="350">
        <f t="shared" si="67"/>
        <v>0</v>
      </c>
      <c r="AB524" s="307"/>
      <c r="AC524" s="307"/>
      <c r="AD524" s="304"/>
      <c r="AE524" s="304"/>
      <c r="AF524" s="304"/>
      <c r="AG524" s="304"/>
      <c r="AH524" s="326"/>
      <c r="AI524" s="297">
        <f t="shared" si="68"/>
        <v>0</v>
      </c>
      <c r="AJ524" s="304"/>
      <c r="AK524" s="304"/>
      <c r="AL524" s="304"/>
      <c r="AM524" s="304"/>
      <c r="AN524" s="304"/>
      <c r="AO524" s="304"/>
      <c r="AP524" s="304"/>
      <c r="AQ524" s="289">
        <f t="shared" si="69"/>
        <v>0</v>
      </c>
      <c r="AR524" s="304"/>
      <c r="AS524" s="304"/>
      <c r="AT524" s="304" t="s">
        <v>510</v>
      </c>
      <c r="AU524" s="304" t="s">
        <v>510</v>
      </c>
      <c r="AV524" s="304" t="s">
        <v>510</v>
      </c>
      <c r="AW524" s="303" t="s">
        <v>510</v>
      </c>
      <c r="AX524" s="303">
        <v>40</v>
      </c>
      <c r="AY524" s="139">
        <f t="shared" si="70"/>
        <v>40</v>
      </c>
      <c r="AZ524" s="304" t="s">
        <v>504</v>
      </c>
      <c r="BA524" s="304"/>
      <c r="BB524" s="303"/>
      <c r="BC524" s="303"/>
      <c r="BD524" s="303"/>
      <c r="BE524" s="303"/>
      <c r="BF524" s="303"/>
      <c r="BG524" s="353">
        <f t="shared" si="71"/>
        <v>0</v>
      </c>
      <c r="BH524" s="303"/>
      <c r="BI524" s="303"/>
      <c r="BJ524" s="354">
        <f t="shared" si="65"/>
        <v>1</v>
      </c>
      <c r="BK524" s="316" t="str">
        <f t="shared" si="64"/>
        <v>Habilitado</v>
      </c>
    </row>
    <row r="525" spans="1:63" ht="89.25" x14ac:dyDescent="0.25">
      <c r="A525" s="324">
        <v>523</v>
      </c>
      <c r="B525" s="345" t="s">
        <v>2752</v>
      </c>
      <c r="C525" s="335" t="s">
        <v>2753</v>
      </c>
      <c r="D525" s="360" t="s">
        <v>2742</v>
      </c>
      <c r="E525" s="347">
        <v>1</v>
      </c>
      <c r="F525" s="314" t="s">
        <v>510</v>
      </c>
      <c r="G525" s="314" t="s">
        <v>510</v>
      </c>
      <c r="H525" s="314" t="s">
        <v>510</v>
      </c>
      <c r="I525" s="314" t="s">
        <v>510</v>
      </c>
      <c r="J525" s="314">
        <v>40</v>
      </c>
      <c r="K525" s="29">
        <f t="shared" si="66"/>
        <v>40</v>
      </c>
      <c r="L525" s="406" t="s">
        <v>504</v>
      </c>
      <c r="M525" s="314"/>
      <c r="N525" s="314"/>
      <c r="O525" s="314"/>
      <c r="P525" s="314"/>
      <c r="Q525" s="314"/>
      <c r="R525" s="314"/>
      <c r="S525" s="314"/>
      <c r="T525" s="314"/>
      <c r="U525" s="314"/>
      <c r="V525" s="350"/>
      <c r="W525" s="350"/>
      <c r="X525" s="350"/>
      <c r="Y525" s="350"/>
      <c r="Z525" s="307"/>
      <c r="AA525" s="350">
        <f t="shared" si="67"/>
        <v>0</v>
      </c>
      <c r="AB525" s="307"/>
      <c r="AC525" s="307"/>
      <c r="AD525" s="303"/>
      <c r="AE525" s="303"/>
      <c r="AF525" s="303"/>
      <c r="AG525" s="303"/>
      <c r="AH525" s="314"/>
      <c r="AI525" s="297">
        <f t="shared" si="68"/>
        <v>0</v>
      </c>
      <c r="AJ525" s="303"/>
      <c r="AK525" s="303"/>
      <c r="AL525" s="303"/>
      <c r="AM525" s="303"/>
      <c r="AN525" s="303"/>
      <c r="AO525" s="303"/>
      <c r="AP525" s="303"/>
      <c r="AQ525" s="289">
        <f t="shared" si="69"/>
        <v>0</v>
      </c>
      <c r="AR525" s="303"/>
      <c r="AS525" s="303"/>
      <c r="AT525" s="329"/>
      <c r="AU525" s="329"/>
      <c r="AV525" s="329"/>
      <c r="AW525" s="329"/>
      <c r="AX525" s="329"/>
      <c r="AY525" s="139">
        <f t="shared" si="70"/>
        <v>0</v>
      </c>
      <c r="AZ525" s="303"/>
      <c r="BA525" s="303"/>
      <c r="BB525" s="303"/>
      <c r="BC525" s="303"/>
      <c r="BD525" s="303"/>
      <c r="BE525" s="303"/>
      <c r="BF525" s="303"/>
      <c r="BG525" s="353">
        <f t="shared" si="71"/>
        <v>0</v>
      </c>
      <c r="BH525" s="303"/>
      <c r="BI525" s="303"/>
      <c r="BJ525" s="354">
        <f t="shared" si="65"/>
        <v>1</v>
      </c>
      <c r="BK525" s="316" t="str">
        <f t="shared" si="64"/>
        <v>Habilitado</v>
      </c>
    </row>
    <row r="526" spans="1:63" ht="51" x14ac:dyDescent="0.25">
      <c r="A526" s="324">
        <v>524</v>
      </c>
      <c r="B526" s="345" t="s">
        <v>2754</v>
      </c>
      <c r="C526" s="335" t="s">
        <v>2746</v>
      </c>
      <c r="D526" s="360" t="s">
        <v>2755</v>
      </c>
      <c r="E526" s="347">
        <v>1</v>
      </c>
      <c r="F526" s="314" t="s">
        <v>510</v>
      </c>
      <c r="G526" s="314" t="s">
        <v>510</v>
      </c>
      <c r="H526" s="314" t="s">
        <v>510</v>
      </c>
      <c r="I526" s="314" t="s">
        <v>510</v>
      </c>
      <c r="J526" s="314">
        <v>40</v>
      </c>
      <c r="K526" s="29">
        <f t="shared" si="66"/>
        <v>40</v>
      </c>
      <c r="L526" s="406" t="s">
        <v>504</v>
      </c>
      <c r="M526" s="314"/>
      <c r="N526" s="314"/>
      <c r="O526" s="314"/>
      <c r="P526" s="314"/>
      <c r="Q526" s="314"/>
      <c r="R526" s="314"/>
      <c r="S526" s="314"/>
      <c r="T526" s="314"/>
      <c r="U526" s="314"/>
      <c r="V526" s="350"/>
      <c r="W526" s="350"/>
      <c r="X526" s="350"/>
      <c r="Y526" s="350"/>
      <c r="Z526" s="307"/>
      <c r="AA526" s="350">
        <f t="shared" si="67"/>
        <v>0</v>
      </c>
      <c r="AB526" s="307"/>
      <c r="AC526" s="307"/>
      <c r="AD526" s="303"/>
      <c r="AE526" s="303"/>
      <c r="AF526" s="303"/>
      <c r="AG526" s="303"/>
      <c r="AH526" s="314"/>
      <c r="AI526" s="297">
        <f t="shared" si="68"/>
        <v>0</v>
      </c>
      <c r="AJ526" s="303"/>
      <c r="AK526" s="303"/>
      <c r="AL526" s="303"/>
      <c r="AM526" s="303"/>
      <c r="AN526" s="303"/>
      <c r="AO526" s="303"/>
      <c r="AP526" s="303"/>
      <c r="AQ526" s="289">
        <f t="shared" si="69"/>
        <v>0</v>
      </c>
      <c r="AR526" s="314"/>
      <c r="AS526" s="314"/>
      <c r="AT526" s="329"/>
      <c r="AU526" s="329"/>
      <c r="AV526" s="329"/>
      <c r="AW526" s="329"/>
      <c r="AX526" s="329"/>
      <c r="AY526" s="139">
        <f t="shared" si="70"/>
        <v>0</v>
      </c>
      <c r="AZ526" s="303"/>
      <c r="BA526" s="303"/>
      <c r="BB526" s="303"/>
      <c r="BC526" s="303"/>
      <c r="BD526" s="303"/>
      <c r="BE526" s="303"/>
      <c r="BF526" s="303"/>
      <c r="BG526" s="353">
        <f t="shared" si="71"/>
        <v>0</v>
      </c>
      <c r="BH526" s="303"/>
      <c r="BI526" s="303"/>
      <c r="BJ526" s="354">
        <f t="shared" si="65"/>
        <v>1</v>
      </c>
      <c r="BK526" s="316" t="str">
        <f t="shared" si="64"/>
        <v>Habilitado</v>
      </c>
    </row>
    <row r="527" spans="1:63" ht="51" x14ac:dyDescent="0.25">
      <c r="A527" s="324">
        <v>525</v>
      </c>
      <c r="B527" s="345" t="s">
        <v>2756</v>
      </c>
      <c r="C527" s="335" t="s">
        <v>2746</v>
      </c>
      <c r="D527" s="360" t="s">
        <v>2757</v>
      </c>
      <c r="E527" s="347">
        <v>1</v>
      </c>
      <c r="F527" s="314" t="s">
        <v>510</v>
      </c>
      <c r="G527" s="314" t="s">
        <v>510</v>
      </c>
      <c r="H527" s="314" t="s">
        <v>510</v>
      </c>
      <c r="I527" s="314" t="s">
        <v>510</v>
      </c>
      <c r="J527" s="406">
        <v>40</v>
      </c>
      <c r="K527" s="29">
        <f t="shared" si="66"/>
        <v>40</v>
      </c>
      <c r="L527" s="314" t="s">
        <v>504</v>
      </c>
      <c r="M527" s="407"/>
      <c r="N527" s="314"/>
      <c r="O527" s="314"/>
      <c r="P527" s="314"/>
      <c r="Q527" s="314"/>
      <c r="R527" s="314"/>
      <c r="S527" s="314"/>
      <c r="T527" s="314"/>
      <c r="U527" s="314"/>
      <c r="V527" s="350"/>
      <c r="W527" s="350"/>
      <c r="X527" s="350"/>
      <c r="Y527" s="350"/>
      <c r="Z527" s="307"/>
      <c r="AA527" s="350">
        <f t="shared" si="67"/>
        <v>0</v>
      </c>
      <c r="AB527" s="307"/>
      <c r="AC527" s="307"/>
      <c r="AD527" s="303"/>
      <c r="AE527" s="303"/>
      <c r="AF527" s="303"/>
      <c r="AG527" s="303"/>
      <c r="AH527" s="314"/>
      <c r="AI527" s="297">
        <f t="shared" si="68"/>
        <v>0</v>
      </c>
      <c r="AJ527" s="303"/>
      <c r="AK527" s="303"/>
      <c r="AL527" s="303"/>
      <c r="AM527" s="303"/>
      <c r="AN527" s="303"/>
      <c r="AO527" s="303"/>
      <c r="AP527" s="303"/>
      <c r="AQ527" s="289">
        <f t="shared" si="69"/>
        <v>0</v>
      </c>
      <c r="AR527" s="314"/>
      <c r="AS527" s="314"/>
      <c r="AT527" s="329"/>
      <c r="AU527" s="329"/>
      <c r="AV527" s="329"/>
      <c r="AW527" s="329"/>
      <c r="AX527" s="329"/>
      <c r="AY527" s="139">
        <f t="shared" si="70"/>
        <v>0</v>
      </c>
      <c r="AZ527" s="303"/>
      <c r="BA527" s="303"/>
      <c r="BB527" s="303"/>
      <c r="BC527" s="303"/>
      <c r="BD527" s="303"/>
      <c r="BE527" s="303"/>
      <c r="BF527" s="303"/>
      <c r="BG527" s="353">
        <f t="shared" si="71"/>
        <v>0</v>
      </c>
      <c r="BH527" s="303"/>
      <c r="BI527" s="303"/>
      <c r="BJ527" s="354">
        <f t="shared" si="65"/>
        <v>1</v>
      </c>
      <c r="BK527" s="316" t="str">
        <f t="shared" si="64"/>
        <v>Habilitado</v>
      </c>
    </row>
    <row r="528" spans="1:63" ht="63.75" x14ac:dyDescent="0.25">
      <c r="A528" s="324">
        <v>526</v>
      </c>
      <c r="B528" s="345" t="s">
        <v>2758</v>
      </c>
      <c r="C528" s="357" t="s">
        <v>2759</v>
      </c>
      <c r="D528" s="360" t="s">
        <v>2642</v>
      </c>
      <c r="E528" s="347">
        <v>1</v>
      </c>
      <c r="F528" s="314"/>
      <c r="G528" s="314"/>
      <c r="H528" s="314"/>
      <c r="I528" s="314"/>
      <c r="J528" s="314"/>
      <c r="K528" s="29">
        <f t="shared" si="66"/>
        <v>0</v>
      </c>
      <c r="L528" s="314"/>
      <c r="M528" s="314"/>
      <c r="N528" s="314"/>
      <c r="O528" s="314"/>
      <c r="P528" s="314"/>
      <c r="Q528" s="314"/>
      <c r="R528" s="314"/>
      <c r="S528" s="314"/>
      <c r="T528" s="314"/>
      <c r="U528" s="314"/>
      <c r="V528" s="350"/>
      <c r="W528" s="350"/>
      <c r="X528" s="350"/>
      <c r="Y528" s="350"/>
      <c r="Z528" s="307"/>
      <c r="AA528" s="350">
        <f t="shared" si="67"/>
        <v>0</v>
      </c>
      <c r="AB528" s="307"/>
      <c r="AC528" s="307"/>
      <c r="AD528" s="303"/>
      <c r="AE528" s="303"/>
      <c r="AF528" s="303"/>
      <c r="AG528" s="303"/>
      <c r="AH528" s="314"/>
      <c r="AI528" s="297">
        <f t="shared" si="68"/>
        <v>0</v>
      </c>
      <c r="AJ528" s="303"/>
      <c r="AK528" s="303"/>
      <c r="AL528" s="303"/>
      <c r="AM528" s="303"/>
      <c r="AN528" s="303"/>
      <c r="AO528" s="303"/>
      <c r="AP528" s="303"/>
      <c r="AQ528" s="289">
        <f t="shared" si="69"/>
        <v>0</v>
      </c>
      <c r="AR528" s="303"/>
      <c r="AS528" s="303"/>
      <c r="AT528" s="329"/>
      <c r="AU528" s="329"/>
      <c r="AV528" s="329"/>
      <c r="AW528" s="329"/>
      <c r="AX528" s="329"/>
      <c r="AY528" s="139">
        <f t="shared" si="70"/>
        <v>0</v>
      </c>
      <c r="AZ528" s="303"/>
      <c r="BA528" s="303"/>
      <c r="BB528" s="303"/>
      <c r="BC528" s="303"/>
      <c r="BD528" s="303"/>
      <c r="BE528" s="303"/>
      <c r="BF528" s="303"/>
      <c r="BG528" s="353">
        <f t="shared" si="71"/>
        <v>0</v>
      </c>
      <c r="BH528" s="303"/>
      <c r="BI528" s="303"/>
      <c r="BJ528" s="354">
        <f t="shared" si="65"/>
        <v>0</v>
      </c>
      <c r="BK528" s="316" t="str">
        <f t="shared" si="64"/>
        <v>Desierto</v>
      </c>
    </row>
    <row r="529" spans="1:63" ht="51" x14ac:dyDescent="0.25">
      <c r="A529" s="324">
        <v>527</v>
      </c>
      <c r="B529" s="345" t="s">
        <v>2760</v>
      </c>
      <c r="C529" s="335" t="s">
        <v>2761</v>
      </c>
      <c r="D529" s="360" t="s">
        <v>140</v>
      </c>
      <c r="E529" s="347">
        <v>1</v>
      </c>
      <c r="F529" s="314" t="s">
        <v>510</v>
      </c>
      <c r="G529" s="314" t="s">
        <v>510</v>
      </c>
      <c r="H529" s="314" t="s">
        <v>510</v>
      </c>
      <c r="I529" s="314" t="s">
        <v>510</v>
      </c>
      <c r="J529" s="314">
        <v>40</v>
      </c>
      <c r="K529" s="29">
        <f t="shared" si="66"/>
        <v>40</v>
      </c>
      <c r="L529" s="406" t="s">
        <v>504</v>
      </c>
      <c r="M529" s="314"/>
      <c r="N529" s="314"/>
      <c r="O529" s="314"/>
      <c r="P529" s="314"/>
      <c r="Q529" s="314"/>
      <c r="R529" s="314"/>
      <c r="S529" s="314"/>
      <c r="T529" s="314"/>
      <c r="U529" s="314"/>
      <c r="V529" s="350" t="s">
        <v>510</v>
      </c>
      <c r="W529" s="350" t="s">
        <v>510</v>
      </c>
      <c r="X529" s="350" t="s">
        <v>519</v>
      </c>
      <c r="Y529" s="350" t="s">
        <v>510</v>
      </c>
      <c r="Z529" s="304">
        <v>0</v>
      </c>
      <c r="AA529" s="350">
        <f t="shared" si="67"/>
        <v>0</v>
      </c>
      <c r="AB529" s="307" t="s">
        <v>520</v>
      </c>
      <c r="AC529" s="306" t="s">
        <v>1111</v>
      </c>
      <c r="AD529" s="303"/>
      <c r="AE529" s="303"/>
      <c r="AF529" s="303"/>
      <c r="AG529" s="303"/>
      <c r="AH529" s="314"/>
      <c r="AI529" s="297">
        <f t="shared" si="68"/>
        <v>0</v>
      </c>
      <c r="AJ529" s="303"/>
      <c r="AK529" s="303"/>
      <c r="AL529" s="303"/>
      <c r="AM529" s="303"/>
      <c r="AN529" s="303"/>
      <c r="AO529" s="303"/>
      <c r="AP529" s="303"/>
      <c r="AQ529" s="289">
        <f t="shared" si="69"/>
        <v>0</v>
      </c>
      <c r="AR529" s="303"/>
      <c r="AS529" s="303"/>
      <c r="AT529" s="329"/>
      <c r="AU529" s="329"/>
      <c r="AV529" s="329"/>
      <c r="AW529" s="329"/>
      <c r="AX529" s="329"/>
      <c r="AY529" s="139">
        <f t="shared" si="70"/>
        <v>0</v>
      </c>
      <c r="AZ529" s="303"/>
      <c r="BA529" s="303"/>
      <c r="BB529" s="303"/>
      <c r="BC529" s="303"/>
      <c r="BD529" s="303"/>
      <c r="BE529" s="303"/>
      <c r="BF529" s="303"/>
      <c r="BG529" s="353">
        <f t="shared" si="71"/>
        <v>0</v>
      </c>
      <c r="BH529" s="303"/>
      <c r="BI529" s="303"/>
      <c r="BJ529" s="354">
        <f t="shared" si="65"/>
        <v>1</v>
      </c>
      <c r="BK529" s="316" t="str">
        <f t="shared" si="64"/>
        <v>Habilitado</v>
      </c>
    </row>
    <row r="530" spans="1:63" x14ac:dyDescent="0.25">
      <c r="A530" s="324">
        <v>528</v>
      </c>
      <c r="B530" s="345" t="s">
        <v>2762</v>
      </c>
      <c r="C530" s="331" t="s">
        <v>518</v>
      </c>
      <c r="D530" s="357" t="s">
        <v>140</v>
      </c>
      <c r="E530" s="347">
        <v>1</v>
      </c>
      <c r="F530" s="314"/>
      <c r="G530" s="314"/>
      <c r="H530" s="314"/>
      <c r="I530" s="314"/>
      <c r="J530" s="314"/>
      <c r="K530" s="29">
        <f t="shared" si="66"/>
        <v>0</v>
      </c>
      <c r="L530" s="314"/>
      <c r="M530" s="314"/>
      <c r="N530" s="314"/>
      <c r="O530" s="314"/>
      <c r="P530" s="314"/>
      <c r="Q530" s="314"/>
      <c r="R530" s="314"/>
      <c r="S530" s="314"/>
      <c r="T530" s="314"/>
      <c r="U530" s="314"/>
      <c r="V530" s="350"/>
      <c r="W530" s="350"/>
      <c r="X530" s="350"/>
      <c r="Y530" s="350"/>
      <c r="Z530" s="307"/>
      <c r="AA530" s="350">
        <f t="shared" si="67"/>
        <v>0</v>
      </c>
      <c r="AB530" s="307"/>
      <c r="AC530" s="307"/>
      <c r="AD530" s="303"/>
      <c r="AE530" s="303"/>
      <c r="AF530" s="303"/>
      <c r="AG530" s="303"/>
      <c r="AH530" s="314"/>
      <c r="AI530" s="297">
        <f t="shared" si="68"/>
        <v>0</v>
      </c>
      <c r="AJ530" s="303"/>
      <c r="AK530" s="303"/>
      <c r="AL530" s="303"/>
      <c r="AM530" s="303"/>
      <c r="AN530" s="303"/>
      <c r="AO530" s="303"/>
      <c r="AP530" s="303"/>
      <c r="AQ530" s="289">
        <f t="shared" si="69"/>
        <v>0</v>
      </c>
      <c r="AR530" s="303"/>
      <c r="AS530" s="303"/>
      <c r="AT530" s="329"/>
      <c r="AU530" s="329"/>
      <c r="AV530" s="329"/>
      <c r="AW530" s="329"/>
      <c r="AX530" s="329"/>
      <c r="AY530" s="139">
        <f t="shared" si="70"/>
        <v>0</v>
      </c>
      <c r="AZ530" s="303"/>
      <c r="BA530" s="303"/>
      <c r="BB530" s="303"/>
      <c r="BC530" s="303"/>
      <c r="BD530" s="303"/>
      <c r="BE530" s="303"/>
      <c r="BF530" s="303"/>
      <c r="BG530" s="353">
        <f t="shared" si="71"/>
        <v>0</v>
      </c>
      <c r="BH530" s="303"/>
      <c r="BI530" s="303"/>
      <c r="BJ530" s="354">
        <f t="shared" si="65"/>
        <v>0</v>
      </c>
      <c r="BK530" s="316" t="str">
        <f t="shared" si="64"/>
        <v>Desierto</v>
      </c>
    </row>
    <row r="531" spans="1:63" ht="38.25" x14ac:dyDescent="0.25">
      <c r="A531" s="324">
        <v>529</v>
      </c>
      <c r="B531" s="345" t="s">
        <v>2763</v>
      </c>
      <c r="C531" s="335" t="s">
        <v>2764</v>
      </c>
      <c r="D531" s="360" t="s">
        <v>140</v>
      </c>
      <c r="E531" s="347">
        <v>1</v>
      </c>
      <c r="F531" s="314" t="s">
        <v>510</v>
      </c>
      <c r="G531" s="314" t="s">
        <v>519</v>
      </c>
      <c r="H531" s="314" t="s">
        <v>510</v>
      </c>
      <c r="I531" s="314" t="s">
        <v>510</v>
      </c>
      <c r="J531" s="406">
        <v>0</v>
      </c>
      <c r="K531" s="29">
        <f t="shared" si="66"/>
        <v>0</v>
      </c>
      <c r="L531" s="314" t="s">
        <v>520</v>
      </c>
      <c r="M531" s="407" t="s">
        <v>2765</v>
      </c>
      <c r="N531" s="314"/>
      <c r="O531" s="314"/>
      <c r="P531" s="314"/>
      <c r="Q531" s="314"/>
      <c r="R531" s="314"/>
      <c r="S531" s="314"/>
      <c r="T531" s="314"/>
      <c r="U531" s="314"/>
      <c r="V531" s="350"/>
      <c r="W531" s="350"/>
      <c r="X531" s="350"/>
      <c r="Y531" s="350"/>
      <c r="Z531" s="307"/>
      <c r="AA531" s="350">
        <f t="shared" si="67"/>
        <v>0</v>
      </c>
      <c r="AB531" s="307"/>
      <c r="AC531" s="307"/>
      <c r="AD531" s="303"/>
      <c r="AE531" s="303"/>
      <c r="AF531" s="303"/>
      <c r="AG531" s="303"/>
      <c r="AH531" s="314"/>
      <c r="AI531" s="297">
        <f t="shared" si="68"/>
        <v>0</v>
      </c>
      <c r="AJ531" s="303"/>
      <c r="AK531" s="303"/>
      <c r="AL531" s="303"/>
      <c r="AM531" s="303"/>
      <c r="AN531" s="303"/>
      <c r="AO531" s="303"/>
      <c r="AP531" s="303"/>
      <c r="AQ531" s="289">
        <f t="shared" si="69"/>
        <v>0</v>
      </c>
      <c r="AR531" s="303"/>
      <c r="AS531" s="303"/>
      <c r="AT531" s="303" t="s">
        <v>510</v>
      </c>
      <c r="AU531" s="303" t="s">
        <v>510</v>
      </c>
      <c r="AV531" s="303" t="s">
        <v>510</v>
      </c>
      <c r="AW531" s="303" t="s">
        <v>510</v>
      </c>
      <c r="AX531" s="303">
        <v>40</v>
      </c>
      <c r="AY531" s="139">
        <f t="shared" si="70"/>
        <v>40</v>
      </c>
      <c r="AZ531" s="303" t="s">
        <v>504</v>
      </c>
      <c r="BA531" s="301"/>
      <c r="BB531" s="303"/>
      <c r="BC531" s="303"/>
      <c r="BD531" s="303"/>
      <c r="BE531" s="303"/>
      <c r="BF531" s="303"/>
      <c r="BG531" s="353">
        <f t="shared" si="71"/>
        <v>0</v>
      </c>
      <c r="BH531" s="303"/>
      <c r="BI531" s="304"/>
      <c r="BJ531" s="354">
        <f t="shared" si="65"/>
        <v>1</v>
      </c>
      <c r="BK531" s="316" t="str">
        <f t="shared" si="64"/>
        <v>Habilitado</v>
      </c>
    </row>
    <row r="532" spans="1:63" ht="25.5" x14ac:dyDescent="0.25">
      <c r="A532" s="324">
        <v>530</v>
      </c>
      <c r="B532" s="345" t="s">
        <v>2766</v>
      </c>
      <c r="C532" s="335" t="s">
        <v>2767</v>
      </c>
      <c r="D532" s="360" t="s">
        <v>2768</v>
      </c>
      <c r="E532" s="347">
        <v>1</v>
      </c>
      <c r="F532" s="314" t="s">
        <v>510</v>
      </c>
      <c r="G532" s="314" t="s">
        <v>510</v>
      </c>
      <c r="H532" s="314" t="s">
        <v>510</v>
      </c>
      <c r="I532" s="314" t="s">
        <v>510</v>
      </c>
      <c r="J532" s="314">
        <v>40</v>
      </c>
      <c r="K532" s="29">
        <f t="shared" si="66"/>
        <v>40</v>
      </c>
      <c r="L532" s="406" t="s">
        <v>504</v>
      </c>
      <c r="M532" s="314"/>
      <c r="N532" s="314"/>
      <c r="O532" s="314"/>
      <c r="P532" s="314"/>
      <c r="Q532" s="314"/>
      <c r="R532" s="314"/>
      <c r="S532" s="314"/>
      <c r="T532" s="314"/>
      <c r="U532" s="314"/>
      <c r="V532" s="350" t="s">
        <v>510</v>
      </c>
      <c r="W532" s="350" t="s">
        <v>510</v>
      </c>
      <c r="X532" s="350" t="s">
        <v>510</v>
      </c>
      <c r="Y532" s="350" t="s">
        <v>510</v>
      </c>
      <c r="Z532" s="304">
        <v>20</v>
      </c>
      <c r="AA532" s="350">
        <f t="shared" si="67"/>
        <v>20</v>
      </c>
      <c r="AB532" s="307" t="s">
        <v>504</v>
      </c>
      <c r="AC532" s="304"/>
      <c r="AD532" s="303"/>
      <c r="AE532" s="303"/>
      <c r="AF532" s="303"/>
      <c r="AG532" s="303"/>
      <c r="AH532" s="314"/>
      <c r="AI532" s="297">
        <f t="shared" si="68"/>
        <v>0</v>
      </c>
      <c r="AJ532" s="303"/>
      <c r="AK532" s="303"/>
      <c r="AL532" s="303"/>
      <c r="AM532" s="303"/>
      <c r="AN532" s="303"/>
      <c r="AO532" s="303"/>
      <c r="AP532" s="303"/>
      <c r="AQ532" s="289">
        <f t="shared" si="69"/>
        <v>0</v>
      </c>
      <c r="AR532" s="303"/>
      <c r="AS532" s="303"/>
      <c r="AT532" s="303" t="s">
        <v>510</v>
      </c>
      <c r="AU532" s="303" t="s">
        <v>510</v>
      </c>
      <c r="AV532" s="303" t="s">
        <v>510</v>
      </c>
      <c r="AW532" s="303" t="s">
        <v>510</v>
      </c>
      <c r="AX532" s="303">
        <v>40</v>
      </c>
      <c r="AY532" s="139">
        <f t="shared" si="70"/>
        <v>40</v>
      </c>
      <c r="AZ532" s="303" t="s">
        <v>504</v>
      </c>
      <c r="BA532" s="301"/>
      <c r="BB532" s="303"/>
      <c r="BC532" s="303"/>
      <c r="BD532" s="303"/>
      <c r="BE532" s="303"/>
      <c r="BF532" s="303"/>
      <c r="BG532" s="353">
        <f t="shared" si="71"/>
        <v>0</v>
      </c>
      <c r="BH532" s="303"/>
      <c r="BI532" s="303"/>
      <c r="BJ532" s="354">
        <f t="shared" si="65"/>
        <v>3</v>
      </c>
      <c r="BK532" s="316" t="str">
        <f t="shared" si="64"/>
        <v>Habilitado</v>
      </c>
    </row>
    <row r="533" spans="1:63" ht="25.5" x14ac:dyDescent="0.25">
      <c r="A533" s="324">
        <v>531</v>
      </c>
      <c r="B533" s="345" t="s">
        <v>2769</v>
      </c>
      <c r="C533" s="335" t="s">
        <v>2767</v>
      </c>
      <c r="D533" s="360" t="s">
        <v>140</v>
      </c>
      <c r="E533" s="347">
        <v>1</v>
      </c>
      <c r="F533" s="314" t="s">
        <v>510</v>
      </c>
      <c r="G533" s="314" t="s">
        <v>510</v>
      </c>
      <c r="H533" s="314" t="s">
        <v>510</v>
      </c>
      <c r="I533" s="314" t="s">
        <v>510</v>
      </c>
      <c r="J533" s="314">
        <v>40</v>
      </c>
      <c r="K533" s="29">
        <f t="shared" si="66"/>
        <v>40</v>
      </c>
      <c r="L533" s="406" t="s">
        <v>504</v>
      </c>
      <c r="M533" s="314"/>
      <c r="N533" s="314"/>
      <c r="O533" s="314"/>
      <c r="P533" s="314"/>
      <c r="Q533" s="314"/>
      <c r="R533" s="314"/>
      <c r="S533" s="314"/>
      <c r="T533" s="314"/>
      <c r="U533" s="314"/>
      <c r="V533" s="350" t="s">
        <v>510</v>
      </c>
      <c r="W533" s="350" t="s">
        <v>510</v>
      </c>
      <c r="X533" s="350" t="s">
        <v>510</v>
      </c>
      <c r="Y533" s="350" t="s">
        <v>510</v>
      </c>
      <c r="Z533" s="304">
        <v>20</v>
      </c>
      <c r="AA533" s="350">
        <f t="shared" si="67"/>
        <v>20</v>
      </c>
      <c r="AB533" s="307" t="s">
        <v>504</v>
      </c>
      <c r="AC533" s="307"/>
      <c r="AD533" s="303"/>
      <c r="AE533" s="303"/>
      <c r="AF533" s="303"/>
      <c r="AG533" s="303"/>
      <c r="AH533" s="314"/>
      <c r="AI533" s="297">
        <f t="shared" si="68"/>
        <v>0</v>
      </c>
      <c r="AJ533" s="303"/>
      <c r="AK533" s="303"/>
      <c r="AL533" s="303"/>
      <c r="AM533" s="303"/>
      <c r="AN533" s="303"/>
      <c r="AO533" s="303"/>
      <c r="AP533" s="303"/>
      <c r="AQ533" s="289">
        <f t="shared" si="69"/>
        <v>0</v>
      </c>
      <c r="AR533" s="303"/>
      <c r="AS533" s="303"/>
      <c r="AT533" s="303" t="s">
        <v>510</v>
      </c>
      <c r="AU533" s="303" t="s">
        <v>510</v>
      </c>
      <c r="AV533" s="303" t="s">
        <v>510</v>
      </c>
      <c r="AW533" s="303" t="s">
        <v>510</v>
      </c>
      <c r="AX533" s="303">
        <v>40</v>
      </c>
      <c r="AY533" s="139">
        <f t="shared" si="70"/>
        <v>40</v>
      </c>
      <c r="AZ533" s="303" t="s">
        <v>504</v>
      </c>
      <c r="BA533" s="301"/>
      <c r="BB533" s="303"/>
      <c r="BC533" s="303"/>
      <c r="BD533" s="303"/>
      <c r="BE533" s="303"/>
      <c r="BF533" s="303"/>
      <c r="BG533" s="353">
        <f t="shared" si="71"/>
        <v>0</v>
      </c>
      <c r="BH533" s="303"/>
      <c r="BI533" s="303"/>
      <c r="BJ533" s="354">
        <f t="shared" si="65"/>
        <v>3</v>
      </c>
      <c r="BK533" s="316" t="str">
        <f t="shared" si="64"/>
        <v>Habilitado</v>
      </c>
    </row>
    <row r="534" spans="1:63" ht="53.25" customHeight="1" x14ac:dyDescent="0.25">
      <c r="A534" s="324">
        <v>532</v>
      </c>
      <c r="B534" s="325" t="s">
        <v>2770</v>
      </c>
      <c r="C534" s="325" t="s">
        <v>2771</v>
      </c>
      <c r="D534" s="325" t="s">
        <v>140</v>
      </c>
      <c r="E534" s="362">
        <v>1</v>
      </c>
      <c r="F534" s="406" t="s">
        <v>510</v>
      </c>
      <c r="G534" s="406" t="s">
        <v>1873</v>
      </c>
      <c r="H534" s="314" t="s">
        <v>510</v>
      </c>
      <c r="I534" s="406" t="s">
        <v>510</v>
      </c>
      <c r="J534" s="406">
        <v>0</v>
      </c>
      <c r="K534" s="29">
        <f t="shared" si="66"/>
        <v>0</v>
      </c>
      <c r="L534" s="314" t="s">
        <v>520</v>
      </c>
      <c r="M534" s="406" t="s">
        <v>2772</v>
      </c>
      <c r="N534" s="406"/>
      <c r="O534" s="406"/>
      <c r="P534" s="406"/>
      <c r="Q534" s="406"/>
      <c r="R534" s="406"/>
      <c r="S534" s="406"/>
      <c r="T534" s="406"/>
      <c r="U534" s="406"/>
      <c r="V534" s="406" t="s">
        <v>510</v>
      </c>
      <c r="W534" s="406" t="s">
        <v>519</v>
      </c>
      <c r="X534" s="406" t="s">
        <v>510</v>
      </c>
      <c r="Y534" s="350" t="s">
        <v>510</v>
      </c>
      <c r="Z534" s="304">
        <v>0</v>
      </c>
      <c r="AA534" s="350">
        <f t="shared" si="67"/>
        <v>0</v>
      </c>
      <c r="AB534" s="304" t="s">
        <v>593</v>
      </c>
      <c r="AC534" s="304" t="s">
        <v>2773</v>
      </c>
      <c r="AD534" s="304"/>
      <c r="AE534" s="304"/>
      <c r="AF534" s="304"/>
      <c r="AG534" s="304"/>
      <c r="AH534" s="326"/>
      <c r="AI534" s="297">
        <f t="shared" si="68"/>
        <v>0</v>
      </c>
      <c r="AJ534" s="304"/>
      <c r="AK534" s="304"/>
      <c r="AL534" s="304"/>
      <c r="AM534" s="304"/>
      <c r="AN534" s="304"/>
      <c r="AO534" s="304"/>
      <c r="AP534" s="304"/>
      <c r="AQ534" s="289">
        <f t="shared" si="69"/>
        <v>0</v>
      </c>
      <c r="AR534" s="304"/>
      <c r="AS534" s="304"/>
      <c r="AT534" s="304" t="s">
        <v>510</v>
      </c>
      <c r="AU534" s="304" t="s">
        <v>510</v>
      </c>
      <c r="AV534" s="303" t="s">
        <v>510</v>
      </c>
      <c r="AW534" s="303" t="s">
        <v>510</v>
      </c>
      <c r="AX534" s="303">
        <v>40</v>
      </c>
      <c r="AY534" s="139">
        <f t="shared" si="70"/>
        <v>40</v>
      </c>
      <c r="AZ534" s="304" t="s">
        <v>504</v>
      </c>
      <c r="BA534" s="301"/>
      <c r="BB534" s="303"/>
      <c r="BC534" s="303"/>
      <c r="BD534" s="303"/>
      <c r="BE534" s="303"/>
      <c r="BF534" s="303"/>
      <c r="BG534" s="353">
        <f t="shared" si="71"/>
        <v>0</v>
      </c>
      <c r="BH534" s="303"/>
      <c r="BI534" s="303"/>
      <c r="BJ534" s="354">
        <f t="shared" si="65"/>
        <v>1</v>
      </c>
      <c r="BK534" s="316" t="str">
        <f t="shared" si="64"/>
        <v>Habilitado</v>
      </c>
    </row>
    <row r="535" spans="1:63" ht="63.75" x14ac:dyDescent="0.25">
      <c r="A535" s="324">
        <v>533</v>
      </c>
      <c r="B535" s="345" t="s">
        <v>2774</v>
      </c>
      <c r="C535" s="335" t="s">
        <v>2771</v>
      </c>
      <c r="D535" s="357" t="s">
        <v>140</v>
      </c>
      <c r="E535" s="347">
        <v>1</v>
      </c>
      <c r="F535" s="314" t="s">
        <v>510</v>
      </c>
      <c r="G535" s="314" t="s">
        <v>510</v>
      </c>
      <c r="H535" s="314" t="s">
        <v>510</v>
      </c>
      <c r="I535" s="314" t="s">
        <v>510</v>
      </c>
      <c r="J535" s="314">
        <v>40</v>
      </c>
      <c r="K535" s="29">
        <f t="shared" si="66"/>
        <v>40</v>
      </c>
      <c r="L535" s="314" t="s">
        <v>504</v>
      </c>
      <c r="M535" s="314"/>
      <c r="N535" s="314"/>
      <c r="O535" s="314"/>
      <c r="P535" s="314"/>
      <c r="Q535" s="314"/>
      <c r="R535" s="314"/>
      <c r="S535" s="314"/>
      <c r="T535" s="314"/>
      <c r="U535" s="314"/>
      <c r="V535" s="350" t="s">
        <v>510</v>
      </c>
      <c r="W535" s="350" t="s">
        <v>510</v>
      </c>
      <c r="X535" s="350" t="s">
        <v>510</v>
      </c>
      <c r="Y535" s="350" t="s">
        <v>510</v>
      </c>
      <c r="Z535" s="304">
        <v>20</v>
      </c>
      <c r="AA535" s="350">
        <f t="shared" si="67"/>
        <v>20</v>
      </c>
      <c r="AB535" s="307" t="s">
        <v>504</v>
      </c>
      <c r="AC535" s="304"/>
      <c r="AD535" s="303"/>
      <c r="AE535" s="303"/>
      <c r="AF535" s="303"/>
      <c r="AG535" s="303"/>
      <c r="AH535" s="314"/>
      <c r="AI535" s="297">
        <f t="shared" si="68"/>
        <v>0</v>
      </c>
      <c r="AJ535" s="303"/>
      <c r="AK535" s="303"/>
      <c r="AL535" s="303"/>
      <c r="AM535" s="303"/>
      <c r="AN535" s="303"/>
      <c r="AO535" s="303"/>
      <c r="AP535" s="303"/>
      <c r="AQ535" s="289">
        <f t="shared" si="69"/>
        <v>0</v>
      </c>
      <c r="AR535" s="303"/>
      <c r="AS535" s="303"/>
      <c r="AT535" s="303" t="s">
        <v>510</v>
      </c>
      <c r="AU535" s="303" t="s">
        <v>510</v>
      </c>
      <c r="AV535" s="303" t="s">
        <v>510</v>
      </c>
      <c r="AW535" s="303" t="s">
        <v>510</v>
      </c>
      <c r="AX535" s="303">
        <v>40</v>
      </c>
      <c r="AY535" s="139">
        <f t="shared" si="70"/>
        <v>40</v>
      </c>
      <c r="AZ535" s="303" t="s">
        <v>504</v>
      </c>
      <c r="BA535" s="301"/>
      <c r="BB535" s="303"/>
      <c r="BC535" s="303"/>
      <c r="BD535" s="303"/>
      <c r="BE535" s="303"/>
      <c r="BF535" s="303"/>
      <c r="BG535" s="353">
        <f t="shared" si="71"/>
        <v>0</v>
      </c>
      <c r="BH535" s="303"/>
      <c r="BI535" s="303"/>
      <c r="BJ535" s="354">
        <f t="shared" si="65"/>
        <v>3</v>
      </c>
      <c r="BK535" s="316" t="str">
        <f t="shared" si="64"/>
        <v>Habilitado</v>
      </c>
    </row>
    <row r="536" spans="1:63" ht="76.5" x14ac:dyDescent="0.25">
      <c r="A536" s="324">
        <v>534</v>
      </c>
      <c r="B536" s="345" t="s">
        <v>2775</v>
      </c>
      <c r="C536" s="357" t="s">
        <v>2771</v>
      </c>
      <c r="D536" s="360" t="s">
        <v>140</v>
      </c>
      <c r="E536" s="347">
        <v>1</v>
      </c>
      <c r="F536" s="314" t="s">
        <v>510</v>
      </c>
      <c r="G536" s="314" t="s">
        <v>510</v>
      </c>
      <c r="H536" s="314" t="s">
        <v>510</v>
      </c>
      <c r="I536" s="314" t="s">
        <v>510</v>
      </c>
      <c r="J536" s="314">
        <v>40</v>
      </c>
      <c r="K536" s="29">
        <f t="shared" si="66"/>
        <v>40</v>
      </c>
      <c r="L536" s="314" t="s">
        <v>504</v>
      </c>
      <c r="M536" s="314"/>
      <c r="N536" s="314"/>
      <c r="O536" s="314"/>
      <c r="P536" s="314"/>
      <c r="Q536" s="314"/>
      <c r="R536" s="314"/>
      <c r="S536" s="314"/>
      <c r="T536" s="314"/>
      <c r="U536" s="314"/>
      <c r="V536" s="350"/>
      <c r="W536" s="350"/>
      <c r="X536" s="350"/>
      <c r="Y536" s="350"/>
      <c r="Z536" s="307"/>
      <c r="AA536" s="350">
        <f t="shared" si="67"/>
        <v>0</v>
      </c>
      <c r="AB536" s="307"/>
      <c r="AC536" s="307"/>
      <c r="AD536" s="303"/>
      <c r="AE536" s="303"/>
      <c r="AF536" s="303"/>
      <c r="AG536" s="303"/>
      <c r="AH536" s="314"/>
      <c r="AI536" s="297">
        <f t="shared" si="68"/>
        <v>0</v>
      </c>
      <c r="AJ536" s="303"/>
      <c r="AK536" s="303"/>
      <c r="AL536" s="303"/>
      <c r="AM536" s="303"/>
      <c r="AN536" s="303"/>
      <c r="AO536" s="303"/>
      <c r="AP536" s="303"/>
      <c r="AQ536" s="289">
        <f t="shared" si="69"/>
        <v>0</v>
      </c>
      <c r="AR536" s="303"/>
      <c r="AS536" s="303"/>
      <c r="AT536" s="303" t="s">
        <v>510</v>
      </c>
      <c r="AU536" s="303" t="s">
        <v>510</v>
      </c>
      <c r="AV536" s="303" t="s">
        <v>510</v>
      </c>
      <c r="AW536" s="303" t="s">
        <v>510</v>
      </c>
      <c r="AX536" s="303">
        <v>40</v>
      </c>
      <c r="AY536" s="139">
        <f t="shared" si="70"/>
        <v>40</v>
      </c>
      <c r="AZ536" s="303" t="s">
        <v>504</v>
      </c>
      <c r="BA536" s="301"/>
      <c r="BB536" s="303"/>
      <c r="BC536" s="303"/>
      <c r="BD536" s="303"/>
      <c r="BE536" s="303"/>
      <c r="BF536" s="303"/>
      <c r="BG536" s="353">
        <f t="shared" si="71"/>
        <v>0</v>
      </c>
      <c r="BH536" s="303"/>
      <c r="BI536" s="301"/>
      <c r="BJ536" s="354">
        <f t="shared" si="65"/>
        <v>2</v>
      </c>
      <c r="BK536" s="316" t="str">
        <f t="shared" si="64"/>
        <v>Habilitado</v>
      </c>
    </row>
    <row r="537" spans="1:63" ht="76.5" x14ac:dyDescent="0.25">
      <c r="A537" s="324">
        <v>535</v>
      </c>
      <c r="B537" s="345" t="s">
        <v>2776</v>
      </c>
      <c r="C537" s="335" t="s">
        <v>2771</v>
      </c>
      <c r="D537" s="360" t="s">
        <v>1819</v>
      </c>
      <c r="E537" s="347">
        <v>1</v>
      </c>
      <c r="F537" s="314" t="s">
        <v>510</v>
      </c>
      <c r="G537" s="314" t="s">
        <v>510</v>
      </c>
      <c r="H537" s="314" t="s">
        <v>510</v>
      </c>
      <c r="I537" s="314" t="s">
        <v>510</v>
      </c>
      <c r="J537" s="314">
        <v>40</v>
      </c>
      <c r="K537" s="29">
        <f t="shared" si="66"/>
        <v>40</v>
      </c>
      <c r="L537" s="314" t="s">
        <v>504</v>
      </c>
      <c r="M537" s="314"/>
      <c r="N537" s="314"/>
      <c r="O537" s="314"/>
      <c r="P537" s="314"/>
      <c r="Q537" s="314"/>
      <c r="R537" s="314"/>
      <c r="S537" s="314"/>
      <c r="T537" s="314"/>
      <c r="U537" s="314"/>
      <c r="V537" s="350"/>
      <c r="W537" s="350"/>
      <c r="X537" s="350"/>
      <c r="Y537" s="350"/>
      <c r="Z537" s="307"/>
      <c r="AA537" s="350">
        <f t="shared" si="67"/>
        <v>0</v>
      </c>
      <c r="AB537" s="307"/>
      <c r="AC537" s="307"/>
      <c r="AD537" s="303"/>
      <c r="AE537" s="303"/>
      <c r="AF537" s="303"/>
      <c r="AG537" s="303"/>
      <c r="AH537" s="314"/>
      <c r="AI537" s="297">
        <f t="shared" si="68"/>
        <v>0</v>
      </c>
      <c r="AJ537" s="303"/>
      <c r="AK537" s="303"/>
      <c r="AL537" s="303"/>
      <c r="AM537" s="303"/>
      <c r="AN537" s="303"/>
      <c r="AO537" s="303"/>
      <c r="AP537" s="303"/>
      <c r="AQ537" s="289">
        <f t="shared" si="69"/>
        <v>0</v>
      </c>
      <c r="AR537" s="303"/>
      <c r="AS537" s="303"/>
      <c r="AT537" s="303" t="s">
        <v>510</v>
      </c>
      <c r="AU537" s="303" t="s">
        <v>510</v>
      </c>
      <c r="AV537" s="303" t="s">
        <v>510</v>
      </c>
      <c r="AW537" s="303" t="s">
        <v>510</v>
      </c>
      <c r="AX537" s="303">
        <v>40</v>
      </c>
      <c r="AY537" s="139">
        <f t="shared" si="70"/>
        <v>40</v>
      </c>
      <c r="AZ537" s="303" t="s">
        <v>504</v>
      </c>
      <c r="BA537" s="301"/>
      <c r="BB537" s="303"/>
      <c r="BC537" s="303"/>
      <c r="BD537" s="303"/>
      <c r="BE537" s="303"/>
      <c r="BF537" s="303"/>
      <c r="BG537" s="353">
        <f t="shared" si="71"/>
        <v>0</v>
      </c>
      <c r="BH537" s="303"/>
      <c r="BI537" s="301"/>
      <c r="BJ537" s="354">
        <f t="shared" si="65"/>
        <v>2</v>
      </c>
      <c r="BK537" s="316" t="str">
        <f t="shared" si="64"/>
        <v>Habilitado</v>
      </c>
    </row>
    <row r="538" spans="1:63" ht="76.5" x14ac:dyDescent="0.25">
      <c r="A538" s="324">
        <v>536</v>
      </c>
      <c r="B538" s="345" t="s">
        <v>2777</v>
      </c>
      <c r="C538" s="335" t="s">
        <v>2771</v>
      </c>
      <c r="D538" s="360" t="s">
        <v>140</v>
      </c>
      <c r="E538" s="347">
        <v>1</v>
      </c>
      <c r="F538" s="314" t="s">
        <v>510</v>
      </c>
      <c r="G538" s="314" t="s">
        <v>510</v>
      </c>
      <c r="H538" s="314" t="s">
        <v>510</v>
      </c>
      <c r="I538" s="314" t="s">
        <v>510</v>
      </c>
      <c r="J538" s="314">
        <v>40</v>
      </c>
      <c r="K538" s="29">
        <f t="shared" si="66"/>
        <v>40</v>
      </c>
      <c r="L538" s="314" t="s">
        <v>504</v>
      </c>
      <c r="M538" s="314"/>
      <c r="N538" s="314"/>
      <c r="O538" s="314"/>
      <c r="P538" s="314"/>
      <c r="Q538" s="314"/>
      <c r="R538" s="314"/>
      <c r="S538" s="314"/>
      <c r="T538" s="314"/>
      <c r="U538" s="314"/>
      <c r="V538" s="350" t="s">
        <v>510</v>
      </c>
      <c r="W538" s="350" t="s">
        <v>510</v>
      </c>
      <c r="X538" s="350" t="s">
        <v>510</v>
      </c>
      <c r="Y538" s="350" t="s">
        <v>510</v>
      </c>
      <c r="Z538" s="304">
        <v>20</v>
      </c>
      <c r="AA538" s="350">
        <f t="shared" si="67"/>
        <v>20</v>
      </c>
      <c r="AB538" s="307" t="s">
        <v>504</v>
      </c>
      <c r="AC538" s="304"/>
      <c r="AD538" s="303"/>
      <c r="AE538" s="303"/>
      <c r="AF538" s="303"/>
      <c r="AG538" s="303"/>
      <c r="AH538" s="314"/>
      <c r="AI538" s="297">
        <f t="shared" si="68"/>
        <v>0</v>
      </c>
      <c r="AJ538" s="303"/>
      <c r="AK538" s="303"/>
      <c r="AL538" s="303"/>
      <c r="AM538" s="303"/>
      <c r="AN538" s="303"/>
      <c r="AO538" s="303"/>
      <c r="AP538" s="303"/>
      <c r="AQ538" s="289">
        <f t="shared" si="69"/>
        <v>0</v>
      </c>
      <c r="AR538" s="303"/>
      <c r="AS538" s="303"/>
      <c r="AT538" s="303" t="s">
        <v>510</v>
      </c>
      <c r="AU538" s="303" t="s">
        <v>510</v>
      </c>
      <c r="AV538" s="303" t="s">
        <v>510</v>
      </c>
      <c r="AW538" s="303" t="s">
        <v>510</v>
      </c>
      <c r="AX538" s="303">
        <v>40</v>
      </c>
      <c r="AY538" s="139">
        <f t="shared" si="70"/>
        <v>40</v>
      </c>
      <c r="AZ538" s="303" t="s">
        <v>504</v>
      </c>
      <c r="BA538" s="301"/>
      <c r="BB538" s="303"/>
      <c r="BC538" s="303"/>
      <c r="BD538" s="303"/>
      <c r="BE538" s="303"/>
      <c r="BF538" s="303"/>
      <c r="BG538" s="353">
        <f t="shared" si="71"/>
        <v>0</v>
      </c>
      <c r="BH538" s="303"/>
      <c r="BI538" s="301"/>
      <c r="BJ538" s="354">
        <f t="shared" si="65"/>
        <v>3</v>
      </c>
      <c r="BK538" s="316" t="str">
        <f t="shared" si="64"/>
        <v>Habilitado</v>
      </c>
    </row>
    <row r="539" spans="1:63" ht="76.5" x14ac:dyDescent="0.25">
      <c r="A539" s="324">
        <v>537</v>
      </c>
      <c r="B539" s="345" t="s">
        <v>2778</v>
      </c>
      <c r="C539" s="335" t="s">
        <v>2771</v>
      </c>
      <c r="D539" s="360" t="s">
        <v>140</v>
      </c>
      <c r="E539" s="347">
        <v>1</v>
      </c>
      <c r="F539" s="314" t="s">
        <v>510</v>
      </c>
      <c r="G539" s="314" t="s">
        <v>510</v>
      </c>
      <c r="H539" s="314" t="s">
        <v>510</v>
      </c>
      <c r="I539" s="314" t="s">
        <v>510</v>
      </c>
      <c r="J539" s="314">
        <v>40</v>
      </c>
      <c r="K539" s="29">
        <f t="shared" si="66"/>
        <v>40</v>
      </c>
      <c r="L539" s="314" t="s">
        <v>504</v>
      </c>
      <c r="M539" s="314"/>
      <c r="N539" s="314"/>
      <c r="O539" s="314"/>
      <c r="P539" s="314"/>
      <c r="Q539" s="314"/>
      <c r="R539" s="314"/>
      <c r="S539" s="314"/>
      <c r="T539" s="314"/>
      <c r="U539" s="314"/>
      <c r="V539" s="350" t="s">
        <v>510</v>
      </c>
      <c r="W539" s="350" t="s">
        <v>519</v>
      </c>
      <c r="X539" s="350" t="s">
        <v>510</v>
      </c>
      <c r="Y539" s="350" t="s">
        <v>510</v>
      </c>
      <c r="Z539" s="304">
        <v>0</v>
      </c>
      <c r="AA539" s="350">
        <f t="shared" si="67"/>
        <v>0</v>
      </c>
      <c r="AB539" s="307" t="s">
        <v>520</v>
      </c>
      <c r="AC539" s="304" t="s">
        <v>2779</v>
      </c>
      <c r="AD539" s="303"/>
      <c r="AE539" s="303"/>
      <c r="AF539" s="303"/>
      <c r="AG539" s="303"/>
      <c r="AH539" s="314"/>
      <c r="AI539" s="297">
        <f t="shared" si="68"/>
        <v>0</v>
      </c>
      <c r="AJ539" s="303"/>
      <c r="AK539" s="303"/>
      <c r="AL539" s="303"/>
      <c r="AM539" s="303"/>
      <c r="AN539" s="303"/>
      <c r="AO539" s="303"/>
      <c r="AP539" s="303"/>
      <c r="AQ539" s="289">
        <f t="shared" si="69"/>
        <v>0</v>
      </c>
      <c r="AR539" s="303"/>
      <c r="AS539" s="303"/>
      <c r="AT539" s="303" t="s">
        <v>510</v>
      </c>
      <c r="AU539" s="303" t="s">
        <v>510</v>
      </c>
      <c r="AV539" s="303" t="s">
        <v>510</v>
      </c>
      <c r="AW539" s="303" t="s">
        <v>510</v>
      </c>
      <c r="AX539" s="303">
        <v>40</v>
      </c>
      <c r="AY539" s="139">
        <f t="shared" si="70"/>
        <v>40</v>
      </c>
      <c r="AZ539" s="303" t="s">
        <v>504</v>
      </c>
      <c r="BA539" s="301"/>
      <c r="BB539" s="303"/>
      <c r="BC539" s="303"/>
      <c r="BD539" s="303"/>
      <c r="BE539" s="303"/>
      <c r="BF539" s="303"/>
      <c r="BG539" s="353">
        <f t="shared" si="71"/>
        <v>0</v>
      </c>
      <c r="BH539" s="303"/>
      <c r="BI539" s="303"/>
      <c r="BJ539" s="354">
        <f t="shared" si="65"/>
        <v>2</v>
      </c>
      <c r="BK539" s="316" t="str">
        <f t="shared" si="64"/>
        <v>Habilitado</v>
      </c>
    </row>
    <row r="540" spans="1:63" ht="76.5" x14ac:dyDescent="0.25">
      <c r="A540" s="324">
        <v>538</v>
      </c>
      <c r="B540" s="345" t="s">
        <v>2780</v>
      </c>
      <c r="C540" s="335" t="s">
        <v>2771</v>
      </c>
      <c r="D540" s="360" t="s">
        <v>140</v>
      </c>
      <c r="E540" s="347">
        <v>1</v>
      </c>
      <c r="F540" s="314" t="s">
        <v>510</v>
      </c>
      <c r="G540" s="314" t="s">
        <v>510</v>
      </c>
      <c r="H540" s="314" t="s">
        <v>510</v>
      </c>
      <c r="I540" s="314" t="s">
        <v>510</v>
      </c>
      <c r="J540" s="314">
        <v>40</v>
      </c>
      <c r="K540" s="29">
        <f t="shared" si="66"/>
        <v>40</v>
      </c>
      <c r="L540" s="314" t="s">
        <v>504</v>
      </c>
      <c r="M540" s="314"/>
      <c r="N540" s="314"/>
      <c r="O540" s="314"/>
      <c r="P540" s="314"/>
      <c r="Q540" s="314"/>
      <c r="R540" s="314"/>
      <c r="S540" s="314"/>
      <c r="T540" s="314"/>
      <c r="U540" s="314"/>
      <c r="V540" s="350" t="s">
        <v>510</v>
      </c>
      <c r="W540" s="350" t="s">
        <v>519</v>
      </c>
      <c r="X540" s="350" t="s">
        <v>510</v>
      </c>
      <c r="Y540" s="350" t="s">
        <v>510</v>
      </c>
      <c r="Z540" s="304">
        <v>0</v>
      </c>
      <c r="AA540" s="350">
        <f t="shared" si="67"/>
        <v>0</v>
      </c>
      <c r="AB540" s="307" t="s">
        <v>520</v>
      </c>
      <c r="AC540" s="304" t="s">
        <v>2779</v>
      </c>
      <c r="AD540" s="303"/>
      <c r="AE540" s="303"/>
      <c r="AF540" s="303"/>
      <c r="AG540" s="303"/>
      <c r="AH540" s="314"/>
      <c r="AI540" s="297">
        <f t="shared" si="68"/>
        <v>0</v>
      </c>
      <c r="AJ540" s="303"/>
      <c r="AK540" s="303"/>
      <c r="AL540" s="303"/>
      <c r="AM540" s="303"/>
      <c r="AN540" s="303"/>
      <c r="AO540" s="303"/>
      <c r="AP540" s="303"/>
      <c r="AQ540" s="289">
        <f t="shared" si="69"/>
        <v>0</v>
      </c>
      <c r="AR540" s="303"/>
      <c r="AS540" s="303"/>
      <c r="AT540" s="303" t="s">
        <v>510</v>
      </c>
      <c r="AU540" s="303" t="s">
        <v>510</v>
      </c>
      <c r="AV540" s="303" t="s">
        <v>510</v>
      </c>
      <c r="AW540" s="303" t="s">
        <v>510</v>
      </c>
      <c r="AX540" s="303">
        <v>40</v>
      </c>
      <c r="AY540" s="139">
        <f t="shared" si="70"/>
        <v>40</v>
      </c>
      <c r="AZ540" s="303" t="s">
        <v>504</v>
      </c>
      <c r="BA540" s="301"/>
      <c r="BB540" s="303"/>
      <c r="BC540" s="303"/>
      <c r="BD540" s="303"/>
      <c r="BE540" s="303"/>
      <c r="BF540" s="303"/>
      <c r="BG540" s="353">
        <f t="shared" si="71"/>
        <v>0</v>
      </c>
      <c r="BH540" s="303"/>
      <c r="BI540" s="303"/>
      <c r="BJ540" s="354">
        <f t="shared" si="65"/>
        <v>2</v>
      </c>
      <c r="BK540" s="316" t="str">
        <f t="shared" si="64"/>
        <v>Habilitado</v>
      </c>
    </row>
    <row r="541" spans="1:63" ht="51" x14ac:dyDescent="0.25">
      <c r="A541" s="324">
        <v>539</v>
      </c>
      <c r="B541" s="345" t="s">
        <v>2781</v>
      </c>
      <c r="C541" s="335" t="s">
        <v>2771</v>
      </c>
      <c r="D541" s="360" t="s">
        <v>140</v>
      </c>
      <c r="E541" s="347">
        <v>1</v>
      </c>
      <c r="F541" s="314" t="s">
        <v>510</v>
      </c>
      <c r="G541" s="314" t="s">
        <v>510</v>
      </c>
      <c r="H541" s="314" t="s">
        <v>510</v>
      </c>
      <c r="I541" s="314" t="s">
        <v>510</v>
      </c>
      <c r="J541" s="314">
        <v>40</v>
      </c>
      <c r="K541" s="29">
        <f t="shared" si="66"/>
        <v>40</v>
      </c>
      <c r="L541" s="314" t="s">
        <v>504</v>
      </c>
      <c r="M541" s="314"/>
      <c r="N541" s="314"/>
      <c r="O541" s="314"/>
      <c r="P541" s="314"/>
      <c r="Q541" s="314"/>
      <c r="R541" s="314"/>
      <c r="S541" s="314"/>
      <c r="T541" s="314"/>
      <c r="U541" s="314"/>
      <c r="V541" s="350" t="s">
        <v>510</v>
      </c>
      <c r="W541" s="350" t="s">
        <v>510</v>
      </c>
      <c r="X541" s="350" t="s">
        <v>510</v>
      </c>
      <c r="Y541" s="350" t="s">
        <v>510</v>
      </c>
      <c r="Z541" s="304">
        <v>20</v>
      </c>
      <c r="AA541" s="350">
        <f t="shared" si="67"/>
        <v>20</v>
      </c>
      <c r="AB541" s="307" t="s">
        <v>504</v>
      </c>
      <c r="AC541" s="304"/>
      <c r="AD541" s="303"/>
      <c r="AE541" s="303"/>
      <c r="AF541" s="303"/>
      <c r="AG541" s="303"/>
      <c r="AH541" s="314"/>
      <c r="AI541" s="297">
        <f t="shared" si="68"/>
        <v>0</v>
      </c>
      <c r="AJ541" s="303"/>
      <c r="AK541" s="303"/>
      <c r="AL541" s="303"/>
      <c r="AM541" s="303"/>
      <c r="AN541" s="303"/>
      <c r="AO541" s="303"/>
      <c r="AP541" s="303"/>
      <c r="AQ541" s="289">
        <f t="shared" si="69"/>
        <v>0</v>
      </c>
      <c r="AR541" s="303"/>
      <c r="AS541" s="303"/>
      <c r="AT541" s="303" t="s">
        <v>510</v>
      </c>
      <c r="AU541" s="303" t="s">
        <v>510</v>
      </c>
      <c r="AV541" s="303" t="s">
        <v>510</v>
      </c>
      <c r="AW541" s="303" t="s">
        <v>510</v>
      </c>
      <c r="AX541" s="303">
        <v>40</v>
      </c>
      <c r="AY541" s="139">
        <f t="shared" si="70"/>
        <v>40</v>
      </c>
      <c r="AZ541" s="303" t="s">
        <v>504</v>
      </c>
      <c r="BA541" s="301"/>
      <c r="BB541" s="303"/>
      <c r="BC541" s="303"/>
      <c r="BD541" s="303"/>
      <c r="BE541" s="303"/>
      <c r="BF541" s="303"/>
      <c r="BG541" s="353">
        <f t="shared" si="71"/>
        <v>0</v>
      </c>
      <c r="BH541" s="303"/>
      <c r="BI541" s="301"/>
      <c r="BJ541" s="354">
        <f t="shared" si="65"/>
        <v>3</v>
      </c>
      <c r="BK541" s="316" t="str">
        <f t="shared" si="64"/>
        <v>Habilitado</v>
      </c>
    </row>
    <row r="542" spans="1:63" ht="76.5" x14ac:dyDescent="0.25">
      <c r="A542" s="324">
        <v>540</v>
      </c>
      <c r="B542" s="345" t="s">
        <v>2782</v>
      </c>
      <c r="C542" s="335" t="s">
        <v>2771</v>
      </c>
      <c r="D542" s="360" t="s">
        <v>140</v>
      </c>
      <c r="E542" s="347">
        <v>1</v>
      </c>
      <c r="F542" s="314" t="s">
        <v>510</v>
      </c>
      <c r="G542" s="314" t="s">
        <v>510</v>
      </c>
      <c r="H542" s="314" t="s">
        <v>510</v>
      </c>
      <c r="I542" s="314" t="s">
        <v>510</v>
      </c>
      <c r="J542" s="314">
        <v>40</v>
      </c>
      <c r="K542" s="29">
        <f t="shared" si="66"/>
        <v>40</v>
      </c>
      <c r="L542" s="314" t="s">
        <v>504</v>
      </c>
      <c r="M542" s="314"/>
      <c r="N542" s="314"/>
      <c r="O542" s="314"/>
      <c r="P542" s="314"/>
      <c r="Q542" s="314"/>
      <c r="R542" s="314"/>
      <c r="S542" s="314"/>
      <c r="T542" s="314"/>
      <c r="U542" s="314"/>
      <c r="V542" s="350" t="s">
        <v>510</v>
      </c>
      <c r="W542" s="350" t="s">
        <v>519</v>
      </c>
      <c r="X542" s="350" t="s">
        <v>510</v>
      </c>
      <c r="Y542" s="350" t="s">
        <v>510</v>
      </c>
      <c r="Z542" s="304">
        <v>0</v>
      </c>
      <c r="AA542" s="350">
        <f t="shared" si="67"/>
        <v>0</v>
      </c>
      <c r="AB542" s="307" t="s">
        <v>520</v>
      </c>
      <c r="AC542" s="304" t="s">
        <v>2779</v>
      </c>
      <c r="AD542" s="303"/>
      <c r="AE542" s="303"/>
      <c r="AF542" s="303"/>
      <c r="AG542" s="303"/>
      <c r="AH542" s="314"/>
      <c r="AI542" s="297">
        <f t="shared" si="68"/>
        <v>0</v>
      </c>
      <c r="AJ542" s="303"/>
      <c r="AK542" s="303"/>
      <c r="AL542" s="303"/>
      <c r="AM542" s="303"/>
      <c r="AN542" s="303"/>
      <c r="AO542" s="303"/>
      <c r="AP542" s="303"/>
      <c r="AQ542" s="289">
        <f t="shared" si="69"/>
        <v>0</v>
      </c>
      <c r="AR542" s="303"/>
      <c r="AS542" s="303"/>
      <c r="AT542" s="303" t="s">
        <v>510</v>
      </c>
      <c r="AU542" s="303" t="s">
        <v>510</v>
      </c>
      <c r="AV542" s="303" t="s">
        <v>510</v>
      </c>
      <c r="AW542" s="303" t="s">
        <v>510</v>
      </c>
      <c r="AX542" s="303">
        <v>40</v>
      </c>
      <c r="AY542" s="139">
        <f t="shared" si="70"/>
        <v>40</v>
      </c>
      <c r="AZ542" s="303" t="s">
        <v>504</v>
      </c>
      <c r="BA542" s="301"/>
      <c r="BB542" s="303"/>
      <c r="BC542" s="303"/>
      <c r="BD542" s="303"/>
      <c r="BE542" s="303"/>
      <c r="BF542" s="303"/>
      <c r="BG542" s="353">
        <f t="shared" si="71"/>
        <v>0</v>
      </c>
      <c r="BH542" s="303"/>
      <c r="BI542" s="303"/>
      <c r="BJ542" s="354">
        <f t="shared" si="65"/>
        <v>2</v>
      </c>
      <c r="BK542" s="316" t="str">
        <f t="shared" si="64"/>
        <v>Habilitado</v>
      </c>
    </row>
    <row r="543" spans="1:63" ht="38.25" x14ac:dyDescent="0.25">
      <c r="A543" s="324">
        <v>541</v>
      </c>
      <c r="B543" s="325" t="s">
        <v>2783</v>
      </c>
      <c r="C543" s="325" t="s">
        <v>2784</v>
      </c>
      <c r="D543" s="325" t="s">
        <v>140</v>
      </c>
      <c r="E543" s="362">
        <v>1</v>
      </c>
      <c r="F543" s="406"/>
      <c r="G543" s="406"/>
      <c r="H543" s="406"/>
      <c r="I543" s="406"/>
      <c r="J543" s="406"/>
      <c r="K543" s="29">
        <f t="shared" si="66"/>
        <v>0</v>
      </c>
      <c r="L543" s="406"/>
      <c r="M543" s="406" t="s">
        <v>551</v>
      </c>
      <c r="N543" s="406"/>
      <c r="O543" s="406"/>
      <c r="P543" s="406"/>
      <c r="Q543" s="406"/>
      <c r="R543" s="406"/>
      <c r="S543" s="406"/>
      <c r="T543" s="406"/>
      <c r="U543" s="406"/>
      <c r="V543" s="350"/>
      <c r="W543" s="350"/>
      <c r="X543" s="350"/>
      <c r="Y543" s="350"/>
      <c r="Z543" s="307"/>
      <c r="AA543" s="350">
        <f t="shared" si="67"/>
        <v>0</v>
      </c>
      <c r="AB543" s="307"/>
      <c r="AC543" s="307"/>
      <c r="AD543" s="304"/>
      <c r="AE543" s="304"/>
      <c r="AF543" s="304"/>
      <c r="AG543" s="304"/>
      <c r="AH543" s="326"/>
      <c r="AI543" s="297">
        <f t="shared" si="68"/>
        <v>0</v>
      </c>
      <c r="AJ543" s="304"/>
      <c r="AK543" s="304"/>
      <c r="AL543" s="304"/>
      <c r="AM543" s="304"/>
      <c r="AN543" s="304"/>
      <c r="AO543" s="304"/>
      <c r="AP543" s="304"/>
      <c r="AQ543" s="289">
        <f t="shared" si="69"/>
        <v>0</v>
      </c>
      <c r="AR543" s="304"/>
      <c r="AS543" s="304"/>
      <c r="AT543" s="325"/>
      <c r="AU543" s="325"/>
      <c r="AV543" s="325"/>
      <c r="AW543" s="325"/>
      <c r="AX543" s="329"/>
      <c r="AY543" s="139">
        <f t="shared" si="70"/>
        <v>0</v>
      </c>
      <c r="AZ543" s="304"/>
      <c r="BA543" s="304"/>
      <c r="BB543" s="303"/>
      <c r="BC543" s="303"/>
      <c r="BD543" s="303"/>
      <c r="BE543" s="303"/>
      <c r="BF543" s="303"/>
      <c r="BG543" s="353">
        <f t="shared" si="71"/>
        <v>0</v>
      </c>
      <c r="BH543" s="303"/>
      <c r="BI543" s="303"/>
      <c r="BJ543" s="354">
        <f t="shared" si="65"/>
        <v>0</v>
      </c>
      <c r="BK543" s="316" t="str">
        <f t="shared" si="64"/>
        <v>Desierto</v>
      </c>
    </row>
    <row r="544" spans="1:63" ht="25.5" x14ac:dyDescent="0.25">
      <c r="A544" s="324">
        <v>542</v>
      </c>
      <c r="B544" s="345" t="s">
        <v>2785</v>
      </c>
      <c r="C544" s="335" t="s">
        <v>518</v>
      </c>
      <c r="D544" s="357" t="s">
        <v>1061</v>
      </c>
      <c r="E544" s="347">
        <v>1</v>
      </c>
      <c r="F544" s="314" t="s">
        <v>510</v>
      </c>
      <c r="G544" s="314" t="s">
        <v>510</v>
      </c>
      <c r="H544" s="314" t="s">
        <v>510</v>
      </c>
      <c r="I544" s="314" t="s">
        <v>510</v>
      </c>
      <c r="J544" s="314">
        <v>40</v>
      </c>
      <c r="K544" s="29">
        <f t="shared" si="66"/>
        <v>40</v>
      </c>
      <c r="L544" s="314" t="s">
        <v>504</v>
      </c>
      <c r="M544" s="314"/>
      <c r="N544" s="314"/>
      <c r="O544" s="314"/>
      <c r="P544" s="314"/>
      <c r="Q544" s="314"/>
      <c r="R544" s="314"/>
      <c r="S544" s="314"/>
      <c r="T544" s="314"/>
      <c r="U544" s="314"/>
      <c r="V544" s="350"/>
      <c r="W544" s="350"/>
      <c r="X544" s="350"/>
      <c r="Y544" s="350"/>
      <c r="Z544" s="307"/>
      <c r="AA544" s="350">
        <f t="shared" si="67"/>
        <v>0</v>
      </c>
      <c r="AB544" s="307"/>
      <c r="AC544" s="303"/>
      <c r="AD544" s="303"/>
      <c r="AE544" s="303"/>
      <c r="AF544" s="303"/>
      <c r="AG544" s="303"/>
      <c r="AH544" s="314"/>
      <c r="AI544" s="297">
        <f t="shared" si="68"/>
        <v>0</v>
      </c>
      <c r="AJ544" s="303"/>
      <c r="AK544" s="303"/>
      <c r="AL544" s="303"/>
      <c r="AM544" s="303"/>
      <c r="AN544" s="303"/>
      <c r="AO544" s="303"/>
      <c r="AP544" s="303"/>
      <c r="AQ544" s="289">
        <f t="shared" si="69"/>
        <v>0</v>
      </c>
      <c r="AR544" s="303"/>
      <c r="AS544" s="303"/>
      <c r="AT544" s="329"/>
      <c r="AU544" s="329"/>
      <c r="AV544" s="329"/>
      <c r="AW544" s="329"/>
      <c r="AX544" s="329"/>
      <c r="AY544" s="139">
        <f t="shared" si="70"/>
        <v>0</v>
      </c>
      <c r="AZ544" s="303"/>
      <c r="BA544" s="303"/>
      <c r="BB544" s="303"/>
      <c r="BC544" s="303"/>
      <c r="BD544" s="303"/>
      <c r="BE544" s="303"/>
      <c r="BF544" s="303"/>
      <c r="BG544" s="353">
        <f t="shared" si="71"/>
        <v>0</v>
      </c>
      <c r="BH544" s="303"/>
      <c r="BI544" s="303"/>
      <c r="BJ544" s="354">
        <f t="shared" si="65"/>
        <v>1</v>
      </c>
      <c r="BK544" s="316" t="str">
        <f t="shared" ref="BK544:BK565" si="72">IF(BJ544&gt;=1,"Habilitado","Desierto")</f>
        <v>Habilitado</v>
      </c>
    </row>
    <row r="545" spans="1:63" ht="38.25" x14ac:dyDescent="0.25">
      <c r="A545" s="324">
        <v>543</v>
      </c>
      <c r="B545" s="345" t="s">
        <v>2786</v>
      </c>
      <c r="C545" s="357" t="s">
        <v>845</v>
      </c>
      <c r="D545" s="360" t="s">
        <v>1061</v>
      </c>
      <c r="E545" s="347">
        <v>1</v>
      </c>
      <c r="F545" s="314" t="s">
        <v>510</v>
      </c>
      <c r="G545" s="314" t="s">
        <v>510</v>
      </c>
      <c r="H545" s="314" t="s">
        <v>510</v>
      </c>
      <c r="I545" s="314" t="s">
        <v>510</v>
      </c>
      <c r="J545" s="314">
        <v>40</v>
      </c>
      <c r="K545" s="29">
        <f t="shared" si="66"/>
        <v>40</v>
      </c>
      <c r="L545" s="314" t="s">
        <v>504</v>
      </c>
      <c r="M545" s="314"/>
      <c r="N545" s="314"/>
      <c r="O545" s="314"/>
      <c r="P545" s="314"/>
      <c r="Q545" s="314"/>
      <c r="R545" s="314"/>
      <c r="S545" s="314"/>
      <c r="T545" s="314"/>
      <c r="U545" s="314"/>
      <c r="V545" s="350"/>
      <c r="W545" s="350"/>
      <c r="X545" s="350"/>
      <c r="Y545" s="350"/>
      <c r="Z545" s="307"/>
      <c r="AA545" s="350">
        <f t="shared" si="67"/>
        <v>0</v>
      </c>
      <c r="AB545" s="307"/>
      <c r="AC545" s="307"/>
      <c r="AD545" s="303"/>
      <c r="AE545" s="303"/>
      <c r="AF545" s="303"/>
      <c r="AG545" s="303"/>
      <c r="AH545" s="314"/>
      <c r="AI545" s="297">
        <f t="shared" si="68"/>
        <v>0</v>
      </c>
      <c r="AJ545" s="303"/>
      <c r="AK545" s="303"/>
      <c r="AL545" s="303"/>
      <c r="AM545" s="303"/>
      <c r="AN545" s="303"/>
      <c r="AO545" s="303"/>
      <c r="AP545" s="303"/>
      <c r="AQ545" s="289">
        <f t="shared" si="69"/>
        <v>0</v>
      </c>
      <c r="AR545" s="303"/>
      <c r="AS545" s="303"/>
      <c r="AT545" s="329"/>
      <c r="AU545" s="329"/>
      <c r="AV545" s="329"/>
      <c r="AW545" s="329"/>
      <c r="AX545" s="329"/>
      <c r="AY545" s="139">
        <f t="shared" si="70"/>
        <v>0</v>
      </c>
      <c r="AZ545" s="303"/>
      <c r="BA545" s="303"/>
      <c r="BB545" s="303"/>
      <c r="BC545" s="303"/>
      <c r="BD545" s="303"/>
      <c r="BE545" s="303"/>
      <c r="BF545" s="303"/>
      <c r="BG545" s="353">
        <f t="shared" si="71"/>
        <v>0</v>
      </c>
      <c r="BH545" s="303"/>
      <c r="BI545" s="303"/>
      <c r="BJ545" s="354">
        <f t="shared" si="65"/>
        <v>1</v>
      </c>
      <c r="BK545" s="316" t="str">
        <f t="shared" si="72"/>
        <v>Habilitado</v>
      </c>
    </row>
    <row r="546" spans="1:63" ht="25.5" x14ac:dyDescent="0.25">
      <c r="A546" s="324">
        <v>544</v>
      </c>
      <c r="B546" s="345" t="s">
        <v>2787</v>
      </c>
      <c r="C546" s="335" t="s">
        <v>518</v>
      </c>
      <c r="D546" s="360" t="s">
        <v>2788</v>
      </c>
      <c r="E546" s="347">
        <v>1</v>
      </c>
      <c r="F546" s="314"/>
      <c r="G546" s="314"/>
      <c r="H546" s="314"/>
      <c r="I546" s="314"/>
      <c r="J546" s="314"/>
      <c r="K546" s="29">
        <f t="shared" si="66"/>
        <v>0</v>
      </c>
      <c r="L546" s="314"/>
      <c r="M546" s="314"/>
      <c r="N546" s="314"/>
      <c r="O546" s="314"/>
      <c r="P546" s="314"/>
      <c r="Q546" s="314"/>
      <c r="R546" s="314"/>
      <c r="S546" s="314"/>
      <c r="T546" s="314"/>
      <c r="U546" s="314"/>
      <c r="V546" s="350"/>
      <c r="W546" s="350"/>
      <c r="X546" s="350"/>
      <c r="Y546" s="350"/>
      <c r="Z546" s="307"/>
      <c r="AA546" s="350">
        <f t="shared" si="67"/>
        <v>0</v>
      </c>
      <c r="AB546" s="307"/>
      <c r="AC546" s="307"/>
      <c r="AD546" s="303"/>
      <c r="AE546" s="303"/>
      <c r="AF546" s="303"/>
      <c r="AG546" s="303"/>
      <c r="AH546" s="314"/>
      <c r="AI546" s="297">
        <f t="shared" si="68"/>
        <v>0</v>
      </c>
      <c r="AJ546" s="303"/>
      <c r="AK546" s="303"/>
      <c r="AL546" s="303"/>
      <c r="AM546" s="303"/>
      <c r="AN546" s="303"/>
      <c r="AO546" s="303"/>
      <c r="AP546" s="303"/>
      <c r="AQ546" s="289">
        <f t="shared" si="69"/>
        <v>0</v>
      </c>
      <c r="AR546" s="303"/>
      <c r="AS546" s="303"/>
      <c r="AT546" s="329"/>
      <c r="AU546" s="329"/>
      <c r="AV546" s="329"/>
      <c r="AW546" s="329"/>
      <c r="AX546" s="329"/>
      <c r="AY546" s="139">
        <f t="shared" si="70"/>
        <v>0</v>
      </c>
      <c r="AZ546" s="303"/>
      <c r="BA546" s="303"/>
      <c r="BB546" s="304"/>
      <c r="BC546" s="304"/>
      <c r="BD546" s="304"/>
      <c r="BE546" s="304"/>
      <c r="BF546" s="304"/>
      <c r="BG546" s="353">
        <f t="shared" si="71"/>
        <v>0</v>
      </c>
      <c r="BH546" s="304"/>
      <c r="BI546" s="304"/>
      <c r="BJ546" s="354">
        <f t="shared" si="65"/>
        <v>0</v>
      </c>
      <c r="BK546" s="316" t="str">
        <f t="shared" si="72"/>
        <v>Desierto</v>
      </c>
    </row>
    <row r="547" spans="1:63" x14ac:dyDescent="0.25">
      <c r="A547" s="324">
        <v>545</v>
      </c>
      <c r="B547" s="345" t="s">
        <v>2789</v>
      </c>
      <c r="C547" s="335" t="s">
        <v>518</v>
      </c>
      <c r="D547" s="360" t="s">
        <v>140</v>
      </c>
      <c r="E547" s="347">
        <v>1</v>
      </c>
      <c r="F547" s="314" t="s">
        <v>510</v>
      </c>
      <c r="G547" s="314" t="s">
        <v>510</v>
      </c>
      <c r="H547" s="314" t="s">
        <v>510</v>
      </c>
      <c r="I547" s="314" t="s">
        <v>510</v>
      </c>
      <c r="J547" s="314">
        <v>40</v>
      </c>
      <c r="K547" s="29">
        <f t="shared" si="66"/>
        <v>40</v>
      </c>
      <c r="L547" s="314" t="s">
        <v>504</v>
      </c>
      <c r="M547" s="314"/>
      <c r="N547" s="314"/>
      <c r="O547" s="314"/>
      <c r="P547" s="314"/>
      <c r="Q547" s="314"/>
      <c r="R547" s="314"/>
      <c r="S547" s="314"/>
      <c r="T547" s="314"/>
      <c r="U547" s="314"/>
      <c r="V547" s="350" t="s">
        <v>510</v>
      </c>
      <c r="W547" s="350" t="s">
        <v>510</v>
      </c>
      <c r="X547" s="350" t="s">
        <v>510</v>
      </c>
      <c r="Y547" s="350" t="s">
        <v>510</v>
      </c>
      <c r="Z547" s="304">
        <v>20</v>
      </c>
      <c r="AA547" s="350">
        <f t="shared" si="67"/>
        <v>20</v>
      </c>
      <c r="AB547" s="307" t="s">
        <v>504</v>
      </c>
      <c r="AC547" s="306"/>
      <c r="AD547" s="303"/>
      <c r="AE547" s="303"/>
      <c r="AF547" s="303"/>
      <c r="AG547" s="303"/>
      <c r="AH547" s="314"/>
      <c r="AI547" s="297">
        <f t="shared" si="68"/>
        <v>0</v>
      </c>
      <c r="AJ547" s="303"/>
      <c r="AK547" s="303"/>
      <c r="AL547" s="303"/>
      <c r="AM547" s="303"/>
      <c r="AN547" s="303"/>
      <c r="AO547" s="303"/>
      <c r="AP547" s="303"/>
      <c r="AQ547" s="289">
        <f t="shared" si="69"/>
        <v>0</v>
      </c>
      <c r="AR547" s="303"/>
      <c r="AS547" s="303"/>
      <c r="AT547" s="329"/>
      <c r="AU547" s="329"/>
      <c r="AV547" s="329"/>
      <c r="AW547" s="329"/>
      <c r="AX547" s="329"/>
      <c r="AY547" s="139">
        <f t="shared" si="70"/>
        <v>0</v>
      </c>
      <c r="AZ547" s="303"/>
      <c r="BA547" s="303"/>
      <c r="BB547" s="303"/>
      <c r="BC547" s="303"/>
      <c r="BD547" s="303"/>
      <c r="BE547" s="303"/>
      <c r="BF547" s="303"/>
      <c r="BG547" s="353">
        <f t="shared" si="71"/>
        <v>0</v>
      </c>
      <c r="BH547" s="303"/>
      <c r="BI547" s="303"/>
      <c r="BJ547" s="354">
        <f t="shared" si="65"/>
        <v>2</v>
      </c>
      <c r="BK547" s="316" t="str">
        <f t="shared" si="72"/>
        <v>Habilitado</v>
      </c>
    </row>
    <row r="548" spans="1:63" x14ac:dyDescent="0.25">
      <c r="A548" s="324">
        <v>546</v>
      </c>
      <c r="B548" s="345" t="s">
        <v>2790</v>
      </c>
      <c r="C548" s="335" t="s">
        <v>1646</v>
      </c>
      <c r="D548" s="360" t="s">
        <v>2791</v>
      </c>
      <c r="E548" s="347">
        <v>1</v>
      </c>
      <c r="F548" s="314" t="s">
        <v>510</v>
      </c>
      <c r="G548" s="314" t="s">
        <v>510</v>
      </c>
      <c r="H548" s="314" t="s">
        <v>511</v>
      </c>
      <c r="I548" s="314" t="s">
        <v>510</v>
      </c>
      <c r="J548" s="314">
        <v>40</v>
      </c>
      <c r="K548" s="29">
        <f t="shared" si="66"/>
        <v>40</v>
      </c>
      <c r="L548" s="314" t="s">
        <v>504</v>
      </c>
      <c r="M548" s="314"/>
      <c r="N548" s="314"/>
      <c r="O548" s="314"/>
      <c r="P548" s="314"/>
      <c r="Q548" s="314"/>
      <c r="R548" s="314"/>
      <c r="S548" s="314"/>
      <c r="T548" s="314"/>
      <c r="U548" s="314"/>
      <c r="V548" s="350"/>
      <c r="W548" s="350"/>
      <c r="X548" s="350"/>
      <c r="Y548" s="350"/>
      <c r="Z548" s="307"/>
      <c r="AA548" s="350">
        <f t="shared" si="67"/>
        <v>0</v>
      </c>
      <c r="AB548" s="307"/>
      <c r="AC548" s="307"/>
      <c r="AD548" s="303"/>
      <c r="AE548" s="303"/>
      <c r="AF548" s="303"/>
      <c r="AG548" s="303"/>
      <c r="AH548" s="314"/>
      <c r="AI548" s="297">
        <f t="shared" si="68"/>
        <v>0</v>
      </c>
      <c r="AJ548" s="303"/>
      <c r="AK548" s="303"/>
      <c r="AL548" s="303"/>
      <c r="AM548" s="303"/>
      <c r="AN548" s="303"/>
      <c r="AO548" s="303"/>
      <c r="AP548" s="303"/>
      <c r="AQ548" s="289">
        <f t="shared" si="69"/>
        <v>0</v>
      </c>
      <c r="AR548" s="303"/>
      <c r="AS548" s="303"/>
      <c r="AT548" s="329"/>
      <c r="AU548" s="329"/>
      <c r="AV548" s="329"/>
      <c r="AW548" s="329"/>
      <c r="AX548" s="329"/>
      <c r="AY548" s="139">
        <f t="shared" si="70"/>
        <v>0</v>
      </c>
      <c r="AZ548" s="303"/>
      <c r="BA548" s="303"/>
      <c r="BB548" s="303"/>
      <c r="BC548" s="303"/>
      <c r="BD548" s="303"/>
      <c r="BE548" s="303"/>
      <c r="BF548" s="303"/>
      <c r="BG548" s="353">
        <f t="shared" si="71"/>
        <v>0</v>
      </c>
      <c r="BH548" s="303"/>
      <c r="BI548" s="303"/>
      <c r="BJ548" s="354">
        <f t="shared" si="65"/>
        <v>1</v>
      </c>
      <c r="BK548" s="316" t="str">
        <f t="shared" si="72"/>
        <v>Habilitado</v>
      </c>
    </row>
    <row r="549" spans="1:63" ht="38.25" x14ac:dyDescent="0.25">
      <c r="A549" s="324">
        <v>547</v>
      </c>
      <c r="B549" s="345" t="s">
        <v>2792</v>
      </c>
      <c r="C549" s="335" t="s">
        <v>518</v>
      </c>
      <c r="D549" s="357" t="s">
        <v>2793</v>
      </c>
      <c r="E549" s="347">
        <v>1</v>
      </c>
      <c r="F549" s="314" t="s">
        <v>510</v>
      </c>
      <c r="G549" s="314" t="s">
        <v>510</v>
      </c>
      <c r="H549" s="314" t="s">
        <v>511</v>
      </c>
      <c r="I549" s="314" t="s">
        <v>510</v>
      </c>
      <c r="J549" s="314">
        <v>40</v>
      </c>
      <c r="K549" s="29">
        <f t="shared" si="66"/>
        <v>40</v>
      </c>
      <c r="L549" s="314" t="s">
        <v>504</v>
      </c>
      <c r="M549" s="314"/>
      <c r="N549" s="314"/>
      <c r="O549" s="314"/>
      <c r="P549" s="314"/>
      <c r="Q549" s="314"/>
      <c r="R549" s="314"/>
      <c r="S549" s="314"/>
      <c r="T549" s="314"/>
      <c r="U549" s="314"/>
      <c r="V549" s="350"/>
      <c r="W549" s="350"/>
      <c r="X549" s="350"/>
      <c r="Y549" s="350"/>
      <c r="Z549" s="307"/>
      <c r="AA549" s="350">
        <f t="shared" si="67"/>
        <v>0</v>
      </c>
      <c r="AB549" s="307"/>
      <c r="AC549" s="307"/>
      <c r="AD549" s="303"/>
      <c r="AE549" s="303"/>
      <c r="AF549" s="303"/>
      <c r="AG549" s="303"/>
      <c r="AH549" s="314"/>
      <c r="AI549" s="297">
        <f t="shared" si="68"/>
        <v>0</v>
      </c>
      <c r="AJ549" s="303"/>
      <c r="AK549" s="303"/>
      <c r="AL549" s="303"/>
      <c r="AM549" s="303"/>
      <c r="AN549" s="303"/>
      <c r="AO549" s="303"/>
      <c r="AP549" s="303"/>
      <c r="AQ549" s="289">
        <f t="shared" si="69"/>
        <v>0</v>
      </c>
      <c r="AR549" s="303"/>
      <c r="AS549" s="303"/>
      <c r="AT549" s="329"/>
      <c r="AU549" s="329"/>
      <c r="AV549" s="329"/>
      <c r="AW549" s="329"/>
      <c r="AX549" s="329"/>
      <c r="AY549" s="139">
        <f t="shared" si="70"/>
        <v>0</v>
      </c>
      <c r="AZ549" s="303"/>
      <c r="BA549" s="303"/>
      <c r="BB549" s="303"/>
      <c r="BC549" s="303"/>
      <c r="BD549" s="303"/>
      <c r="BE549" s="303"/>
      <c r="BF549" s="303"/>
      <c r="BG549" s="353">
        <f t="shared" si="71"/>
        <v>0</v>
      </c>
      <c r="BH549" s="303"/>
      <c r="BI549" s="303"/>
      <c r="BJ549" s="354">
        <f t="shared" si="65"/>
        <v>1</v>
      </c>
      <c r="BK549" s="316" t="str">
        <f t="shared" si="72"/>
        <v>Habilitado</v>
      </c>
    </row>
    <row r="550" spans="1:63" ht="38.25" x14ac:dyDescent="0.25">
      <c r="A550" s="324">
        <v>548</v>
      </c>
      <c r="B550" s="345" t="s">
        <v>2794</v>
      </c>
      <c r="C550" s="335" t="s">
        <v>518</v>
      </c>
      <c r="D550" s="357" t="s">
        <v>2793</v>
      </c>
      <c r="E550" s="347">
        <v>1</v>
      </c>
      <c r="F550" s="314" t="s">
        <v>510</v>
      </c>
      <c r="G550" s="314" t="s">
        <v>510</v>
      </c>
      <c r="H550" s="314" t="s">
        <v>511</v>
      </c>
      <c r="I550" s="314" t="s">
        <v>510</v>
      </c>
      <c r="J550" s="314">
        <v>40</v>
      </c>
      <c r="K550" s="29">
        <f t="shared" si="66"/>
        <v>40</v>
      </c>
      <c r="L550" s="314" t="s">
        <v>504</v>
      </c>
      <c r="M550" s="314"/>
      <c r="N550" s="314"/>
      <c r="O550" s="314"/>
      <c r="P550" s="314"/>
      <c r="Q550" s="314"/>
      <c r="R550" s="314"/>
      <c r="S550" s="314"/>
      <c r="T550" s="314"/>
      <c r="U550" s="314"/>
      <c r="V550" s="350"/>
      <c r="W550" s="350"/>
      <c r="X550" s="350"/>
      <c r="Y550" s="350"/>
      <c r="Z550" s="307"/>
      <c r="AA550" s="350">
        <f t="shared" si="67"/>
        <v>0</v>
      </c>
      <c r="AB550" s="307"/>
      <c r="AC550" s="307"/>
      <c r="AD550" s="303"/>
      <c r="AE550" s="303"/>
      <c r="AF550" s="303"/>
      <c r="AG550" s="303"/>
      <c r="AH550" s="314"/>
      <c r="AI550" s="297">
        <f t="shared" si="68"/>
        <v>0</v>
      </c>
      <c r="AJ550" s="303"/>
      <c r="AK550" s="303"/>
      <c r="AL550" s="303"/>
      <c r="AM550" s="303"/>
      <c r="AN550" s="303"/>
      <c r="AO550" s="303"/>
      <c r="AP550" s="303"/>
      <c r="AQ550" s="289">
        <f t="shared" si="69"/>
        <v>0</v>
      </c>
      <c r="AR550" s="314"/>
      <c r="AS550" s="314"/>
      <c r="AT550" s="329"/>
      <c r="AU550" s="329"/>
      <c r="AV550" s="329"/>
      <c r="AW550" s="329"/>
      <c r="AX550" s="329"/>
      <c r="AY550" s="139">
        <f t="shared" si="70"/>
        <v>0</v>
      </c>
      <c r="AZ550" s="303"/>
      <c r="BA550" s="303"/>
      <c r="BB550" s="303"/>
      <c r="BC550" s="303"/>
      <c r="BD550" s="303"/>
      <c r="BE550" s="303"/>
      <c r="BF550" s="303"/>
      <c r="BG550" s="353">
        <f t="shared" si="71"/>
        <v>0</v>
      </c>
      <c r="BH550" s="303"/>
      <c r="BI550" s="303"/>
      <c r="BJ550" s="354">
        <f t="shared" si="65"/>
        <v>1</v>
      </c>
      <c r="BK550" s="316" t="str">
        <f t="shared" si="72"/>
        <v>Habilitado</v>
      </c>
    </row>
    <row r="551" spans="1:63" ht="38.25" x14ac:dyDescent="0.25">
      <c r="A551" s="324">
        <v>549</v>
      </c>
      <c r="B551" s="345" t="s">
        <v>2795</v>
      </c>
      <c r="C551" s="335" t="s">
        <v>518</v>
      </c>
      <c r="D551" s="357" t="s">
        <v>2793</v>
      </c>
      <c r="E551" s="347">
        <v>1</v>
      </c>
      <c r="F551" s="314" t="s">
        <v>510</v>
      </c>
      <c r="G551" s="314" t="s">
        <v>510</v>
      </c>
      <c r="H551" s="314" t="s">
        <v>511</v>
      </c>
      <c r="I551" s="314" t="s">
        <v>510</v>
      </c>
      <c r="J551" s="314">
        <v>40</v>
      </c>
      <c r="K551" s="29">
        <f t="shared" si="66"/>
        <v>40</v>
      </c>
      <c r="L551" s="314" t="s">
        <v>504</v>
      </c>
      <c r="M551" s="314"/>
      <c r="N551" s="314"/>
      <c r="O551" s="314"/>
      <c r="P551" s="314"/>
      <c r="Q551" s="314"/>
      <c r="R551" s="314"/>
      <c r="S551" s="314"/>
      <c r="T551" s="314"/>
      <c r="U551" s="314"/>
      <c r="V551" s="350"/>
      <c r="W551" s="350"/>
      <c r="X551" s="350"/>
      <c r="Y551" s="350"/>
      <c r="Z551" s="307"/>
      <c r="AA551" s="350">
        <f t="shared" si="67"/>
        <v>0</v>
      </c>
      <c r="AB551" s="307"/>
      <c r="AC551" s="307"/>
      <c r="AD551" s="303"/>
      <c r="AE551" s="303"/>
      <c r="AF551" s="303"/>
      <c r="AG551" s="303"/>
      <c r="AH551" s="314"/>
      <c r="AI551" s="297">
        <f t="shared" si="68"/>
        <v>0</v>
      </c>
      <c r="AJ551" s="303"/>
      <c r="AK551" s="303"/>
      <c r="AL551" s="303"/>
      <c r="AM551" s="303"/>
      <c r="AN551" s="303"/>
      <c r="AO551" s="303"/>
      <c r="AP551" s="303"/>
      <c r="AQ551" s="289">
        <f t="shared" si="69"/>
        <v>0</v>
      </c>
      <c r="AR551" s="314"/>
      <c r="AS551" s="314"/>
      <c r="AT551" s="329"/>
      <c r="AU551" s="329"/>
      <c r="AV551" s="329"/>
      <c r="AW551" s="329"/>
      <c r="AX551" s="329"/>
      <c r="AY551" s="139">
        <f t="shared" si="70"/>
        <v>0</v>
      </c>
      <c r="AZ551" s="303"/>
      <c r="BA551" s="303"/>
      <c r="BB551" s="303"/>
      <c r="BC551" s="303"/>
      <c r="BD551" s="303"/>
      <c r="BE551" s="303"/>
      <c r="BF551" s="303"/>
      <c r="BG551" s="353">
        <f t="shared" si="71"/>
        <v>0</v>
      </c>
      <c r="BH551" s="303"/>
      <c r="BI551" s="303"/>
      <c r="BJ551" s="354">
        <f t="shared" si="65"/>
        <v>1</v>
      </c>
      <c r="BK551" s="316" t="str">
        <f t="shared" si="72"/>
        <v>Habilitado</v>
      </c>
    </row>
    <row r="552" spans="1:63" ht="38.25" x14ac:dyDescent="0.25">
      <c r="A552" s="324">
        <v>550</v>
      </c>
      <c r="B552" s="345" t="s">
        <v>2796</v>
      </c>
      <c r="C552" s="357" t="s">
        <v>2746</v>
      </c>
      <c r="D552" s="360" t="s">
        <v>2797</v>
      </c>
      <c r="E552" s="347">
        <v>1</v>
      </c>
      <c r="F552" s="314" t="s">
        <v>510</v>
      </c>
      <c r="G552" s="314" t="s">
        <v>510</v>
      </c>
      <c r="H552" s="314" t="s">
        <v>510</v>
      </c>
      <c r="I552" s="314" t="s">
        <v>510</v>
      </c>
      <c r="J552" s="314">
        <v>40</v>
      </c>
      <c r="K552" s="29">
        <f t="shared" si="66"/>
        <v>40</v>
      </c>
      <c r="L552" s="314" t="s">
        <v>504</v>
      </c>
      <c r="M552" s="407"/>
      <c r="N552" s="407"/>
      <c r="O552" s="407"/>
      <c r="P552" s="407"/>
      <c r="Q552" s="407"/>
      <c r="R552" s="407"/>
      <c r="S552" s="407"/>
      <c r="T552" s="407"/>
      <c r="U552" s="407"/>
      <c r="V552" s="350"/>
      <c r="W552" s="350"/>
      <c r="X552" s="350"/>
      <c r="Y552" s="350"/>
      <c r="Z552" s="307"/>
      <c r="AA552" s="350">
        <f t="shared" si="67"/>
        <v>0</v>
      </c>
      <c r="AB552" s="307"/>
      <c r="AC552" s="307"/>
      <c r="AD552" s="303"/>
      <c r="AE552" s="303"/>
      <c r="AF552" s="303"/>
      <c r="AG552" s="303"/>
      <c r="AH552" s="314"/>
      <c r="AI552" s="297">
        <f t="shared" si="68"/>
        <v>0</v>
      </c>
      <c r="AJ552" s="303"/>
      <c r="AK552" s="303"/>
      <c r="AL552" s="303"/>
      <c r="AM552" s="303"/>
      <c r="AN552" s="303"/>
      <c r="AO552" s="303"/>
      <c r="AP552" s="303"/>
      <c r="AQ552" s="289">
        <f t="shared" si="69"/>
        <v>0</v>
      </c>
      <c r="AR552" s="314"/>
      <c r="AS552" s="314"/>
      <c r="AT552" s="329"/>
      <c r="AU552" s="329"/>
      <c r="AV552" s="329"/>
      <c r="AW552" s="329"/>
      <c r="AX552" s="329"/>
      <c r="AY552" s="139">
        <f t="shared" si="70"/>
        <v>0</v>
      </c>
      <c r="AZ552" s="303"/>
      <c r="BA552" s="303"/>
      <c r="BB552" s="303"/>
      <c r="BC552" s="303"/>
      <c r="BD552" s="303"/>
      <c r="BE552" s="303"/>
      <c r="BF552" s="303"/>
      <c r="BG552" s="353">
        <f t="shared" si="71"/>
        <v>0</v>
      </c>
      <c r="BH552" s="303"/>
      <c r="BI552" s="303"/>
      <c r="BJ552" s="354">
        <f t="shared" si="65"/>
        <v>1</v>
      </c>
      <c r="BK552" s="316" t="str">
        <f t="shared" si="72"/>
        <v>Habilitado</v>
      </c>
    </row>
    <row r="553" spans="1:63" ht="25.5" x14ac:dyDescent="0.25">
      <c r="A553" s="324">
        <v>551</v>
      </c>
      <c r="B553" s="345" t="s">
        <v>2798</v>
      </c>
      <c r="C553" s="335" t="s">
        <v>518</v>
      </c>
      <c r="D553" s="360" t="s">
        <v>375</v>
      </c>
      <c r="E553" s="347">
        <v>1</v>
      </c>
      <c r="F553" s="314"/>
      <c r="G553" s="314"/>
      <c r="H553" s="314"/>
      <c r="I553" s="314"/>
      <c r="J553" s="314"/>
      <c r="K553" s="29">
        <f t="shared" si="66"/>
        <v>0</v>
      </c>
      <c r="L553" s="314"/>
      <c r="M553" s="314"/>
      <c r="N553" s="314"/>
      <c r="O553" s="314"/>
      <c r="P553" s="314"/>
      <c r="Q553" s="314"/>
      <c r="R553" s="314"/>
      <c r="S553" s="314"/>
      <c r="T553" s="314"/>
      <c r="U553" s="314"/>
      <c r="V553" s="350"/>
      <c r="W553" s="350"/>
      <c r="X553" s="350"/>
      <c r="Y553" s="350"/>
      <c r="Z553" s="307"/>
      <c r="AA553" s="350">
        <f t="shared" si="67"/>
        <v>0</v>
      </c>
      <c r="AB553" s="307"/>
      <c r="AC553" s="307"/>
      <c r="AD553" s="303"/>
      <c r="AE553" s="303"/>
      <c r="AF553" s="303"/>
      <c r="AG553" s="303"/>
      <c r="AH553" s="314"/>
      <c r="AI553" s="297">
        <f t="shared" si="68"/>
        <v>0</v>
      </c>
      <c r="AJ553" s="303"/>
      <c r="AK553" s="303"/>
      <c r="AL553" s="303"/>
      <c r="AM553" s="303"/>
      <c r="AN553" s="303"/>
      <c r="AO553" s="303"/>
      <c r="AP553" s="303"/>
      <c r="AQ553" s="289">
        <f t="shared" si="69"/>
        <v>0</v>
      </c>
      <c r="AR553" s="314"/>
      <c r="AS553" s="314"/>
      <c r="AT553" s="329"/>
      <c r="AU553" s="329"/>
      <c r="AV553" s="329"/>
      <c r="AW553" s="329"/>
      <c r="AX553" s="329"/>
      <c r="AY553" s="139">
        <f t="shared" si="70"/>
        <v>0</v>
      </c>
      <c r="AZ553" s="303"/>
      <c r="BA553" s="303"/>
      <c r="BB553" s="303"/>
      <c r="BC553" s="303"/>
      <c r="BD553" s="303"/>
      <c r="BE553" s="303"/>
      <c r="BF553" s="303"/>
      <c r="BG553" s="353">
        <f t="shared" si="71"/>
        <v>0</v>
      </c>
      <c r="BH553" s="303"/>
      <c r="BI553" s="303"/>
      <c r="BJ553" s="354">
        <f t="shared" si="65"/>
        <v>0</v>
      </c>
      <c r="BK553" s="316" t="str">
        <f t="shared" si="72"/>
        <v>Desierto</v>
      </c>
    </row>
    <row r="554" spans="1:63" ht="102" x14ac:dyDescent="0.25">
      <c r="A554" s="324">
        <v>552</v>
      </c>
      <c r="B554" s="345" t="s">
        <v>2799</v>
      </c>
      <c r="C554" s="335" t="s">
        <v>518</v>
      </c>
      <c r="D554" s="360" t="s">
        <v>1819</v>
      </c>
      <c r="E554" s="347">
        <v>1</v>
      </c>
      <c r="F554" s="314" t="s">
        <v>510</v>
      </c>
      <c r="G554" s="314" t="s">
        <v>510</v>
      </c>
      <c r="H554" s="314" t="s">
        <v>510</v>
      </c>
      <c r="I554" s="314" t="s">
        <v>510</v>
      </c>
      <c r="J554" s="314">
        <v>40</v>
      </c>
      <c r="K554" s="29">
        <f t="shared" si="66"/>
        <v>40</v>
      </c>
      <c r="L554" s="314" t="s">
        <v>504</v>
      </c>
      <c r="M554" s="314"/>
      <c r="N554" s="314"/>
      <c r="O554" s="314"/>
      <c r="P554" s="314"/>
      <c r="Q554" s="314"/>
      <c r="R554" s="314"/>
      <c r="S554" s="314"/>
      <c r="T554" s="314"/>
      <c r="U554" s="314"/>
      <c r="V554" s="350"/>
      <c r="W554" s="350"/>
      <c r="X554" s="350"/>
      <c r="Y554" s="350"/>
      <c r="Z554" s="307"/>
      <c r="AA554" s="350">
        <f t="shared" si="67"/>
        <v>0</v>
      </c>
      <c r="AB554" s="307"/>
      <c r="AC554" s="307"/>
      <c r="AD554" s="303"/>
      <c r="AE554" s="303"/>
      <c r="AF554" s="303"/>
      <c r="AG554" s="303"/>
      <c r="AH554" s="314"/>
      <c r="AI554" s="297">
        <f t="shared" si="68"/>
        <v>0</v>
      </c>
      <c r="AJ554" s="303"/>
      <c r="AK554" s="303"/>
      <c r="AL554" s="303"/>
      <c r="AM554" s="303"/>
      <c r="AN554" s="303"/>
      <c r="AO554" s="303"/>
      <c r="AP554" s="303"/>
      <c r="AQ554" s="289">
        <f t="shared" si="69"/>
        <v>0</v>
      </c>
      <c r="AR554" s="303"/>
      <c r="AS554" s="303"/>
      <c r="AT554" s="329"/>
      <c r="AU554" s="329"/>
      <c r="AV554" s="329"/>
      <c r="AW554" s="329"/>
      <c r="AX554" s="329"/>
      <c r="AY554" s="139">
        <f t="shared" si="70"/>
        <v>0</v>
      </c>
      <c r="AZ554" s="303"/>
      <c r="BA554" s="303"/>
      <c r="BB554" s="303"/>
      <c r="BC554" s="303"/>
      <c r="BD554" s="303"/>
      <c r="BE554" s="303"/>
      <c r="BF554" s="303"/>
      <c r="BG554" s="353">
        <f t="shared" si="71"/>
        <v>0</v>
      </c>
      <c r="BH554" s="303"/>
      <c r="BI554" s="303"/>
      <c r="BJ554" s="354">
        <f t="shared" si="65"/>
        <v>1</v>
      </c>
      <c r="BK554" s="316" t="str">
        <f t="shared" si="72"/>
        <v>Habilitado</v>
      </c>
    </row>
    <row r="555" spans="1:63" ht="92.25" customHeight="1" x14ac:dyDescent="0.25">
      <c r="A555" s="324">
        <v>553</v>
      </c>
      <c r="B555" s="345" t="s">
        <v>2800</v>
      </c>
      <c r="C555" s="335" t="s">
        <v>518</v>
      </c>
      <c r="D555" s="360" t="s">
        <v>1819</v>
      </c>
      <c r="E555" s="347">
        <v>1</v>
      </c>
      <c r="F555" s="314" t="s">
        <v>510</v>
      </c>
      <c r="G555" s="314" t="s">
        <v>510</v>
      </c>
      <c r="H555" s="314" t="s">
        <v>510</v>
      </c>
      <c r="I555" s="314" t="s">
        <v>510</v>
      </c>
      <c r="J555" s="314">
        <v>40</v>
      </c>
      <c r="K555" s="29">
        <f t="shared" si="66"/>
        <v>40</v>
      </c>
      <c r="L555" s="314" t="s">
        <v>504</v>
      </c>
      <c r="M555" s="314"/>
      <c r="N555" s="314"/>
      <c r="O555" s="314"/>
      <c r="P555" s="314"/>
      <c r="Q555" s="314"/>
      <c r="R555" s="314"/>
      <c r="S555" s="314"/>
      <c r="T555" s="314"/>
      <c r="U555" s="314"/>
      <c r="V555" s="350"/>
      <c r="W555" s="350"/>
      <c r="X555" s="350"/>
      <c r="Y555" s="350"/>
      <c r="Z555" s="307"/>
      <c r="AA555" s="350">
        <f t="shared" si="67"/>
        <v>0</v>
      </c>
      <c r="AB555" s="307"/>
      <c r="AC555" s="307"/>
      <c r="AD555" s="303"/>
      <c r="AE555" s="303"/>
      <c r="AF555" s="303"/>
      <c r="AG555" s="303"/>
      <c r="AH555" s="314"/>
      <c r="AI555" s="297">
        <f t="shared" si="68"/>
        <v>0</v>
      </c>
      <c r="AJ555" s="303"/>
      <c r="AK555" s="303"/>
      <c r="AL555" s="303"/>
      <c r="AM555" s="303"/>
      <c r="AN555" s="303"/>
      <c r="AO555" s="303"/>
      <c r="AP555" s="303"/>
      <c r="AQ555" s="289">
        <f t="shared" si="69"/>
        <v>0</v>
      </c>
      <c r="AR555" s="303"/>
      <c r="AS555" s="303"/>
      <c r="AT555" s="329"/>
      <c r="AU555" s="329"/>
      <c r="AV555" s="329"/>
      <c r="AW555" s="329"/>
      <c r="AX555" s="329"/>
      <c r="AY555" s="139">
        <f t="shared" si="70"/>
        <v>0</v>
      </c>
      <c r="AZ555" s="303"/>
      <c r="BA555" s="303"/>
      <c r="BB555" s="303"/>
      <c r="BC555" s="303"/>
      <c r="BD555" s="303"/>
      <c r="BE555" s="303"/>
      <c r="BF555" s="303"/>
      <c r="BG555" s="353">
        <f t="shared" si="71"/>
        <v>0</v>
      </c>
      <c r="BH555" s="303"/>
      <c r="BI555" s="303"/>
      <c r="BJ555" s="354">
        <f t="shared" si="65"/>
        <v>1</v>
      </c>
      <c r="BK555" s="316" t="str">
        <f t="shared" si="72"/>
        <v>Habilitado</v>
      </c>
    </row>
    <row r="556" spans="1:63" ht="165.75" x14ac:dyDescent="0.25">
      <c r="A556" s="324">
        <v>554</v>
      </c>
      <c r="B556" s="345" t="s">
        <v>2801</v>
      </c>
      <c r="C556" s="335" t="s">
        <v>518</v>
      </c>
      <c r="D556" s="360" t="s">
        <v>140</v>
      </c>
      <c r="E556" s="347">
        <v>1</v>
      </c>
      <c r="F556" s="314"/>
      <c r="G556" s="314"/>
      <c r="H556" s="314"/>
      <c r="I556" s="314"/>
      <c r="J556" s="314"/>
      <c r="K556" s="29">
        <f t="shared" si="66"/>
        <v>0</v>
      </c>
      <c r="L556" s="314"/>
      <c r="M556" s="314"/>
      <c r="N556" s="314"/>
      <c r="O556" s="314"/>
      <c r="P556" s="314"/>
      <c r="Q556" s="314"/>
      <c r="R556" s="314"/>
      <c r="S556" s="314"/>
      <c r="T556" s="314"/>
      <c r="U556" s="314"/>
      <c r="V556" s="350"/>
      <c r="W556" s="350"/>
      <c r="X556" s="350"/>
      <c r="Y556" s="350"/>
      <c r="Z556" s="307"/>
      <c r="AA556" s="350">
        <f t="shared" si="67"/>
        <v>0</v>
      </c>
      <c r="AB556" s="307"/>
      <c r="AC556" s="307"/>
      <c r="AD556" s="303"/>
      <c r="AE556" s="303"/>
      <c r="AF556" s="303"/>
      <c r="AG556" s="303"/>
      <c r="AH556" s="314"/>
      <c r="AI556" s="297">
        <f t="shared" si="68"/>
        <v>0</v>
      </c>
      <c r="AJ556" s="303"/>
      <c r="AK556" s="303"/>
      <c r="AL556" s="303"/>
      <c r="AM556" s="303"/>
      <c r="AN556" s="303"/>
      <c r="AO556" s="303"/>
      <c r="AP556" s="303"/>
      <c r="AQ556" s="289">
        <f t="shared" si="69"/>
        <v>0</v>
      </c>
      <c r="AR556" s="314"/>
      <c r="AS556" s="314"/>
      <c r="AT556" s="329"/>
      <c r="AU556" s="329"/>
      <c r="AV556" s="329"/>
      <c r="AW556" s="329"/>
      <c r="AX556" s="329"/>
      <c r="AY556" s="139">
        <f t="shared" si="70"/>
        <v>0</v>
      </c>
      <c r="AZ556" s="303"/>
      <c r="BA556" s="303"/>
      <c r="BB556" s="304"/>
      <c r="BC556" s="304"/>
      <c r="BD556" s="304"/>
      <c r="BE556" s="304"/>
      <c r="BF556" s="304"/>
      <c r="BG556" s="353">
        <f t="shared" si="71"/>
        <v>0</v>
      </c>
      <c r="BH556" s="304"/>
      <c r="BI556" s="304"/>
      <c r="BJ556" s="354">
        <f t="shared" si="65"/>
        <v>0</v>
      </c>
      <c r="BK556" s="316" t="str">
        <f t="shared" si="72"/>
        <v>Desierto</v>
      </c>
    </row>
    <row r="557" spans="1:63" x14ac:dyDescent="0.25">
      <c r="A557" s="324">
        <v>555</v>
      </c>
      <c r="B557" s="345" t="s">
        <v>2802</v>
      </c>
      <c r="C557" s="357" t="s">
        <v>518</v>
      </c>
      <c r="D557" s="360" t="s">
        <v>1848</v>
      </c>
      <c r="E557" s="347">
        <v>1</v>
      </c>
      <c r="F557" s="314"/>
      <c r="G557" s="314"/>
      <c r="H557" s="314"/>
      <c r="I557" s="314"/>
      <c r="J557" s="314"/>
      <c r="K557" s="29">
        <f t="shared" si="66"/>
        <v>0</v>
      </c>
      <c r="L557" s="314"/>
      <c r="M557" s="314"/>
      <c r="N557" s="314"/>
      <c r="O557" s="314"/>
      <c r="P557" s="314"/>
      <c r="Q557" s="314"/>
      <c r="R557" s="314"/>
      <c r="S557" s="314"/>
      <c r="T557" s="314"/>
      <c r="U557" s="314"/>
      <c r="V557" s="350"/>
      <c r="W557" s="350"/>
      <c r="X557" s="350"/>
      <c r="Y557" s="350"/>
      <c r="Z557" s="307"/>
      <c r="AA557" s="350">
        <f t="shared" si="67"/>
        <v>0</v>
      </c>
      <c r="AB557" s="307"/>
      <c r="AC557" s="307"/>
      <c r="AD557" s="303"/>
      <c r="AE557" s="303"/>
      <c r="AF557" s="303"/>
      <c r="AG557" s="303"/>
      <c r="AH557" s="314"/>
      <c r="AI557" s="297">
        <f t="shared" si="68"/>
        <v>0</v>
      </c>
      <c r="AJ557" s="303"/>
      <c r="AK557" s="303"/>
      <c r="AL557" s="303"/>
      <c r="AM557" s="303"/>
      <c r="AN557" s="303"/>
      <c r="AO557" s="303"/>
      <c r="AP557" s="303"/>
      <c r="AQ557" s="289">
        <f t="shared" si="69"/>
        <v>0</v>
      </c>
      <c r="AR557" s="303"/>
      <c r="AS557" s="303"/>
      <c r="AT557" s="329"/>
      <c r="AU557" s="329"/>
      <c r="AV557" s="329"/>
      <c r="AW557" s="329"/>
      <c r="AX557" s="329"/>
      <c r="AY557" s="139">
        <f t="shared" si="70"/>
        <v>0</v>
      </c>
      <c r="AZ557" s="303"/>
      <c r="BA557" s="303"/>
      <c r="BB557" s="303"/>
      <c r="BC557" s="303"/>
      <c r="BD557" s="303"/>
      <c r="BE557" s="303"/>
      <c r="BF557" s="303"/>
      <c r="BG557" s="353">
        <f t="shared" si="71"/>
        <v>0</v>
      </c>
      <c r="BH557" s="303"/>
      <c r="BI557" s="303"/>
      <c r="BJ557" s="354">
        <f t="shared" si="65"/>
        <v>0</v>
      </c>
      <c r="BK557" s="316" t="str">
        <f t="shared" si="72"/>
        <v>Desierto</v>
      </c>
    </row>
    <row r="558" spans="1:63" ht="21" customHeight="1" x14ac:dyDescent="0.25">
      <c r="A558" s="324">
        <v>556</v>
      </c>
      <c r="B558" s="345" t="s">
        <v>2803</v>
      </c>
      <c r="C558" s="357" t="s">
        <v>1887</v>
      </c>
      <c r="D558" s="360" t="s">
        <v>140</v>
      </c>
      <c r="E558" s="347">
        <v>1</v>
      </c>
      <c r="F558" s="314" t="s">
        <v>510</v>
      </c>
      <c r="G558" s="314" t="s">
        <v>510</v>
      </c>
      <c r="H558" s="314" t="s">
        <v>510</v>
      </c>
      <c r="I558" s="314" t="s">
        <v>510</v>
      </c>
      <c r="J558" s="314">
        <v>40</v>
      </c>
      <c r="K558" s="29">
        <f t="shared" si="66"/>
        <v>40</v>
      </c>
      <c r="L558" s="314" t="s">
        <v>504</v>
      </c>
      <c r="M558" s="314"/>
      <c r="N558" s="314"/>
      <c r="O558" s="314"/>
      <c r="P558" s="314"/>
      <c r="Q558" s="314"/>
      <c r="R558" s="314"/>
      <c r="S558" s="314"/>
      <c r="T558" s="314"/>
      <c r="U558" s="314"/>
      <c r="V558" s="350"/>
      <c r="W558" s="350"/>
      <c r="X558" s="350"/>
      <c r="Y558" s="350"/>
      <c r="Z558" s="307"/>
      <c r="AA558" s="350">
        <f t="shared" si="67"/>
        <v>0</v>
      </c>
      <c r="AB558" s="307"/>
      <c r="AC558" s="307"/>
      <c r="AD558" s="303"/>
      <c r="AE558" s="303"/>
      <c r="AF558" s="303"/>
      <c r="AG558" s="303"/>
      <c r="AH558" s="314"/>
      <c r="AI558" s="297">
        <f t="shared" si="68"/>
        <v>0</v>
      </c>
      <c r="AJ558" s="303"/>
      <c r="AK558" s="303"/>
      <c r="AL558" s="303"/>
      <c r="AM558" s="303"/>
      <c r="AN558" s="303"/>
      <c r="AO558" s="303"/>
      <c r="AP558" s="303"/>
      <c r="AQ558" s="289">
        <f t="shared" si="69"/>
        <v>0</v>
      </c>
      <c r="AR558" s="303"/>
      <c r="AS558" s="303"/>
      <c r="AT558" s="303" t="s">
        <v>510</v>
      </c>
      <c r="AU558" s="303" t="s">
        <v>510</v>
      </c>
      <c r="AV558" s="303" t="s">
        <v>510</v>
      </c>
      <c r="AW558" s="303" t="s">
        <v>510</v>
      </c>
      <c r="AX558" s="303">
        <v>40</v>
      </c>
      <c r="AY558" s="139">
        <f t="shared" si="70"/>
        <v>40</v>
      </c>
      <c r="AZ558" s="303" t="s">
        <v>504</v>
      </c>
      <c r="BA558" s="304"/>
      <c r="BB558" s="303"/>
      <c r="BC558" s="303"/>
      <c r="BD558" s="303"/>
      <c r="BE558" s="303"/>
      <c r="BF558" s="303"/>
      <c r="BG558" s="353">
        <f t="shared" si="71"/>
        <v>0</v>
      </c>
      <c r="BH558" s="303"/>
      <c r="BI558" s="303"/>
      <c r="BJ558" s="354">
        <f t="shared" si="65"/>
        <v>2</v>
      </c>
      <c r="BK558" s="316" t="str">
        <f t="shared" si="72"/>
        <v>Habilitado</v>
      </c>
    </row>
    <row r="559" spans="1:63" x14ac:dyDescent="0.25">
      <c r="A559" s="324">
        <v>557</v>
      </c>
      <c r="B559" s="345" t="s">
        <v>2804</v>
      </c>
      <c r="C559" s="380" t="s">
        <v>518</v>
      </c>
      <c r="D559" s="329" t="s">
        <v>140</v>
      </c>
      <c r="E559" s="347">
        <v>1</v>
      </c>
      <c r="F559" s="314" t="s">
        <v>510</v>
      </c>
      <c r="G559" s="314" t="s">
        <v>510</v>
      </c>
      <c r="H559" s="314" t="s">
        <v>510</v>
      </c>
      <c r="I559" s="314" t="s">
        <v>510</v>
      </c>
      <c r="J559" s="314">
        <v>40</v>
      </c>
      <c r="K559" s="29">
        <f t="shared" si="66"/>
        <v>40</v>
      </c>
      <c r="L559" s="314" t="s">
        <v>504</v>
      </c>
      <c r="M559" s="314"/>
      <c r="N559" s="314"/>
      <c r="O559" s="314"/>
      <c r="P559" s="314"/>
      <c r="Q559" s="314"/>
      <c r="R559" s="314"/>
      <c r="S559" s="314"/>
      <c r="T559" s="314"/>
      <c r="U559" s="314"/>
      <c r="V559" s="350"/>
      <c r="W559" s="350"/>
      <c r="X559" s="350"/>
      <c r="Y559" s="350"/>
      <c r="Z559" s="307"/>
      <c r="AA559" s="350">
        <f t="shared" si="67"/>
        <v>0</v>
      </c>
      <c r="AB559" s="307"/>
      <c r="AC559" s="303"/>
      <c r="AD559" s="303"/>
      <c r="AE559" s="303"/>
      <c r="AF559" s="303"/>
      <c r="AG559" s="303"/>
      <c r="AH559" s="314"/>
      <c r="AI559" s="297">
        <f t="shared" si="68"/>
        <v>0</v>
      </c>
      <c r="AJ559" s="303"/>
      <c r="AK559" s="303"/>
      <c r="AL559" s="303"/>
      <c r="AM559" s="303"/>
      <c r="AN559" s="303"/>
      <c r="AO559" s="303"/>
      <c r="AP559" s="303"/>
      <c r="AQ559" s="289">
        <f t="shared" si="69"/>
        <v>0</v>
      </c>
      <c r="AR559" s="303"/>
      <c r="AS559" s="303"/>
      <c r="AT559" s="329"/>
      <c r="AU559" s="329"/>
      <c r="AV559" s="329"/>
      <c r="AW559" s="329"/>
      <c r="AX559" s="329"/>
      <c r="AY559" s="139">
        <f t="shared" si="70"/>
        <v>0</v>
      </c>
      <c r="AZ559" s="303"/>
      <c r="BA559" s="303"/>
      <c r="BB559" s="303"/>
      <c r="BC559" s="303"/>
      <c r="BD559" s="303"/>
      <c r="BE559" s="303"/>
      <c r="BF559" s="303"/>
      <c r="BG559" s="353">
        <f t="shared" si="71"/>
        <v>0</v>
      </c>
      <c r="BH559" s="303"/>
      <c r="BI559" s="303"/>
      <c r="BJ559" s="354">
        <f t="shared" si="65"/>
        <v>1</v>
      </c>
      <c r="BK559" s="316" t="str">
        <f t="shared" si="72"/>
        <v>Habilitado</v>
      </c>
    </row>
    <row r="560" spans="1:63" s="267" customFormat="1" ht="36.75" customHeight="1" x14ac:dyDescent="0.25">
      <c r="A560" s="324">
        <v>558</v>
      </c>
      <c r="B560" s="331" t="s">
        <v>2805</v>
      </c>
      <c r="C560" s="331" t="s">
        <v>1887</v>
      </c>
      <c r="D560" s="329" t="s">
        <v>375</v>
      </c>
      <c r="E560" s="347">
        <v>1</v>
      </c>
      <c r="F560" s="314" t="s">
        <v>510</v>
      </c>
      <c r="G560" s="314" t="s">
        <v>510</v>
      </c>
      <c r="H560" s="314" t="s">
        <v>510</v>
      </c>
      <c r="I560" s="314" t="s">
        <v>510</v>
      </c>
      <c r="J560" s="314">
        <v>40</v>
      </c>
      <c r="K560" s="29">
        <f t="shared" si="66"/>
        <v>40</v>
      </c>
      <c r="L560" s="314" t="s">
        <v>504</v>
      </c>
      <c r="M560" s="314"/>
      <c r="N560" s="314"/>
      <c r="O560" s="314"/>
      <c r="P560" s="314"/>
      <c r="Q560" s="314"/>
      <c r="R560" s="314"/>
      <c r="S560" s="314"/>
      <c r="T560" s="314"/>
      <c r="U560" s="314"/>
      <c r="V560" s="350"/>
      <c r="W560" s="350"/>
      <c r="X560" s="350"/>
      <c r="Y560" s="350"/>
      <c r="Z560" s="307"/>
      <c r="AA560" s="350">
        <f t="shared" si="67"/>
        <v>0</v>
      </c>
      <c r="AB560" s="307"/>
      <c r="AC560" s="303"/>
      <c r="AD560" s="303"/>
      <c r="AE560" s="303"/>
      <c r="AF560" s="303"/>
      <c r="AG560" s="303"/>
      <c r="AH560" s="314"/>
      <c r="AI560" s="297">
        <f t="shared" si="68"/>
        <v>0</v>
      </c>
      <c r="AJ560" s="303"/>
      <c r="AK560" s="303"/>
      <c r="AL560" s="303"/>
      <c r="AM560" s="303"/>
      <c r="AN560" s="303"/>
      <c r="AO560" s="303"/>
      <c r="AP560" s="303"/>
      <c r="AQ560" s="289">
        <f t="shared" si="69"/>
        <v>0</v>
      </c>
      <c r="AR560" s="303"/>
      <c r="AS560" s="303"/>
      <c r="AT560" s="303" t="s">
        <v>510</v>
      </c>
      <c r="AU560" s="303" t="s">
        <v>510</v>
      </c>
      <c r="AV560" s="303" t="s">
        <v>510</v>
      </c>
      <c r="AW560" s="303" t="s">
        <v>510</v>
      </c>
      <c r="AX560" s="303">
        <v>40</v>
      </c>
      <c r="AY560" s="139">
        <f t="shared" si="70"/>
        <v>40</v>
      </c>
      <c r="AZ560" s="303" t="s">
        <v>504</v>
      </c>
      <c r="BA560" s="304"/>
      <c r="BB560" s="303"/>
      <c r="BC560" s="303"/>
      <c r="BD560" s="303"/>
      <c r="BE560" s="303"/>
      <c r="BF560" s="303"/>
      <c r="BG560" s="353">
        <f t="shared" si="71"/>
        <v>0</v>
      </c>
      <c r="BH560" s="303"/>
      <c r="BI560" s="303"/>
      <c r="BJ560" s="354">
        <f t="shared" si="65"/>
        <v>2</v>
      </c>
      <c r="BK560" s="316" t="str">
        <f t="shared" si="72"/>
        <v>Habilitado</v>
      </c>
    </row>
    <row r="561" spans="1:63" s="267" customFormat="1" ht="18.75" customHeight="1" x14ac:dyDescent="0.25">
      <c r="A561" s="324">
        <v>559</v>
      </c>
      <c r="B561" s="331" t="s">
        <v>2806</v>
      </c>
      <c r="C561" s="331" t="s">
        <v>518</v>
      </c>
      <c r="D561" s="329" t="s">
        <v>375</v>
      </c>
      <c r="E561" s="347">
        <v>1</v>
      </c>
      <c r="F561" s="314" t="s">
        <v>510</v>
      </c>
      <c r="G561" s="314" t="s">
        <v>510</v>
      </c>
      <c r="H561" s="314" t="s">
        <v>510</v>
      </c>
      <c r="I561" s="314" t="s">
        <v>510</v>
      </c>
      <c r="J561" s="314">
        <v>40</v>
      </c>
      <c r="K561" s="29">
        <f t="shared" si="66"/>
        <v>40</v>
      </c>
      <c r="L561" s="314" t="s">
        <v>504</v>
      </c>
      <c r="M561" s="314"/>
      <c r="N561" s="314"/>
      <c r="O561" s="314"/>
      <c r="P561" s="314"/>
      <c r="Q561" s="314"/>
      <c r="R561" s="314"/>
      <c r="S561" s="314"/>
      <c r="T561" s="314"/>
      <c r="U561" s="314"/>
      <c r="V561" s="350" t="s">
        <v>510</v>
      </c>
      <c r="W561" s="350" t="s">
        <v>510</v>
      </c>
      <c r="X561" s="350" t="s">
        <v>510</v>
      </c>
      <c r="Y561" s="350" t="s">
        <v>510</v>
      </c>
      <c r="Z561" s="304">
        <v>20</v>
      </c>
      <c r="AA561" s="350">
        <f t="shared" si="67"/>
        <v>20</v>
      </c>
      <c r="AB561" s="307" t="s">
        <v>504</v>
      </c>
      <c r="AC561" s="303"/>
      <c r="AD561" s="303"/>
      <c r="AE561" s="303"/>
      <c r="AF561" s="303"/>
      <c r="AG561" s="303"/>
      <c r="AH561" s="314"/>
      <c r="AI561" s="297">
        <f t="shared" si="68"/>
        <v>0</v>
      </c>
      <c r="AJ561" s="303"/>
      <c r="AK561" s="303"/>
      <c r="AL561" s="303"/>
      <c r="AM561" s="303"/>
      <c r="AN561" s="303"/>
      <c r="AO561" s="303"/>
      <c r="AP561" s="303"/>
      <c r="AQ561" s="289">
        <f t="shared" si="69"/>
        <v>0</v>
      </c>
      <c r="AR561" s="303"/>
      <c r="AS561" s="303"/>
      <c r="AT561" s="303" t="s">
        <v>510</v>
      </c>
      <c r="AU561" s="303" t="s">
        <v>510</v>
      </c>
      <c r="AV561" s="303" t="s">
        <v>510</v>
      </c>
      <c r="AW561" s="303" t="s">
        <v>510</v>
      </c>
      <c r="AX561" s="303">
        <v>40</v>
      </c>
      <c r="AY561" s="139">
        <f t="shared" si="70"/>
        <v>40</v>
      </c>
      <c r="AZ561" s="303" t="s">
        <v>504</v>
      </c>
      <c r="BA561" s="304"/>
      <c r="BB561" s="303"/>
      <c r="BC561" s="303"/>
      <c r="BD561" s="303"/>
      <c r="BE561" s="303"/>
      <c r="BF561" s="303"/>
      <c r="BG561" s="353">
        <f t="shared" si="71"/>
        <v>0</v>
      </c>
      <c r="BH561" s="303"/>
      <c r="BI561" s="303"/>
      <c r="BJ561" s="354">
        <f t="shared" si="65"/>
        <v>3</v>
      </c>
      <c r="BK561" s="316" t="str">
        <f t="shared" si="72"/>
        <v>Habilitado</v>
      </c>
    </row>
    <row r="562" spans="1:63" s="267" customFormat="1" ht="38.25" x14ac:dyDescent="0.25">
      <c r="A562" s="324">
        <v>560</v>
      </c>
      <c r="B562" s="331" t="s">
        <v>2807</v>
      </c>
      <c r="C562" s="331" t="s">
        <v>2808</v>
      </c>
      <c r="D562" s="329" t="s">
        <v>375</v>
      </c>
      <c r="E562" s="347">
        <v>1</v>
      </c>
      <c r="F562" s="314" t="s">
        <v>510</v>
      </c>
      <c r="G562" s="314" t="s">
        <v>510</v>
      </c>
      <c r="H562" s="314" t="s">
        <v>510</v>
      </c>
      <c r="I562" s="314" t="s">
        <v>510</v>
      </c>
      <c r="J562" s="314">
        <v>40</v>
      </c>
      <c r="K562" s="29">
        <f t="shared" si="66"/>
        <v>40</v>
      </c>
      <c r="L562" s="314" t="s">
        <v>504</v>
      </c>
      <c r="M562" s="314"/>
      <c r="N562" s="314"/>
      <c r="O562" s="314"/>
      <c r="P562" s="314"/>
      <c r="Q562" s="314"/>
      <c r="R562" s="314"/>
      <c r="S562" s="314"/>
      <c r="T562" s="314"/>
      <c r="U562" s="314"/>
      <c r="V562" s="350" t="s">
        <v>510</v>
      </c>
      <c r="W562" s="350" t="s">
        <v>510</v>
      </c>
      <c r="X562" s="350" t="s">
        <v>510</v>
      </c>
      <c r="Y562" s="350" t="s">
        <v>510</v>
      </c>
      <c r="Z562" s="304">
        <v>20</v>
      </c>
      <c r="AA562" s="350">
        <f t="shared" si="67"/>
        <v>20</v>
      </c>
      <c r="AB562" s="307" t="s">
        <v>504</v>
      </c>
      <c r="AC562" s="307"/>
      <c r="AD562" s="303"/>
      <c r="AE562" s="303"/>
      <c r="AF562" s="303"/>
      <c r="AG562" s="303"/>
      <c r="AH562" s="314"/>
      <c r="AI562" s="297">
        <f t="shared" si="68"/>
        <v>0</v>
      </c>
      <c r="AJ562" s="303"/>
      <c r="AK562" s="303"/>
      <c r="AL562" s="303"/>
      <c r="AM562" s="303"/>
      <c r="AN562" s="303"/>
      <c r="AO562" s="303"/>
      <c r="AP562" s="303"/>
      <c r="AQ562" s="289">
        <f t="shared" si="69"/>
        <v>0</v>
      </c>
      <c r="AR562" s="303"/>
      <c r="AS562" s="303"/>
      <c r="AT562" s="303" t="s">
        <v>510</v>
      </c>
      <c r="AU562" s="303" t="s">
        <v>510</v>
      </c>
      <c r="AV562" s="303" t="s">
        <v>510</v>
      </c>
      <c r="AW562" s="303" t="s">
        <v>510</v>
      </c>
      <c r="AX562" s="303">
        <v>40</v>
      </c>
      <c r="AY562" s="139">
        <f t="shared" si="70"/>
        <v>40</v>
      </c>
      <c r="AZ562" s="303" t="s">
        <v>504</v>
      </c>
      <c r="BA562" s="304"/>
      <c r="BB562" s="303"/>
      <c r="BC562" s="303"/>
      <c r="BD562" s="303"/>
      <c r="BE562" s="303"/>
      <c r="BF562" s="303"/>
      <c r="BG562" s="353">
        <f t="shared" si="71"/>
        <v>0</v>
      </c>
      <c r="BH562" s="303"/>
      <c r="BI562" s="303"/>
      <c r="BJ562" s="354">
        <f t="shared" si="65"/>
        <v>3</v>
      </c>
      <c r="BK562" s="316" t="str">
        <f t="shared" si="72"/>
        <v>Habilitado</v>
      </c>
    </row>
    <row r="563" spans="1:63" s="267" customFormat="1" ht="25.5" x14ac:dyDescent="0.25">
      <c r="A563" s="324">
        <v>561</v>
      </c>
      <c r="B563" s="331" t="s">
        <v>2809</v>
      </c>
      <c r="C563" s="331" t="s">
        <v>2810</v>
      </c>
      <c r="D563" s="329" t="s">
        <v>375</v>
      </c>
      <c r="E563" s="347">
        <v>1</v>
      </c>
      <c r="F563" s="314" t="s">
        <v>510</v>
      </c>
      <c r="G563" s="314" t="s">
        <v>510</v>
      </c>
      <c r="H563" s="314" t="s">
        <v>510</v>
      </c>
      <c r="I563" s="314" t="s">
        <v>510</v>
      </c>
      <c r="J563" s="314">
        <v>40</v>
      </c>
      <c r="K563" s="29">
        <f t="shared" si="66"/>
        <v>40</v>
      </c>
      <c r="L563" s="314" t="s">
        <v>504</v>
      </c>
      <c r="M563" s="314"/>
      <c r="N563" s="314"/>
      <c r="O563" s="314"/>
      <c r="P563" s="314"/>
      <c r="Q563" s="314"/>
      <c r="R563" s="314"/>
      <c r="S563" s="314"/>
      <c r="T563" s="314"/>
      <c r="U563" s="314"/>
      <c r="V563" s="350" t="s">
        <v>510</v>
      </c>
      <c r="W563" s="350" t="s">
        <v>510</v>
      </c>
      <c r="X563" s="350" t="s">
        <v>510</v>
      </c>
      <c r="Y563" s="350" t="s">
        <v>510</v>
      </c>
      <c r="Z563" s="304">
        <v>20</v>
      </c>
      <c r="AA563" s="350">
        <f t="shared" si="67"/>
        <v>20</v>
      </c>
      <c r="AB563" s="307" t="s">
        <v>504</v>
      </c>
      <c r="AC563" s="306"/>
      <c r="AD563" s="303"/>
      <c r="AE563" s="303"/>
      <c r="AF563" s="303"/>
      <c r="AG563" s="303"/>
      <c r="AH563" s="314"/>
      <c r="AI563" s="297">
        <f t="shared" si="68"/>
        <v>0</v>
      </c>
      <c r="AJ563" s="303"/>
      <c r="AK563" s="303"/>
      <c r="AL563" s="303"/>
      <c r="AM563" s="303"/>
      <c r="AN563" s="303"/>
      <c r="AO563" s="303"/>
      <c r="AP563" s="303"/>
      <c r="AQ563" s="289">
        <f t="shared" si="69"/>
        <v>0</v>
      </c>
      <c r="AR563" s="303"/>
      <c r="AS563" s="303"/>
      <c r="AT563" s="303" t="s">
        <v>510</v>
      </c>
      <c r="AU563" s="303" t="s">
        <v>510</v>
      </c>
      <c r="AV563" s="303" t="s">
        <v>510</v>
      </c>
      <c r="AW563" s="303" t="s">
        <v>510</v>
      </c>
      <c r="AX563" s="303">
        <v>40</v>
      </c>
      <c r="AY563" s="139">
        <f t="shared" si="70"/>
        <v>40</v>
      </c>
      <c r="AZ563" s="303" t="s">
        <v>504</v>
      </c>
      <c r="BA563" s="304"/>
      <c r="BB563" s="303"/>
      <c r="BC563" s="303"/>
      <c r="BD563" s="303"/>
      <c r="BE563" s="303"/>
      <c r="BF563" s="303"/>
      <c r="BG563" s="353">
        <f t="shared" si="71"/>
        <v>0</v>
      </c>
      <c r="BH563" s="303"/>
      <c r="BI563" s="303"/>
      <c r="BJ563" s="354">
        <f t="shared" si="65"/>
        <v>3</v>
      </c>
      <c r="BK563" s="316" t="str">
        <f t="shared" si="72"/>
        <v>Habilitado</v>
      </c>
    </row>
    <row r="564" spans="1:63" s="267" customFormat="1" ht="25.5" x14ac:dyDescent="0.25">
      <c r="A564" s="324">
        <v>562</v>
      </c>
      <c r="B564" s="331" t="s">
        <v>2811</v>
      </c>
      <c r="C564" s="331" t="s">
        <v>2812</v>
      </c>
      <c r="D564" s="329" t="s">
        <v>375</v>
      </c>
      <c r="E564" s="347">
        <v>1</v>
      </c>
      <c r="F564" s="314" t="s">
        <v>510</v>
      </c>
      <c r="G564" s="314" t="s">
        <v>519</v>
      </c>
      <c r="H564" s="314" t="s">
        <v>510</v>
      </c>
      <c r="I564" s="314" t="s">
        <v>510</v>
      </c>
      <c r="J564" s="406">
        <v>0</v>
      </c>
      <c r="K564" s="29">
        <f t="shared" si="66"/>
        <v>0</v>
      </c>
      <c r="L564" s="314" t="s">
        <v>520</v>
      </c>
      <c r="M564" s="407" t="s">
        <v>2813</v>
      </c>
      <c r="N564" s="407"/>
      <c r="O564" s="407"/>
      <c r="P564" s="407"/>
      <c r="Q564" s="407"/>
      <c r="R564" s="407"/>
      <c r="S564" s="407"/>
      <c r="T564" s="407"/>
      <c r="U564" s="407"/>
      <c r="V564" s="350" t="s">
        <v>510</v>
      </c>
      <c r="W564" s="350" t="s">
        <v>510</v>
      </c>
      <c r="X564" s="350" t="s">
        <v>510</v>
      </c>
      <c r="Y564" s="350" t="s">
        <v>510</v>
      </c>
      <c r="Z564" s="304">
        <v>20</v>
      </c>
      <c r="AA564" s="350">
        <f t="shared" si="67"/>
        <v>20</v>
      </c>
      <c r="AB564" s="307" t="s">
        <v>504</v>
      </c>
      <c r="AC564" s="307"/>
      <c r="AD564" s="303"/>
      <c r="AE564" s="303"/>
      <c r="AF564" s="303"/>
      <c r="AG564" s="303"/>
      <c r="AH564" s="314"/>
      <c r="AI564" s="297">
        <f t="shared" si="68"/>
        <v>0</v>
      </c>
      <c r="AJ564" s="303"/>
      <c r="AK564" s="303"/>
      <c r="AL564" s="303"/>
      <c r="AM564" s="303"/>
      <c r="AN564" s="303"/>
      <c r="AO564" s="303"/>
      <c r="AP564" s="303"/>
      <c r="AQ564" s="289">
        <f t="shared" si="69"/>
        <v>0</v>
      </c>
      <c r="AR564" s="303"/>
      <c r="AS564" s="303"/>
      <c r="AT564" s="303" t="s">
        <v>510</v>
      </c>
      <c r="AU564" s="303" t="s">
        <v>510</v>
      </c>
      <c r="AV564" s="303" t="s">
        <v>510</v>
      </c>
      <c r="AW564" s="303" t="s">
        <v>510</v>
      </c>
      <c r="AX564" s="303">
        <v>40</v>
      </c>
      <c r="AY564" s="139">
        <f t="shared" si="70"/>
        <v>40</v>
      </c>
      <c r="AZ564" s="303" t="s">
        <v>504</v>
      </c>
      <c r="BA564" s="304"/>
      <c r="BB564" s="303"/>
      <c r="BC564" s="303"/>
      <c r="BD564" s="303"/>
      <c r="BE564" s="303"/>
      <c r="BF564" s="303"/>
      <c r="BG564" s="353">
        <f t="shared" si="71"/>
        <v>0</v>
      </c>
      <c r="BH564" s="303"/>
      <c r="BI564" s="303"/>
      <c r="BJ564" s="354">
        <f t="shared" si="65"/>
        <v>2</v>
      </c>
      <c r="BK564" s="316" t="str">
        <f t="shared" si="72"/>
        <v>Habilitado</v>
      </c>
    </row>
    <row r="565" spans="1:63" ht="25.5" x14ac:dyDescent="0.25">
      <c r="A565" s="324">
        <v>563</v>
      </c>
      <c r="B565" s="331" t="s">
        <v>2814</v>
      </c>
      <c r="C565" s="329" t="s">
        <v>518</v>
      </c>
      <c r="D565" s="329" t="s">
        <v>1499</v>
      </c>
      <c r="E565" s="347">
        <v>1</v>
      </c>
      <c r="F565" s="314"/>
      <c r="G565" s="314"/>
      <c r="H565" s="314"/>
      <c r="I565" s="314"/>
      <c r="J565" s="314"/>
      <c r="K565" s="29">
        <f t="shared" si="66"/>
        <v>0</v>
      </c>
      <c r="L565" s="314"/>
      <c r="M565" s="314"/>
      <c r="N565" s="314"/>
      <c r="O565" s="314"/>
      <c r="P565" s="314"/>
      <c r="Q565" s="314"/>
      <c r="R565" s="314"/>
      <c r="S565" s="314"/>
      <c r="T565" s="314"/>
      <c r="U565" s="314"/>
      <c r="V565" s="350" t="s">
        <v>510</v>
      </c>
      <c r="W565" s="350" t="s">
        <v>510</v>
      </c>
      <c r="X565" s="350" t="s">
        <v>510</v>
      </c>
      <c r="Y565" s="350" t="s">
        <v>510</v>
      </c>
      <c r="Z565" s="304">
        <v>20</v>
      </c>
      <c r="AA565" s="350">
        <f t="shared" si="67"/>
        <v>20</v>
      </c>
      <c r="AB565" s="307" t="s">
        <v>504</v>
      </c>
      <c r="AC565" s="306"/>
      <c r="AD565" s="303"/>
      <c r="AE565" s="303"/>
      <c r="AF565" s="303"/>
      <c r="AG565" s="303"/>
      <c r="AH565" s="314"/>
      <c r="AI565" s="297">
        <f t="shared" si="68"/>
        <v>0</v>
      </c>
      <c r="AJ565" s="303"/>
      <c r="AK565" s="303"/>
      <c r="AL565" s="303"/>
      <c r="AM565" s="303"/>
      <c r="AN565" s="303"/>
      <c r="AO565" s="303"/>
      <c r="AP565" s="303"/>
      <c r="AQ565" s="289">
        <f t="shared" si="69"/>
        <v>0</v>
      </c>
      <c r="AR565" s="303"/>
      <c r="AS565" s="303"/>
      <c r="AT565" s="303" t="s">
        <v>510</v>
      </c>
      <c r="AU565" s="303" t="s">
        <v>510</v>
      </c>
      <c r="AV565" s="303" t="s">
        <v>510</v>
      </c>
      <c r="AW565" s="303" t="s">
        <v>510</v>
      </c>
      <c r="AX565" s="303">
        <v>40</v>
      </c>
      <c r="AY565" s="139">
        <f t="shared" si="70"/>
        <v>40</v>
      </c>
      <c r="AZ565" s="303" t="s">
        <v>504</v>
      </c>
      <c r="BA565" s="301"/>
      <c r="BB565" s="304"/>
      <c r="BC565" s="304"/>
      <c r="BD565" s="304"/>
      <c r="BE565" s="304"/>
      <c r="BF565" s="304"/>
      <c r="BG565" s="353">
        <f t="shared" si="71"/>
        <v>0</v>
      </c>
      <c r="BH565" s="304"/>
      <c r="BI565" s="304"/>
      <c r="BJ565" s="354">
        <f t="shared" si="65"/>
        <v>2</v>
      </c>
      <c r="BK565" s="316" t="str">
        <f t="shared" si="72"/>
        <v>Habilitado</v>
      </c>
    </row>
    <row r="566" spans="1:63" ht="25.5" x14ac:dyDescent="0.25">
      <c r="A566" s="324">
        <v>564</v>
      </c>
      <c r="B566" s="335" t="s">
        <v>2815</v>
      </c>
      <c r="C566" s="331" t="s">
        <v>2816</v>
      </c>
      <c r="D566" s="329" t="s">
        <v>1499</v>
      </c>
      <c r="E566" s="347">
        <v>1</v>
      </c>
      <c r="F566" s="314"/>
      <c r="G566" s="314"/>
      <c r="H566" s="314"/>
      <c r="I566" s="314"/>
      <c r="J566" s="314"/>
      <c r="K566" s="29">
        <f t="shared" si="66"/>
        <v>0</v>
      </c>
      <c r="L566" s="314"/>
      <c r="M566" s="314"/>
      <c r="N566" s="314"/>
      <c r="O566" s="314"/>
      <c r="P566" s="314"/>
      <c r="Q566" s="314"/>
      <c r="R566" s="314"/>
      <c r="S566" s="314"/>
      <c r="T566" s="314"/>
      <c r="U566" s="314"/>
      <c r="V566" s="350"/>
      <c r="W566" s="350"/>
      <c r="X566" s="350"/>
      <c r="Y566" s="350"/>
      <c r="Z566" s="307"/>
      <c r="AA566" s="350">
        <f t="shared" si="67"/>
        <v>0</v>
      </c>
      <c r="AB566" s="307"/>
      <c r="AC566" s="307"/>
      <c r="AD566" s="303"/>
      <c r="AE566" s="303"/>
      <c r="AF566" s="303"/>
      <c r="AG566" s="303"/>
      <c r="AH566" s="314"/>
      <c r="AI566" s="297">
        <f t="shared" si="68"/>
        <v>0</v>
      </c>
      <c r="AJ566" s="303"/>
      <c r="AK566" s="303"/>
      <c r="AL566" s="303"/>
      <c r="AM566" s="303"/>
      <c r="AN566" s="303"/>
      <c r="AO566" s="303"/>
      <c r="AP566" s="303"/>
      <c r="AQ566" s="289">
        <f t="shared" si="69"/>
        <v>0</v>
      </c>
      <c r="AR566" s="303"/>
      <c r="AS566" s="303"/>
      <c r="AT566" s="329"/>
      <c r="AU566" s="329"/>
      <c r="AV566" s="329"/>
      <c r="AW566" s="329"/>
      <c r="AX566" s="329"/>
      <c r="AY566" s="139">
        <f t="shared" si="70"/>
        <v>0</v>
      </c>
      <c r="AZ566" s="303"/>
      <c r="BA566" s="303"/>
      <c r="BB566" s="303"/>
      <c r="BC566" s="303"/>
      <c r="BD566" s="303"/>
      <c r="BE566" s="303"/>
      <c r="BF566" s="303"/>
      <c r="BG566" s="353">
        <f t="shared" si="71"/>
        <v>0</v>
      </c>
      <c r="BH566" s="303"/>
      <c r="BI566" s="303"/>
      <c r="BJ566" s="354">
        <f t="shared" si="65"/>
        <v>0</v>
      </c>
      <c r="BK566" s="316" t="str">
        <f>IF(BJ566&gt;=1,"Habilitado","Desierto")</f>
        <v>Desierto</v>
      </c>
    </row>
    <row r="567" spans="1:63" ht="38.25" x14ac:dyDescent="0.25">
      <c r="A567" s="324">
        <v>565</v>
      </c>
      <c r="B567" s="345" t="s">
        <v>2817</v>
      </c>
      <c r="C567" s="357" t="s">
        <v>2818</v>
      </c>
      <c r="D567" s="360" t="s">
        <v>2243</v>
      </c>
      <c r="E567" s="347">
        <v>1</v>
      </c>
      <c r="F567" s="314"/>
      <c r="G567" s="314"/>
      <c r="H567" s="314"/>
      <c r="I567" s="314"/>
      <c r="J567" s="314"/>
      <c r="K567" s="29">
        <f t="shared" si="66"/>
        <v>0</v>
      </c>
      <c r="L567" s="314"/>
      <c r="M567" s="314"/>
      <c r="N567" s="314"/>
      <c r="O567" s="314"/>
      <c r="P567" s="314"/>
      <c r="Q567" s="314"/>
      <c r="R567" s="314"/>
      <c r="S567" s="314"/>
      <c r="T567" s="314"/>
      <c r="U567" s="314"/>
      <c r="V567" s="350"/>
      <c r="W567" s="350"/>
      <c r="X567" s="350"/>
      <c r="Y567" s="350"/>
      <c r="Z567" s="307"/>
      <c r="AA567" s="350">
        <f t="shared" si="67"/>
        <v>0</v>
      </c>
      <c r="AB567" s="307"/>
      <c r="AC567" s="307"/>
      <c r="AD567" s="303"/>
      <c r="AE567" s="303"/>
      <c r="AF567" s="303"/>
      <c r="AG567" s="303"/>
      <c r="AH567" s="314"/>
      <c r="AI567" s="297">
        <f t="shared" si="68"/>
        <v>0</v>
      </c>
      <c r="AJ567" s="303"/>
      <c r="AK567" s="303"/>
      <c r="AL567" s="303"/>
      <c r="AM567" s="303"/>
      <c r="AN567" s="303"/>
      <c r="AO567" s="303"/>
      <c r="AP567" s="303"/>
      <c r="AQ567" s="289">
        <f t="shared" si="69"/>
        <v>0</v>
      </c>
      <c r="AR567" s="303"/>
      <c r="AS567" s="303"/>
      <c r="AT567" s="329"/>
      <c r="AU567" s="329"/>
      <c r="AV567" s="329"/>
      <c r="AW567" s="329"/>
      <c r="AX567" s="329"/>
      <c r="AY567" s="139">
        <f t="shared" si="70"/>
        <v>0</v>
      </c>
      <c r="AZ567" s="303"/>
      <c r="BA567" s="303"/>
      <c r="BB567" s="303"/>
      <c r="BC567" s="303"/>
      <c r="BD567" s="303"/>
      <c r="BE567" s="303"/>
      <c r="BF567" s="303"/>
      <c r="BG567" s="353">
        <f t="shared" si="71"/>
        <v>0</v>
      </c>
      <c r="BH567" s="303"/>
      <c r="BI567" s="303"/>
      <c r="BJ567" s="354">
        <f t="shared" si="65"/>
        <v>0</v>
      </c>
      <c r="BK567" s="316" t="str">
        <f>IF(BJ567&gt;=1,"Habilitado","Desierto")</f>
        <v>Desierto</v>
      </c>
    </row>
    <row r="568" spans="1:63" ht="25.5" x14ac:dyDescent="0.25">
      <c r="A568" s="324">
        <v>566</v>
      </c>
      <c r="B568" s="345" t="s">
        <v>2819</v>
      </c>
      <c r="C568" s="335" t="s">
        <v>518</v>
      </c>
      <c r="D568" s="360" t="s">
        <v>1635</v>
      </c>
      <c r="E568" s="347">
        <v>1</v>
      </c>
      <c r="F568" s="314" t="s">
        <v>510</v>
      </c>
      <c r="G568" s="314" t="s">
        <v>510</v>
      </c>
      <c r="H568" s="314" t="s">
        <v>510</v>
      </c>
      <c r="I568" s="314" t="s">
        <v>510</v>
      </c>
      <c r="J568" s="314">
        <v>40</v>
      </c>
      <c r="K568" s="29">
        <f t="shared" si="66"/>
        <v>40</v>
      </c>
      <c r="L568" s="314" t="s">
        <v>504</v>
      </c>
      <c r="M568" s="314"/>
      <c r="N568" s="314"/>
      <c r="O568" s="314"/>
      <c r="P568" s="314"/>
      <c r="Q568" s="314"/>
      <c r="R568" s="314"/>
      <c r="S568" s="314"/>
      <c r="T568" s="314"/>
      <c r="U568" s="314"/>
      <c r="V568" s="350"/>
      <c r="W568" s="350"/>
      <c r="X568" s="350"/>
      <c r="Y568" s="350"/>
      <c r="Z568" s="307"/>
      <c r="AA568" s="350">
        <f t="shared" si="67"/>
        <v>0</v>
      </c>
      <c r="AB568" s="307"/>
      <c r="AC568" s="307"/>
      <c r="AD568" s="303"/>
      <c r="AE568" s="303"/>
      <c r="AF568" s="303"/>
      <c r="AG568" s="303"/>
      <c r="AH568" s="314"/>
      <c r="AI568" s="297">
        <f t="shared" si="68"/>
        <v>0</v>
      </c>
      <c r="AJ568" s="303"/>
      <c r="AK568" s="303"/>
      <c r="AL568" s="303"/>
      <c r="AM568" s="303"/>
      <c r="AN568" s="303"/>
      <c r="AO568" s="303"/>
      <c r="AP568" s="303"/>
      <c r="AQ568" s="289">
        <f t="shared" si="69"/>
        <v>0</v>
      </c>
      <c r="AR568" s="303"/>
      <c r="AS568" s="303"/>
      <c r="AT568" s="303" t="s">
        <v>510</v>
      </c>
      <c r="AU568" s="303" t="s">
        <v>510</v>
      </c>
      <c r="AV568" s="303" t="s">
        <v>510</v>
      </c>
      <c r="AW568" s="303" t="s">
        <v>510</v>
      </c>
      <c r="AX568" s="303">
        <v>40</v>
      </c>
      <c r="AY568" s="139">
        <f t="shared" si="70"/>
        <v>40</v>
      </c>
      <c r="AZ568" s="303" t="s">
        <v>504</v>
      </c>
      <c r="BA568" s="301"/>
      <c r="BB568" s="303"/>
      <c r="BC568" s="303"/>
      <c r="BD568" s="303"/>
      <c r="BE568" s="303"/>
      <c r="BF568" s="303"/>
      <c r="BG568" s="353">
        <f t="shared" si="71"/>
        <v>0</v>
      </c>
      <c r="BH568" s="303"/>
      <c r="BI568" s="303"/>
      <c r="BJ568" s="354">
        <f t="shared" si="65"/>
        <v>2</v>
      </c>
      <c r="BK568" s="316" t="str">
        <f>IF(BJ568&gt;=1,"Habilitado","Desierto")</f>
        <v>Habilitado</v>
      </c>
    </row>
  </sheetData>
  <sheetProtection formatCells="0" formatColumns="0" formatRows="0"/>
  <autoFilter ref="A2:BK568" xr:uid="{00000000-0009-0000-0000-000003000000}"/>
  <sortState xmlns:xlrd2="http://schemas.microsoft.com/office/spreadsheetml/2017/richdata2" ref="A2:AG774">
    <sortCondition ref="B2:B774"/>
  </sortState>
  <mergeCells count="7">
    <mergeCell ref="BB1:BI1"/>
    <mergeCell ref="F1:M1"/>
    <mergeCell ref="AD1:AK1"/>
    <mergeCell ref="AL1:AS1"/>
    <mergeCell ref="AT1:BA1"/>
    <mergeCell ref="V1:AC1"/>
    <mergeCell ref="N1:U1"/>
  </mergeCells>
  <conditionalFormatting sqref="B411">
    <cfRule type="containsErrors" dxfId="12" priority="39">
      <formula>ISERROR(B411)</formula>
    </cfRule>
  </conditionalFormatting>
  <conditionalFormatting sqref="D411">
    <cfRule type="containsErrors" dxfId="11" priority="38">
      <formula>ISERROR(D411)</formula>
    </cfRule>
  </conditionalFormatting>
  <conditionalFormatting sqref="B433">
    <cfRule type="containsErrors" dxfId="10" priority="37">
      <formula>ISERROR(B433)</formula>
    </cfRule>
  </conditionalFormatting>
  <conditionalFormatting sqref="B434">
    <cfRule type="containsErrors" dxfId="9" priority="36">
      <formula>ISERROR(B434)</formula>
    </cfRule>
  </conditionalFormatting>
  <conditionalFormatting sqref="D434">
    <cfRule type="containsErrors" dxfId="8" priority="35">
      <formula>ISERROR(D434)</formula>
    </cfRule>
  </conditionalFormatting>
  <conditionalFormatting sqref="B435">
    <cfRule type="containsErrors" dxfId="7" priority="34">
      <formula>ISERROR(B435)</formula>
    </cfRule>
  </conditionalFormatting>
  <conditionalFormatting sqref="D435">
    <cfRule type="containsErrors" dxfId="6" priority="33">
      <formula>ISERROR(D435)</formula>
    </cfRule>
  </conditionalFormatting>
  <conditionalFormatting sqref="B436">
    <cfRule type="containsErrors" dxfId="5" priority="30">
      <formula>ISERROR(B436)</formula>
    </cfRule>
  </conditionalFormatting>
  <conditionalFormatting sqref="D436">
    <cfRule type="containsErrors" dxfId="4" priority="29">
      <formula>ISERROR(D436)</formula>
    </cfRule>
  </conditionalFormatting>
  <conditionalFormatting sqref="B437">
    <cfRule type="containsErrors" dxfId="3" priority="28">
      <formula>ISERROR(B437)</formula>
    </cfRule>
  </conditionalFormatting>
  <conditionalFormatting sqref="D437">
    <cfRule type="containsErrors" dxfId="2" priority="27">
      <formula>ISERROR(D437)</formula>
    </cfRule>
  </conditionalFormatting>
  <conditionalFormatting sqref="B548">
    <cfRule type="duplicateValues" dxfId="1" priority="4"/>
  </conditionalFormatting>
  <conditionalFormatting sqref="B549:B553 B555:B556">
    <cfRule type="duplicateValues" dxfId="0" priority="3"/>
  </conditionalFormatting>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300-000000000000}">
          <x14:formula1>
            <xm:f>Datos!$B$4:$B$5</xm:f>
          </x14:formula1>
          <xm:sqref>F258:F261 F96:F116 AL258:AL261 AD544:AD568 AL544:AL568 AT96:AT116 F345:F376 AL136:AL139 AD96:AD116 AD136:AD139 AT136:AT139 AL96:AL116 AL145:AL146 AD145:AD146 AT145:AT146 AT258:AT261 F136:F139 F544:F568 AU40:AU42 AD258:AD261 AS516 AU523 AD3:AD14 AT3:AT14 AL3:AL14 F3:F14 F16:F21 AD16:AD21 AT16:AT21 AL16:AL21 F26:F44 AM40:AM42 AD26:AD44 AE63 F133:F134 AU49 AD48:AD55 AM49 AT472:AT515 F57:F73 AL57:AL73 AD57:AD73 AT57:AT73 F76:F87 AL76:AL87 AD76:AD87 AT544:AT568 AT89 F89 AL89 AD89 AD91:AD94 AT91:AT94 F91:F94 AL91:AL94 F120:F131 AD120:AD131 AL120:AL131 AT120:AT131 AT133:AT134 AE30:AE31 AD133:AD134 AL133:AL134 AD141:AD142 AL141:AL142 F141:F142 AT141:AT142 AT76:AT87 AD148:AD171 AT148:AT171 AL148:AL171 F148:F171 AD173 AT173 AL173 F173 F175 AD175 AT175 AL175 AL177:AL190 F177:F190 AD177:AD190 AT177:AT190 AT193:AT196 AL193:AL196 F193:F196 AD193:AD196 AL26:AL44 AT26:AT44 AU52 AL48:AM48 AM54 AT48:AU48 F48:F55 G52 AM52 AL49:AL55 AT49:AT55 AU54 AD198:AD225 AT198:AT225 AL198:AL225 F472:F523 AL230:AL233 F230:F233 AD230:AD233 AT230:AT233 AT235:AT256 AL235:AL256 F235:F256 AD235:AD256 AT263:AT306 F198:F225 AL263:AL306 AD263:AD306 AD308:AD311 AT308:AT311 F263:F306 AL308:AL311 AL313:AL342 AD313:AD342 AT313:AT342 F311 AT345:AT388 F378:F388 AL345:AL388 AD345:AD388 AD390:AD392 AT390:AT392 F390:F392 AL390:AL392 AL394 AD394 AT394 F394 F396:F400 AL396:AL400 AD396:AD400 AT396:AT400 AD403:AD405 AT403:AT405 F403:F405 AL403:AL405 AL407:AL409 AD407:AD409 AT407:AT409 F407:F409 F411:F455 AL411:AL455 AD411:AD455 AT411:AT455 AT457:AT470 F457:F470 AL457:AL470 AD457:AD470 AD472:AD523 AT517:AT523 F145:F146 AL472:AL523 AL525:AL533 AD525:AD533 AT525:AT533 F525:F533 F535:F542 AL535:AL542 AD535:AD542 AT535:AT542 F308 F313:F342 V3:V22 V24:V46 V535:V568 V146:V226 V230:V288 V290:V400 V402:V533 V48:V143 BB3 BB23:BB44 BB48:BB73 BB5:BB21 BB76:BB190 BB192:BB568</xm:sqref>
        </x14:dataValidation>
        <x14:dataValidation type="list" allowBlank="1" showInputMessage="1" showErrorMessage="1" xr:uid="{00000000-0002-0000-0300-000001000000}">
          <x14:formula1>
            <xm:f>Datos!$C$4:$C$5</xm:f>
          </x14:formula1>
          <xm:sqref>AM544:AM568 G258:G261 AU472:AU515 G96:G116 AU96:AU116 AU258:AU261 AE96:AE116 AE136:AE139 AU136:AU139 G145:G146 AM145:AM146 AE145:AE146 AU76:AU87 AM96:AM116 AM136:AM139 AU43:AU44 AM258:AM261 AE544:AE568 G136:G139 AU544:AU568 AT516 AU517:AU522 AE3:AE14 AU3:AU14 AM3:AM14 G3:G14 G16:G21 AE16:AE21 AU16:AU21 AM16:AM21 AM43:AM44 AE32:AE44 AE64:AE73 G133:G134 AM55 AE48:AE55 G53:G55 AE258:AE261 G57:G73 AM57:AM73 AU55 AU57:AU73 G76:G87 AM76:AM87 AE76:AE87 G544:G568 AE89 AU89 G89 AM89 AE91:AE94 AU91:AU94 G91:G94 AM91:AM94 G120:G131 AE120:AE131 AM120:AM131 AU120:AU131 AU133:AU134 G26:G44 AE133:AE134 AM133:AM134 AE141:AE142 AM141:AM142 G141:G142 AU141:AU142 AE26:AE29 AE148:AE171 AM148:AM171 AU148:AU171 G148:G171 AE173 AM173 AU173 G173 G175 AE175 AM175 AU175 AU177:AU190 G177:G190 AE177:AE190 AM177:AM190 AM193:AM196 AU193:AU196 G193:G196 AE193:AE196 AM26:AM39 AU26:AU39 G48:G51 AM50:AM51 AU50:AU51 AM53 AU53 AE57:AE62 AE198:AE225 AM198:AM225 AU198:AU225 G472:G523 AU230:AU233 G230:G233 AE230:AE233 AM230:AM233 AM235:AM256 AU235:AU256 G235:G256 AE235:AE256 G198:G225 AU263:AU306 AE263:AE306 AM263:AM306 AM308:AM311 G263:G306 AU308:AU311 AE308:AE311 AE313:AE342 AM313:AM342 G311 AU313:AU342 G345:G388 AU345:AU388 AE345:AE388 AM345:AM388 AM390:AM392 G390:G392 AU390:AU392 AE390:AE392 AE394 AM394 G394 AU394 AU396:AU400 AE396:AE400 AM396:AM400 G396:G400 AM403:AM405 G403:G405 AU403:AU405 AE403:AE405 AE407:AE409 AM407:AM409 G407:G409 AU407:AU409 AU411:AU455 AE411:AE455 AM411:AM455 G411:G455 G457:G470 AU457:AU470 AE457:AE470 AM457:AM470 AM472:AM523 AU145:AU146 AE472:AE523 AE525:AE533 AM525:AM533 G525:G533 AU525:AU533 AU535:AU542 AE535:AE542 AM535:AM542 G535:G542 G308 G313:G342 W3:W22 W24:W46 W535:W568 W146:W226 W230:W288 W290:W400 W402:W533 W48:W143 BC3 BC23:BC44 BC48:BC73 BC5:BC21 BC76:BC190 BC192:BC568</xm:sqref>
        </x14:dataValidation>
        <x14:dataValidation type="list" allowBlank="1" showInputMessage="1" showErrorMessage="1" xr:uid="{00000000-0002-0000-0300-000002000000}">
          <x14:formula1>
            <xm:f>Datos!$D$4:$D$6</xm:f>
          </x14:formula1>
          <xm:sqref>AN544:AN568 AN258:AN261 AF544:AF568 AV96:AV116 H258:H261 AF258:AF261 AF26:AF44 AF136:AF139 H136:H139 AV136:AV139 AN146 AF96:AF116 AF146 AV146 H96:H116 AN136:AN139 H544:H568 AN96:AN116 AV472:AV515 AV258:AV261 AU516 AF3:AF14 AV3:AV14 AN3:AN14 H3:H14 H16:H21 AF16:AF21 AV16:AV21 AN16:AN21 H146 AV26:AV44 AN26:AN44 H26:H44 H48:H55 AF48:AF55 AV48:AV55 AN48:AN55 H57:H73 AN57:AN73 AF57:AF73 AV57:AV73 H76:H87 AN76:AN87 AF76:AF87 AV544:AV568 AF89 AV89 H89 AN89 AN91:AN94 AF91:AF94 AV91:AV94 H91:H94 H120:H131 AF120:AF131 AN120:AN131 AV120:AV131 AV133:AV134 H133:H134 AF133:AF134 AN133:AN134 AV141:AV142 AF141:AF142 AN141:AN142 H141:H142 AF535:AF542 AN535:AN542 AV535:AV542 AV76:AV87 AF148:AF171 H148:H171 AN148:AN171 AV148:AV171 AV173 AF173 H173 AN173 AV175 AF175 H175 AN175 AN177:AN190 AV177:AV190 AF177:AF190 H177:H190 AF193:AF196 H193:H196 AN193:AN196 AV193:AV196 AV198:AV225 AF198:AF225 H457:H470 AN198:AN225 H230:H233 AN230:AN233 AV230:AV233 AF230:AF233 AF235:AF256 H472:H523 AN235:AN256 AV235:AV256 AV263:AV306 H198:H225 AF263:AF306 AN263:AN306 AN308:AN311 AV308:AV311 H235:H256 AF308:AF311 AF313:AF342 AN313:AN342 AV313:AV342 H311 AV345:AV388 H263:H306 AF345:AF388 AN345:AN388 AN390:AN392 AV390:AV392 H390:H392 AF390:AF392 AF394 AN394 AV394 H394 H396:H400 AF396:AF400 AN396:AN400 AV396:AV400 AN403:AN405 AV403:AV405 H403:H405 AF403:AF405 AF407:AF409 AN407:AN409 AV407:AV409 H407:H409 H411:H455 AF411:AF455 AN411:AN455 AV411:AV455 AV457:AV470 H345:H388 AF457:AF470 AN457:AN470 AN472:AN523 AV517:AV523 H535:H542 AF472:AF523 AF525:AF533 AN525:AN533 AV525:AV533 H525:H533 H308 H313:H342 X3:X22 X24:X46 X535:X568 X146:X226 X230:X288 X290:X400 X402:X533 X48:X143 BD3 BD48:BD190 BD23:BD44 BD5:BD21 BD192:BD568</xm:sqref>
        </x14:dataValidation>
        <x14:dataValidation type="list" allowBlank="1" showInputMessage="1" showErrorMessage="1" xr:uid="{00000000-0002-0000-0300-000003000000}">
          <x14:formula1>
            <xm:f>Datos!$F$4:$F$5</xm:f>
          </x14:formula1>
          <xm:sqref>AG544:AG568 AO544:AO568 AO258:AO261 AW26:AW44 AG235:AG256 AW120:AW139 AO146 AW227:AW256 AO136:AO139 AO96:AO116 AW457:AW470 Y24:Y288 AV516:AW516 I3:I14 Y402:Y568 AO3:AO14 AG16:AG22 I16:I21 AW3:AW14 AO16:AO21 AW23 AO26:AO44 I26:I44 I48:I55 AO48:AO55 I57:I73 AG24:AG44 AO57:AO73 AW57:AW73 I76:I87 AO76:AO87 I544:I568 AW76:AW89 I89 AO89 AO91:AO94 AW91:AW94 I91:I94 AW96:AW116 AO120:AO131 I96:I131 I133:I134 AO133:AO134 AO141:AO142 AW141:AW142 I136:I142 AO535:AO542 AG535:AG542 I535:I542 AW46:AW55 I146:I171 AG48:AG116 AO148:AO171 AW145:AW146 AW173 I173 AO173 AW175 I175 AO175 AO177:AO190 AW148:AW171 I177:I190 AG120:AG175 I193:I196 AO193:AO196 AW177:AW191 I472:I523 AG3:AG14 AO198:AO225 AG230:AG233 AO230:AO233 I230:I233 AW193:AW225 AG177:AG225 AO235:AO256 I235:I256 I198:I225 AW258:AW261 AO263:AO306 AG258:AG261 AG263:AG306 I258:I306 AW308:AW311 AO308:AO311 AW544:AW568 AG308:AG311 I311 AW263:AW306 I345:I388 AW313:AW342 AO345:AO388 AG345:AG388 AG390:AG392 I390:I392 AO390:AO392 AO394 AG394 I394 AW345:AW394 AW16:AW21 AO396:AO400 AG396:AG400 I396:I400 AG403:AG405 I403:I405 AW396:AW401 AO403:AO405 AO407:AO409 AG407:AG409 I407:I409 Y290:Y400 AO313:AO342 AG411:AG455 I411:I455 I457:I470 AW403:AW455 AO457:AO470 AG457:AG470 AG472:AG523 AW517:AW542 AO472:AO523 AO525:AO533 AG525:AG533 I525:I533 AW472:AW515 I308 I313:I342 Y3:Y22 AO411:AO455 BE3:BE190 AG313:AG342 BE192:BE568</xm:sqref>
        </x14:dataValidation>
        <x14:dataValidation type="list" allowBlank="1" showInputMessage="1" showErrorMessage="1" xr:uid="{00000000-0002-0000-0300-000004000000}">
          <x14:formula1>
            <xm:f>Datos!$H$4:$H$6</xm:f>
          </x14:formula1>
          <xm:sqref>AP544:AP568 J258:J261 AH544:AH568 J93:J94 AX26:AX44 AX258:AX261 AH96:AH116 AH136:AH139 AH258:AH261 AX136:AX139 J146 AP146 AH146 AP96:AP116 AP136:AP139 AX457:AX470 J136:J139 J532:J533 AH26:AH44 AP258:AP261 Z548:Z560 BF3:BF190 AX3:AX14 AP3:AP14 J3:J14 J16:J21 AH16:AH21 AX16:AX21 AP16:AP21 AX146 Z458:Z471 AP26:AP44 AX472:AX568 J37:J44 AH48:AH55 AP48:AP55 J57:J73 AP57:AP73 AH57:AH73 AX57:AX73 J76:J87 AP76:AP87 AH76:AH87 AH89 AX76:AX89 J89 AP89 AH91:AH94 AX91:AX94 J51:J55 AP91:AP94 J120:J131 AH120:AH131 AP120:AP131 AX96:AX116 AX133:AX134 J133:J134 AH133:AH134 AP133:AP134 AH141:AH142 AP141:AP142 J101:J116 AX141:AX142 AH535:AH542 AP535:AP542 AX46:AX55 AP148:AP171 AX120:AX131 J142 AH148:AH171 AP173 AH173 AX173 J173 AP175 AH175 AX175 J175 J153:J171 AP177:AP190 AH177:AH190 AX148:AX171 AH193:AH196 AX177:AX191 J193:J196 AP193:AP196 AP198:AP225 AH198:AH225 J433:J453 J230:J233 AP230:AP233 AH230:AH233 AH235:AH256 AX193:AX225 J205:J225 AP235:AP256 AX227:AX256 J186:J190 AH263:AH306 AP263:AP306 AP308:AP311 AX308:AX311 J256 AH308:AH311 AH313:AH342 AP313:AP342 AX263:AX306 J311 J345:J388 AH345:AH388 AP345:AP388 AP390:AP392 AX355:AX367 J390:J392 AH390:AH392 AH394 AP394 J394 J396:J400 AH396:AH400 AP396:AP400 Z543:Z546 AP403:AP405 AX396:AX401 J403:J405 AH403:AH405 AH407:AH409 AP407:AP409 J407:J409 J334:J342 AH411:AH455 AP411:AP455 Z530:Z531 AX403:AX455 J455 AH457:AH470 AP457:AP470 AP472:AP523 J535:J542 AH472:AH523 AH525:AH533 AP525:AP533 J458:J470 J308 J242:J253 Z3:Z22 J544:J563 Z473:Z476 Z83:Z115 Z226 Z130:Z143 Z326:Z344 Z43:Z46 AX313:AX342 AX345:AX353 AX369:AX394 AH3:AH14 J26:J29 J31:J35 J48 J91 J96:J97 J99 J149:J151 J177:J180 J182:J183 J198:J203 J235:J240 J565:J568 J263:J270 J273:J275 J277:J284 J313:J320 J322:J323 J325:J327 J330 J411:J421 J423:J426 J428 J430:J431 J286:J306 J472:J482 J484:J485 J525:J526 J528:J530 J487:J523 Z24:Z25 BF192:BF568 Z48 Z34:Z41 Z146:Z184 Z256:Z288 Z301:Z302 Z347:Z366 Z402:Z437 Z439:Z456 Z397:Z400 Z478:Z508 Z511:Z528 Z536:Z537 Z27:Z31 Z50:Z81 Z117:Z128 Z188:Z206 Z208:Z223 Z232 Z234 Z236:Z254 Z290:Z299 Z304:Z322 Z324 Z368:Z395 Z566:Z568</xm:sqref>
        </x14:dataValidation>
        <x14:dataValidation type="list" allowBlank="1" showInputMessage="1" showErrorMessage="1" xr:uid="{00000000-0002-0000-0300-000005000000}">
          <x14:formula1>
            <xm:f>Datos!$K$4:$K$5</xm:f>
          </x14:formula1>
          <xm:sqref>AZ544:AZ568 AJ535:AJ542 AR96:AR116 AR258:AR261 AJ544:AJ568 AR544:AR568 AR146 AJ235:AJ256 AZ136:AZ139 AR136:AR139 AZ472:AZ515 AZ96:AZ116 AZ258:AZ261 L3:L14 AR3:AR14 AJ3:AJ14 L16:L21 AR16:AR21 AJ355:AJ363 L26:L44 AR26:AR44 AB535:AB568 L48:L55 AR48:AR55 L57:L73 L511:L512 AR57:AR73 L76:L87 L517 AZ76:AZ87 AR89 L89 L527:L528 AR91:AR94 AJ308:AJ311 AR120:AR131 L506 AR133:AR134 AR141:AR142 AZ134 L91:L131 AZ535:AZ542 L530:L531 AR76:AR87 AR148:AR171 AR173 BH192:BH568 AR175 AR177:AR190 L133:L171 L490:L492 AR193:AR196 L173:L190 AZ26:AZ39 AZ3:AZ14 AZ16:AZ21 AZ43:AZ44 AZ48:AZ55 AZ57:AZ73 L534:L542 AZ89 AZ91:AZ94 AZ120:AZ131 AZ23 AZ141:AZ142 AZ148:AZ171 AZ173 AZ175 AZ177:AZ190 AZ193:AZ196 AZ198:AZ225 AJ120:AJ175 L457:L470 AR198:AR225 L192:L225 AR230:AR233 AZ230:AZ233 AJ230:AJ233 AJ177:AJ225 L227:L233 AR235:AR256 AZ235:AZ256 AZ263:AZ306 AR263:AR306 AJ258:AJ261 AJ24:AJ116 AZ308:AZ311 L235:L256 AR308:AR311 AR313:AR342 AZ313:AZ342 AZ345:AZ353 AR345:AR353 L486 AJ345:AJ353 AZ355:AZ363 AR355:AR363 AR365:AR367 AJ365:AJ367 AZ365:AZ367 L308:L353 L355:L367 AR369:AR388 AJ369:AJ388 AZ369:AZ388 AZ390:AZ392 L369:L388 AR390:AR392 AJ390:AJ392 AJ394 AZ394 AR394 AR396:AR400 AJ396:AJ400 AZ396:AZ400 AZ403:AZ405 L390:L400 AR403:AR405 AJ403:AJ405 AJ407:AJ409 AZ407:AZ409 AR407:AR409 AR411:AR455 AJ411:AJ455 AZ411:AZ455 L403:L405 L407:L455 AR457:AR470 AJ457:AJ470 AZ457:AZ470 AZ517:AZ523 AZ145:AZ146 AR472:AR523 BH3:BH190 AJ525:AJ533 AZ525:AZ533 L521:L522 AR525:AR533 AR535:AR542 L258:L306 AB3:AB22 L544:L568 AB24:AB46 AB48:AB288 AB290:AB400 AB402:AB533 L473:L475 L481 L483 AJ472:AJ523 AJ16:AJ22 AJ313:AJ342 AJ263:AJ306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5:H30"/>
  <sheetViews>
    <sheetView workbookViewId="0">
      <selection activeCell="H22" sqref="H22"/>
    </sheetView>
  </sheetViews>
  <sheetFormatPr baseColWidth="10" defaultColWidth="11.42578125" defaultRowHeight="15" x14ac:dyDescent="0.25"/>
  <cols>
    <col min="1" max="1" width="5.140625" customWidth="1"/>
    <col min="2" max="2" width="21.7109375" customWidth="1"/>
    <col min="5" max="5" width="7.42578125" customWidth="1"/>
    <col min="6" max="6" width="18.85546875" customWidth="1"/>
  </cols>
  <sheetData>
    <row r="5" spans="1:8" x14ac:dyDescent="0.25">
      <c r="B5" s="498" t="s">
        <v>2820</v>
      </c>
      <c r="C5" s="498"/>
      <c r="D5" s="498"/>
      <c r="F5" s="498" t="s">
        <v>2821</v>
      </c>
      <c r="G5" s="498"/>
      <c r="H5" s="498"/>
    </row>
    <row r="6" spans="1:8" x14ac:dyDescent="0.25">
      <c r="B6" s="2" t="s">
        <v>2822</v>
      </c>
      <c r="C6" s="146">
        <f>Cotizaciones_Elementos!A568</f>
        <v>566</v>
      </c>
      <c r="D6" s="1" t="s">
        <v>2823</v>
      </c>
      <c r="F6" s="3" t="s">
        <v>2822</v>
      </c>
      <c r="G6" s="145">
        <f>Cotizaciones_Reactivos!A479</f>
        <v>477</v>
      </c>
      <c r="H6" s="1" t="s">
        <v>2823</v>
      </c>
    </row>
    <row r="7" spans="1:8" x14ac:dyDescent="0.25">
      <c r="B7" s="1" t="s">
        <v>2824</v>
      </c>
      <c r="C7" s="146">
        <f>COUNTIF(Cotizaciones_Elementos!$EE$3:$EE$568,"0")</f>
        <v>0</v>
      </c>
      <c r="D7" s="18">
        <f>(C7/$C$6)</f>
        <v>0</v>
      </c>
      <c r="F7" s="1" t="s">
        <v>2824</v>
      </c>
      <c r="G7" s="145">
        <f>COUNTIF(Cotizaciones_Reactivos!$FI$3:$FI$479,"0")</f>
        <v>0</v>
      </c>
      <c r="H7" s="20">
        <f>(G7/$G$6)</f>
        <v>0</v>
      </c>
    </row>
    <row r="8" spans="1:8" x14ac:dyDescent="0.25">
      <c r="B8" s="1" t="s">
        <v>2825</v>
      </c>
      <c r="C8" s="146">
        <f>COUNTIF(Cotizaciones_Elementos!$EE$3:$EE$568,"1")</f>
        <v>39</v>
      </c>
      <c r="D8" s="18">
        <f>(C8/$C$6)</f>
        <v>6.8904593639575976E-2</v>
      </c>
      <c r="F8" s="1" t="s">
        <v>2825</v>
      </c>
      <c r="G8" s="145">
        <f>COUNTIF(Cotizaciones_Reactivos!$FI$3:$FI$479,"1")</f>
        <v>40</v>
      </c>
      <c r="H8" s="20">
        <f>(G8/$G$6)</f>
        <v>8.385744234800839E-2</v>
      </c>
    </row>
    <row r="9" spans="1:8" x14ac:dyDescent="0.25">
      <c r="B9" s="1" t="s">
        <v>2826</v>
      </c>
      <c r="C9" s="146">
        <f>COUNTIF(Cotizaciones_Elementos!$EE$3:$EE$568,"2")</f>
        <v>79</v>
      </c>
      <c r="D9" s="18">
        <f>(C9/$C$6)</f>
        <v>0.13957597173144876</v>
      </c>
      <c r="F9" s="1" t="s">
        <v>2826</v>
      </c>
      <c r="G9" s="145">
        <f>COUNTIF(Cotizaciones_Reactivos!$FI$3:$FI$479,"2")</f>
        <v>75</v>
      </c>
      <c r="H9" s="20">
        <f>(G9/$G$6)</f>
        <v>0.15723270440251572</v>
      </c>
    </row>
    <row r="10" spans="1:8" x14ac:dyDescent="0.25">
      <c r="B10" s="1" t="s">
        <v>2827</v>
      </c>
      <c r="C10" s="146">
        <f>+C6-(C7+C8+C9)</f>
        <v>448</v>
      </c>
      <c r="D10" s="18">
        <f>(C10/$C$6)</f>
        <v>0.79151943462897523</v>
      </c>
      <c r="F10" s="1" t="s">
        <v>2827</v>
      </c>
      <c r="G10" s="145">
        <f>+G6-(G7+G8+G9)</f>
        <v>362</v>
      </c>
      <c r="H10" s="20">
        <f>(G10/$G$6)</f>
        <v>0.75890985324947591</v>
      </c>
    </row>
    <row r="11" spans="1:8" x14ac:dyDescent="0.25">
      <c r="C11" s="145">
        <f>+C8+C9+C10</f>
        <v>566</v>
      </c>
      <c r="D11" s="19">
        <f>SUM(D7:D10)</f>
        <v>1</v>
      </c>
      <c r="G11" s="145">
        <f>+G8+G9+G10</f>
        <v>477</v>
      </c>
      <c r="H11" s="21">
        <f>SUM(H7:H10)</f>
        <v>1</v>
      </c>
    </row>
    <row r="12" spans="1:8" x14ac:dyDescent="0.25">
      <c r="C12" s="147">
        <f>+C11/C6</f>
        <v>1</v>
      </c>
      <c r="G12" s="147">
        <f>+G11/G6</f>
        <v>1</v>
      </c>
    </row>
    <row r="14" spans="1:8" x14ac:dyDescent="0.25">
      <c r="A14" t="s">
        <v>2828</v>
      </c>
      <c r="B14" t="s">
        <v>2829</v>
      </c>
      <c r="E14" t="s">
        <v>2828</v>
      </c>
      <c r="F14" t="s">
        <v>2829</v>
      </c>
    </row>
    <row r="15" spans="1:8" ht="41.25" customHeight="1" x14ac:dyDescent="0.25">
      <c r="A15">
        <v>1</v>
      </c>
      <c r="B15" t="s">
        <v>2830</v>
      </c>
      <c r="C15" s="499" t="s">
        <v>2831</v>
      </c>
      <c r="D15" s="499"/>
      <c r="E15">
        <v>1</v>
      </c>
      <c r="F15" t="s">
        <v>2832</v>
      </c>
    </row>
    <row r="16" spans="1:8" x14ac:dyDescent="0.25">
      <c r="A16">
        <v>2</v>
      </c>
      <c r="B16" t="s">
        <v>2833</v>
      </c>
      <c r="E16">
        <v>2</v>
      </c>
      <c r="F16" t="s">
        <v>2834</v>
      </c>
    </row>
    <row r="17" spans="1:6" x14ac:dyDescent="0.25">
      <c r="A17">
        <v>3</v>
      </c>
      <c r="B17" t="s">
        <v>13</v>
      </c>
      <c r="E17">
        <v>3</v>
      </c>
      <c r="F17" t="s">
        <v>10</v>
      </c>
    </row>
    <row r="18" spans="1:6" x14ac:dyDescent="0.25">
      <c r="A18">
        <v>4</v>
      </c>
      <c r="B18" t="s">
        <v>14</v>
      </c>
      <c r="E18">
        <v>4</v>
      </c>
      <c r="F18" t="s">
        <v>2830</v>
      </c>
    </row>
    <row r="19" spans="1:6" x14ac:dyDescent="0.25">
      <c r="A19">
        <v>5</v>
      </c>
      <c r="B19" t="s">
        <v>2835</v>
      </c>
      <c r="E19">
        <v>5</v>
      </c>
      <c r="F19" t="s">
        <v>2833</v>
      </c>
    </row>
    <row r="20" spans="1:6" x14ac:dyDescent="0.25">
      <c r="A20">
        <v>6</v>
      </c>
      <c r="B20" t="s">
        <v>2836</v>
      </c>
      <c r="E20">
        <v>6</v>
      </c>
      <c r="F20" t="s">
        <v>13</v>
      </c>
    </row>
    <row r="21" spans="1:6" x14ac:dyDescent="0.25">
      <c r="A21">
        <v>7</v>
      </c>
      <c r="B21" t="s">
        <v>2837</v>
      </c>
      <c r="E21">
        <v>7</v>
      </c>
      <c r="F21" t="s">
        <v>14</v>
      </c>
    </row>
    <row r="22" spans="1:6" x14ac:dyDescent="0.25">
      <c r="A22">
        <v>8</v>
      </c>
      <c r="B22" t="s">
        <v>2838</v>
      </c>
      <c r="E22">
        <v>8</v>
      </c>
      <c r="F22" t="s">
        <v>2837</v>
      </c>
    </row>
    <row r="23" spans="1:6" x14ac:dyDescent="0.25">
      <c r="A23">
        <v>9</v>
      </c>
      <c r="B23" t="s">
        <v>2839</v>
      </c>
      <c r="E23">
        <v>9</v>
      </c>
      <c r="F23" t="s">
        <v>2840</v>
      </c>
    </row>
    <row r="24" spans="1:6" x14ac:dyDescent="0.25">
      <c r="A24">
        <v>10</v>
      </c>
      <c r="B24" t="s">
        <v>2841</v>
      </c>
      <c r="E24">
        <v>10</v>
      </c>
      <c r="F24" t="s">
        <v>2838</v>
      </c>
    </row>
    <row r="25" spans="1:6" x14ac:dyDescent="0.25">
      <c r="A25">
        <v>11</v>
      </c>
      <c r="B25" t="s">
        <v>20</v>
      </c>
      <c r="E25">
        <v>11</v>
      </c>
      <c r="F25" t="s">
        <v>2839</v>
      </c>
    </row>
    <row r="26" spans="1:6" x14ac:dyDescent="0.25">
      <c r="A26">
        <v>12</v>
      </c>
      <c r="B26" t="s">
        <v>21</v>
      </c>
      <c r="E26">
        <v>12</v>
      </c>
      <c r="F26" t="s">
        <v>2841</v>
      </c>
    </row>
    <row r="27" spans="1:6" ht="15" customHeight="1" x14ac:dyDescent="0.25">
      <c r="A27">
        <v>13</v>
      </c>
      <c r="B27" t="s">
        <v>2842</v>
      </c>
      <c r="E27">
        <v>13</v>
      </c>
      <c r="F27" t="s">
        <v>20</v>
      </c>
    </row>
    <row r="28" spans="1:6" x14ac:dyDescent="0.25">
      <c r="A28">
        <v>14</v>
      </c>
      <c r="B28" t="s">
        <v>2843</v>
      </c>
      <c r="E28">
        <v>14</v>
      </c>
      <c r="F28" t="s">
        <v>2844</v>
      </c>
    </row>
    <row r="29" spans="1:6" x14ac:dyDescent="0.25">
      <c r="A29">
        <v>15</v>
      </c>
      <c r="B29" t="s">
        <v>2845</v>
      </c>
      <c r="E29">
        <v>15</v>
      </c>
      <c r="F29" t="s">
        <v>2835</v>
      </c>
    </row>
    <row r="30" spans="1:6" x14ac:dyDescent="0.25">
      <c r="E30">
        <v>16</v>
      </c>
      <c r="F30" t="s">
        <v>2846</v>
      </c>
    </row>
  </sheetData>
  <mergeCells count="3">
    <mergeCell ref="B5:D5"/>
    <mergeCell ref="F5:H5"/>
    <mergeCell ref="C15:D1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3:K7"/>
  <sheetViews>
    <sheetView workbookViewId="0">
      <selection activeCell="B4" sqref="B4:B5"/>
    </sheetView>
  </sheetViews>
  <sheetFormatPr baseColWidth="10" defaultColWidth="11.42578125" defaultRowHeight="15" x14ac:dyDescent="0.25"/>
  <sheetData>
    <row r="3" spans="2:11" ht="63.75" x14ac:dyDescent="0.25">
      <c r="B3" s="263" t="s">
        <v>495</v>
      </c>
      <c r="C3" s="263" t="s">
        <v>496</v>
      </c>
      <c r="D3" s="263" t="s">
        <v>497</v>
      </c>
      <c r="E3" s="263" t="s">
        <v>498</v>
      </c>
      <c r="F3" s="263" t="s">
        <v>499</v>
      </c>
      <c r="G3" s="263" t="s">
        <v>505</v>
      </c>
      <c r="H3" s="263" t="s">
        <v>501</v>
      </c>
      <c r="I3" s="263" t="s">
        <v>502</v>
      </c>
      <c r="J3" s="263" t="s">
        <v>2847</v>
      </c>
      <c r="K3" s="263" t="s">
        <v>504</v>
      </c>
    </row>
    <row r="4" spans="2:11" x14ac:dyDescent="0.25">
      <c r="B4" s="145" t="s">
        <v>510</v>
      </c>
      <c r="C4" s="145" t="s">
        <v>510</v>
      </c>
      <c r="D4" s="145" t="s">
        <v>510</v>
      </c>
      <c r="E4" s="145" t="s">
        <v>510</v>
      </c>
      <c r="F4" s="145" t="s">
        <v>510</v>
      </c>
      <c r="G4" s="145" t="s">
        <v>510</v>
      </c>
      <c r="H4" s="145">
        <v>40</v>
      </c>
      <c r="I4" s="145">
        <v>17</v>
      </c>
      <c r="J4" s="145">
        <v>1</v>
      </c>
      <c r="K4" s="145" t="s">
        <v>504</v>
      </c>
    </row>
    <row r="5" spans="2:11" x14ac:dyDescent="0.25">
      <c r="B5" s="145" t="s">
        <v>519</v>
      </c>
      <c r="C5" s="145" t="s">
        <v>519</v>
      </c>
      <c r="D5" s="145" t="s">
        <v>519</v>
      </c>
      <c r="E5" s="145" t="s">
        <v>519</v>
      </c>
      <c r="F5" s="145" t="s">
        <v>519</v>
      </c>
      <c r="G5" s="145" t="s">
        <v>519</v>
      </c>
      <c r="H5" s="264">
        <v>20</v>
      </c>
      <c r="I5" s="145">
        <v>8</v>
      </c>
      <c r="J5" s="265">
        <v>0</v>
      </c>
      <c r="K5" s="145" t="s">
        <v>520</v>
      </c>
    </row>
    <row r="6" spans="2:11" x14ac:dyDescent="0.25">
      <c r="B6" s="266"/>
      <c r="C6" s="266"/>
      <c r="D6" s="145" t="s">
        <v>511</v>
      </c>
      <c r="E6" s="145" t="s">
        <v>511</v>
      </c>
      <c r="F6" s="266"/>
      <c r="G6" s="145" t="s">
        <v>511</v>
      </c>
      <c r="H6" s="264">
        <v>0</v>
      </c>
      <c r="I6" s="145">
        <v>0</v>
      </c>
      <c r="J6" s="266"/>
      <c r="K6" s="266"/>
    </row>
    <row r="7" spans="2:11" x14ac:dyDescent="0.25">
      <c r="B7" s="266"/>
      <c r="C7" s="266"/>
      <c r="D7" s="266"/>
      <c r="E7" s="266"/>
      <c r="F7" s="266"/>
      <c r="G7" s="266"/>
      <c r="H7" s="266"/>
      <c r="I7" s="145">
        <v>0</v>
      </c>
      <c r="J7" s="266"/>
      <c r="K7" s="266"/>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B22C3A7DFE7F8408A04AD505E2707B9" ma:contentTypeVersion="13" ma:contentTypeDescription="Crear nuevo documento." ma:contentTypeScope="" ma:versionID="4770984f8b5cb3d6201ce5370f7d28d7">
  <xsd:schema xmlns:xsd="http://www.w3.org/2001/XMLSchema" xmlns:xs="http://www.w3.org/2001/XMLSchema" xmlns:p="http://schemas.microsoft.com/office/2006/metadata/properties" xmlns:ns3="82b5fb6b-42bc-42ca-99eb-a6c5ab229118" xmlns:ns4="85785490-0752-4b9b-be63-3fe7660bf79f" targetNamespace="http://schemas.microsoft.com/office/2006/metadata/properties" ma:root="true" ma:fieldsID="534210ed82896a3749b2eb85070f5a48" ns3:_="" ns4:_="">
    <xsd:import namespace="82b5fb6b-42bc-42ca-99eb-a6c5ab229118"/>
    <xsd:import namespace="85785490-0752-4b9b-be63-3fe7660bf79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ServiceOCR"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b5fb6b-42bc-42ca-99eb-a6c5ab2291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5785490-0752-4b9b-be63-3fe7660bf79f"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SharingHintHash" ma:index="15"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C36F11B-D923-45ED-BF90-1CF6ECFCD025}">
  <ds:schemaRefs>
    <ds:schemaRef ds:uri="http://schemas.microsoft.com/sharepoint/v3/contenttype/forms"/>
  </ds:schemaRefs>
</ds:datastoreItem>
</file>

<file path=customXml/itemProps2.xml><?xml version="1.0" encoding="utf-8"?>
<ds:datastoreItem xmlns:ds="http://schemas.openxmlformats.org/officeDocument/2006/customXml" ds:itemID="{9A4D8C42-6EA4-48CF-AD7D-D5E978D1DB9C}">
  <ds:schemaRefs>
    <ds:schemaRef ds:uri="http://purl.org/dc/elements/1.1/"/>
    <ds:schemaRef ds:uri="http://purl.org/dc/dcmitype/"/>
    <ds:schemaRef ds:uri="http://schemas.openxmlformats.org/package/2006/metadata/core-properties"/>
    <ds:schemaRef ds:uri="http://schemas.microsoft.com/office/2006/metadata/properties"/>
    <ds:schemaRef ds:uri="82b5fb6b-42bc-42ca-99eb-a6c5ab229118"/>
    <ds:schemaRef ds:uri="http://schemas.microsoft.com/office/infopath/2007/PartnerControls"/>
    <ds:schemaRef ds:uri="http://schemas.microsoft.com/office/2006/documentManagement/types"/>
    <ds:schemaRef ds:uri="85785490-0752-4b9b-be63-3fe7660bf79f"/>
    <ds:schemaRef ds:uri="http://www.w3.org/XML/1998/namespace"/>
    <ds:schemaRef ds:uri="http://purl.org/dc/terms/"/>
  </ds:schemaRefs>
</ds:datastoreItem>
</file>

<file path=customXml/itemProps3.xml><?xml version="1.0" encoding="utf-8"?>
<ds:datastoreItem xmlns:ds="http://schemas.openxmlformats.org/officeDocument/2006/customXml" ds:itemID="{FDAF7988-A9F2-498A-A0B7-3570FADA65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b5fb6b-42bc-42ca-99eb-a6c5ab229118"/>
    <ds:schemaRef ds:uri="85785490-0752-4b9b-be63-3fe7660bf7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Cotizaciones_Reactivos</vt:lpstr>
      <vt:lpstr>Distribución_Reactivos</vt:lpstr>
      <vt:lpstr>Cotizaciones_Elementos</vt:lpstr>
      <vt:lpstr>Distribución_Elementos</vt:lpstr>
      <vt:lpstr>ESTADO proceso </vt:lpstr>
      <vt:lpstr>Datos</vt:lpstr>
      <vt:lpstr>agricola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Familia</dc:creator>
  <cp:keywords/>
  <dc:description/>
  <cp:lastModifiedBy>Familia Luque</cp:lastModifiedBy>
  <cp:revision/>
  <dcterms:created xsi:type="dcterms:W3CDTF">2020-03-30T21:59:00Z</dcterms:created>
  <dcterms:modified xsi:type="dcterms:W3CDTF">2021-05-31T00:59:35Z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0x0101007B22C3A7DFE7F8408A04AD505E2707B9</vt:lpwstr>
  </property>
</Properties>
</file>